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ONTHLY" sheetId="1" r:id="rId5"/>
    <sheet state="hidden" name="Monitor CS Attempt" sheetId="2" r:id="rId6"/>
    <sheet state="visible" name="Payment Updates" sheetId="3" r:id="rId7"/>
    <sheet state="visible" name="Monitor Stuck Parcels" sheetId="4" r:id="rId8"/>
    <sheet state="visible" name="SEARCH_TOOL" sheetId="5" r:id="rId9"/>
    <sheet state="visible" name="PNL" sheetId="6" r:id="rId10"/>
    <sheet state="visible" name="Month vise" sheetId="7" r:id="rId11"/>
    <sheet state="hidden" name="System Blacklist" sheetId="8" r:id="rId12"/>
    <sheet state="visible" name="Orders" sheetId="9" r:id="rId13"/>
    <sheet state="hidden" name="Admin_Lists" sheetId="10" r:id="rId14"/>
    <sheet state="hidden" name="ROAS entries" sheetId="11" r:id="rId15"/>
    <sheet state="hidden" name="Instaworld_Expenses" sheetId="12" r:id="rId16"/>
    <sheet state="hidden" name="Temp_Update_Input" sheetId="13" r:id="rId17"/>
    <sheet state="hidden" name="AI_ADDRESS_REVIEW" sheetId="14" r:id="rId18"/>
    <sheet state="hidden" name="Monitor Shipper Advice" sheetId="15" r:id="rId19"/>
    <sheet state="hidden" name="Monitor Verification" sheetId="16" r:id="rId20"/>
    <sheet state="visible" name="Unified Returns" sheetId="17" r:id="rId21"/>
    <sheet state="hidden" name="Pending Dashboard" sheetId="18" r:id="rId22"/>
    <sheet state="hidden" name="Weight Charge By PostEx" sheetId="19" r:id="rId23"/>
  </sheets>
  <definedNames/>
  <calcPr/>
</workbook>
</file>

<file path=xl/sharedStrings.xml><?xml version="1.0" encoding="utf-8"?>
<sst xmlns="http://schemas.openxmlformats.org/spreadsheetml/2006/main" count="47987" uniqueCount="19005">
  <si>
    <t>Tracking</t>
  </si>
  <si>
    <t>Customer Name</t>
  </si>
  <si>
    <t>Contact</t>
  </si>
  <si>
    <t>Address</t>
  </si>
  <si>
    <t>Items</t>
  </si>
  <si>
    <t>COD Amount</t>
  </si>
  <si>
    <t>Attempt Reason</t>
  </si>
  <si>
    <t>Date</t>
  </si>
  <si>
    <t>📜 Courier Timeline (Last 4)</t>
  </si>
  <si>
    <t>🛒 Shopify Notes</t>
  </si>
  <si>
    <t>📋 CS Status</t>
  </si>
  <si>
    <t>📝 CS Resolution Note</t>
  </si>
  <si>
    <t>⚡ Action</t>
  </si>
  <si>
    <t>📲 Escalate</t>
  </si>
  <si>
    <t>Manzoor Hussain</t>
  </si>
  <si>
    <t>Gali Tawasuli ,  Alamdar Road, Momin abad,  Quetta Quetta</t>
  </si>
  <si>
    <t>Tipping Crew - L / Black (x1), Tipping Crew - L / White (x1)</t>
  </si>
  <si>
    <t>Attempted</t>
  </si>
  <si>
    <t>• Merchant Request For Re-Attempt
• Delivery Under Review
• Attempt Made: RFD(REFUSED TO RECEIVE)
• Enroute for Delivery</t>
  </si>
  <si>
    <t xml:space="preserve">Order has been shipped via PostEx with Tracking 24120050021639. confirm  not ans </t>
  </si>
  <si>
    <t>Aimal Khan</t>
  </si>
  <si>
    <t>PAF Base Shahrah E Faisal Karachi Karachi</t>
  </si>
  <si>
    <t>Multi ref PUM-A - 2XL / White (x1), Multi ref PUM-A - 2XL / Black (x1)</t>
  </si>
  <si>
    <t>• Attempt Made: CNA(CUSTOMER NOT AVAILABLE)
• Enroute for Delivery
• Attempt Made: CNA(CUSTOMER NOT AVAILABLE)
• Enroute for Delivery</t>
  </si>
  <si>
    <t>Order has been shipped via PostEx with Tracking 23120050021855. ok</t>
  </si>
  <si>
    <t>Asim Risz</t>
  </si>
  <si>
    <t>Moscow Plaza Subway Building 3rd Floor Office No 6 Blue Area Islamabad Islamabad</t>
  </si>
  <si>
    <t>Multi ref PUM-A - M / White (x1), Multi ref PUM-A - M / Black (x1)</t>
  </si>
  <si>
    <t>• Merchant Request For Re-Attempt
• Delivery Under Review
• Attempt Made: CNA(CUSTOMER NOT AVAILABLE)
• Enroute for Delivery</t>
  </si>
  <si>
    <t xml:space="preserve">Order has been shipped via PostEx with Tracking 27120050021727.   rider   na rabta nahi kiya </t>
  </si>
  <si>
    <t>Shahrooz Wali</t>
  </si>
  <si>
    <t>Aga Khan University Karachi, University Center Building Karachi</t>
  </si>
  <si>
    <t xml:space="preserve">Order has been shipped via PostEx with Tracking 26120050021847. confrm </t>
  </si>
  <si>
    <t>Abu Bakar</t>
  </si>
  <si>
    <t>Nadeem Traders Shorkot cantt</t>
  </si>
  <si>
    <t>Tipping Crew - M / Black (x1), Tipping Crew - M / White (x1)</t>
  </si>
  <si>
    <t>• Merchant Request For Re-Attempt
• Delivery Under Review
• Attempt Made: OPN(CONSIGNEE WANTS TO OPEN PARCEL)
• Enroute for Delivery</t>
  </si>
  <si>
    <t xml:space="preserve">Order has been shipped via PostEx with Tracking 22120050021869. confirm   consignee want open parcel  </t>
  </si>
  <si>
    <t>Atif Rafiq Rafiq Rafiq</t>
  </si>
  <si>
    <t>Paradox London office#708 7th floor Haly tower DHA phase 2 Lahore Lahore</t>
  </si>
  <si>
    <t>ADI Multi Ref Stripes - XL / White (x1), ADI Multi Ref Stripes - XL / Black (x1)</t>
  </si>
  <si>
    <t>• Attempt Made: CNA(CUSTOMER NOT AVAILABLE)
• Enroute for Delivery
• Attempt Made: HCR(HOLD ON CONSIGNEE REQUEST)
• Enroute for Delivery</t>
  </si>
  <si>
    <t>Order has been shipped via PostEx with Tracking 22120050021862. confirm</t>
  </si>
  <si>
    <t>Farhan Saeed</t>
  </si>
  <si>
    <t>Rio center building saddar karachi flat no 216 2nd floor near attrium mall Karachi</t>
  </si>
  <si>
    <t>A | X Embroidery LOGO - XL / Black (x1), A | X Embroidery LOGO - XL / White (x1), A | X Embroidery LOGO - XL / Pista (x1)</t>
  </si>
  <si>
    <t>• Attempt Made: CNA(CUSTOMER NOT AVAILABLE)
• Enroute for Delivery
• Waiting for Delivery
• Arrived at Transit Hub KHI</t>
  </si>
  <si>
    <t>Order has been shipped via PostEx with Tracking 22120050021879. open to allow</t>
  </si>
  <si>
    <t>Muhammad RAMZAN</t>
  </si>
  <si>
    <t>Fauji Fresh n Freeze pvt limited 16km Pakptan road,Sahiwal SAHIWAL</t>
  </si>
  <si>
    <t>Multi ref PUM-A - L / White (x1), Multi ref PUM-A - L / Black (x1)</t>
  </si>
  <si>
    <t>• Attempt Made: CNA(CUSTOMER NOT AVAILABLE)
• Enroute for Delivery
• Waiting for Delivery
• Arrived at Transit Hub SWL</t>
  </si>
  <si>
    <t xml:space="preserve">Order has been shipped via PostEx with Tracking 25120050021888. confirm </t>
  </si>
  <si>
    <t>🔑 MASTER KEY:</t>
  </si>
  <si>
    <t>Match by Tracking Number</t>
  </si>
  <si>
    <t>Order ID</t>
  </si>
  <si>
    <t>Tracking Number</t>
  </si>
  <si>
    <t>Type (D/R)</t>
  </si>
  <si>
    <t>Charges</t>
  </si>
  <si>
    <t>Ref</t>
  </si>
  <si>
    <t>Courier Name</t>
  </si>
  <si>
    <t>Balance</t>
  </si>
  <si>
    <t>Status</t>
  </si>
  <si>
    <t>Recommendation</t>
  </si>
  <si>
    <t>Net Payout</t>
  </si>
  <si>
    <t>Comments</t>
  </si>
  <si>
    <t>Charges Trick</t>
  </si>
  <si>
    <t>4% TAX ADD ON</t>
  </si>
  <si>
    <t>FINAL CHARGES</t>
  </si>
  <si>
    <t>value paste(recheck)</t>
  </si>
  <si>
    <t>TR31268</t>
  </si>
  <si>
    <t>D</t>
  </si>
  <si>
    <t>CPR-RAGFP443199</t>
  </si>
  <si>
    <t>PostEx</t>
  </si>
  <si>
    <t>✅ Done</t>
  </si>
  <si>
    <t>✅ Full Payment</t>
  </si>
  <si>
    <t>TR31249</t>
  </si>
  <si>
    <t>TR31229</t>
  </si>
  <si>
    <t>TR31227</t>
  </si>
  <si>
    <t>TR31223</t>
  </si>
  <si>
    <t>TR31220</t>
  </si>
  <si>
    <t>TR31219</t>
  </si>
  <si>
    <t>TR31217</t>
  </si>
  <si>
    <t>TR31213</t>
  </si>
  <si>
    <t>TR31204</t>
  </si>
  <si>
    <t>TR31201</t>
  </si>
  <si>
    <t>TR31198</t>
  </si>
  <si>
    <t>TR31197</t>
  </si>
  <si>
    <t>TR31195</t>
  </si>
  <si>
    <t>TR31193</t>
  </si>
  <si>
    <t>TR31192</t>
  </si>
  <si>
    <t>TR31190</t>
  </si>
  <si>
    <t>TR31189</t>
  </si>
  <si>
    <t>TR31188</t>
  </si>
  <si>
    <t>TR31186</t>
  </si>
  <si>
    <t>TR31183</t>
  </si>
  <si>
    <t>TR31181</t>
  </si>
  <si>
    <t>TR31177</t>
  </si>
  <si>
    <t>TR31176</t>
  </si>
  <si>
    <t>TR31174</t>
  </si>
  <si>
    <t>TR31173</t>
  </si>
  <si>
    <t>TR31172</t>
  </si>
  <si>
    <t>TR31171</t>
  </si>
  <si>
    <t>TR31168</t>
  </si>
  <si>
    <t>TR31164</t>
  </si>
  <si>
    <t>TR31162</t>
  </si>
  <si>
    <t>TR31160</t>
  </si>
  <si>
    <t>TR31157</t>
  </si>
  <si>
    <t>TR31156</t>
  </si>
  <si>
    <t>TR31155</t>
  </si>
  <si>
    <t>TR31153</t>
  </si>
  <si>
    <t>TR31151</t>
  </si>
  <si>
    <t>TR31147</t>
  </si>
  <si>
    <t>⚠️ Partial Payment</t>
  </si>
  <si>
    <t>TR31143</t>
  </si>
  <si>
    <t>TR31140</t>
  </si>
  <si>
    <t>TR31135</t>
  </si>
  <si>
    <t>TR31128</t>
  </si>
  <si>
    <t>TR31126</t>
  </si>
  <si>
    <t>TR31118</t>
  </si>
  <si>
    <t>TR31117</t>
  </si>
  <si>
    <t>TR31111</t>
  </si>
  <si>
    <t>TR31110</t>
  </si>
  <si>
    <t>TR31107</t>
  </si>
  <si>
    <t>TR31103</t>
  </si>
  <si>
    <t>TR31099</t>
  </si>
  <si>
    <t>TR31095</t>
  </si>
  <si>
    <t>TR31092</t>
  </si>
  <si>
    <t>TR31087</t>
  </si>
  <si>
    <t>TR31086</t>
  </si>
  <si>
    <t>TR31085</t>
  </si>
  <si>
    <t>TR31083</t>
  </si>
  <si>
    <t>TR31081</t>
  </si>
  <si>
    <t>TR31080</t>
  </si>
  <si>
    <t>TR31078</t>
  </si>
  <si>
    <t>TR31076</t>
  </si>
  <si>
    <t>TR31072</t>
  </si>
  <si>
    <t>TR31065</t>
  </si>
  <si>
    <t>TR31051</t>
  </si>
  <si>
    <t>TR31032</t>
  </si>
  <si>
    <t>TR31031</t>
  </si>
  <si>
    <t>TR31003</t>
  </si>
  <si>
    <t>TR31000</t>
  </si>
  <si>
    <t>TR30975</t>
  </si>
  <si>
    <t>TR30946</t>
  </si>
  <si>
    <t>TR30935</t>
  </si>
  <si>
    <t>TR30724</t>
  </si>
  <si>
    <t>TR30705</t>
  </si>
  <si>
    <t>TR30669</t>
  </si>
  <si>
    <t>TR30650</t>
  </si>
  <si>
    <t>TR30357</t>
  </si>
  <si>
    <t>TR31070</t>
  </si>
  <si>
    <t>R</t>
  </si>
  <si>
    <t>Return Fee Recorded</t>
  </si>
  <si>
    <t>TR31021</t>
  </si>
  <si>
    <t>TR31012</t>
  </si>
  <si>
    <t>TR30988</t>
  </si>
  <si>
    <t>TR30978</t>
  </si>
  <si>
    <t>TR30969</t>
  </si>
  <si>
    <t>TR30966</t>
  </si>
  <si>
    <t>TR30964</t>
  </si>
  <si>
    <t>TR30959</t>
  </si>
  <si>
    <t>TR30953</t>
  </si>
  <si>
    <t>TR30926</t>
  </si>
  <si>
    <t>TR30913</t>
  </si>
  <si>
    <t>TR30905</t>
  </si>
  <si>
    <t>TR30903</t>
  </si>
  <si>
    <t>TR30864</t>
  </si>
  <si>
    <t>TR30851</t>
  </si>
  <si>
    <t>TR30834</t>
  </si>
  <si>
    <t>TR30753</t>
  </si>
  <si>
    <t>TR30752</t>
  </si>
  <si>
    <t>TR30727</t>
  </si>
  <si>
    <t>TR30406</t>
  </si>
  <si>
    <t>TR30339</t>
  </si>
  <si>
    <t>TR30207</t>
  </si>
  <si>
    <t>TR30092</t>
  </si>
  <si>
    <t>TR30064</t>
  </si>
  <si>
    <t>TR29985</t>
  </si>
  <si>
    <t>TR31248</t>
  </si>
  <si>
    <t>❌ API Error</t>
  </si>
  <si>
    <t>Request failed for https://041839-3.myshopify.com returned code 422. Truncated server response: {"errors":{"amount":["must be greater than zero for capture transactions"]}} (use muteHttpExceptions option to examine full response)</t>
  </si>
  <si>
    <t>TR31246</t>
  </si>
  <si>
    <t>TR31226</t>
  </si>
  <si>
    <t>TR31202</t>
  </si>
  <si>
    <t>TR31005</t>
  </si>
  <si>
    <t>TR31203</t>
  </si>
  <si>
    <t>🛑 Skipped</t>
  </si>
  <si>
    <t>Already Paid</t>
  </si>
  <si>
    <t>Customer</t>
  </si>
  <si>
    <t>⏳ Days Stuck</t>
  </si>
  <si>
    <t>Note</t>
  </si>
  <si>
    <t>Price</t>
  </si>
  <si>
    <t>Product</t>
  </si>
  <si>
    <t>Last Date</t>
  </si>
  <si>
    <t>ACTION</t>
  </si>
  <si>
    <t>Nadeem Abbasi</t>
  </si>
  <si>
    <t>returned</t>
  </si>
  <si>
    <t>109 Days</t>
  </si>
  <si>
    <t>complain marked PostEx | Product MIssing | details Shared |
 | ↩️ Return Charged: 2026-01-02 | Fee: 200.1</t>
  </si>
  <si>
    <t>Imported Scoba Executive Nik Tro - M / Silver Grey (x1)</t>
  </si>
  <si>
    <t>Muzammil Sabir</t>
  </si>
  <si>
    <t>attempted</t>
  </si>
  <si>
    <t>5 Days</t>
  </si>
  <si>
    <t xml:space="preserve">confirm </t>
  </si>
  <si>
    <t>Junaid Babu</t>
  </si>
  <si>
    <t>un-assigned by me</t>
  </si>
  <si>
    <t>3 Days</t>
  </si>
  <si>
    <t>not ans / not confirmed</t>
  </si>
  <si>
    <t>Embossed NIK-E - XL / Black (x1), Embossed NIK-E - XL / White (x1), Basic Branded Adi Trouser - L / Black (x1)</t>
  </si>
  <si>
    <t>Dr Junaid Junaid</t>
  </si>
  <si>
    <t>9 Days</t>
  </si>
  <si>
    <t>Sohrab Qalandari</t>
  </si>
  <si>
    <t>LE7532033190</t>
  </si>
  <si>
    <t>Ali Ahmad</t>
  </si>
  <si>
    <t>shipper advice</t>
  </si>
  <si>
    <t>2 Days</t>
  </si>
  <si>
    <t>lcs Nankana sahib</t>
  </si>
  <si>
    <t>ADI Multi Ref Stripes - XL / White (x1), ADI Multi Ref Stripes - L / Black (x1)</t>
  </si>
  <si>
    <t>Faro Khan</t>
  </si>
  <si>
    <t>Multi ref PUM-A - M / White (x1)</t>
  </si>
  <si>
    <t>Waseem Aslam</t>
  </si>
  <si>
    <t>adeel raja</t>
  </si>
  <si>
    <t xml:space="preserve">open to allow </t>
  </si>
  <si>
    <t>Afnan Saeed</t>
  </si>
  <si>
    <t>Hammad Arif</t>
  </si>
  <si>
    <t>en-route to lahore warehouse</t>
  </si>
  <si>
    <t xml:space="preserve"> not ans confirm </t>
  </si>
  <si>
    <t>ADI Multi Ref Stripes - M / White (x1), ADI Multi Ref Stripes - M / Black (x1)</t>
  </si>
  <si>
    <t>Aqeel Ali</t>
  </si>
  <si>
    <t>LE7530384423</t>
  </si>
  <si>
    <t>Waris iqbal Iqbal</t>
  </si>
  <si>
    <t>in transit</t>
  </si>
  <si>
    <t xml:space="preserve">khaplu lcs </t>
  </si>
  <si>
    <t>Multi ref PUM-A - 3XL / White (x1), Multi ref PUM-A - 3XL / Black (x1)</t>
  </si>
  <si>
    <t>Awais Aslam</t>
  </si>
  <si>
    <t>10 Days</t>
  </si>
  <si>
    <t>(rehman issue) allow to oepn  rider open kerna nahi da raha 
 | ↩️ Return Charged: 2026-04-10 | Ref: CPR-XWOR8962608 | Fee: 552.45</t>
  </si>
  <si>
    <t>Basic Branded Adi Trouser - XL / Black (x1), Adi- Hoodie - XL / Black (x1), ADI Multi Ref Stripes - XL / White (x1), ADI Multi Ref Stripes - XL / Black (x1), ADI - TriStrip-Tracksuit Winter - XL / Gray (x1)</t>
  </si>
  <si>
    <t>Zekash Ahmad Allow to Open</t>
  </si>
  <si>
    <t>Muhammad Tayyab Abbasi</t>
  </si>
  <si>
    <t>confirm</t>
  </si>
  <si>
    <t>Omer Mehmood Ch Mehmood Son’s</t>
  </si>
  <si>
    <t>Multi ref PUM-A - L / White (x1)</t>
  </si>
  <si>
    <t>Sohaib Nasir</t>
  </si>
  <si>
    <t>Multi ref PUM-A - L / White (x1), ADI - EMBOSSED LOGO - L / Olive( Commando Green) (x1)</t>
  </si>
  <si>
    <t>Muhammad Usman Muhammad</t>
  </si>
  <si>
    <t>Tauqeer Akbar</t>
  </si>
  <si>
    <t>Multi ref PUM-A - L / White (x1), ADI - EMBOSSED LOGO - L / Black (x1), Tipping Crew - L / White (x1), Tipping Crew - L / Black (x1)</t>
  </si>
  <si>
    <t>Saima Butt</t>
  </si>
  <si>
    <t>LE7530384557</t>
  </si>
  <si>
    <t>Nabeel Ch Ch</t>
  </si>
  <si>
    <t xml:space="preserve">confirm ( call when arrived at Station )
office sa recive ker la ga parcel </t>
  </si>
  <si>
    <t>ADI-Trouser Tri strip - L / Black (x1)</t>
  </si>
  <si>
    <t>Zubair Ahmad</t>
  </si>
  <si>
    <t>ADI - EMBOSSED LOGO - M / Black (x1)</t>
  </si>
  <si>
    <t>Zunair Munir</t>
  </si>
  <si>
    <t xml:space="preserve">confirm postex </t>
  </si>
  <si>
    <t>asad Habib</t>
  </si>
  <si>
    <t xml:space="preserve">confirm on call </t>
  </si>
  <si>
    <t>Abubakar Ch</t>
  </si>
  <si>
    <t>Ismail Khan</t>
  </si>
  <si>
    <t>Adi Winter Trouser - M / Black (x1), Embossed NIK-E - M / Black (x1)</t>
  </si>
  <si>
    <t>javed iqbal</t>
  </si>
  <si>
    <t>Ali Raza</t>
  </si>
  <si>
    <t>Irum Bukhari</t>
  </si>
  <si>
    <t>Syed Aashir Abbas</t>
  </si>
  <si>
    <t>Athwani Akash</t>
  </si>
  <si>
    <t>Inam Khan</t>
  </si>
  <si>
    <t>danish danish</t>
  </si>
  <si>
    <t xml:space="preserve">in wp whatsup </t>
  </si>
  <si>
    <t>ADI-Trouser Tri strip - L / Black (x1), Multi ref PUM-A - L / White (x1)</t>
  </si>
  <si>
    <t>Amir Ilyas</t>
  </si>
  <si>
    <t>delivery unsuccessful</t>
  </si>
  <si>
    <t xml:space="preserve">TCS </t>
  </si>
  <si>
    <t>ADI Multi Ref Stripes - 4XL / White (x1), ADI Multi Ref Stripes - 4XL / Black (x1)</t>
  </si>
  <si>
    <t>Muhammad Asim</t>
  </si>
  <si>
    <t>Osaid Khaled</t>
  </si>
  <si>
    <t>Yasir Wasim</t>
  </si>
  <si>
    <t>Shah Zeb</t>
  </si>
  <si>
    <t>Multi ref PUM-A - M / Black (x1), Multi ref PUM-A - M / White (x1)</t>
  </si>
  <si>
    <t>Arif Balti</t>
  </si>
  <si>
    <t>Hassam Abbasi</t>
  </si>
  <si>
    <t>Raqeeb Cheema</t>
  </si>
  <si>
    <t>Khawar afridi Afridi</t>
  </si>
  <si>
    <t xml:space="preserve">confirm  allow to open </t>
  </si>
  <si>
    <t>Mudasir Mushtaq</t>
  </si>
  <si>
    <t>Maham Zafar</t>
  </si>
  <si>
    <t>Muhammad Asif</t>
  </si>
  <si>
    <t>Usman Sani</t>
  </si>
  <si>
    <t xml:space="preserve">allow to oepn </t>
  </si>
  <si>
    <t>Multi ref PUM-A - L / White (x1), Multi ref PUM-A - L / Black (x1), Embossed NIK-E - L / Black (x1)</t>
  </si>
  <si>
    <t>Suman Zehra</t>
  </si>
  <si>
    <t>LE7531953845</t>
  </si>
  <si>
    <t>Tanvir Baloch</t>
  </si>
  <si>
    <t xml:space="preserve">confirm ( call when arrived at station ) 
office sa receive ker la gaa parcel </t>
  </si>
  <si>
    <t>ADI Multi Ref Stripes - L / White (x1), ADI Multi Ref Stripes - L / Black (x1)</t>
  </si>
  <si>
    <t>Moazzam Butt</t>
  </si>
  <si>
    <t xml:space="preserve">6000/- cash received </t>
  </si>
  <si>
    <t>Multi ref PUM-A - 2XL / White (x1), Multi ref PUM-A - 2XL / Black (x1), ADI Ref Stripes - 2XL / White (x1), ADI Ref Stripes - 2XL / Black (x1)</t>
  </si>
  <si>
    <t>Mustafa Ali</t>
  </si>
  <si>
    <t>ADI - EMBOSSED LOGO - M / White (x1)</t>
  </si>
  <si>
    <t>Afrasiab Akbar</t>
  </si>
  <si>
    <t>Ali Jamil</t>
  </si>
  <si>
    <t>ADI - EMBOSSED LOGO - XL / White (x1), ADI - EMBOSSED LOGO - XL / Black (x1)</t>
  </si>
  <si>
    <t>Muhammad Usman Niaz</t>
  </si>
  <si>
    <t>Naveed Ali</t>
  </si>
  <si>
    <t>ADI - EMBOSSED LOGO - L / White (x1)</t>
  </si>
  <si>
    <t>Asad Zaheer</t>
  </si>
  <si>
    <t>A | X Embroidery LOGO - M / Bottle Green (x1), A | X Embroidery LOGO - M / American Blue (x1), ADI - EMBOSSED LOGO - XL / Black (x1), ADI - EMBOSSED LOGO - XL / White (x1)</t>
  </si>
  <si>
    <t>LE7532032650</t>
  </si>
  <si>
    <t>Hasnain Memon</t>
  </si>
  <si>
    <t>Syed Awais Sherazi</t>
  </si>
  <si>
    <t>ADI - EMBOSSED LOGO - M / Zinc Blue (x1), ADI - EMBOSSED LOGO - M / Grey (x1), ADI - EMBOSSED LOGO - M / Black (x1), ADI - EMBOSSED LOGO - M / White (x1)</t>
  </si>
  <si>
    <t>Nasir Rafiq Channar</t>
  </si>
  <si>
    <t xml:space="preserve">confrm </t>
  </si>
  <si>
    <t>ADI-Trouser Tri strip - L / Black (x2)</t>
  </si>
  <si>
    <t>Sohail Rajpoot</t>
  </si>
  <si>
    <t xml:space="preserve">again confirm  3014438504  is number per call ker la rider reatempt </t>
  </si>
  <si>
    <t>Faisal Nizami</t>
  </si>
  <si>
    <t>4 Days</t>
  </si>
  <si>
    <t>TEXTURE LIGHT SKY - 15 (x1)</t>
  </si>
  <si>
    <t>Asif jawaid Gondal</t>
  </si>
  <si>
    <t>ADI - EMBOSSED LOGO - XL / Zinc Blue (x1), ADI - EMBOSSED LOGO - XL / Bottle green (x1)</t>
  </si>
  <si>
    <t>Hamid Raza</t>
  </si>
  <si>
    <t xml:space="preserve">confirm koi call nahi ai </t>
  </si>
  <si>
    <t>Multi ref PUM-A - XL / White (x1)</t>
  </si>
  <si>
    <t>Sikandar Khushal</t>
  </si>
  <si>
    <t>ADI - EMBOSSED LOGO - L / Mustard (x1), ADI - EMBOSSED LOGO - L / Sky (x1)</t>
  </si>
  <si>
    <t>Haseeb Shah</t>
  </si>
  <si>
    <t xml:space="preserve">confirm fake attempt </t>
  </si>
  <si>
    <t>Basic RL Crew- Plus Size - 3XL / Black (x1), Basic RL Crew- Plus Size - 3XL / Mehroon (x1)</t>
  </si>
  <si>
    <t>LOCALDISPATCHED@SHOP01</t>
  </si>
  <si>
    <t>Abdul moiz Abdul moiz</t>
  </si>
  <si>
    <t>booked</t>
  </si>
  <si>
    <t xml:space="preserve">whatsup  paid parcel haa </t>
  </si>
  <si>
    <t>ADI - EMBOSSED LOGO - M / Sky (x1), ADI - EMBOSSED LOGO - M / Mustard (x1)</t>
  </si>
  <si>
    <t>📅 Preset</t>
  </si>
  <si>
    <t>📆 Start</t>
  </si>
  <si>
    <t>🏁 End</t>
  </si>
  <si>
    <t>🏷️ Status Filter</t>
  </si>
  <si>
    <t>🔑 Keyword</t>
  </si>
  <si>
    <t>🗂️ Sort By</t>
  </si>
  <si>
    <t>⭐ Load View</t>
  </si>
  <si>
    <t>🔍 Found: 8 Orders
💰 Sum: Rs 30,085</t>
  </si>
  <si>
    <t>✅ Delivered: 0 | 🔄 Returned: 8 | ⏳ Pending: 0</t>
  </si>
  <si>
    <t>All Time</t>
  </si>
  <si>
    <t>Returned, Returned to Shipper</t>
  </si>
  <si>
    <t>Default</t>
  </si>
  <si>
    <t>🔄 RUN SEARCH ➡️</t>
  </si>
  <si>
    <t>💾 SAVE VIEW ➡️</t>
  </si>
  <si>
    <t>🗑️ DELETE VIEW ➡️</t>
  </si>
  <si>
    <t>🧹 RESET BOARD ➡️</t>
  </si>
  <si>
    <t>Phone</t>
  </si>
  <si>
    <t>City</t>
  </si>
  <si>
    <t>Paid Amount</t>
  </si>
  <si>
    <t>Pending Balance</t>
  </si>
  <si>
    <t>Delivery Status</t>
  </si>
  <si>
    <t>Courier</t>
  </si>
  <si>
    <t>notes</t>
  </si>
  <si>
    <t>COST</t>
  </si>
  <si>
    <t>Murree</t>
  </si>
  <si>
    <t>Returned</t>
  </si>
  <si>
    <t>Postex</t>
  </si>
  <si>
    <t>Raza Abbas</t>
  </si>
  <si>
    <t>Matairi</t>
  </si>
  <si>
    <t>Rawalpindi</t>
  </si>
  <si>
    <t>Zeshan niazi Zeshan niazi</t>
  </si>
  <si>
    <t>Lahore</t>
  </si>
  <si>
    <t xml:space="preserve">whatsup </t>
  </si>
  <si>
    <t>Jalees Khan</t>
  </si>
  <si>
    <t>Mailsi</t>
  </si>
  <si>
    <t xml:space="preserve">consignee want open parcel </t>
  </si>
  <si>
    <t>Qasim Jutt</t>
  </si>
  <si>
    <t>Faisalabad</t>
  </si>
  <si>
    <t xml:space="preserve">not ans confirm </t>
  </si>
  <si>
    <t>Hassan Raza</t>
  </si>
  <si>
    <t>Bhera</t>
  </si>
  <si>
    <t xml:space="preserve">confir koi nahi aya </t>
  </si>
  <si>
    <t>Arslan Nawaz</t>
  </si>
  <si>
    <t xml:space="preserve">confirm on wp  open to allow </t>
  </si>
  <si>
    <t>IN</t>
  </si>
  <si>
    <t>OUT</t>
  </si>
  <si>
    <t>Averages</t>
  </si>
  <si>
    <t>Totals</t>
  </si>
  <si>
    <t xml:space="preserve">Dates </t>
  </si>
  <si>
    <t>AOV</t>
  </si>
  <si>
    <t xml:space="preserve">Delivered sale </t>
  </si>
  <si>
    <t>CGS</t>
  </si>
  <si>
    <t>CGS %</t>
  </si>
  <si>
    <t>-4% tax</t>
  </si>
  <si>
    <t>TAX Paid</t>
  </si>
  <si>
    <t>Gross Profit</t>
  </si>
  <si>
    <t>Mar %</t>
  </si>
  <si>
    <t>Marketing 10% tax</t>
  </si>
  <si>
    <t>Tiktok marketing</t>
  </si>
  <si>
    <t>est courier (200 x total parcel dispatch</t>
  </si>
  <si>
    <t>Actual exp + tax</t>
  </si>
  <si>
    <t>PNL (Day vise)</t>
  </si>
  <si>
    <t>Del%</t>
  </si>
  <si>
    <t>ROAS(meta)</t>
  </si>
  <si>
    <t>CPA AVG (mar/landed orders)</t>
  </si>
  <si>
    <t>Net CPA AVG(after cancelations)</t>
  </si>
  <si>
    <t>Landed orders</t>
  </si>
  <si>
    <t>Cancelations</t>
  </si>
  <si>
    <t>cal %</t>
  </si>
  <si>
    <t>Pending</t>
  </si>
  <si>
    <t xml:space="preserve">Total Dipatched </t>
  </si>
  <si>
    <t>Dis %</t>
  </si>
  <si>
    <t>Delivered</t>
  </si>
  <si>
    <t>Restocked</t>
  </si>
  <si>
    <t>Intransit</t>
  </si>
  <si>
    <t>Fake Return</t>
  </si>
  <si>
    <t>without tracking id</t>
  </si>
  <si>
    <t xml:space="preserve">payment paid </t>
  </si>
  <si>
    <t>Diff correction</t>
  </si>
  <si>
    <t>Refrance Number that have diff</t>
  </si>
  <si>
    <t>Unsorted Tracking IDs</t>
  </si>
  <si>
    <t>Delivered (payment pending)</t>
  </si>
  <si>
    <t>Performance</t>
  </si>
  <si>
    <t>CAL%</t>
  </si>
  <si>
    <t>mar%</t>
  </si>
  <si>
    <t>profit</t>
  </si>
  <si>
    <t>21-31</t>
  </si>
  <si>
    <t>%</t>
  </si>
  <si>
    <t>Delivered sale</t>
  </si>
  <si>
    <t xml:space="preserve">Delivered Sale </t>
  </si>
  <si>
    <t xml:space="preserve">cgs </t>
  </si>
  <si>
    <t>MAR %</t>
  </si>
  <si>
    <t>Can %</t>
  </si>
  <si>
    <t>Dis%</t>
  </si>
  <si>
    <t xml:space="preserve">intransit </t>
  </si>
  <si>
    <t>Blacklisted Tracking Numbers</t>
  </si>
  <si>
    <t>Date Added</t>
  </si>
  <si>
    <t>Refrance Number</t>
  </si>
  <si>
    <t>Items Count</t>
  </si>
  <si>
    <t>Notes</t>
  </si>
  <si>
    <t>Product Titles</t>
  </si>
  <si>
    <t>Payment Status</t>
  </si>
  <si>
    <t>Weight</t>
  </si>
  <si>
    <t>Cost</t>
  </si>
  <si>
    <t>PostEx Weight</t>
  </si>
  <si>
    <t>Weight Check</t>
  </si>
  <si>
    <t>Payment Ref</t>
  </si>
  <si>
    <t>Payment Date</t>
  </si>
  <si>
    <t>Courier Fee</t>
  </si>
  <si>
    <t>Status Date</t>
  </si>
  <si>
    <t>Timestamp</t>
  </si>
  <si>
    <t>P&amp;L Date</t>
  </si>
  <si>
    <t>Order Source</t>
  </si>
  <si>
    <t>TR26554</t>
  </si>
  <si>
    <t>Bin Yameen Baloch</t>
  </si>
  <si>
    <t>Dupty Commisinor office dera Allah yr Jaffarabad  balochistan Jaffarabad balochistan</t>
  </si>
  <si>
    <t>Jaffarabad balochistan</t>
  </si>
  <si>
    <t>allow to open
 | ↩️ Return Charged: 2025-12-12 | Fee: 213</t>
  </si>
  <si>
    <t>Return Received</t>
  </si>
  <si>
    <t>CPR-DX3ZF222814</t>
  </si>
  <si>
    <t>TR26555</t>
  </si>
  <si>
    <t>Naseer Khan Naseer Khan</t>
  </si>
  <si>
    <t>+923295560739</t>
  </si>
  <si>
    <t>Chak no 39 nb Sargodha       Al fareed garden Sargodha</t>
  </si>
  <si>
    <t>Sargodha</t>
  </si>
  <si>
    <t>Paid</t>
  </si>
  <si>
    <t>CPR-05B14695595</t>
  </si>
  <si>
    <t>TR26556</t>
  </si>
  <si>
    <t>Abdullah Alvi</t>
  </si>
  <si>
    <t>Tajpura Scheme 422/A D Block Lahore Lahore</t>
  </si>
  <si>
    <t>i order a hoodie from your website by mistake plz Cancel my order now</t>
  </si>
  <si>
    <t>Cancelled</t>
  </si>
  <si>
    <t>TR26557</t>
  </si>
  <si>
    <t>Muhammad Ali Muhammad Ali</t>
  </si>
  <si>
    <t>+923209820409</t>
  </si>
  <si>
    <t>kahuta AK mall Phone City kahuta Kahuta</t>
  </si>
  <si>
    <t>Kahuta</t>
  </si>
  <si>
    <t>cancel 2 din ma chaiya</t>
  </si>
  <si>
    <t>TR26558</t>
  </si>
  <si>
    <t>Rao Muhammad Noman</t>
  </si>
  <si>
    <t>House#c255 Street#9 Darul Salam Society Opposite Indus Hospital Korangi Korangi Karachi</t>
  </si>
  <si>
    <t>Korangi Karachi</t>
  </si>
  <si>
    <t>Adi- Hoodie - M / Black (x1), Adi- Hoodie - M / White (x1)</t>
  </si>
  <si>
    <t>CPR-AN2TU282448</t>
  </si>
  <si>
    <t>TR26559</t>
  </si>
  <si>
    <t>Atisham Raja</t>
  </si>
  <si>
    <t>Mohsin general stor  P/o Sarsawa Tehsil And Distric Kotli Ak Kotli</t>
  </si>
  <si>
    <t>Kotli</t>
  </si>
  <si>
    <t xml:space="preserve">
 | ↩️ Return Charged: 2025-12-09 | Fee: 213</t>
  </si>
  <si>
    <t>CPR-S1FXP178826</t>
  </si>
  <si>
    <t>TR26560</t>
  </si>
  <si>
    <t>Nosherwan Tahir</t>
  </si>
  <si>
    <t>Nigehban pura b block street #1 house # 1172 fsd Faisalabad</t>
  </si>
  <si>
    <t>TR26561</t>
  </si>
  <si>
    <t>Jahangeer Khan</t>
  </si>
  <si>
    <t>House No 257, Sec B/4, Akhtar Colony KHI Karachi</t>
  </si>
  <si>
    <t>Karachi</t>
  </si>
  <si>
    <t>open to allow
 | ↩️ Return Charged: 2025-12-09 | Fee: 213</t>
  </si>
  <si>
    <t>TR26562</t>
  </si>
  <si>
    <t>Asad Sohrani</t>
  </si>
  <si>
    <t>Muzaffargarh Check Qureshi</t>
  </si>
  <si>
    <t>Check Qureshi</t>
  </si>
  <si>
    <t>tcs</t>
  </si>
  <si>
    <t>Adi- Hoodie - M / Black (x1)</t>
  </si>
  <si>
    <t>TCS</t>
  </si>
  <si>
    <t>INV-250072</t>
  </si>
  <si>
    <t>TR26563</t>
  </si>
  <si>
    <t>Amir Iqbal</t>
  </si>
  <si>
    <t>Accountant general of pakistan Revenue(AGPR) G-8/4 islamabad Islamabad</t>
  </si>
  <si>
    <t>Islamabad</t>
  </si>
  <si>
    <t>TR26564</t>
  </si>
  <si>
    <t>Muhammad Ali</t>
  </si>
  <si>
    <t>+923440502078</t>
  </si>
  <si>
    <t>CBRN Div SASF Hilal Garrison Sargodha</t>
  </si>
  <si>
    <t>ok</t>
  </si>
  <si>
    <t>Adi- Hoodie - XL / Black (x1)</t>
  </si>
  <si>
    <t>TR26565</t>
  </si>
  <si>
    <t>Shahrukh Mukhtar</t>
  </si>
  <si>
    <t>E-241 Street 4 Phase 5 Dha Lahore</t>
  </si>
  <si>
    <t>TR26566</t>
  </si>
  <si>
    <t>Mujaddid Hayat</t>
  </si>
  <si>
    <t>House 112, Street 6, Media Town Block B Rawalpindi</t>
  </si>
  <si>
    <t>Adi- Hoodie - L / Black (x1)</t>
  </si>
  <si>
    <t>TR26567</t>
  </si>
  <si>
    <t>Hamdan Ali</t>
  </si>
  <si>
    <t>Hindu Muhalla Near Gurdwara Kashmore Kashmore</t>
  </si>
  <si>
    <t>Kashmore</t>
  </si>
  <si>
    <t>TR26568</t>
  </si>
  <si>
    <t>Mudassar Hamdani</t>
  </si>
  <si>
    <t>Allied bank Islamic alhadees chowk.khanewal Khanewal</t>
  </si>
  <si>
    <t>Khanewal</t>
  </si>
  <si>
    <t xml:space="preserve">
 | ↩️ Return Charged: 2025-12-09 | Fee: 220</t>
  </si>
  <si>
    <t>TR26569</t>
  </si>
  <si>
    <t>Rana Muneeb</t>
  </si>
  <si>
    <t>534/4 b block Gulshan ravi lahore Lahore</t>
  </si>
  <si>
    <t>Adi- Hoodie - 2xl / Black (x1), Adi- Hoodie - 2xl / White (x1)</t>
  </si>
  <si>
    <t>TR26570</t>
  </si>
  <si>
    <t>Faris Khan</t>
  </si>
  <si>
    <t>Shah Ghazi Muhala Jacobabad</t>
  </si>
  <si>
    <t>Jacobabad</t>
  </si>
  <si>
    <t>not ans</t>
  </si>
  <si>
    <t>TR26571</t>
  </si>
  <si>
    <t>Rayyan Ahmad</t>
  </si>
  <si>
    <t>Wapda town phase 2 N block house no 246 Multan</t>
  </si>
  <si>
    <t>Multan</t>
  </si>
  <si>
    <t>Athletic dry fit- UA - M / White (x1)</t>
  </si>
  <si>
    <t>TR26572</t>
  </si>
  <si>
    <t>Rana Tariq Anwar</t>
  </si>
  <si>
    <t>30, executive block, Rehman City Mian Channu</t>
  </si>
  <si>
    <t>Mian Channu</t>
  </si>
  <si>
    <t>TR26573</t>
  </si>
  <si>
    <t>Irshad Husain</t>
  </si>
  <si>
    <t>+923133412131</t>
  </si>
  <si>
    <t>Jhang sadar  station chowk toba chowk umer burger resturent Jhang Sadar</t>
  </si>
  <si>
    <t>Jhang Sadar</t>
  </si>
  <si>
    <t>TR26574</t>
  </si>
  <si>
    <t>Asif Ali</t>
  </si>
  <si>
    <t>+923062700079</t>
  </si>
  <si>
    <t>H.no 24 Opposite Moonlight School Kashmiri Colony Nasarpur Road Tando Allahyar Tando Allahyar</t>
  </si>
  <si>
    <t>Tando Allahyar</t>
  </si>
  <si>
    <t>Adi- Hoodie - 2xl / Black (x1)</t>
  </si>
  <si>
    <t>TR26575</t>
  </si>
  <si>
    <t>Abid Yaqoob</t>
  </si>
  <si>
    <t>Official colony near tehsil and District of karak kpk. Karak</t>
  </si>
  <si>
    <t>Karak</t>
  </si>
  <si>
    <t>ok
 | ↩️ Return Charged: 2025-12-12 | Fee: 227</t>
  </si>
  <si>
    <t>TR26576</t>
  </si>
  <si>
    <t>Abid Ali</t>
  </si>
  <si>
    <t>Street no 6,nagri Abbas shah,near Madina town ,kamoke,pakistan Kamoke</t>
  </si>
  <si>
    <t>Kamoke</t>
  </si>
  <si>
    <t>TR26577</t>
  </si>
  <si>
    <t>Raees Sadaqat</t>
  </si>
  <si>
    <t>+923188843588</t>
  </si>
  <si>
    <t>Scheme 33 superhighway Ali heights C block 2nd floor House 209 Karachi</t>
  </si>
  <si>
    <t>cancel this one</t>
  </si>
  <si>
    <t>TR26578</t>
  </si>
  <si>
    <t>TR26579</t>
  </si>
  <si>
    <t>Mohammad Hassan</t>
  </si>
  <si>
    <t>+923118452010</t>
  </si>
  <si>
    <t>Self collection call courier office near sher ali petrol pump hub chowki Hub</t>
  </si>
  <si>
    <t>Hub</t>
  </si>
  <si>
    <t>allow to open call courier</t>
  </si>
  <si>
    <t>A | X Embroidery LOGO - XL / Mustard (x1)</t>
  </si>
  <si>
    <t>TR26580</t>
  </si>
  <si>
    <t>younis khan</t>
  </si>
  <si>
    <t>Faizan madina masjid dam dastgir shop Jacobabad</t>
  </si>
  <si>
    <t xml:space="preserve">
 | ↩️ Return Charged: 2025-12-09 | Fee: 227</t>
  </si>
  <si>
    <t>TR26581</t>
  </si>
  <si>
    <t>Muhammad Haris</t>
  </si>
  <si>
    <t>+923432159754</t>
  </si>
  <si>
    <t>Khalid traders  Opposite kmc workshop  Nishter Road karachi-74200 Karachi</t>
  </si>
  <si>
    <t>(Premium) Popcorn Polo - L / olive (x1)</t>
  </si>
  <si>
    <t>TR26582</t>
  </si>
  <si>
    <t>Zeeshan hassan Zeeshan hassan</t>
  </si>
  <si>
    <t>Machikay near petrol pump st.no 5 muhalla kot mansab. machikay</t>
  </si>
  <si>
    <t>machikay</t>
  </si>
  <si>
    <t>Embossed NIK-E - L / Black (x1), Embossed NIK-E - L / White (x1)</t>
  </si>
  <si>
    <t>TR26583</t>
  </si>
  <si>
    <t>Malik Saeed</t>
  </si>
  <si>
    <t>Bacha Khan Chowk Loralai Tcs Office Loralai Balochistan</t>
  </si>
  <si>
    <t>Loralai Balochistan</t>
  </si>
  <si>
    <t>confirm  Fake reason diya or ruturn kr diya
 | ↩️ Return Charged: 2025-12-19 | Fee: 213</t>
  </si>
  <si>
    <t>CPR-T4ZJB871627</t>
  </si>
  <si>
    <t>TR26584</t>
  </si>
  <si>
    <t>Abdul Hameed Chaudhary Chaudhary</t>
  </si>
  <si>
    <t>House no R85 abdullah murad housing city near maaz garden shah faisal colony   Karachi Karachi</t>
  </si>
  <si>
    <t>Adi- Hoodie - L / Black (x1), Adi- Hoodie - L / White (x1), NIK- Ref LOGO - M / white (x1), NIK- Ref LOGO - M / black (x1), RL Embossed Hoodie - L / Black (x1)</t>
  </si>
  <si>
    <t>TR26585</t>
  </si>
  <si>
    <t>Ghulam Abbas</t>
  </si>
  <si>
    <t>Smart city Pvt ltd Kala shah Kaku Muridkee Muridkee</t>
  </si>
  <si>
    <t>Muridkee</t>
  </si>
  <si>
    <t>Adi Branded Tracksuit - XL / Black (x1)</t>
  </si>
  <si>
    <t>TR26586</t>
  </si>
  <si>
    <t>M Shafiq M Shafiq</t>
  </si>
  <si>
    <t>+923121499777</t>
  </si>
  <si>
    <t>Kozmetik shop .5 kareem shopping center multan cant multan Multan</t>
  </si>
  <si>
    <t>ADI Multi Ref Stripes - M / White (x1), ADI Multi Ref Stripes - M / Black (x1), Embossed NIK-E - M / White (x1)</t>
  </si>
  <si>
    <t>TR26587</t>
  </si>
  <si>
    <t>Waqar Shah</t>
  </si>
  <si>
    <t>Abrar medical satore maqwal Chowk alipur Alipur</t>
  </si>
  <si>
    <t>Alipur</t>
  </si>
  <si>
    <t xml:space="preserve">
 | ↩️ Return Charged: 2025-12-12 | Fee: 200</t>
  </si>
  <si>
    <t>TR26588</t>
  </si>
  <si>
    <t>ahsan Khan</t>
  </si>
  <si>
    <t>CM-8SHAMSICO-OPERATIVEHOUSINGSOCIETYWIRELESSGATE, karachi Karachi</t>
  </si>
  <si>
    <t>ADI - EMBOSSED LOGO (Cotton) - XL / White (x1), ADI - EMBOSSED LOGO (Cotton) - XL / Olive( Commando Green) (x1), ADI - EMBOSSED LOGO (Cotton) - XL / Black (x1)</t>
  </si>
  <si>
    <t>TR26589</t>
  </si>
  <si>
    <t>Zeeshan Younas</t>
  </si>
  <si>
    <t>Quresh Colony House No 13 Bahawalnagar Bahawalnagar</t>
  </si>
  <si>
    <t>Bahawalnagar</t>
  </si>
  <si>
    <t>TR26590</t>
  </si>
  <si>
    <t>Muhammad Saghir</t>
  </si>
  <si>
    <t>Dominoes plaza Civic Center behria town phase 4 Rawalpindi Rawalpindi</t>
  </si>
  <si>
    <t>TR26591</t>
  </si>
  <si>
    <t>Parvez Juman Dal</t>
  </si>
  <si>
    <t>District Tharparker Tehsil Verawah Village Dotar, Post office Nagarparkar Nagarparkar</t>
  </si>
  <si>
    <t>Nagarparkar</t>
  </si>
  <si>
    <t>no courier availble for delivery</t>
  </si>
  <si>
    <t>TR26592</t>
  </si>
  <si>
    <t>Abdul Basit Chachar</t>
  </si>
  <si>
    <t>Dental Dept: Main Admin block, Taluka hospital Ghotki Ghotki</t>
  </si>
  <si>
    <t>Ghotki</t>
  </si>
  <si>
    <t>LE7522059099</t>
  </si>
  <si>
    <t>Leopards</t>
  </si>
  <si>
    <t>TR26593</t>
  </si>
  <si>
    <t>Jamshed Choudhary</t>
  </si>
  <si>
    <t>Aplus Carwash Northern Bypass Near Faiz E Aam Chowk Multan Multan</t>
  </si>
  <si>
    <t>TR26594</t>
  </si>
  <si>
    <t>Yasir Ali</t>
  </si>
  <si>
    <t>Chungi Chungi</t>
  </si>
  <si>
    <t>Chungi</t>
  </si>
  <si>
    <t>pagal ha</t>
  </si>
  <si>
    <t>TR26595</t>
  </si>
  <si>
    <t>Babar Ali</t>
  </si>
  <si>
    <t>Chak jhumra alfalah college near jinah park Faisalabad</t>
  </si>
  <si>
    <t>LE7522059100</t>
  </si>
  <si>
    <t>TR26596</t>
  </si>
  <si>
    <t>Malik atif ali ali</t>
  </si>
  <si>
    <t>0301 8601111</t>
  </si>
  <si>
    <t>Omer Park House No 26 Sargodha Sargodhs</t>
  </si>
  <si>
    <t>Sargodhs</t>
  </si>
  <si>
    <t>Rs 200 /-
not ans</t>
  </si>
  <si>
    <t>TR26597</t>
  </si>
  <si>
    <t>Hamza Shafi</t>
  </si>
  <si>
    <t>Street#1, House#52-A, Stadium Road Sargodha Sargodha</t>
  </si>
  <si>
    <t>Multi ref PUM-A - 2xl / White (x1), Multi ref PUM-A - 2xl / Black (x1)</t>
  </si>
  <si>
    <t>TR26598</t>
  </si>
  <si>
    <t>Rizwan Ahmed Ahmed</t>
  </si>
  <si>
    <t>+923282392047</t>
  </si>
  <si>
    <t>M.A Jinnah Road Police Headquarter District Mirpurkhas Sindh Mirpurkhas</t>
  </si>
  <si>
    <t>Mirpurkhas</t>
  </si>
  <si>
    <t>TR26599</t>
  </si>
  <si>
    <t>Sana ullah Tareen</t>
  </si>
  <si>
    <t>+923323498760</t>
  </si>
  <si>
    <t>Main sirki road quetta near   Bank Al habib limited Quetta</t>
  </si>
  <si>
    <t>Quetta</t>
  </si>
  <si>
    <t xml:space="preserve">
 | ↩️ Return Charged: 2025-12-16 | Fee: 227</t>
  </si>
  <si>
    <t>CPR-NK7WJ291313</t>
  </si>
  <si>
    <t>TR26600</t>
  </si>
  <si>
    <t>Aamer Iqbal Khan</t>
  </si>
  <si>
    <t>MCB BANK LTD. MCB CENTER, 2ND FLOOR, OPPOSITE ASKARI X, NEAR RANGERS HQ, AIRPORT ACCESS ROAD, CANTT. LAHORE</t>
  </si>
  <si>
    <t>LAHORE</t>
  </si>
  <si>
    <t>TR26601</t>
  </si>
  <si>
    <t>Amjad Hussain</t>
  </si>
  <si>
    <t>+923224050143</t>
  </si>
  <si>
    <t>H # 968, St # 20, Imperial 2, Paragon Lahore Lahore , Punjab Pakistan Lahore</t>
  </si>
  <si>
    <t>27830replacement</t>
  </si>
  <si>
    <t>Adi- Hoodie - XL / White (x1)</t>
  </si>
  <si>
    <t>TR26602</t>
  </si>
  <si>
    <t>Naeem Shakir</t>
  </si>
  <si>
    <t>Kingra More Near Ubl Bank Sialkot</t>
  </si>
  <si>
    <t>Sialkot</t>
  </si>
  <si>
    <t>LE7522059096</t>
  </si>
  <si>
    <t>TR26603</t>
  </si>
  <si>
    <t>Fayaz Soomro</t>
  </si>
  <si>
    <t>House No A 30 phase 2 qasimabad near beacon house school Hyderabad</t>
  </si>
  <si>
    <t>Hyderabad</t>
  </si>
  <si>
    <t>TR26604</t>
  </si>
  <si>
    <t>Irfan Aziz</t>
  </si>
  <si>
    <t>Building 10 Apartment 5c Sector B Askari 11 Lahore</t>
  </si>
  <si>
    <t xml:space="preserve">
 | ↩️ Return Charged: 2025-12-05 | Fee: 107</t>
  </si>
  <si>
    <t>TR26605</t>
  </si>
  <si>
    <t>Tamjeed Butt</t>
  </si>
  <si>
    <t>Mohallah Hussain Pura gali masjid bilal wali Hafizabad</t>
  </si>
  <si>
    <t>Hafizabad</t>
  </si>
  <si>
    <t>LE7522059093</t>
  </si>
  <si>
    <t>TR26606</t>
  </si>
  <si>
    <t>Noman Sajjad</t>
  </si>
  <si>
    <t>Rawal road chah sultan near post office rwp Rawalpindi</t>
  </si>
  <si>
    <t>2 date ko dispatch kerna haa OPEN TO ALLOW
 | ↩️ Return Charged: 2025-12-19 | Fee: 200</t>
  </si>
  <si>
    <t>TR26607</t>
  </si>
  <si>
    <t>Shahzad Nawaz</t>
  </si>
  <si>
    <t>Nazimabad No 4 hadimarket near post office Karachi</t>
  </si>
  <si>
    <t>TR26608</t>
  </si>
  <si>
    <t>Murtaza Jogi</t>
  </si>
  <si>
    <t>Sundar dass general store near H B L bank Kandiro</t>
  </si>
  <si>
    <t>Kandiro</t>
  </si>
  <si>
    <t>TR26609</t>
  </si>
  <si>
    <t>Aafaq Haider</t>
  </si>
  <si>
    <t>+923165572575</t>
  </si>
  <si>
    <t>House no 101, Main Khayaban e Tanveer Chaklala Scheme 3 Rawalpindi Rawalpindi</t>
  </si>
  <si>
    <t>open to allow
 | 💰 COD Rec: 2025-12-02 | Ref: CPR-AN2TU282448 | Amt: 3245</t>
  </si>
  <si>
    <t>Performance Adi Tracksuit - L / Navy (x1)</t>
  </si>
  <si>
    <t>TR26610</t>
  </si>
  <si>
    <t>Muhammad Ajmal</t>
  </si>
  <si>
    <t>+923078131471</t>
  </si>
  <si>
    <t>Lodhran Road adda ustad sharif near ghosia bakery   Kahror Pakka Kahror Pakka</t>
  </si>
  <si>
    <t>Kahror Pakka</t>
  </si>
  <si>
    <t>TR26611</t>
  </si>
  <si>
    <t>Shahid Baig</t>
  </si>
  <si>
    <t>175 Baddar block iqbal town lahore Lahore</t>
  </si>
  <si>
    <t xml:space="preserve">
 | ↩️ Return Charged: 2025-12-09 | Fee: 120</t>
  </si>
  <si>
    <t>TR26612</t>
  </si>
  <si>
    <t>M RAMZAN Zidi</t>
  </si>
  <si>
    <t>+923206830311</t>
  </si>
  <si>
    <t>Fort Abbas gali number 6 ali town Fort Abbas</t>
  </si>
  <si>
    <t>Fort Abbas</t>
  </si>
  <si>
    <t>open to allow
 | ↩️ Return Charged: 2025-12-12 | Fee: 220</t>
  </si>
  <si>
    <t>TR26613</t>
  </si>
  <si>
    <t>Akber Khan</t>
  </si>
  <si>
    <t>+923702088071</t>
  </si>
  <si>
    <t>Shah bander road   memon medical store Chuhar Jamali</t>
  </si>
  <si>
    <t>Chuhar Jamali</t>
  </si>
  <si>
    <t>ok
 | 💰 COD Rec: 2025-12-16 | Ref: CPR-NK7WJ291313 | Amt: 1094</t>
  </si>
  <si>
    <t>ADI - EMBOSSED LOGO (Cotton) - M / Black (x1)</t>
  </si>
  <si>
    <t>TR26614</t>
  </si>
  <si>
    <t>Farhan Noor</t>
  </si>
  <si>
    <t>Ch#12 b sub divisional courts jhika gali murree Murree</t>
  </si>
  <si>
    <t>TR26615</t>
  </si>
  <si>
    <t>Zohaib Mehmood</t>
  </si>
  <si>
    <t>+923132565627</t>
  </si>
  <si>
    <t>Formuli Mallah addah Tehsil Hazro Disstric Attock Attock</t>
  </si>
  <si>
    <t>Attock</t>
  </si>
  <si>
    <t>TR26616</t>
  </si>
  <si>
    <t>Zamn Absss</t>
  </si>
  <si>
    <t>+923237092709</t>
  </si>
  <si>
    <t>Gondal   waqar sweet and baker Sialkot</t>
  </si>
  <si>
    <t>Multi ref PUM-A - XL / White (x1), Multi ref PUM-A - XL / Black (x1), Basic RL Crew- Cotton - XL / Dark grey (x1)</t>
  </si>
  <si>
    <t>TR26617</t>
  </si>
  <si>
    <t>Mohsin Alam</t>
  </si>
  <si>
    <t>House No 76/c Khyaban E Badar Phase 7 Dha Karachi Karachi</t>
  </si>
  <si>
    <t>TR26618</t>
  </si>
  <si>
    <t>Gondal Sialkot</t>
  </si>
  <si>
    <t>combine cancel</t>
  </si>
  <si>
    <t>TR26619</t>
  </si>
  <si>
    <t>orangzaib Khan</t>
  </si>
  <si>
    <t>+923312381283</t>
  </si>
  <si>
    <t>Hyd latifabad uni no 4 bhitai hospital ka back side near Karam mosque ka barber ma banglow ha   block A 75 no house Hyderabad</t>
  </si>
  <si>
    <t>ADI - EMBOSSED LOGO (Cotton) - XL / White (x1)</t>
  </si>
  <si>
    <t>TR26620</t>
  </si>
  <si>
    <t>Haseeb Iqbal</t>
  </si>
  <si>
    <t>134-c-judicial Phase 3 Multan Road Lahore</t>
  </si>
  <si>
    <t>TR26621</t>
  </si>
  <si>
    <t>Murtaza Wassan</t>
  </si>
  <si>
    <t>Jamnadas Colony Wassan House Mirpurkhas Sindh Mirpur Khas</t>
  </si>
  <si>
    <t>Mirpur Khas</t>
  </si>
  <si>
    <t>TR26622</t>
  </si>
  <si>
    <t>M Akhtar</t>
  </si>
  <si>
    <t>Plot 24 sabzazar truck stand bund road Lahore Lahore</t>
  </si>
  <si>
    <t>too late nahi lena
 | ↩️ Return Charged: 2025-12-23 | Fee: 107</t>
  </si>
  <si>
    <t>CPR-MWE6F901193</t>
  </si>
  <si>
    <t>TR26623</t>
  </si>
  <si>
    <t>Muhammad Khan</t>
  </si>
  <si>
    <t>House 408,street no 3,sector f8,phase 6 hayatabad Peshawar</t>
  </si>
  <si>
    <t>Peshawar</t>
  </si>
  <si>
    <t>Adi Branded Tracksuit - M / Black (x1)</t>
  </si>
  <si>
    <t>TR26624</t>
  </si>
  <si>
    <t>Abdul Rehman Mughal</t>
  </si>
  <si>
    <t>+923458941554</t>
  </si>
  <si>
    <t>Assistant Registrar High Court Of Azad Kashmir Muzaffarabad Muzaffarabad</t>
  </si>
  <si>
    <t>Muzaffarabad</t>
  </si>
  <si>
    <t>TR26625</t>
  </si>
  <si>
    <t>TR26626</t>
  </si>
  <si>
    <t>Assistant Registrar High Court muzaffarabad azad kashmir Muzaffarabad</t>
  </si>
  <si>
    <t>TR26627</t>
  </si>
  <si>
    <t>Sohail Ahmad</t>
  </si>
  <si>
    <t>Timergara dir (lower) Timergara.</t>
  </si>
  <si>
    <t>Timergara.</t>
  </si>
  <si>
    <t>LE7522078371</t>
  </si>
  <si>
    <t>tcs /lcs office</t>
  </si>
  <si>
    <t>NIK- Ref LOGO - L / white (x1), NIK- Ref LOGO - M / black (x1)</t>
  </si>
  <si>
    <t>TR26628</t>
  </si>
  <si>
    <t>Abdullah Khan</t>
  </si>
  <si>
    <t>+923369595369</t>
  </si>
  <si>
    <t>Haji umar khan electronic bangash market sadda discrt kurram (tall) Other</t>
  </si>
  <si>
    <t>Other</t>
  </si>
  <si>
    <t>LE7522307136</t>
  </si>
  <si>
    <t>is na whatup per location share ki haa wo dekh laa</t>
  </si>
  <si>
    <t>INV-253086</t>
  </si>
  <si>
    <t>TR26629</t>
  </si>
  <si>
    <t>Abdurrehman Haris</t>
  </si>
  <si>
    <t>Citi pharmacy tench bhatta akhri stop Rawalpindi</t>
  </si>
  <si>
    <t>Adi Branded Tracksuit - L / Black (x1)</t>
  </si>
  <si>
    <t>TR26630</t>
  </si>
  <si>
    <t>Bashir Ahmed</t>
  </si>
  <si>
    <t>+923337801474</t>
  </si>
  <si>
    <t>Valencia town H1-210 Lahore</t>
  </si>
  <si>
    <t>TR26631</t>
  </si>
  <si>
    <t>Ahmad Abbas Abbas</t>
  </si>
  <si>
    <t>House No IH 840 (A.f.o.h.s  Falcon Complex) New Malir  Second Roundabout Right Side Second House IH 840 Must be Call on Number first before Reach Delivery location. karachi</t>
  </si>
  <si>
    <t>karachi</t>
  </si>
  <si>
    <t>Adi Branded Tracksuit - L / Black (x1), A | X Embroidery LOGO - M / Black (x1)</t>
  </si>
  <si>
    <t>TR26632</t>
  </si>
  <si>
    <t>Waqas Hussain</t>
  </si>
  <si>
    <t>Bar Association Sarai Alamgir Jhelum</t>
  </si>
  <si>
    <t>Jhelum</t>
  </si>
  <si>
    <t>TR26633</t>
  </si>
  <si>
    <t>Rehman Raza</t>
  </si>
  <si>
    <t>Sangla hill raiwala st no 2 Near frichikes Sanglahill</t>
  </si>
  <si>
    <t>Sanglahill</t>
  </si>
  <si>
    <t>TR26634</t>
  </si>
  <si>
    <t>Zeeshan Butt</t>
  </si>
  <si>
    <t>Pak Kashmir hostel near PSO pump ,Qandeel colony road Bagg Bagh</t>
  </si>
  <si>
    <t>Bagh</t>
  </si>
  <si>
    <t>TR26635</t>
  </si>
  <si>
    <t>Uzair Meer</t>
  </si>
  <si>
    <t>+923204880499</t>
  </si>
  <si>
    <t>Hal Rd Arif centre 1st Foor Shop #2 Anwa-e-Madeena Lahore</t>
  </si>
  <si>
    <t>200 DC Azeem</t>
  </si>
  <si>
    <t>Performance UA Tracksuit - M / Navy (x1)</t>
  </si>
  <si>
    <t>Home</t>
  </si>
  <si>
    <t>TR26636</t>
  </si>
  <si>
    <t>Mujahid Butt</t>
  </si>
  <si>
    <t>+923134892482</t>
  </si>
  <si>
    <t>near Kisan Ghee  Akbari Mandi, Mohalla Takia Sadhu Walled City of Lahore, Lahore Lahore</t>
  </si>
  <si>
    <t>size issue / nhi lyna muja</t>
  </si>
  <si>
    <t>TR26637</t>
  </si>
  <si>
    <t>Istehsan Mughal</t>
  </si>
  <si>
    <t>House 273 Block M7B Street 15 Lake city Lahore</t>
  </si>
  <si>
    <t>TR26638</t>
  </si>
  <si>
    <t>Sulman attari</t>
  </si>
  <si>
    <t>+923094512641</t>
  </si>
  <si>
    <t>Kot meer baz khan  near bilala musjid Kasur</t>
  </si>
  <si>
    <t>Kasur</t>
  </si>
  <si>
    <t>ok
 | 💰 COD Rec: 2025-12-02 | Ref: CPR-AN2TU282448 | Amt: 4595</t>
  </si>
  <si>
    <t>TR26639</t>
  </si>
  <si>
    <t>M khan</t>
  </si>
  <si>
    <t>Malik Market Shahrah Quaid E Azam Shop No 4 Rahwali Gujranwala Cantt Gujranwala</t>
  </si>
  <si>
    <t>Gujranwala</t>
  </si>
  <si>
    <t>fake attempt rider na rabta nahi kiya
 | ↩️ Return Charged: 2025-12-09 | Fee: 200</t>
  </si>
  <si>
    <t>TR26640</t>
  </si>
  <si>
    <t>Mohalla Alli Jah, Street On 9, Butt Karyana Store left house Brown gate, Attock City. Attock</t>
  </si>
  <si>
    <t>TR26641</t>
  </si>
  <si>
    <t>Ali Humayun</t>
  </si>
  <si>
    <t>+923214324088</t>
  </si>
  <si>
    <t>Building num 1 flat B  Askari 10 lahore Lahore</t>
  </si>
  <si>
    <t>A | X Embroidery LOGO - XL / Maroon (x1), A | X Embroidery LOGO - XL / Navy (x1), Tipping Crew - XL / Black (x1), Tipping Crew - XL / White (x1)</t>
  </si>
  <si>
    <t>TR26642</t>
  </si>
  <si>
    <t>Kamran Ali</t>
  </si>
  <si>
    <t>+923322278025</t>
  </si>
  <si>
    <t>House No 1/5 All Badar Society Near Shamsi Hospital Malir Halt Karachi, House Ground Floor Karachi</t>
  </si>
  <si>
    <t>A | X Embroidery LOGO - 3XL / Grey (x1)</t>
  </si>
  <si>
    <t>TR26643</t>
  </si>
  <si>
    <t>Nadir Ali Nadir Ali</t>
  </si>
  <si>
    <t>+923053745826</t>
  </si>
  <si>
    <t>62 Ad Bde wksp coy eme Multan centt multan cantt</t>
  </si>
  <si>
    <t>multan cantt</t>
  </si>
  <si>
    <t xml:space="preserve">
 | ↩️ Return Charged: 2025-12-09 | Fee: 200</t>
  </si>
  <si>
    <t>TR26644</t>
  </si>
  <si>
    <t>Nabeel Khan</t>
  </si>
  <si>
    <t>Ghouri Town Phase 4B street No 12 House No 337 Islamabad</t>
  </si>
  <si>
    <t>TR26645</t>
  </si>
  <si>
    <t>Akhtar Rasool</t>
  </si>
  <si>
    <t>42 sarwar road Lahore cantonment board Lahore</t>
  </si>
  <si>
    <t>ma available nahi hoo is liya cancel
 | ↩️ Return Charged: 2025-12-09 | Fee: 107</t>
  </si>
  <si>
    <t>TR26646</t>
  </si>
  <si>
    <t>Usama ALiii</t>
  </si>
  <si>
    <t>TCS office cricket stadium road Pano akil Pano Akil</t>
  </si>
  <si>
    <t>Pano Akil</t>
  </si>
  <si>
    <t>TR26647</t>
  </si>
  <si>
    <t>Adil Murad Adil Murad</t>
  </si>
  <si>
    <t>Delhi Muslim Society House Num G 87 Musjid Ibrahim 100Ft Road Iba Sukkur sukkur</t>
  </si>
  <si>
    <t>sukkur</t>
  </si>
  <si>
    <t>ok allow to open</t>
  </si>
  <si>
    <t>A | X Embroidery LOGO - L / Zinc Blue (x1), A | X Embroidery LOGO - L / Olive (x1), A | X Embroidery LOGO - XL / Olive (x1), A | X Embroidery LOGO - XL / Maroon (x1)</t>
  </si>
  <si>
    <t>TR26648</t>
  </si>
  <si>
    <t>hamza khakwani</t>
  </si>
  <si>
    <t>958b-al Qasim Katchery Road Near Tcs Head Office Multan Multan</t>
  </si>
  <si>
    <t>TR26649</t>
  </si>
  <si>
    <t>Mirza Mazhar Mirza</t>
  </si>
  <si>
    <t>New Chaudhary colony street no 6 Faisalabad road okara Okara</t>
  </si>
  <si>
    <t>Okara</t>
  </si>
  <si>
    <t xml:space="preserve">
 | ↩️ Return Charged: 2025-12-05 | Fee: 220</t>
  </si>
  <si>
    <t>TR26650</t>
  </si>
  <si>
    <t>Talha Ramzan</t>
  </si>
  <si>
    <t>Rania Height A Block, 514 Flat, Zaraj Housing Society. Rawalpimdi</t>
  </si>
  <si>
    <t>Rawalpimdi</t>
  </si>
  <si>
    <t>LE7522160156</t>
  </si>
  <si>
    <t>leopard
 | 💰 COD Rec:  | Ref:  | Amt: 3045</t>
  </si>
  <si>
    <t>Multi ref PUM-A - XL / White (x1), Multi ref PUM-A - XL / Black (x1)</t>
  </si>
  <si>
    <t>TR26651</t>
  </si>
  <si>
    <t>Hussain Ashraf</t>
  </si>
  <si>
    <t>Street no 1 house no 3 rawal town Islamabad Islamabad</t>
  </si>
  <si>
    <t>TR26652</t>
  </si>
  <si>
    <t>Adnan Maluk</t>
  </si>
  <si>
    <t>H.No:- 24/C, CIVIL QUARTER KOHAT ROAD PESHAWAR Peshawar</t>
  </si>
  <si>
    <t>Adi- Hoodie - XL / Black (x1), Adi- Hoodie - XL / White (x1)</t>
  </si>
  <si>
    <t>TR26653</t>
  </si>
  <si>
    <t>Tariq Aziz</t>
  </si>
  <si>
    <t>House No. 89 A-2, Khalid Road, D I Khan Cantt, D I Khan Dera Ismail Khan</t>
  </si>
  <si>
    <t>Dera Ismail Khan</t>
  </si>
  <si>
    <t>TR26654</t>
  </si>
  <si>
    <t>MUHAMMAD ZUBAIR IDREES</t>
  </si>
  <si>
    <t>5-C,GULBARG COLONY NO.2,MUHALA GURUNAKPURA Faisalabad</t>
  </si>
  <si>
    <t>CONSIGNE NEED OPEN PARCEL
 | ↩️ Return Charged: 2025-12-12 | Fee: 200</t>
  </si>
  <si>
    <t>TR26655</t>
  </si>
  <si>
    <t>Masooma ameen</t>
  </si>
  <si>
    <t>R.36 gulzare ibraheem jamia millia road near meezan bank malir Khi</t>
  </si>
  <si>
    <t>Khi</t>
  </si>
  <si>
    <t>Tipping Crew - XL / Black (x1), Tipping Crew - XL / White (x1)</t>
  </si>
  <si>
    <t>TR26656</t>
  </si>
  <si>
    <t>Waheed HK</t>
  </si>
  <si>
    <t>Pishtakhra thana waliabad cricket stiduim alimashik public school Peshawar</t>
  </si>
  <si>
    <t>TR26657</t>
  </si>
  <si>
    <t>Abid Kharal from kamalia</t>
  </si>
  <si>
    <t>Dr. Farah Naz Hospital Zeshan Colony Kamalia Kamalia</t>
  </si>
  <si>
    <t>Kamalia</t>
  </si>
  <si>
    <t>TR26658</t>
  </si>
  <si>
    <t>Muhammad waqas</t>
  </si>
  <si>
    <t>House No 81b Street No 2 Koh E Noor Housing Scheme Qainchi Amer Sadhu Lahore Lahore</t>
  </si>
  <si>
    <t>TR26659</t>
  </si>
  <si>
    <t>Rizwan Manzoor</t>
  </si>
  <si>
    <t>New Rizwan Spray Center Chaman Bazar Haroon Abad Haroonabad</t>
  </si>
  <si>
    <t>Haroonabad</t>
  </si>
  <si>
    <t>TR26660</t>
  </si>
  <si>
    <t>Mohammad Ali Soomro</t>
  </si>
  <si>
    <t>+923123987078</t>
  </si>
  <si>
    <t>Madina colony  Atta turk road near ANIMAL'S hospital larkana Larkana</t>
  </si>
  <si>
    <t>Larkana</t>
  </si>
  <si>
    <t>Adi- Hoodie - M / White (x1)</t>
  </si>
  <si>
    <t>TR26661</t>
  </si>
  <si>
    <t>Hammad Rashid</t>
  </si>
  <si>
    <t>House no 78/ A street no 5 Opposite Ayesha Degree collage Timber market ravi road Lahore</t>
  </si>
  <si>
    <t>TR26662</t>
  </si>
  <si>
    <t>Muhammd Junaid</t>
  </si>
  <si>
    <t>+923166661947</t>
  </si>
  <si>
    <t>Kaak Bungalow, Bismillaha masjid Vali gali Mirpur Khas</t>
  </si>
  <si>
    <t xml:space="preserve">
 | ↩️ Return Charged: 2025-12-12 | Fee: 320</t>
  </si>
  <si>
    <t>TR26663</t>
  </si>
  <si>
    <t>Mutee Chaudhary</t>
  </si>
  <si>
    <t>No 106-housing Colony 2 Block A House Layyah</t>
  </si>
  <si>
    <t>Layyah</t>
  </si>
  <si>
    <t>SIZE LARGE KI JAGGHA MEDIUM THA IS MA
 | ↩️ Return Charged: 2025-12-12 | Fee: 220</t>
  </si>
  <si>
    <t>TR26664</t>
  </si>
  <si>
    <t>Shahid afzal Shahid afzal</t>
  </si>
  <si>
    <t>Adda satiana banglow lahori dahibahlly jarwala Faisalabad</t>
  </si>
  <si>
    <t>A | X Embroidery LOGO - XL / Grey (x1)</t>
  </si>
  <si>
    <t>TR26665</t>
  </si>
  <si>
    <t>Zaid Muhmmad Amin</t>
  </si>
  <si>
    <t>House no 10 block 7/E muhammad ali society karachi, Karachi Karachi</t>
  </si>
  <si>
    <t>TR26666</t>
  </si>
  <si>
    <t>Dr  Nabeel Akbar Chaudhry</t>
  </si>
  <si>
    <t>Angiography Department, Punjab Institute Of Cardiology,jail Road Lahore</t>
  </si>
  <si>
    <t>TR26667</t>
  </si>
  <si>
    <t>Shafiq Khan</t>
  </si>
  <si>
    <t>Housenumber 518-peshawarhayatabadphase6f 10 Street22 Peshawar</t>
  </si>
  <si>
    <t>ADI - EMBOSSED LOGO (Cotton) - M / Grey (x1)</t>
  </si>
  <si>
    <t>TR26668</t>
  </si>
  <si>
    <t>Annas Islam</t>
  </si>
  <si>
    <t>Soldier Bazaar No 3, Near Fatimiyah Hospital Al-Zia Colony Britto Road Garden East, Karachi Karachi</t>
  </si>
  <si>
    <t>TR26669</t>
  </si>
  <si>
    <t>UZAIR HUSSAIN SIDDIQUI SIDDIQUI</t>
  </si>
  <si>
    <t>Flat # B-210, Zeena 2, Block D-3, Saima Arabian Villas, North Karachi Karachi</t>
  </si>
  <si>
    <t>TR26670</t>
  </si>
  <si>
    <t>Biya Jee Bands</t>
  </si>
  <si>
    <t>Allah wasaiya chowk near pso pump ampala housing society house num 24 multan biya jee brands Multan</t>
  </si>
  <si>
    <t>Ji ma ghr nhi thi
 | ↩️ Return Charged: 2025-12-12 | Fee: 220</t>
  </si>
  <si>
    <t>TR26671</t>
  </si>
  <si>
    <t>Bilal Iftikhar</t>
  </si>
  <si>
    <t>Shop no 23 Chaudhry plaza hajipura road Sialkot Sialkot</t>
  </si>
  <si>
    <t>TR26672</t>
  </si>
  <si>
    <t>Sadiq Ali</t>
  </si>
  <si>
    <t>Hijrat Colony st No 34 Azlan mobile shop near Bab hotel Karachi</t>
  </si>
  <si>
    <t>TR26673</t>
  </si>
  <si>
    <t>Qadeer Ali</t>
  </si>
  <si>
    <t>Service mor near kharachi briyan Abdullah santer first floor Gujrat t Gujrat Gujrat</t>
  </si>
  <si>
    <t>Gujrat</t>
  </si>
  <si>
    <t>Adi- Hoodie - L / Black (x1), Adi- Hoodie - L / White (x1)</t>
  </si>
  <si>
    <t>TR26674</t>
  </si>
  <si>
    <t>Muhammad Haseeb Ali Khan</t>
  </si>
  <si>
    <t>Quaid commercial near eiffel tower Bahria Town Lahore</t>
  </si>
  <si>
    <t>TR26675</t>
  </si>
  <si>
    <t>Wasia Qureshi</t>
  </si>
  <si>
    <t>Blue sky residency block h north nazimabad Karachi 10th floor 1008 Karachi</t>
  </si>
  <si>
    <t xml:space="preserve">
 | ↩️ Return Charged: 2025-12-16 | Fee: 213</t>
  </si>
  <si>
    <t>TR26676</t>
  </si>
  <si>
    <t>danish Afridi</t>
  </si>
  <si>
    <t>saima brige view bord office plz note shop timing 2.00.pm Karachi</t>
  </si>
  <si>
    <t>TR26677</t>
  </si>
  <si>
    <t>Saqib Zia</t>
  </si>
  <si>
    <t>Alquresh phatak Fez 2 Sher shah road Multan</t>
  </si>
  <si>
    <t>too late
 | ↩️ Return Charged: 2025-12-23 | Fee: 220</t>
  </si>
  <si>
    <t>TR26678</t>
  </si>
  <si>
    <t>Zohaib Khan</t>
  </si>
  <si>
    <t>Kot doulat zai garhi kapura mardan Mardan</t>
  </si>
  <si>
    <t>Mardan</t>
  </si>
  <si>
    <t>TR26679</t>
  </si>
  <si>
    <t>Malik Ayub</t>
  </si>
  <si>
    <t>Band road multani gate bwpur Bahawalpur</t>
  </si>
  <si>
    <t>Bahawalpur</t>
  </si>
  <si>
    <t>aloow to open
 | ↩️ Return Charged: 2025-12-12 | Fee: 220</t>
  </si>
  <si>
    <t>TR26680</t>
  </si>
  <si>
    <t>Basharat Ali</t>
  </si>
  <si>
    <t>+923004731812</t>
  </si>
  <si>
    <t>Etihad Pharma 9.5 km Lahore - Sheikhupura - Faisalabad Rd Lahore</t>
  </si>
  <si>
    <t>Adi Branded Tracksuit - XL / Black (x1), Embossed NIK-E - XL / Black (x1), Embossed NIK-E - XL / White (x1)</t>
  </si>
  <si>
    <t>TR26681</t>
  </si>
  <si>
    <t>Salman Kapur</t>
  </si>
  <si>
    <t>233-aziz Shaheed Road Sialkot</t>
  </si>
  <si>
    <t xml:space="preserve">
 | ↩️ Return Charged: 2025-12-12 | Fee: 220</t>
  </si>
  <si>
    <t>TR26682</t>
  </si>
  <si>
    <t>Ubaid Minhas</t>
  </si>
  <si>
    <t>Farooq Town Street No 8 sarai alamgir Sarai Alamgir</t>
  </si>
  <si>
    <t>Sarai Alamgir</t>
  </si>
  <si>
    <t>TR26683</t>
  </si>
  <si>
    <t>Nawaz Khan</t>
  </si>
  <si>
    <t>Adi- Hoodie - M / Black (x1), NIK- Ref LOGO - M / white (x1), NIK- Ref LOGO - M / black (x1)</t>
  </si>
  <si>
    <t>TR26684</t>
  </si>
  <si>
    <t>Syed Imam Hyder Shah</t>
  </si>
  <si>
    <t>Algafar View 3rd Flor Noor Shah Colony Near Tamachi Masjid Mirpurkhas Sindh Mirpur Khas</t>
  </si>
  <si>
    <t>TR26685</t>
  </si>
  <si>
    <t>Rahat Akhter</t>
  </si>
  <si>
    <t>Burnsroad street 1 akbar mansoor mension flat 28 Karachi</t>
  </si>
  <si>
    <t>SIZE NAHI HA SIZE CHOTA HAA
 | ↩️ Return Charged: 2025-12-12 | Fee: 227</t>
  </si>
  <si>
    <t>TR26686</t>
  </si>
  <si>
    <t>Husssain Shah</t>
  </si>
  <si>
    <t>Kazim group airport road street Islam Nagar Rahim Yar Khan</t>
  </si>
  <si>
    <t>Rahim Yar Khan</t>
  </si>
  <si>
    <t>TR26687</t>
  </si>
  <si>
    <t>irfanullah Inayatullah</t>
  </si>
  <si>
    <t>+923489453475</t>
  </si>
  <si>
    <t>Tcs Timergara Shaheed chowk  Village manogai balambat timergara dir lower Timergara</t>
  </si>
  <si>
    <t>Timergara</t>
  </si>
  <si>
    <t>tcs  office sa la loo gaa</t>
  </si>
  <si>
    <t>TR26688</t>
  </si>
  <si>
    <t>Ali Aon</t>
  </si>
  <si>
    <t>+923265683927</t>
  </si>
  <si>
    <t>127 chk bhatti  near  fast  national university  faisalabad road Chiniot</t>
  </si>
  <si>
    <t>Chiniot</t>
  </si>
  <si>
    <t>TR26689</t>
  </si>
  <si>
    <t>Raza changazi</t>
  </si>
  <si>
    <t>Block D, street 1, house no 104/ 15 pano aqil cantonment Pano Aqil Sindh</t>
  </si>
  <si>
    <t>Pano Aqil Sindh</t>
  </si>
  <si>
    <t>TR26690</t>
  </si>
  <si>
    <t>your sincere Kamran Bashir Mughal Mughal</t>
  </si>
  <si>
    <t>H 160 St 3 Gechs A1 Sector Peco Road Township Lahore Lahore</t>
  </si>
  <si>
    <t>TR26691</t>
  </si>
  <si>
    <t>Muhammad hanif Butt</t>
  </si>
  <si>
    <t>+923455472776</t>
  </si>
  <si>
    <t>Hira English language center hall road mirpur Mirpur</t>
  </si>
  <si>
    <t>Mirpur</t>
  </si>
  <si>
    <t>TR26692</t>
  </si>
  <si>
    <t>Hira English language center hall road mirpur 10250</t>
  </si>
  <si>
    <t>TR26693</t>
  </si>
  <si>
    <t>Aqid Jameel</t>
  </si>
  <si>
    <t>+923215982120</t>
  </si>
  <si>
    <t>House no 06 street no 14 Barkat Town Shahdara Lahore Lahore</t>
  </si>
  <si>
    <t>TR26694</t>
  </si>
  <si>
    <t>Rashid khalil</t>
  </si>
  <si>
    <t>Gali mohalla Qasoorian Qila Didar singh Gujranwala Gujranwala</t>
  </si>
  <si>
    <t>TR26695</t>
  </si>
  <si>
    <t>Bilal zulqarnain</t>
  </si>
  <si>
    <t>House No 53-A. G.O.R colony Unit 1 Latifabad Hyderabad</t>
  </si>
  <si>
    <t>TR26696</t>
  </si>
  <si>
    <t>Bilal Anwar</t>
  </si>
  <si>
    <t>Chinnar Photostat and Photographers, Milad Chowk, Khaigala Rawalakot</t>
  </si>
  <si>
    <t>Rawalakot</t>
  </si>
  <si>
    <t>TR26697</t>
  </si>
  <si>
    <t>basit waqar basit waqar</t>
  </si>
  <si>
    <t>suzuki house fakher alam road peshawar cantt peshawar</t>
  </si>
  <si>
    <t>peshawar</t>
  </si>
  <si>
    <t>TR26698</t>
  </si>
  <si>
    <t>Dr.Qaiser Ayyaz Ayyaz</t>
  </si>
  <si>
    <t>Cath lab farooq hospital westwood branch thoker lahore Lahore</t>
  </si>
  <si>
    <t>TR26699</t>
  </si>
  <si>
    <t>Saadat ali Arif</t>
  </si>
  <si>
    <t>Riverwalk building, apartment 9p ground floor in river garden Islamabad</t>
  </si>
  <si>
    <t>TR26700</t>
  </si>
  <si>
    <t>Hamid Ilyas</t>
  </si>
  <si>
    <t>Hno 304 A Street 22 Opposite Pine Park Bahria Springs Bahria Town Phase 7 Rawalpindi</t>
  </si>
  <si>
    <t>ADI - Hoodie (Female) - M / Black (x1)</t>
  </si>
  <si>
    <t>TR26701</t>
  </si>
  <si>
    <t>Muhammad Majid Husnain</t>
  </si>
  <si>
    <t>Govt shehbaz sharif hospital near fawara chowk ghanta ghar Multan Multan. Allow it to open</t>
  </si>
  <si>
    <t>Multan. Allow it to open</t>
  </si>
  <si>
    <t>TR26702</t>
  </si>
  <si>
    <t>Arslan Ahmad</t>
  </si>
  <si>
    <t>Kpk,  district pharpur, kot jai Pharpur</t>
  </si>
  <si>
    <t>Pharpur</t>
  </si>
  <si>
    <t>Paharpur tcs /lcs    not ans</t>
  </si>
  <si>
    <t>TR26703</t>
  </si>
  <si>
    <t>Zeeshan Nasir</t>
  </si>
  <si>
    <t>+923204700441</t>
  </si>
  <si>
    <t>Deen Muhammad colony near railway station raiwind lahore Raiwind</t>
  </si>
  <si>
    <t>Raiwind</t>
  </si>
  <si>
    <t>ok
 | ↩️ Return Charged: 2025-12-12 | Fee: 220</t>
  </si>
  <si>
    <t>TR26704</t>
  </si>
  <si>
    <t>Javed Iqbal</t>
  </si>
  <si>
    <t>190e-model City Phase 1, 208chk Road Faisalabad Faisalabad</t>
  </si>
  <si>
    <t>ADI Multi Ref Stripes - 2XL / White (x1), ADI Multi Ref Stripes - 2XL / Black (x1)</t>
  </si>
  <si>
    <t>TR26705</t>
  </si>
  <si>
    <t>Muhammad Shahrukh Zafar</t>
  </si>
  <si>
    <t>Street# 5 House # 84 Falcon Complex Faisal, Shaheed E Millat Road, Beside The City School Paf Chapter Karachi</t>
  </si>
  <si>
    <t>Jee rider aya thaa.. but return kerwa dea thaa. Delivery was made after 10 days of order. And didn’t need it till then
 | ↩️ Return Charged: 2025-12-19 | Fee: 320</t>
  </si>
  <si>
    <t>TR26706</t>
  </si>
  <si>
    <t>Shobaib Bilal</t>
  </si>
  <si>
    <t>House No 194 Gulshan Mehr Ali Abdulhakim Opposite Cantt Gate Khanewal</t>
  </si>
  <si>
    <t>Tipping Crew - M / Black (x1), Tipping Crew - M / White (x1), (Premium) Popcorn Polo - M / Biscuit (x1), (Premium) Popcorn Polo - M / olive (x1)</t>
  </si>
  <si>
    <t>TR26707</t>
  </si>
  <si>
    <t>Majid Khan</t>
  </si>
  <si>
    <t>Malir landhi cattle colony rod#8 nadeeem abbassi stor KaraChi</t>
  </si>
  <si>
    <t>KaraChi</t>
  </si>
  <si>
    <t>NIK- Ref LOGO - L / white (x1), NIK- Ref LOGO - L / black (x1)</t>
  </si>
  <si>
    <t>TR26708</t>
  </si>
  <si>
    <t>Bint e Mukhtiar</t>
  </si>
  <si>
    <t>Khala but township (KTS), House number S-16, sector #4 , Muhalla Dar-band , District o tehseel Haripur Haripur</t>
  </si>
  <si>
    <t>Haripur</t>
  </si>
  <si>
    <t>mujha koi call nahi ai
 | ↩️ Return Charged: 2025-12-12 | Fee: 213</t>
  </si>
  <si>
    <t>TR26709</t>
  </si>
  <si>
    <t>TR26710</t>
  </si>
  <si>
    <t>Sheraz Ali</t>
  </si>
  <si>
    <t>Training center and school Pakistan Rangers Sindh, near super highway tool plaza karachi Karachi</t>
  </si>
  <si>
    <t>Yes, he came. But I cancelled the order because this order did my buddy and now he told that not need. 
I already bought 1×hoodie last year from this site and also soon 1× more hoodie order.thx
 | ↩️ Return Charged: 2025-12-16 | Fee: 320</t>
  </si>
  <si>
    <t>TR26711</t>
  </si>
  <si>
    <t>Awais Khalid</t>
  </si>
  <si>
    <t>New abadi gohawa badian road lahore cant Lahore</t>
  </si>
  <si>
    <t>NIK- Ref LOGO - XL / white (x1), NIK- Ref LOGO - XL / black (x1)</t>
  </si>
  <si>
    <t>TR26712</t>
  </si>
  <si>
    <t>Muhammad Saleem</t>
  </si>
  <si>
    <t>Khyber Chowk bara Bazar Khyber peshwar Khyber Agency</t>
  </si>
  <si>
    <t>Khyber Agency</t>
  </si>
  <si>
    <t>TR26713</t>
  </si>
  <si>
    <t>Suhaib Sohail</t>
  </si>
  <si>
    <t>+923362749008</t>
  </si>
  <si>
    <t>1st floor, unit B, B-64, Block 3 Gulshan e Iqbal Karachi</t>
  </si>
  <si>
    <t>TR26714</t>
  </si>
  <si>
    <t>Muzamil Hussain</t>
  </si>
  <si>
    <t>+923001815104</t>
  </si>
  <si>
    <t>Distric Mandi Bahauddin Tehsil Malakwal Po Chote Dheeran Malakwal</t>
  </si>
  <si>
    <t>Malakwal</t>
  </si>
  <si>
    <t>bhai cancel ker do mujha receive ho gaya ha</t>
  </si>
  <si>
    <t>TR26715</t>
  </si>
  <si>
    <t>Lahore Shoes Kinnari Bazar Jhelum Jhelum</t>
  </si>
  <si>
    <t>MA AVAIL NAHI THA AP AGAIN BHEJWA DEIN</t>
  </si>
  <si>
    <t>TR26716</t>
  </si>
  <si>
    <t>Farhan Rehmatullah</t>
  </si>
  <si>
    <t>F-71 Hub River Road Site Karachi</t>
  </si>
  <si>
    <t>TR26717</t>
  </si>
  <si>
    <t>Waseem Brohi</t>
  </si>
  <si>
    <t>+923162739729</t>
  </si>
  <si>
    <t>Lucky Pan Shop Near Jhanzaib Hotel Thatta Thatta</t>
  </si>
  <si>
    <t>Thatta</t>
  </si>
  <si>
    <t>A | X Embroidery LOGO - M / Sky (x1)</t>
  </si>
  <si>
    <t>TR26718</t>
  </si>
  <si>
    <t>Naveed Khalid</t>
  </si>
  <si>
    <t>245 E-2 wapda town Lahore</t>
  </si>
  <si>
    <t>TR26719</t>
  </si>
  <si>
    <t>Hassan Sarfraz</t>
  </si>
  <si>
    <t>House no. 5 street 20 sector c dha 1 Rawalpindi</t>
  </si>
  <si>
    <t>(Premium) POLO RL - M / grey (x1)</t>
  </si>
  <si>
    <t>TR26720</t>
  </si>
  <si>
    <t>Zulfiqar Ali</t>
  </si>
  <si>
    <t>Al Rahim society juital gilgit Gilgit</t>
  </si>
  <si>
    <t>Gilgit</t>
  </si>
  <si>
    <t>TR26721</t>
  </si>
  <si>
    <t>Safeer Mahesar</t>
  </si>
  <si>
    <t>Habib medical store near wapda scarp irrigation colony Miro Khan Chowk larkana. Larkana.</t>
  </si>
  <si>
    <t>Larkana.</t>
  </si>
  <si>
    <t>Tipping Crew - L / Black (x1)</t>
  </si>
  <si>
    <t>TR26722</t>
  </si>
  <si>
    <t>Ahsan Aftab</t>
  </si>
  <si>
    <t>Naeer saeedi store Street no 35 Gillani Street Mustafabad Dharampura Lahore Lahore</t>
  </si>
  <si>
    <t>K me 5 bjy free hon ga Then parcel dy mujhy</t>
  </si>
  <si>
    <t>TR26723</t>
  </si>
  <si>
    <t>Tahir Shah</t>
  </si>
  <si>
    <t>+923112633265</t>
  </si>
  <si>
    <t>Korangi no 6 market  parking ma a ker call ker la  karachi Karachi</t>
  </si>
  <si>
    <t xml:space="preserve">
 | ↩️ Return Charged: 2025-12-19 | Fee: 213</t>
  </si>
  <si>
    <t>TR26724</t>
  </si>
  <si>
    <t>Muhammad sabir Sabir</t>
  </si>
  <si>
    <t>House no 469 area T sector 41 A korangi no 2 karachi Karachi</t>
  </si>
  <si>
    <t xml:space="preserve">
 | ↩️ Return Charged: 2025-12-19 | Fee: 227</t>
  </si>
  <si>
    <t>TR26725</t>
  </si>
  <si>
    <t>Malak Haris Awan</t>
  </si>
  <si>
    <t>House # 5583/13 Line # 9/a Rah-e-aman New Lalazar Rawalpindi Cantt Rawalpindi</t>
  </si>
  <si>
    <t xml:space="preserve">
 | ↩️ Return Charged: 2025-12-19 | Fee: 220</t>
  </si>
  <si>
    <t>TR26726</t>
  </si>
  <si>
    <t>AZMAT SHINWARI</t>
  </si>
  <si>
    <t>RACE VIEW FAZAL DIN PHARMACY OPPOSITE SERVICE HOSPITAL JAIL ROAD LAHORE Lahore</t>
  </si>
  <si>
    <t>stuff issue sath ma mana full tracksuit order kiya tha
 | ↩️ Return Charged: 2025-12-09 | Fee: 120</t>
  </si>
  <si>
    <t>TR26727</t>
  </si>
  <si>
    <t>Shoaib Iqbal</t>
  </si>
  <si>
    <t>House Number 1-street 2d Kareem Park Bank Stop Lahore Lahore</t>
  </si>
  <si>
    <t>TR26728</t>
  </si>
  <si>
    <t>Ajmal shabbir Shabbir</t>
  </si>
  <si>
    <t>Tehsil dis chkwal pindi road chkwal Chak bazeed adda Chkwal</t>
  </si>
  <si>
    <t>Chkwal</t>
  </si>
  <si>
    <t>TR26729</t>
  </si>
  <si>
    <t>Murtaza Ali Shigri</t>
  </si>
  <si>
    <t>Street 16, Falcon Complex, Rawalpindi Falcon Complex, Rawalpindi</t>
  </si>
  <si>
    <t>Falcon Complex, Rawalpindi</t>
  </si>
  <si>
    <t>TR26730</t>
  </si>
  <si>
    <t>Dr-Shabir Ahmed</t>
  </si>
  <si>
    <t>Parus Clinic Near Income Tax Office Jiyal Shah Muhala Jacobabad Jacobabad</t>
  </si>
  <si>
    <t>TR26731</t>
  </si>
  <si>
    <t>Waris Iqbal</t>
  </si>
  <si>
    <t>Naseem autos near khushu bagh Skardu Baltistan Skardu</t>
  </si>
  <si>
    <t>Skardu</t>
  </si>
  <si>
    <t>ma islamabad gaya hua tha is liya nahi liya ap reattempt ker do ma receive ker lo gaaaaaa
 | ↩️ Return Charged: 2025-12-16 | Fee: 213</t>
  </si>
  <si>
    <t>TR26732</t>
  </si>
  <si>
    <t>Abubakar Minhas</t>
  </si>
  <si>
    <t>Alfallah Colony B Block Street No 16 House No 59 Near Sewra Chowk Multan Multan</t>
  </si>
  <si>
    <t>TR26733</t>
  </si>
  <si>
    <t>Talha Iqbal</t>
  </si>
  <si>
    <t>Plot 136 , chambelli block sector-C bahria town Lahore</t>
  </si>
  <si>
    <t>TR26734</t>
  </si>
  <si>
    <t>Syed Aizeen shah</t>
  </si>
  <si>
    <t>MJ Tower 4th Floor Flat 403 DHA Phase 7 Extension Near Fatima Masjid Sindh</t>
  </si>
  <si>
    <t>Sindh</t>
  </si>
  <si>
    <t>TR26735</t>
  </si>
  <si>
    <t>Haroon Mansha. Haroon Mansha.</t>
  </si>
  <si>
    <t>P-11 Gulistan Market, Railway Road Faisalabad</t>
  </si>
  <si>
    <t>TR26736</t>
  </si>
  <si>
    <t>Mian Sarwar</t>
  </si>
  <si>
    <t>P 171 dar ul ehsan town sumndry rd Faisalabad</t>
  </si>
  <si>
    <t>NIK- Ref LOGO - 4XL / white (x1), NIK- Ref LOGO - 4XL / black (x1)</t>
  </si>
  <si>
    <t>TR26737</t>
  </si>
  <si>
    <t>Syed tabish ali Syed tabish ali</t>
  </si>
  <si>
    <t>+923158417994</t>
  </si>
  <si>
    <t>House no R 101 Block 20 2nd Floor FB Area karachi behind Edhi center sohrab goth  Karachi Karachi</t>
  </si>
  <si>
    <t>TEXTURE WHITE - 17 (x1), Custom Item (x1)</t>
  </si>
  <si>
    <t>TR26738</t>
  </si>
  <si>
    <t>Muddassir Mahmood</t>
  </si>
  <si>
    <t>+923014404916</t>
  </si>
  <si>
    <t>Roots millennium school E-11/4 Islamabad Islamabad</t>
  </si>
  <si>
    <t>allow to open
 | ↩️ Return Charged: 2025-12-12 | Fee: 200</t>
  </si>
  <si>
    <t>TR26739</t>
  </si>
  <si>
    <t>Hussnain raza</t>
  </si>
  <si>
    <t>+923214844451</t>
  </si>
  <si>
    <t>Hussnain Medicare hospital  101-y-block  Housing colony main road  Sheikhupura Sheikhupura</t>
  </si>
  <si>
    <t>Sheikhupura</t>
  </si>
  <si>
    <t>ADI Multi Ref Stripes - 3XL / White (x1), ADI Multi Ref Stripes - 3XL / Black (x1)</t>
  </si>
  <si>
    <t>TR26740</t>
  </si>
  <si>
    <t>Mohammad Hani</t>
  </si>
  <si>
    <t>+923362270768</t>
  </si>
  <si>
    <t>A4, Shahrukh Appartment, Misquite Road, Garden East Karachi</t>
  </si>
  <si>
    <t>Multi ref PUM-A - XL / Black (x1), Multi ref PUM-A - XL / White (x1)</t>
  </si>
  <si>
    <t>TR26741</t>
  </si>
  <si>
    <t>Imran Khalid</t>
  </si>
  <si>
    <t>H20 Ground floor Al Falah society Old Jamia Millia Road Malir Karachi</t>
  </si>
  <si>
    <t>Basic RL Crew- Cotton - XL / Dark grey (x1)</t>
  </si>
  <si>
    <t>TR26742</t>
  </si>
  <si>
    <t>Muhammad ghani</t>
  </si>
  <si>
    <t>Malakand dargai Dargai</t>
  </si>
  <si>
    <t>Dargai</t>
  </si>
  <si>
    <t>cancel no reason dil nahi ker raha</t>
  </si>
  <si>
    <t>TR26743</t>
  </si>
  <si>
    <t>Muhammad Yaseen</t>
  </si>
  <si>
    <t>Alqaim Dental Clinics G Ali market beside Stars Bakers near Abdullah Hospital Skardu GB Skardu</t>
  </si>
  <si>
    <t>TR26744</t>
  </si>
  <si>
    <t>Ali Shan</t>
  </si>
  <si>
    <t>Plot R114, Alyabad colony federal B area Block 8 karachi Karachi</t>
  </si>
  <si>
    <t>ADI - EMBOSSED LOGO (Cotton) - M / Dark Red(Maroon) (x1), ADI - EMBOSSED LOGO (Cotton) - M / Olive( Commando Green) (x1), ADI - EMBOSSED LOGO (Cotton) - M / Black (x1)</t>
  </si>
  <si>
    <t>TR26745</t>
  </si>
  <si>
    <t>: Adeel ahmad : Adeel ahmad</t>
  </si>
  <si>
    <t>+923290664244</t>
  </si>
  <si>
    <t>Chiniot, sarghodha road nazd  shell petrol pump Chiniot</t>
  </si>
  <si>
    <t>allow to open</t>
  </si>
  <si>
    <t>ADI Multi Ref Stripes - M / White (x1), ADI Multi Ref Stripes - L / Black (x1)</t>
  </si>
  <si>
    <t>TR26746</t>
  </si>
  <si>
    <t>Kot meer baz khan near bilala musjid Kasur , Punjab Kasur</t>
  </si>
  <si>
    <t>28042replacement</t>
  </si>
  <si>
    <t>Adi- Hoodie - L / White (x1)</t>
  </si>
  <si>
    <t>TR26747</t>
  </si>
  <si>
    <t>Tayyab Hameed</t>
  </si>
  <si>
    <t>+923110201511</t>
  </si>
  <si>
    <t xml:space="preserve">Hello House#4 Pips School Street, Nizaam Park Gt Road Muridke  City: Muridke </t>
  </si>
  <si>
    <t xml:space="preserve">Muridke </t>
  </si>
  <si>
    <t>PVT:01</t>
  </si>
  <si>
    <t>27799 exchange at shop
hello</t>
  </si>
  <si>
    <t>SHOP</t>
  </si>
  <si>
    <t>TR26748</t>
  </si>
  <si>
    <t>Khalid Shabbir</t>
  </si>
  <si>
    <t>244-EE St 6 Phase 4 Dha Lahore</t>
  </si>
  <si>
    <t xml:space="preserve">
 | 💰 COD Rec: 2025-12-05 | Ref: CPR-05B14695595 | Amt: 2694</t>
  </si>
  <si>
    <t>TR26749</t>
  </si>
  <si>
    <t>Haseeb Memon Haseeb Memon</t>
  </si>
  <si>
    <t>+923183413153</t>
  </si>
  <si>
    <t>Irfan Tea place Wisrio wahan Phulpoto near Jamia masjid wisrio wahanTherhi Other</t>
  </si>
  <si>
    <t>no courier available for therhi city</t>
  </si>
  <si>
    <t>TR26750</t>
  </si>
  <si>
    <t>Meer Murtaza</t>
  </si>
  <si>
    <t>Naodero chowk larkana furniture house. Allow to open. Larkana</t>
  </si>
  <si>
    <t>allow to open Quality smjh m nh aae mujhe
 | ↩️ Return Charged: 2025-12-16 | Fee: 227</t>
  </si>
  <si>
    <t>TR26751</t>
  </si>
  <si>
    <t>M Moin</t>
  </si>
  <si>
    <t>+923259008712</t>
  </si>
  <si>
    <t>Ghazi hotel Bhuptian pind Lahore Lahore</t>
  </si>
  <si>
    <t>cancel no reason</t>
  </si>
  <si>
    <t>TR26752</t>
  </si>
  <si>
    <t>Ali Khan</t>
  </si>
  <si>
    <t>CA-6, Sector 8-E, Gulzar colony, Korangi Industrial Area, Karachi Karachi</t>
  </si>
  <si>
    <t>Tipping Crew - L / Black (x1), Tipping Crew - L / White (x1), (Premium) POLO TH - M / Chocolate (x1)</t>
  </si>
  <si>
    <t>TR26753</t>
  </si>
  <si>
    <t>Ahmad Saeed</t>
  </si>
  <si>
    <t>Mian House 9-a, West Block, Scheme No-2, Farid Town Sahiwal</t>
  </si>
  <si>
    <t>Sahiwal</t>
  </si>
  <si>
    <t>ADI - EMBOSSED LOGO (Cotton) - L / Black (x1)</t>
  </si>
  <si>
    <t>TR26754</t>
  </si>
  <si>
    <t>Shujaat Aslam Aslam</t>
  </si>
  <si>
    <t>Street no. 4 ward no. 5  jinnah colony shahkot Shahkot</t>
  </si>
  <si>
    <t>Shahkot</t>
  </si>
  <si>
    <t>ADI Ref Stripes - 4XL / White (x1), ADI Ref Stripes - 4XL / Black (x1)</t>
  </si>
  <si>
    <t>TR26755</t>
  </si>
  <si>
    <t>Ali Aslam</t>
  </si>
  <si>
    <t>+923341855462</t>
  </si>
  <si>
    <t>C-388 block 6 federal b area near rangers ground karachi Karachi</t>
  </si>
  <si>
    <t xml:space="preserve">
 | 💰 COD Rec: 2025-12-09 | Ref: CPR-S1FXP178826 | Amt: 4545</t>
  </si>
  <si>
    <t>TR26756</t>
  </si>
  <si>
    <t>Asad Asad</t>
  </si>
  <si>
    <t>House no 51 Dubai chowk Bahawalpur Bahawalpur</t>
  </si>
  <si>
    <t>ma avail nahi tha AP Yi order return na krin. Kal mujhy dy den Yi parcel.
 | ↩️ Return Charged: 2025-12-12 | Fee: 200</t>
  </si>
  <si>
    <t>TR26757</t>
  </si>
  <si>
    <t>Usama sharif</t>
  </si>
  <si>
    <t>Ptcl exchange road hadi town chunian Chunian</t>
  </si>
  <si>
    <t>Chunian</t>
  </si>
  <si>
    <t>not ans whats per boll raha ka ma advance nahi doo ga</t>
  </si>
  <si>
    <t>TR26758</t>
  </si>
  <si>
    <t>Humayoon Siddique</t>
  </si>
  <si>
    <t>Street#07, House#1904, Beside Pso Pump Farooq E Azam Road Shamsabad Rawalpindi</t>
  </si>
  <si>
    <t xml:space="preserve">
 | ↩️ Return Charged: 2025-12-19 | Fee: 200</t>
  </si>
  <si>
    <t>TR26759</t>
  </si>
  <si>
    <t>MUHAMMAD USMAN AHMED</t>
  </si>
  <si>
    <t>Street#5 Jameel town Near rescue1122 sheikhupura Sheikhupura</t>
  </si>
  <si>
    <t>TR26760</t>
  </si>
  <si>
    <t>Raza Ullah</t>
  </si>
  <si>
    <t>+923134290200</t>
  </si>
  <si>
    <t>gate no 1 Jinnah university for women  5C nazimabad Karachi</t>
  </si>
  <si>
    <t>TR26761</t>
  </si>
  <si>
    <t>Abdullah shoaib Shoaib anwer</t>
  </si>
  <si>
    <t>Block 13 Rado livna flat no 711 Karachi</t>
  </si>
  <si>
    <t>TR26762</t>
  </si>
  <si>
    <t>Musammim Magsi</t>
  </si>
  <si>
    <t>Sindh university jamshoro hostel gate boys Jamshoro</t>
  </si>
  <si>
    <t>Jamshoro</t>
  </si>
  <si>
    <t>Performance Adi Tracksuit - M / Navy (x1)</t>
  </si>
  <si>
    <t>TR26763</t>
  </si>
  <si>
    <t>Mehmosh Asad</t>
  </si>
  <si>
    <t>24-a-house 24-a, Shaheen Farms Masjid Street Samly Dam Road Islamabad Bharakahu Islamabad</t>
  </si>
  <si>
    <t>Bharakahu Islamabad</t>
  </si>
  <si>
    <t>TR26764</t>
  </si>
  <si>
    <t>Hijrat Colony st No 34 near Azlan Mobile shop Baba hotel Karachi</t>
  </si>
  <si>
    <t>TR26765</t>
  </si>
  <si>
    <t>Vali Uddin Syed</t>
  </si>
  <si>
    <t>Faysal Bank Limited Khayaban e Shamsheer Branch DHA Phase 5 near Cafe Clifton Karachi Karachi</t>
  </si>
  <si>
    <t>rider issue rider sa baat ho gai haa
 | ↩️ Return Charged: 2025-12-19 | Fee: 227</t>
  </si>
  <si>
    <t>TR26766</t>
  </si>
  <si>
    <t>Muhammad Shafiq</t>
  </si>
  <si>
    <t>Kot amanullah Street no 3 near eid ghah iqra masjed Gojra</t>
  </si>
  <si>
    <t>Gojra</t>
  </si>
  <si>
    <t xml:space="preserve">
 | ↩️ Return Charged: 2025-12-12 | Fee: 407</t>
  </si>
  <si>
    <t>TR26767</t>
  </si>
  <si>
    <t>Numan Mirza</t>
  </si>
  <si>
    <t>House 681 Street 7 Sector 1 Airport Housing Society Rawalpindi Rawalpindi</t>
  </si>
  <si>
    <t>TR26768</t>
  </si>
  <si>
    <t>Hamza Butt</t>
  </si>
  <si>
    <t>81j Gulshan e ravi city lahore Lahore</t>
  </si>
  <si>
    <t>TR26769</t>
  </si>
  <si>
    <t>Saqib Khan</t>
  </si>
  <si>
    <t>House# 241/1-A2nd Floor Aurang Abad Nazimabad Paposh Nagar Karachi Karachi</t>
  </si>
  <si>
    <t>TR26770</t>
  </si>
  <si>
    <t>Nomanfiaz Fiaz</t>
  </si>
  <si>
    <t>Chak no 327gb near big mosque shorkot cantt Shorkot cantt</t>
  </si>
  <si>
    <t>Shorkot cantt</t>
  </si>
  <si>
    <t>TR26771</t>
  </si>
  <si>
    <t>Sardar Shan shan</t>
  </si>
  <si>
    <t>+923279920221</t>
  </si>
  <si>
    <t>Abbottabad narria near Umer masjid Abbottabad</t>
  </si>
  <si>
    <t>Abbottabad</t>
  </si>
  <si>
    <t>Nahi aya tha. Ma gar par nahi tha
 | ↩️ Return Charged: 2025-12-12 | Fee: 227</t>
  </si>
  <si>
    <t>TR26772</t>
  </si>
  <si>
    <t>Zain Malik</t>
  </si>
  <si>
    <t>House No# 71 Street No# 8, Takbeer Homes Main Harbanspura Road Pepsi Stop Lahore</t>
  </si>
  <si>
    <t>TR26773</t>
  </si>
  <si>
    <t>Nabila Shehbaz town</t>
  </si>
  <si>
    <t>Cb23 Bahawalpur</t>
  </si>
  <si>
    <t>I didn't do that sorry for inconvenience</t>
  </si>
  <si>
    <t>TR26774</t>
  </si>
  <si>
    <t>Sheikh Muhammad jibran Muhammad jibran</t>
  </si>
  <si>
    <t>Muslim cafe medicine market ghanta ghar Multan</t>
  </si>
  <si>
    <t>TR26775</t>
  </si>
  <si>
    <t>Haider Khokkhar</t>
  </si>
  <si>
    <t>+923084033943</t>
  </si>
  <si>
    <t>House num:2525, street 13, platinum block, Parkview society, Lahore Lahore</t>
  </si>
  <si>
    <t>TR26776</t>
  </si>
  <si>
    <t>bilal Ejaz</t>
  </si>
  <si>
    <t>50-B/6 Model Town Lahore Lahore</t>
  </si>
  <si>
    <t xml:space="preserve">
 | 💰 COD Rec: 2025-12-05 | Ref: CPR-05B14695595 | Amt: 4045</t>
  </si>
  <si>
    <t>TR26777</t>
  </si>
  <si>
    <t>Muhammad Zeeshan</t>
  </si>
  <si>
    <t>+923030835215</t>
  </si>
  <si>
    <t>Aljabaar plaza near budh bazar simly dam road thandi toti  bharakhu Islamabad</t>
  </si>
  <si>
    <t>TR26778</t>
  </si>
  <si>
    <t>Syed Namood Ali Qabil</t>
  </si>
  <si>
    <t>B 110 Pcsir Employees Cooperative Housing Society Kda Scheme 33 Gulzar E Hijri Karachi</t>
  </si>
  <si>
    <t>TR26779</t>
  </si>
  <si>
    <t>Mushtaque Ali</t>
  </si>
  <si>
    <t>Islam Colony No 2 New Pind Golimar Road Sukkur Sukkur</t>
  </si>
  <si>
    <t>Sukkur</t>
  </si>
  <si>
    <t>cancel nahi lena</t>
  </si>
  <si>
    <t>TR26780</t>
  </si>
  <si>
    <t>Irfan Ijaz</t>
  </si>
  <si>
    <t>Sam Department Mcb Building Queens Road Sargodha Sargodha</t>
  </si>
  <si>
    <t>TR26781</t>
  </si>
  <si>
    <t>Shahid Imran</t>
  </si>
  <si>
    <t>+923035544110</t>
  </si>
  <si>
    <t>Main Bus Stop lawa P/o Lawa tehsil Talagang Talagang</t>
  </si>
  <si>
    <t>Talagang</t>
  </si>
  <si>
    <t>TR26782</t>
  </si>
  <si>
    <t>Muhammad Ibrar</t>
  </si>
  <si>
    <t>+923179761732</t>
  </si>
  <si>
    <t>leopard courier Kohat Kohat</t>
  </si>
  <si>
    <t>Kohat</t>
  </si>
  <si>
    <t>LE7522160157</t>
  </si>
  <si>
    <t>leopard courier Kohat</t>
  </si>
  <si>
    <t>TR26783</t>
  </si>
  <si>
    <t>abubakar Abubakar</t>
  </si>
  <si>
    <t>+923014524083</t>
  </si>
  <si>
    <t>Adda plot raiwind road lahore Rahat bakery Lahore</t>
  </si>
  <si>
    <t>ADI Ref Stripes - XL / White (x1), ADI Ref Stripes - XL / Black (x1)</t>
  </si>
  <si>
    <t>TR26784</t>
  </si>
  <si>
    <t>Abdullah bin Mazhar</t>
  </si>
  <si>
    <t>12/11-1 Model Colony Malir Karachi</t>
  </si>
  <si>
    <t>TR26785</t>
  </si>
  <si>
    <t>Hamza Shahab Shahab din</t>
  </si>
  <si>
    <t>Kalu khara kasur Kasur</t>
  </si>
  <si>
    <t>tcs / lcs kasur
 | ↩️ Return Charged: 2025-12-12 | Fee: 220</t>
  </si>
  <si>
    <t>TR26786</t>
  </si>
  <si>
    <t>Haseebi iqbal Iqbal</t>
  </si>
  <si>
    <t>134 C-judicial Phase 3 Multan Road Lahore</t>
  </si>
  <si>
    <t xml:space="preserve">
 | ↩️ Return Charged: 2025-12-12 | Fee: 120</t>
  </si>
  <si>
    <t>TR26787</t>
  </si>
  <si>
    <t>Atif Rana</t>
  </si>
  <si>
    <t>Fouji electronics near HBL bank kasur road ellah abad Ellah Abad</t>
  </si>
  <si>
    <t>Ellah Abad</t>
  </si>
  <si>
    <t>TR26788</t>
  </si>
  <si>
    <t>Deepak Haryani</t>
  </si>
  <si>
    <t>+923123410923</t>
  </si>
  <si>
    <t>Ho no 1676 near bara alam khairpur mirs Khairpur Mirs</t>
  </si>
  <si>
    <t>Khairpur Mirs</t>
  </si>
  <si>
    <t xml:space="preserve">
 | ↩️ Return Charged: 2025-12-26 | Fee: 227</t>
  </si>
  <si>
    <t>CPR-4FUUH324016</t>
  </si>
  <si>
    <t>TR26789</t>
  </si>
  <si>
    <t>John Davis</t>
  </si>
  <si>
    <t>3420 Main St New York</t>
  </si>
  <si>
    <t>New York</t>
  </si>
  <si>
    <t>TR26790</t>
  </si>
  <si>
    <t>Arslan Raza</t>
  </si>
  <si>
    <t>151-A Judicial Colony phase 1 Lahore</t>
  </si>
  <si>
    <t>TR26791</t>
  </si>
  <si>
    <t>Jawad Arshad</t>
  </si>
  <si>
    <t>Chak No 34/3.r p/o Dahranwala Tehsil Chishtian district bahawalnagar Chistian</t>
  </si>
  <si>
    <t>Chistian</t>
  </si>
  <si>
    <t>TR26792</t>
  </si>
  <si>
    <t>Mr Yasir Mr Yasir</t>
  </si>
  <si>
    <t>+923189112458</t>
  </si>
  <si>
    <t>Allmadina shoping plaza kamra cant Distric Attock  +92 317 5821545 Attock</t>
  </si>
  <si>
    <t>size bohat bara tha nahi lena
 | ↩️ Return Charged: 2025-12-12 | Fee: 200</t>
  </si>
  <si>
    <t>TR26793</t>
  </si>
  <si>
    <t>Hamza Akram</t>
  </si>
  <si>
    <t>+923200454092</t>
  </si>
  <si>
    <t>House No 159/d/1/b/1 ,street No 188 Hajveri Park New Bhogiwal Lahore Lahore</t>
  </si>
  <si>
    <t xml:space="preserve">
 | 💰 COD Rec: 2025-12-05 | Ref: CPR-05B14695595 | Amt: 5700</t>
  </si>
  <si>
    <t>Embossed NIK-E - L / Black (x1), Embossed NIK-E - L / White (x1), NIK- Ref LOGO - L / black (x1)</t>
  </si>
  <si>
    <t>TR26794</t>
  </si>
  <si>
    <t>Ahad Larik</t>
  </si>
  <si>
    <t>Main choke hussainabad Hyderabad Hyderabad</t>
  </si>
  <si>
    <t>ADI - EMBOSSED LOGO (Cotton) - XL / Olive( Commando Green) (x1)</t>
  </si>
  <si>
    <t>TR26795</t>
  </si>
  <si>
    <t>Abdul Salam</t>
  </si>
  <si>
    <t>Naich house near assistant commissioner office mirpur mathelo, district ghotki Mirpur Mathelo</t>
  </si>
  <si>
    <t>Mirpur Mathelo</t>
  </si>
  <si>
    <t>refused reason:
order from some other website
 | ↩️ Return Charged: 2025-12-19 | Fee: 213</t>
  </si>
  <si>
    <t>TR26796</t>
  </si>
  <si>
    <t>Hassam Rehm</t>
  </si>
  <si>
    <t>+923049324000</t>
  </si>
  <si>
    <t>123/B  od civil line Sahiwal</t>
  </si>
  <si>
    <t>TR26797</t>
  </si>
  <si>
    <t>Monis Monis</t>
  </si>
  <si>
    <t>House No 65, Street 1-A, Malik Town, Tarlai, Dakhana Stop, Tarlai Islamabad</t>
  </si>
  <si>
    <t>TR26798</t>
  </si>
  <si>
    <t>Rana AmmAr Ammae</t>
  </si>
  <si>
    <t>Rana Industries Rafhan Mill Road Faisalabad Faisalabad</t>
  </si>
  <si>
    <t>4 ki jagha 2 shirt thi
 | ↩️ Return Charged: 2025-12-12 | Fee: 200</t>
  </si>
  <si>
    <t>TR26799</t>
  </si>
  <si>
    <t>Hassan Inamullah</t>
  </si>
  <si>
    <t>Khalid bin waleed road white palace tower floor 10 house 701 Karachi</t>
  </si>
  <si>
    <t>TR26800</t>
  </si>
  <si>
    <t>Hamza Saleem</t>
  </si>
  <si>
    <t>+923046874809</t>
  </si>
  <si>
    <t>Main G.T road akhri mint stop jani pan shop near rehmat shadi hall oppo Go petrol pump Lahore</t>
  </si>
  <si>
    <t>ADI Multi Ref Stripes - M / Black (x1), Multi ref PUM-A - M / White (x1)</t>
  </si>
  <si>
    <t>TR26801</t>
  </si>
  <si>
    <t>Arham Khalid</t>
  </si>
  <si>
    <t>Flat C 603 Beach Blessings Apartment Block 2 Clifton Karachi</t>
  </si>
  <si>
    <t>TR26802</t>
  </si>
  <si>
    <t>Abdul ReHmAn</t>
  </si>
  <si>
    <t>Babriawala near Friend factory Shahabpura Road Sialkot</t>
  </si>
  <si>
    <t>TR26803</t>
  </si>
  <si>
    <t>Ijaz ul haq Journalist</t>
  </si>
  <si>
    <t>+923135165620</t>
  </si>
  <si>
    <t>Kpk mardan Mardan</t>
  </si>
  <si>
    <t>power off  + no wp</t>
  </si>
  <si>
    <t>TR26804</t>
  </si>
  <si>
    <t>Zohaib Ch</t>
  </si>
  <si>
    <t>House No 87 Block Cl Housing Scheem Liaquat Pur Dist Rahim Yar Khan Liaquat pur</t>
  </si>
  <si>
    <t>Liaquat pur</t>
  </si>
  <si>
    <t>A | X Embroidery LOGO - L / Sky (x1)</t>
  </si>
  <si>
    <t>TR26805</t>
  </si>
  <si>
    <t>Ch Naveed</t>
  </si>
  <si>
    <t>Punjab estate near punjab college g.t.road gujar khan Gujarr Khan</t>
  </si>
  <si>
    <t>Gujarr Khan</t>
  </si>
  <si>
    <t>TR26806</t>
  </si>
  <si>
    <t>+923005564829</t>
  </si>
  <si>
    <t>TR26807</t>
  </si>
  <si>
    <t>Waqar Haider</t>
  </si>
  <si>
    <t>375-AA, Street#3, Phase-4, DHA, Lahore Lahore</t>
  </si>
  <si>
    <t>A | X Embroidery LOGO - 3XL / Navy (x1), A | X Embroidery LOGO - 3XL / Mustard (x1)</t>
  </si>
  <si>
    <t>TR26808</t>
  </si>
  <si>
    <t>Abbas Khan</t>
  </si>
  <si>
    <t>+923009394398</t>
  </si>
  <si>
    <t>Etimad travels tangi   Ali Zai Tower, Mardan Rd, near HBL Bank, opposite Wapda office, Chārsadda Charsadda</t>
  </si>
  <si>
    <t>Charsadda</t>
  </si>
  <si>
    <t>chota tha is liya nahi liya
 | ↩️ Return Charged: 2025-12-12 | Fee: 227</t>
  </si>
  <si>
    <t>TR26809</t>
  </si>
  <si>
    <t>Rehan Khan</t>
  </si>
  <si>
    <t>House#201, Fateh Sher Colony, Sahiwal Sahiwal</t>
  </si>
  <si>
    <t>TR26810</t>
  </si>
  <si>
    <t>Hamza Hunts17</t>
  </si>
  <si>
    <t>Shalimar bag next stop darogawala chowk near farhan pharmacy at this deliver Ali hajveri oil store Lahore</t>
  </si>
  <si>
    <t>TR26811</t>
  </si>
  <si>
    <t>Imran Aslam</t>
  </si>
  <si>
    <t>Apt no. 5A, block 2, Askari Towers 2, DHA phase 2, Islamabad</t>
  </si>
  <si>
    <t>TR26812</t>
  </si>
  <si>
    <t>Sheikh Ali</t>
  </si>
  <si>
    <t>Shop no 2 badar auto store  g 7 / 1 I nt center Islamabad</t>
  </si>
  <si>
    <t>size chota haaa
 | ↩️ Return Charged: 2025-12-12 | Fee: 220</t>
  </si>
  <si>
    <t>TR26813</t>
  </si>
  <si>
    <t>Rizwan Shah</t>
  </si>
  <si>
    <t>POLICE TRAINING COLLEGE SHAHDADPUR Shahdadpur Sindh</t>
  </si>
  <si>
    <t>Shahdadpur Sindh</t>
  </si>
  <si>
    <t>ak to size ka malsa tha dosra cheez jitni achi ap logo na batai thi who itni achi nahi thi to mazrat ha
 | ↩️ Return Charged: 2025-12-19 | Fee: 213</t>
  </si>
  <si>
    <t>TR26814</t>
  </si>
  <si>
    <t>Irfan billoo Billoo</t>
  </si>
  <si>
    <t>Plot No 103/A Khalid bin Waleed Road Pechs Block 2Karachi Karachi</t>
  </si>
  <si>
    <t xml:space="preserve">
 | ↩️ Return Charged: 2025-12-23 | Fee: 227</t>
  </si>
  <si>
    <t>TR26815</t>
  </si>
  <si>
    <t>Dawar Hussain</t>
  </si>
  <si>
    <t>House 88, street 15, safari 1 extension Islamabad</t>
  </si>
  <si>
    <t>(Premium) Jacquard Collar Polo - M / mustard (x1)</t>
  </si>
  <si>
    <t>TR26816</t>
  </si>
  <si>
    <t>Muhammad Sameer Sarwar Sarwar</t>
  </si>
  <si>
    <t>145E1 Johar Town Johar Town Lahore</t>
  </si>
  <si>
    <t>Johar Town Lahore</t>
  </si>
  <si>
    <t>TR26817</t>
  </si>
  <si>
    <t>Jawwad Kazmi</t>
  </si>
  <si>
    <t>C-103 3rd Floor Shamsi Society Malir Karachi Karachi</t>
  </si>
  <si>
    <t>TR26818</t>
  </si>
  <si>
    <t>Muhammad waseem</t>
  </si>
  <si>
    <t>Narowsl Narowal</t>
  </si>
  <si>
    <t>Narowal</t>
  </si>
  <si>
    <t>not an s</t>
  </si>
  <si>
    <t>TR26819</t>
  </si>
  <si>
    <t>Babar Kasuri</t>
  </si>
  <si>
    <t>+923004421386</t>
  </si>
  <si>
    <t>Dha phs 6 e block 676 Lahore</t>
  </si>
  <si>
    <t>LE7522307147</t>
  </si>
  <si>
    <t>lcs consignee want open parcel</t>
  </si>
  <si>
    <t>TR26820</t>
  </si>
  <si>
    <t>Zunaib Khan</t>
  </si>
  <si>
    <t>Kurta corner Tariq road near silver spoon and kurta Gali karachi Karachi</t>
  </si>
  <si>
    <t>(Premium) Cotton lycra RL - M / Black (x1)</t>
  </si>
  <si>
    <t>TR26821</t>
  </si>
  <si>
    <t>Anil Kumar</t>
  </si>
  <si>
    <t>Flat # 1603, D Block Parsa City Karachi</t>
  </si>
  <si>
    <t>TR26822</t>
  </si>
  <si>
    <t>Muhammad Hassan</t>
  </si>
  <si>
    <t>+923491902995</t>
  </si>
  <si>
    <t>Khalil house, hamza lane( near masjid ameer hamza) gulshan iqbal town, university road peshawar Peshawar</t>
  </si>
  <si>
    <t>TR26823</t>
  </si>
  <si>
    <t>Arslan Masood</t>
  </si>
  <si>
    <t>House no E1-55 AWT PHASE 2 NEAR ADDA PLOT Lahore</t>
  </si>
  <si>
    <t>TR26824</t>
  </si>
  <si>
    <t>cancel</t>
  </si>
  <si>
    <t>TR26825</t>
  </si>
  <si>
    <t>Ayesha 123</t>
  </si>
  <si>
    <t>49 tail Sargodha Sargodha</t>
  </si>
  <si>
    <t>ok   ma out of city hoooo
 | ↩️ Return Charged: 2025-12-16 | Fee: 200</t>
  </si>
  <si>
    <t>TR26826</t>
  </si>
  <si>
    <t>Sufyan Ali Khan Sufyan Ali Khan</t>
  </si>
  <si>
    <t>+923477862046</t>
  </si>
  <si>
    <t>3477862046 lahore</t>
  </si>
  <si>
    <t>lahore</t>
  </si>
  <si>
    <t>ADI - Hoodie (Female) - 2XL / Black (x1), ADI - Hoodie (Female) - 2XL / White (x1)</t>
  </si>
  <si>
    <t>TR26827</t>
  </si>
  <si>
    <t>Haseeb Saqib</t>
  </si>
  <si>
    <t>+923112319491</t>
  </si>
  <si>
    <t>A1-159 2nd floor block 13d-2 gulshan-e-iqbal Karachi</t>
  </si>
  <si>
    <t>allow to open Nhi Mary pas koi rider nhi aya
 | ↩️ Return Charged: 2025-12-16 | Fee: 227</t>
  </si>
  <si>
    <t>TR26828</t>
  </si>
  <si>
    <t>TR26829</t>
  </si>
  <si>
    <t>Muhammad Irfan</t>
  </si>
  <si>
    <t>Azizaabad gali main imran qaryna sotar zila rahem yar khan Sadiqabad</t>
  </si>
  <si>
    <t>Sadiqabad</t>
  </si>
  <si>
    <t>TR26830</t>
  </si>
  <si>
    <t>+923032452617</t>
  </si>
  <si>
    <t>callow to open</t>
  </si>
  <si>
    <t>TR26831</t>
  </si>
  <si>
    <t>Bilal Munawar</t>
  </si>
  <si>
    <t>Gulshan subhan phase 2 kohna road Pattoki kasur Pattoki</t>
  </si>
  <si>
    <t>Pattoki</t>
  </si>
  <si>
    <t>TR26832</t>
  </si>
  <si>
    <t xml:space="preserve">
 | 💰 COD Rec: 2025-12-09 | Ref: CPR-S1FXP178826 | Amt: 4395</t>
  </si>
  <si>
    <t>Adi- Hoodie - M / White (x1), Adi- Hoodie - L / Black (x1)</t>
  </si>
  <si>
    <t>TR26833</t>
  </si>
  <si>
    <t>Ghulam Murtaza Khan</t>
  </si>
  <si>
    <t>Gt road near sarai kharbooza bus stop E16 ternol Islamabad Islamabad</t>
  </si>
  <si>
    <t>No body can call or deliver
 | ↩️ Return Charged: 2025-12-16 | Fee: 200</t>
  </si>
  <si>
    <t>TR26834</t>
  </si>
  <si>
    <t>Ali Hamza</t>
  </si>
  <si>
    <t>Abdul centre TCS shop multan road Lahore Lahore</t>
  </si>
  <si>
    <t>TR26835</t>
  </si>
  <si>
    <t>Zaraar Haider</t>
  </si>
  <si>
    <t>+923001561116</t>
  </si>
  <si>
    <t>Sector 6g, Street 17, House No 16, Mehran Town, Industrial Area, Korangi. Karachi</t>
  </si>
  <si>
    <t>ok   koi rabta nahi kiya
 | ↩️ Return Charged: 2025-12-23 | Fee: 227</t>
  </si>
  <si>
    <t>TR26836</t>
  </si>
  <si>
    <t>TR26837</t>
  </si>
  <si>
    <t>Danial zuberi</t>
  </si>
  <si>
    <t>flat 20 5th floor tahir Avenue Muhammad bin qasim road Karachi</t>
  </si>
  <si>
    <t>TR26838</t>
  </si>
  <si>
    <t>Faheem Mustafa Soomro</t>
  </si>
  <si>
    <t>G6-1/1 Islamabad Islamabad</t>
  </si>
  <si>
    <t>A | X Embroidery LOGO - 3XL / Olive (x1)</t>
  </si>
  <si>
    <t>TR26839</t>
  </si>
  <si>
    <t>Malik Ahtisham Ahtisham</t>
  </si>
  <si>
    <t>G13/2 New sky mobiles Opposite Alia market Islamabad</t>
  </si>
  <si>
    <t>TR26840</t>
  </si>
  <si>
    <t>Shahzad Anwar</t>
  </si>
  <si>
    <t>house 763 Street 71 Sector I-8-3 Islamabad</t>
  </si>
  <si>
    <t>TR26841</t>
  </si>
  <si>
    <t>MIRZA SHAFFAF ALI</t>
  </si>
  <si>
    <t>House no. R383 sector 15A5 Bufferzone Karachi</t>
  </si>
  <si>
    <t>A | X Embroidery LOGO - 2XL / Mustard (x1), A | X Embroidery LOGO - 2XL / Olive (x1)</t>
  </si>
  <si>
    <t>TR26842</t>
  </si>
  <si>
    <t>Sultan Shah</t>
  </si>
  <si>
    <t>H no 777 a majeed colony keamari near poona wala apartment khi Karachi</t>
  </si>
  <si>
    <t>no advance
cancel ker dien</t>
  </si>
  <si>
    <t>TR26843</t>
  </si>
  <si>
    <t>Hammad Qureshi</t>
  </si>
  <si>
    <t>Zaini beauty parlour jihan road near Muhammad Hospital, DC underpass, Gujrawala Gujrawala</t>
  </si>
  <si>
    <t>Gujrawala</t>
  </si>
  <si>
    <t>TR26844</t>
  </si>
  <si>
    <t>Shakeel Malik</t>
  </si>
  <si>
    <t>Chack No 21/2l Renala Khurd Renala Khurd</t>
  </si>
  <si>
    <t>Renala Khurd</t>
  </si>
  <si>
    <t>TR26845</t>
  </si>
  <si>
    <t>Sunbal Arif Sunbal Arif</t>
  </si>
  <si>
    <t>H#239, H-1 Block, Sabzazar Scheme, Lahore. Lahore</t>
  </si>
  <si>
    <t xml:space="preserve">
 | 💰 COD Rec: 2025-12-05 | Ref: CPR-05B14695595 | Amt: 3045</t>
  </si>
  <si>
    <t>TR26846</t>
  </si>
  <si>
    <t>Aftab Baloch</t>
  </si>
  <si>
    <t>+923330681521</t>
  </si>
  <si>
    <t>Bugti mobile zone City Dera bugti Dera Bugti</t>
  </si>
  <si>
    <t>Dera Bugti</t>
  </si>
  <si>
    <t>TR26847</t>
  </si>
  <si>
    <t>Ibrahim Akhtar</t>
  </si>
  <si>
    <t>+923002558804</t>
  </si>
  <si>
    <t>sohawa call courier Sohawa</t>
  </si>
  <si>
    <t>Sohawa</t>
  </si>
  <si>
    <t>open to allow call courie r
 | ↩️ Return Charged: 2025-12-16 | Fee: 220</t>
  </si>
  <si>
    <t>TR26848</t>
  </si>
  <si>
    <t>M Asim Ch</t>
  </si>
  <si>
    <t>Headquarters 19 Division Mangla Cantonment</t>
  </si>
  <si>
    <t>Mangla Cantonment</t>
  </si>
  <si>
    <t>TR26849</t>
  </si>
  <si>
    <t>Chand Choudary</t>
  </si>
  <si>
    <t>Chowk Marla near UBL bank main road Qabola</t>
  </si>
  <si>
    <t>Qabola</t>
  </si>
  <si>
    <t>Actually am working in bank wo Sunday ko aya tha but hamra Sunday ko off hta..
 | ↩️ Return Charged: 2025-12-16 | Fee: 200</t>
  </si>
  <si>
    <t>TR26850</t>
  </si>
  <si>
    <t>raheel Moon</t>
  </si>
  <si>
    <t>Bibi Jan Road Faisalabad Faisalabad open to allow</t>
  </si>
  <si>
    <t>Faisalabad open to allow</t>
  </si>
  <si>
    <t>OPEN TO    allow     wesa nahi thi jesa dekhai thi
 | ↩️ Return Charged: 2025-12-16 | Fee: 200</t>
  </si>
  <si>
    <t>TR26851</t>
  </si>
  <si>
    <t>+923233000566</t>
  </si>
  <si>
    <t>shop name hb electric company    ( grace tower opp, huzaifa impex , 6-bull road , lahore Lahore</t>
  </si>
  <si>
    <t>hassan avail nahi haa ap ap reattempt ker dien
 | ↩️ Return Charged: 2025-12-12 | Fee: 120</t>
  </si>
  <si>
    <t>TR26852</t>
  </si>
  <si>
    <t>hasseb rahujo</t>
  </si>
  <si>
    <t>gulshan-e-hadeed phase#2 B-334 BIN-qasim-town,karachi</t>
  </si>
  <si>
    <t>BIN-qasim-town,karachi</t>
  </si>
  <si>
    <t>Tipping Crew - M / Black (x1)</t>
  </si>
  <si>
    <t>TR26853</t>
  </si>
  <si>
    <t>Waleed Saad</t>
  </si>
  <si>
    <t>Regional tax office, Nawa Shehr, Multan cantt Multan</t>
  </si>
  <si>
    <t>ADI - Hoodie (Female) - L / Black (x1), Adi Branded Tracksuit - L / Black (x1)</t>
  </si>
  <si>
    <t>TR26854</t>
  </si>
  <si>
    <t>Arsalan Aziz</t>
  </si>
  <si>
    <t>House No. 420,block 1 Sector A2 Township Lahore Lahore</t>
  </si>
  <si>
    <t>TR26855</t>
  </si>
  <si>
    <t>Abdullah Sheikh</t>
  </si>
  <si>
    <t>+923316500415</t>
  </si>
  <si>
    <t>84 Signal Battalion  Malir Cantt Malir Cantonment</t>
  </si>
  <si>
    <t>Malir Cantonment</t>
  </si>
  <si>
    <t>TR26856</t>
  </si>
  <si>
    <t>Rashid Ali</t>
  </si>
  <si>
    <t>Jinah parak near Iqbal parak Sheikhupura</t>
  </si>
  <si>
    <t>advance nahi ker raha</t>
  </si>
  <si>
    <t>TR26857</t>
  </si>
  <si>
    <t>Nabeel Shaykh</t>
  </si>
  <si>
    <t>House 77/1 23rd street khayaban e badar dha phase 5 karachi Karachi</t>
  </si>
  <si>
    <t>TR26858</t>
  </si>
  <si>
    <t>Test Purchase</t>
  </si>
  <si>
    <t>Test Purchase Lahore</t>
  </si>
  <si>
    <t>test order hai</t>
  </si>
  <si>
    <t>TR26859</t>
  </si>
  <si>
    <t>malik umer omer</t>
  </si>
  <si>
    <t>Cb-287-e Sher Shah Road Garden Twon Multan Multan</t>
  </si>
  <si>
    <t>TR26860</t>
  </si>
  <si>
    <t>Dr imam Bukhsh</t>
  </si>
  <si>
    <t>Khanpur tcs office rahim yar khan Rahim Yar Khan</t>
  </si>
  <si>
    <t>TR26861</t>
  </si>
  <si>
    <t>Imran Ahmed</t>
  </si>
  <si>
    <t>Sardar karyana store Masjid wali gali house no 1 Shoaib town Joiyanwala mor tehseel O zilla Sheikhopura Sheikhopura</t>
  </si>
  <si>
    <t>Sheikhopura</t>
  </si>
  <si>
    <t>NIK- Ref LOGO - XL / white (x1), NIK- Ref LOGO - XL / black (x1), Tipping Crew - XL / White (x1), Multi ref PUM-A - XL / White (x1), Multi ref PUM-A - XL / Black (x1), Adi- Hoodie - XL / Black (x1), Adi- Hoodie - XL / White (x1)</t>
  </si>
  <si>
    <t>TR26862</t>
  </si>
  <si>
    <t>Ajaz Parker</t>
  </si>
  <si>
    <t>H.no 1726/669 Kokan Colony Baldia town karachi Karachi</t>
  </si>
  <si>
    <t>A | X Embroidery LOGO - 3XL / White (x1), A | X Embroidery LOGO - 3XL / Mustard (x1)</t>
  </si>
  <si>
    <t>TR26863</t>
  </si>
  <si>
    <t>Manzoor Ali</t>
  </si>
  <si>
    <t>New Bus Stand Railway Line Anmol Hotel Dadu Dadu</t>
  </si>
  <si>
    <t>Dadu</t>
  </si>
  <si>
    <t>not ans
 | ↩️ Return Charged: 2025-12-19 | Fee: 213</t>
  </si>
  <si>
    <t>TR26864</t>
  </si>
  <si>
    <t>Faizan Bukhari</t>
  </si>
  <si>
    <t>+923707024416</t>
  </si>
  <si>
    <t>Karim park farooqi school  65/3 Ravi Rd,Lahore Lahore</t>
  </si>
  <si>
    <t>not ans
 | ↩️ Return Charged: 2025-12-12 | Fee: 120</t>
  </si>
  <si>
    <t>TR26865</t>
  </si>
  <si>
    <t>Aunaib Afridi</t>
  </si>
  <si>
    <t>H/no 339-a Lane 5 Peshawar Road Rawalpindi Rawalpindi</t>
  </si>
  <si>
    <t>A | X Embroidery LOGO - 3XL / Sky (x1)</t>
  </si>
  <si>
    <t>TR26866</t>
  </si>
  <si>
    <t>Mudasar Abbas Rizvi Rizvi</t>
  </si>
  <si>
    <t>It Center, Regional Office, National Bank Of Pakistan,s. E College Road, Near University Chowk Bahawalpur</t>
  </si>
  <si>
    <t>confirm
 | ↩️ Return Charged: 2025-12-16 | Fee: 220</t>
  </si>
  <si>
    <t>TR26867</t>
  </si>
  <si>
    <t>+923218666670</t>
  </si>
  <si>
    <t>confirm No one came
 | ↩️ Return Charged: 2025-12-16 | Fee: 220</t>
  </si>
  <si>
    <t>TR26868</t>
  </si>
  <si>
    <t>Sanaullah khan</t>
  </si>
  <si>
    <t>+923346082533</t>
  </si>
  <si>
    <t>Executive suites F11 markaz Islamabad Islamabad</t>
  </si>
  <si>
    <t>ok
 | ↩️ Return Charged: 2025-12-19 | Fee: 220</t>
  </si>
  <si>
    <t>TR26869</t>
  </si>
  <si>
    <t>Hassan Nawaz</t>
  </si>
  <si>
    <t>+923351635418</t>
  </si>
  <si>
    <t>Jinnah Town Defence Road Qudoos Street no 2 Sialkot</t>
  </si>
  <si>
    <t>Adi Winter Trouser - Xl / Black (x1)</t>
  </si>
  <si>
    <t>TR26870</t>
  </si>
  <si>
    <t>Taha Masood</t>
  </si>
  <si>
    <t>E2 66 awt phase 2 Lahore</t>
  </si>
  <si>
    <t>cancel fake order kiya hain +92 336 3175552 is na because  is na replace kervani thi</t>
  </si>
  <si>
    <t>TR26871</t>
  </si>
  <si>
    <t>14 A Opf phase 2 lahore Lahore</t>
  </si>
  <si>
    <t>TR26872</t>
  </si>
  <si>
    <t>Malik Jaan Ali Jaan ali</t>
  </si>
  <si>
    <t>+923022766224</t>
  </si>
  <si>
    <t>Abadi sundar naghar gala ismail wala street 5 gharjak road gujranwala Gujranwala</t>
  </si>
  <si>
    <t>TR26873</t>
  </si>
  <si>
    <t>Noman Shafi</t>
  </si>
  <si>
    <t>+923213609878</t>
  </si>
  <si>
    <t>56 popular avenue khy e rahat phase 6 DHA karachi Karachi</t>
  </si>
  <si>
    <t>27846exchnage</t>
  </si>
  <si>
    <t>TR26874</t>
  </si>
  <si>
    <t>Muhammad Saleem Saleem</t>
  </si>
  <si>
    <t>+923476605174</t>
  </si>
  <si>
    <t>lari adda raja mobile shop Pind dadan khan District Jhelum Pind Dadan Khan</t>
  </si>
  <si>
    <t>Pind Dadan Khan</t>
  </si>
  <si>
    <t>open to allow   G aya tha, mjhe apka Stuff passand ni aya thats y wapis kiya
thanku.
 | ↩️ Return Charged: 2025-12-16 | Fee: 220</t>
  </si>
  <si>
    <t>TR26875</t>
  </si>
  <si>
    <t>Mushtaq Mushtaq</t>
  </si>
  <si>
    <t>17/3. maqbool Abad. Bahadur abad near united king Bakery karachi karachi</t>
  </si>
  <si>
    <t>TR26876</t>
  </si>
  <si>
    <t>Saim Ch</t>
  </si>
  <si>
    <t>Nawabcolony face 2 house no3 Fortabbas</t>
  </si>
  <si>
    <t>Fortabbas</t>
  </si>
  <si>
    <t>TR26877</t>
  </si>
  <si>
    <t>Muhammad Rizwan</t>
  </si>
  <si>
    <t>+923218887887</t>
  </si>
  <si>
    <t>Flat No 5 n block rewaz garden lahore Lahore</t>
  </si>
  <si>
    <t>TR26878</t>
  </si>
  <si>
    <t>M Awais</t>
  </si>
  <si>
    <t>+923134353614</t>
  </si>
  <si>
    <t>Architects Engineers Housing Society  On Kandhari Hardware Lahore</t>
  </si>
  <si>
    <t>G Aya tha pr ma ni tha usko Bola tha KY kl deliver kr Dyna
 | ↩️ Return Charged: 2025-12-16 | Fee: 107</t>
  </si>
  <si>
    <t>TR26879</t>
  </si>
  <si>
    <t>Shahroze Tanveer</t>
  </si>
  <si>
    <t>4 A peoples colony no 1 near carand cars Faisalabad</t>
  </si>
  <si>
    <t>.</t>
  </si>
  <si>
    <t>TR26880</t>
  </si>
  <si>
    <t>Hassan Hassan</t>
  </si>
  <si>
    <t>+923272325005</t>
  </si>
  <si>
    <t>Balochistan gwadar shaher new town phase 3 nazd gwadar fit gym Balochistan gwadar</t>
  </si>
  <si>
    <t>Balochistan gwadar</t>
  </si>
  <si>
    <t>ADI Multi Ref Stripes - M / White (x1), Multi ref PUM-A - M / White (x1), NIK- Ref LOGO - M / white (x1)</t>
  </si>
  <si>
    <t>TR26881</t>
  </si>
  <si>
    <t>Zeeshan Iftikhar ASJ</t>
  </si>
  <si>
    <t>District Jail Sialkot, control office Sialkot</t>
  </si>
  <si>
    <t>CONFIRM</t>
  </si>
  <si>
    <t>TR26882</t>
  </si>
  <si>
    <t>Karachi Zafar saeed</t>
  </si>
  <si>
    <t>A 575 Block C North Nazimabad, Masjid E Ashraf Karachi</t>
  </si>
  <si>
    <t>TR26883</t>
  </si>
  <si>
    <t>M Asim Khan</t>
  </si>
  <si>
    <t>Mochh Mianwali Katwa Namkeen Hotle Near Go Petrol Station Rokhri Moar Kalabagh Road Miamwali Mianwali</t>
  </si>
  <si>
    <t>Mianwali</t>
  </si>
  <si>
    <t>TR26884</t>
  </si>
  <si>
    <t>Rana Sohail</t>
  </si>
  <si>
    <t>55-b ali park near habib homes main peco road kot lakhpat Lahore</t>
  </si>
  <si>
    <t>Asslam o alikum bro 
Cancel the order ,sorry yr</t>
  </si>
  <si>
    <t>TR26885</t>
  </si>
  <si>
    <t>Muhammad Arslan</t>
  </si>
  <si>
    <t>House no 9, block no 8, kashmir lane, faisal colony chaklala Rawalpindi</t>
  </si>
  <si>
    <t>(Premium) Cotton lycra RL - 2XL / pista (x1)</t>
  </si>
  <si>
    <t>TR26886</t>
  </si>
  <si>
    <t>+923197871810</t>
  </si>
  <si>
    <t>me ne subha e deleiver honay se pehlay cancel kr diya tha. Meray ghar walay trousers shop se le aae thay to is liye iski zarurat phir nhi thi
 | ↩️ Return Charged: 2025-12-12 | Fee: 200</t>
  </si>
  <si>
    <t>TR26887</t>
  </si>
  <si>
    <t>Hasan Haroon</t>
  </si>
  <si>
    <t>Shop no 107 Perfume Gallery park towers shopping mall clifton karachi Karachi</t>
  </si>
  <si>
    <t>Imported Scoba Executive Nik Tro - L / Black (x1), Imported Scoba Executive Nik Tro - L / Silver Grey (x1), Adi- Hoodie - L / Black (x1)</t>
  </si>
  <si>
    <t>TR26888</t>
  </si>
  <si>
    <t>Aamir Munir Aamir Munir</t>
  </si>
  <si>
    <t>+923143700522</t>
  </si>
  <si>
    <t>Mandi Ahmad Abad tehseel Dipalpur disstt okra Punjab      from leopard Mandi Ahmedabad</t>
  </si>
  <si>
    <t>Mandi Ahmedabad</t>
  </si>
  <si>
    <t>leopard</t>
  </si>
  <si>
    <t>Tipping Crew - L / White (x1), Tipping Crew - L / Black (x1)</t>
  </si>
  <si>
    <t>TR26889</t>
  </si>
  <si>
    <t>Abdul Aziz Khan</t>
  </si>
  <si>
    <t>post office Road Tordher Hujra Abdul Karim MPA Tehsil Lahor District Swabi Kpk Pakistan Swabi</t>
  </si>
  <si>
    <t>Swabi</t>
  </si>
  <si>
    <t>boll raha tha ka payment ker but abhi tak nahi ki</t>
  </si>
  <si>
    <t>TR26890</t>
  </si>
  <si>
    <t>Muhammad Hamza</t>
  </si>
  <si>
    <t>R-209 Block 14, F.B Area Karachi</t>
  </si>
  <si>
    <t>TR26891</t>
  </si>
  <si>
    <t>hold untill deliver previous parcel</t>
  </si>
  <si>
    <t>TR26892</t>
  </si>
  <si>
    <t>piece damage tha ab receive nahi kerna
 | ↩️ Return Charged: 2025-12-26 | Fee: 213</t>
  </si>
  <si>
    <t>TR26893</t>
  </si>
  <si>
    <t>Rana Salman</t>
  </si>
  <si>
    <t>Tehsil Shakargarh District Narowal village Ladhyal post office dhudhu chak Narowal</t>
  </si>
  <si>
    <t>call courier Sir koi ni aya na koi cal ayi hai
 | ↩️ Return Charged: 2025-12-19 | Fee: 220</t>
  </si>
  <si>
    <t>TR26894</t>
  </si>
  <si>
    <t>Amjid Farid Khan</t>
  </si>
  <si>
    <t>Esa Khel Distt Mianwali Esa Khel</t>
  </si>
  <si>
    <t>Esa Khel</t>
  </si>
  <si>
    <t>cancel galti sa order ho gaya tha</t>
  </si>
  <si>
    <t>TR26895</t>
  </si>
  <si>
    <t>Muhammad Kashif</t>
  </si>
  <si>
    <t>Faisal bank dera Murad jamali naseerabad Balochistan hand over Waqas Ahmed Dera Murad Jamali</t>
  </si>
  <si>
    <t>Dera Murad Jamali</t>
  </si>
  <si>
    <t>TR26896</t>
  </si>
  <si>
    <t>Ali Nazir</t>
  </si>
  <si>
    <t>6Anear total petrol pump shalimar town lahore Lahore</t>
  </si>
  <si>
    <t>nhi kia quality achi nhi thi or size bhe xl kaha tha xl size chota tha
 | ↩️ Return Charged: 2025-12-12 | Fee: 120</t>
  </si>
  <si>
    <t>TR26897</t>
  </si>
  <si>
    <t>Nauman Khan</t>
  </si>
  <si>
    <t>The Bank Of Punjab, 1st Floor, Raza Noor Plaza, 24-West, Jinnah Avenue, Blue Area Islamabad</t>
  </si>
  <si>
    <t>TR26898</t>
  </si>
  <si>
    <t>House no 947/12 street no 2 Ismail Zai Colony near Eid Ghah Multan</t>
  </si>
  <si>
    <t>TR26899</t>
  </si>
  <si>
    <t>Taimoor Noor</t>
  </si>
  <si>
    <t>Jazz Franchise Farid Gate Bahawalpur Bahawalpur</t>
  </si>
  <si>
    <t xml:space="preserve">
 | ↩️ Return Charged: 2025-12-16 | Fee: 220</t>
  </si>
  <si>
    <t>TR26900</t>
  </si>
  <si>
    <t>Shoaib Ali</t>
  </si>
  <si>
    <t>Court road kuchery Choak gujrat Gujrat</t>
  </si>
  <si>
    <t>TR26901</t>
  </si>
  <si>
    <t>Nabeel Ahmed</t>
  </si>
  <si>
    <t>Naba Rot Custom office Anarkali Lhr</t>
  </si>
  <si>
    <t>Lhr</t>
  </si>
  <si>
    <t>TR26902</t>
  </si>
  <si>
    <t>House 263f Gali 47 umer market G10/4 Islamabad</t>
  </si>
  <si>
    <t>TR26903</t>
  </si>
  <si>
    <t>Waheed Ahmed</t>
  </si>
  <si>
    <t>60/3 FCC Muratab Ali Road Gulberg-4 Lahore</t>
  </si>
  <si>
    <t>Embossed NIK-E - XL / Black (x1), Embossed NIK-E - XL / White (x1)</t>
  </si>
  <si>
    <t>TR26904</t>
  </si>
  <si>
    <t>JAVED IQBAL</t>
  </si>
  <si>
    <t>Superior college 144 Ahbab Colony Main Multan Road Hanjarwal Lahore LAHORE</t>
  </si>
  <si>
    <t>TR26905</t>
  </si>
  <si>
    <t>Sadam Hussain</t>
  </si>
  <si>
    <t>Office no 7 comfort residency main wadhu wah road near sana beauty saloon Hyderabad</t>
  </si>
  <si>
    <t>LE7522176741</t>
  </si>
  <si>
    <t>lcs / tcs</t>
  </si>
  <si>
    <t>INV-254651</t>
  </si>
  <si>
    <t>TR26906</t>
  </si>
  <si>
    <t>Arif Ansari</t>
  </si>
  <si>
    <t>4-D-1/24 Nazimabad No. 4 (nearby Nazimabad Club And Tiny Tots School) Karachi</t>
  </si>
  <si>
    <t>TR26907</t>
  </si>
  <si>
    <t>Muhammad Shahzaib Khan</t>
  </si>
  <si>
    <t>+923350308918</t>
  </si>
  <si>
    <t>5/2023 shah Faisal colony # 5 Karachi,Pakistan Karachi</t>
  </si>
  <si>
    <t>TR26908</t>
  </si>
  <si>
    <t>Gohar Jan</t>
  </si>
  <si>
    <t>+923127706649</t>
  </si>
  <si>
    <t>Matab-e-Hameed, Green Building, Clock Tower Gujranwala</t>
  </si>
  <si>
    <t>Adi- Density logo tracksuit - Navy / M (x1), Adi Branded Tracksuit - M / Black (x1)</t>
  </si>
  <si>
    <t>TR26909</t>
  </si>
  <si>
    <t>Moid Ahmed Khan KHAN</t>
  </si>
  <si>
    <t>House No.A2 , CPL Colony. Ramzan Sugar Mills 26KM Jhang chiniot Road Chiniot</t>
  </si>
  <si>
    <t>TR26910</t>
  </si>
  <si>
    <t>Saifur Rehman</t>
  </si>
  <si>
    <t>Farman mobile shop  tehseel hazro zila attock Hazro</t>
  </si>
  <si>
    <t>Hazro</t>
  </si>
  <si>
    <t>Mujy calls Ni aay ha rider Ki bro
 | ↩️ Return Charged: 2025-12-16 | Fee: 200</t>
  </si>
  <si>
    <t>TR26911</t>
  </si>
  <si>
    <t>Saad Farooq</t>
  </si>
  <si>
    <t>House No.463,sector C/4,street No.25, Mirpur (azad Kashmir) Mirpur</t>
  </si>
  <si>
    <t>Adi Winter Trouser - large / Blue (x1)</t>
  </si>
  <si>
    <t>TR26912</t>
  </si>
  <si>
    <t>Bakhtiar Muhammad</t>
  </si>
  <si>
    <t>Bara Road noudeh payan. Bara gate c/ o chitralal general Peshawar</t>
  </si>
  <si>
    <t>TR26913</t>
  </si>
  <si>
    <t>Waqas Jhangir</t>
  </si>
  <si>
    <t>+923032246719</t>
  </si>
  <si>
    <t>Gulshan ali Colony near Vicky store..air port road Lahore</t>
  </si>
  <si>
    <t xml:space="preserve">
 | 💰 COD Rec: 2025-12-09 | Ref: CPR-S1FXP178826 | Amt: 2649</t>
  </si>
  <si>
    <t>TR26914</t>
  </si>
  <si>
    <t>Husnain Jatt</t>
  </si>
  <si>
    <t>Ajniawala Hafizabad Road Distric Sheikhupura UBL Bank Ajniawala Sheikhupura</t>
  </si>
  <si>
    <t xml:space="preserve">
 | ↩️ Return Charged: 2025-12-16 | Fee: 200</t>
  </si>
  <si>
    <t>TR26915</t>
  </si>
  <si>
    <t>Muhammad Hashim</t>
  </si>
  <si>
    <t>Distt Bahawalnagar tehsil chishtian city dahranwala Dahranwala</t>
  </si>
  <si>
    <t>Dahranwala</t>
  </si>
  <si>
    <t>LE7522364760</t>
  </si>
  <si>
    <t>Dahranwala  leopard</t>
  </si>
  <si>
    <t>A | X Embroidery LOGO - M / Grey (x1), A | X Embroidery LOGO - M / Maroon (x1)</t>
  </si>
  <si>
    <t>INV-256352</t>
  </si>
  <si>
    <t>TR26916</t>
  </si>
  <si>
    <t>Abdul Qayyum Shah Shah</t>
  </si>
  <si>
    <t>im solar systems, MPS Road Opposit Royal Orchard Colony Multan Multan</t>
  </si>
  <si>
    <t>TR26917</t>
  </si>
  <si>
    <t>Muhammad Khubaib</t>
  </si>
  <si>
    <t>Mukhtar colony, near Jinnah city, Jinnah Road, Gujranwala. Gujranwala</t>
  </si>
  <si>
    <t>TR26918</t>
  </si>
  <si>
    <t>Shujaat Ali</t>
  </si>
  <si>
    <t>Mahala Chah Badry Wala Sharak Pur Shreef Sharaq Pur Shreef</t>
  </si>
  <si>
    <t>Sharaq Pur Shreef</t>
  </si>
  <si>
    <t>tcs  ma aj receive ker la ga</t>
  </si>
  <si>
    <t>TR26919</t>
  </si>
  <si>
    <t>Jawad Hussain Jawad Hussain</t>
  </si>
  <si>
    <t>+923311117954</t>
  </si>
  <si>
    <t>Hno 489, st MR 7, block C, B17, Islamabad. Islamabad</t>
  </si>
  <si>
    <t>whatsup</t>
  </si>
  <si>
    <t>Adi- Hoodie - M / White (x1), Adi- Hoodie - XL / Black (x1)</t>
  </si>
  <si>
    <t>TR26920</t>
  </si>
  <si>
    <t>Uzair Abbas</t>
  </si>
  <si>
    <t>Mainwali Iskhel Post Office Trag Trag</t>
  </si>
  <si>
    <t>Trag</t>
  </si>
  <si>
    <t>LE7522309063</t>
  </si>
  <si>
    <t>parcel nahi lena because ma soo raha hoo</t>
  </si>
  <si>
    <t>TR26921</t>
  </si>
  <si>
    <t>28207replacement</t>
  </si>
  <si>
    <t>NIK- Ref LOGO - L / white (x1)</t>
  </si>
  <si>
    <t>TR26922</t>
  </si>
  <si>
    <t>244-EE St 6 Phase 4 DHA Lahore</t>
  </si>
  <si>
    <t>TR26923</t>
  </si>
  <si>
    <t>anas bin arif</t>
  </si>
  <si>
    <t>+491775047317</t>
  </si>
  <si>
    <t>G-9/1, street 35, house 136 Islamabad</t>
  </si>
  <si>
    <t>TR26924</t>
  </si>
  <si>
    <t>Irfan Jameel</t>
  </si>
  <si>
    <t>R 10 sec 15 A 1 bufferzone north nazimabad Karachi</t>
  </si>
  <si>
    <t>TR26925</t>
  </si>
  <si>
    <t>TR26926</t>
  </si>
  <si>
    <t>muhammad shafaat muhammad shafaat</t>
  </si>
  <si>
    <t>qadrabad chook kasur kasur</t>
  </si>
  <si>
    <t>kasur</t>
  </si>
  <si>
    <t>mera bhai na order kiya haa ma confirm ker ka batata hoo</t>
  </si>
  <si>
    <t>TR26927</t>
  </si>
  <si>
    <t>Altaf Zahid</t>
  </si>
  <si>
    <t>Gujranwala medical college,alipur chatta road near gondlawala pind, boys hostel, Gujranwala Gujranwala</t>
  </si>
  <si>
    <t>TR26928</t>
  </si>
  <si>
    <t>Nabeel Ahmad</t>
  </si>
  <si>
    <t>+923064177003</t>
  </si>
  <si>
    <t>Crumble Core Plot no 288 Humak industrial estate Islamabad (Near Aims Pharmaceutical) Islamabad</t>
  </si>
  <si>
    <t>.
 | 💰 COD Rec: 2025-12-12 | Ref: CPR-DX3ZF222814 | Amt: 2248</t>
  </si>
  <si>
    <t>ADI-3strips Full TrackSuit - M / Black (x1)</t>
  </si>
  <si>
    <t>TR26929</t>
  </si>
  <si>
    <t>Muhammad Safeer</t>
  </si>
  <si>
    <t>House no 111/A omer colony fine house sharah faisal Karchi</t>
  </si>
  <si>
    <t>Karchi</t>
  </si>
  <si>
    <t>Imported Scoba Executive Nik Tro - L / Silver Grey (x1)</t>
  </si>
  <si>
    <t>TR26930</t>
  </si>
  <si>
    <t>M Jabran Ch</t>
  </si>
  <si>
    <t>Bigbird farm near Qadirabad yousuf wala Sahiwal Sahiwal</t>
  </si>
  <si>
    <t>TR26931</t>
  </si>
  <si>
    <t>Rakshi Sami</t>
  </si>
  <si>
    <t>Hn8a Sakhi Sultan Colony Mda Chowk Multan Multan</t>
  </si>
  <si>
    <t>TR26932</t>
  </si>
  <si>
    <t>Abdullah Shakeel</t>
  </si>
  <si>
    <t>Canal park vip block street no 2, house no 181, west canal road Faisalabad. Faisalabad</t>
  </si>
  <si>
    <t>TR26933</t>
  </si>
  <si>
    <t>Nikka Khan</t>
  </si>
  <si>
    <t>Chowk Munda Chowk Munda</t>
  </si>
  <si>
    <t>Chowk Munda</t>
  </si>
  <si>
    <t>order ka sunta hi call kut ker di</t>
  </si>
  <si>
    <t>TR26934</t>
  </si>
  <si>
    <t>Muhammad Ali Siddiqui</t>
  </si>
  <si>
    <t>Haroon Enterprises Jhagra main GT Road Peshawar</t>
  </si>
  <si>
    <t>A | X Embroidery LOGO - XL / Maroon (x1)</t>
  </si>
  <si>
    <t>TR26935</t>
  </si>
  <si>
    <t>Faizan Ahmad</t>
  </si>
  <si>
    <t>439-d-faisal Town Lahore Lahore</t>
  </si>
  <si>
    <t xml:space="preserve">
 | ↩️ Return Charged: 2025-12-16 | Fee: 120</t>
  </si>
  <si>
    <t>TR26936</t>
  </si>
  <si>
    <t>Wajahat hussain</t>
  </si>
  <si>
    <t>Leopards Corrier Service, Branch Jarga Hotel, Leopards Corrier Service, Near Hbl Bank, Gahkuch Gilgit</t>
  </si>
  <si>
    <t>LE7522309943</t>
  </si>
  <si>
    <t>lcs</t>
  </si>
  <si>
    <t>TR26937</t>
  </si>
  <si>
    <t>Zain Ul abideen</t>
  </si>
  <si>
    <t>Hbl Alam Chowk branch Gujranwala Gujranwala</t>
  </si>
  <si>
    <t>TR26938</t>
  </si>
  <si>
    <t>Ramzan Niazi</t>
  </si>
  <si>
    <t>House no 101 a block johar town lahore Lahore</t>
  </si>
  <si>
    <t>TR26939</t>
  </si>
  <si>
    <t>Waseem Abbas Abbasi</t>
  </si>
  <si>
    <t>House No 01 Near Jamiya Masjid Waleed Larkana Larkana</t>
  </si>
  <si>
    <t>TR26940</t>
  </si>
  <si>
    <t>Basit Saleem</t>
  </si>
  <si>
    <t>+923343886531</t>
  </si>
  <si>
    <t>Kaharader Bombay Bazar Falak comparative city near memon masjid Karachi</t>
  </si>
  <si>
    <t>open to allow</t>
  </si>
  <si>
    <t>Dry fit T-shirt sleeveless Jor-Dan - L / mehroon (x1)</t>
  </si>
  <si>
    <t>TR26941</t>
  </si>
  <si>
    <t>Zeeshan Ahmad</t>
  </si>
  <si>
    <t>House # 934 D Block , Centarl Park Lahore Lahore Cantt.</t>
  </si>
  <si>
    <t>Lahore Cantt.</t>
  </si>
  <si>
    <t>Imported Scoba Executive Adi Tro - L / Black (x1)</t>
  </si>
  <si>
    <t>TR26942</t>
  </si>
  <si>
    <t>Shahid Ali</t>
  </si>
  <si>
    <t>House A270 Block 15 Gulistan e Johar Karachi</t>
  </si>
  <si>
    <t>TR26943</t>
  </si>
  <si>
    <t>Mian Usman</t>
  </si>
  <si>
    <t>+923202006688</t>
  </si>
  <si>
    <t>Noor pur lasani chok house no p552 faisalabad Faisalabad</t>
  </si>
  <si>
    <t>TR26944</t>
  </si>
  <si>
    <t>noorpur lasani chok House no p552 Faisalabad</t>
  </si>
  <si>
    <t>TR26945</t>
  </si>
  <si>
    <t>Sarim Khan</t>
  </si>
  <si>
    <t>+923151239478</t>
  </si>
  <si>
    <t>House no 191 sector 14h orangi town karachi Karachi</t>
  </si>
  <si>
    <t>TR26946</t>
  </si>
  <si>
    <t>Asif Ali Ali</t>
  </si>
  <si>
    <t>+923403656204</t>
  </si>
  <si>
    <t>House no A 31 gulshane sehr colony qasimabad Hyderabad sindh Hyderabad</t>
  </si>
  <si>
    <t>ok
 | 💰 COD Rec: 2025-12-23 | Ref: CPR-MWE6F901193 | Amt: 1099</t>
  </si>
  <si>
    <t>A | X Embroidery LOGO - 3XL / Mustard (x1)</t>
  </si>
  <si>
    <t>TR26947</t>
  </si>
  <si>
    <t>Ali Arshad</t>
  </si>
  <si>
    <t>Apartment2002, tower 2, LuckyOne Apartments, FB Area block 21 Karachi</t>
  </si>
  <si>
    <t>TR26948</t>
  </si>
  <si>
    <t>Shahbaz Ali Shahbaz ali</t>
  </si>
  <si>
    <t>+923078173415</t>
  </si>
  <si>
    <t>Kot radha kishan gella kasur nazad nadra office and tcs Kasur</t>
  </si>
  <si>
    <t>open to allow
 | ↩️ Return Charged: 2025-12-16 | Fee: 220</t>
  </si>
  <si>
    <t>TR26949</t>
  </si>
  <si>
    <t>Amanat Shahzad</t>
  </si>
  <si>
    <t>Vil raryala jagdev po box kot baseera Jelhum</t>
  </si>
  <si>
    <t>Jelhum</t>
  </si>
  <si>
    <t>LE7522309069</t>
  </si>
  <si>
    <t>TR26950</t>
  </si>
  <si>
    <t>ارسلان خان</t>
  </si>
  <si>
    <t>Al Hussain petrol pump Chand bhan Nala Multan road Alipur</t>
  </si>
  <si>
    <t>TR26951</t>
  </si>
  <si>
    <t>Abdur Rahman</t>
  </si>
  <si>
    <t>+923228001229</t>
  </si>
  <si>
    <t>48 A Ghalib Road Gulberg III Lahore</t>
  </si>
  <si>
    <t>NIK- Ref LOGO - XL / white (x1), NIK- Ref LOGO - XL / black (x1), Multi ref PUM-A - XL / White (x1), Multi ref PUM-A - XL / Black (x1), ADI Multi Ref Stripes - XL / White (x1), ADI Multi Ref Stripes - XL / Black (x1)</t>
  </si>
  <si>
    <t>TR26952</t>
  </si>
  <si>
    <t>Osman Baig</t>
  </si>
  <si>
    <t>Flat 3, Lane12, Nishat Commercial DHA Phase VI Karachi</t>
  </si>
  <si>
    <t>A | X Embroidery LOGO - XL / Sky (x1), A | X Embroidery LOGO - M / Mustard (x1)</t>
  </si>
  <si>
    <t>TR26953</t>
  </si>
  <si>
    <t>Mustafa Kamboh</t>
  </si>
  <si>
    <t>+923013535282</t>
  </si>
  <si>
    <t>Xpo1 Garments Store Hospital Road Nawab Shah Nawabshah</t>
  </si>
  <si>
    <t>Nawabshah</t>
  </si>
  <si>
    <t>ok
 | ↩️ Return Charged: 2025-12-19 | Fee: 213</t>
  </si>
  <si>
    <t>TR26954</t>
  </si>
  <si>
    <t>Owais Umrani</t>
  </si>
  <si>
    <t>Khair Banu Umrani manzil,noor elahi road, near hub chowki bus stop leamarket, Karachi. Karachi</t>
  </si>
  <si>
    <t>TR26955</t>
  </si>
  <si>
    <t>28100exchange</t>
  </si>
  <si>
    <t>TR26956</t>
  </si>
  <si>
    <t>Syed Ahmad</t>
  </si>
  <si>
    <t>+923404898118</t>
  </si>
  <si>
    <t>Khokhar hospital near Total petrol pump phalia road mandi baha ud din mandi baha ud din</t>
  </si>
  <si>
    <t>mandi baha ud din</t>
  </si>
  <si>
    <t>TR26957</t>
  </si>
  <si>
    <t>Shahid abro</t>
  </si>
  <si>
    <t>Flat Number 6/1 Eastern Pride Block 15 Johar Chaurangi Karachi Near Tcs Office Karachi</t>
  </si>
  <si>
    <t xml:space="preserve">
 | ↩️ Return Charged: 2025-12-30 | Fee: 213</t>
  </si>
  <si>
    <t>CPR-LOPZA422218</t>
  </si>
  <si>
    <t>TR26958</t>
  </si>
  <si>
    <t>Shan Abbasi</t>
  </si>
  <si>
    <t>DANGER MUHLLA Jacobabad</t>
  </si>
  <si>
    <t>TR26959</t>
  </si>
  <si>
    <t>Muhammad Zia Muhammad Zia</t>
  </si>
  <si>
    <t>abbasi General Store Opposite Old BBI Airport Road Rawalpindi Rawalpindi</t>
  </si>
  <si>
    <t>TR26960</t>
  </si>
  <si>
    <t>Sadiq Shah</t>
  </si>
  <si>
    <t>Pajjagi chaghar matti bazar Ashab baba mazar peshawar Peshawar</t>
  </si>
  <si>
    <t>ma avail nahi tha  shadhi ma tha
 | ↩️ Return Charged: 2025-12-19 | Fee: 227</t>
  </si>
  <si>
    <t>TR26961</t>
  </si>
  <si>
    <t>Mahboob Khan</t>
  </si>
  <si>
    <t>Block A Qadri Market Madani General Storei General Store Sami Tower Block A Karachi</t>
  </si>
  <si>
    <t>Tipping Crew - XL / White (x1)</t>
  </si>
  <si>
    <t>TR26962</t>
  </si>
  <si>
    <t>Humair Ali</t>
  </si>
  <si>
    <t>B6/33 ab cinea line baltistani muhalla karachi Karachi</t>
  </si>
  <si>
    <t>TR26963</t>
  </si>
  <si>
    <t>Yasir Hassani</t>
  </si>
  <si>
    <t>QAZI ABAD NUSHKI near PTC office nushki Nushki Balochistan</t>
  </si>
  <si>
    <t>Nushki Balochistan</t>
  </si>
  <si>
    <t>TR26964</t>
  </si>
  <si>
    <t>Adeeb Mirza</t>
  </si>
  <si>
    <t>+923477883191</t>
  </si>
  <si>
    <t>Jattlan near Gorsian Football Ground Mirza Zaman  - Mangla Rd, Jatlanmirpur azaad Kashmir Jatlan</t>
  </si>
  <si>
    <t>Jatlan</t>
  </si>
  <si>
    <t xml:space="preserve">
 | ↩️ Return Charged: 2025-12-23 | Fee: 213</t>
  </si>
  <si>
    <t>TR26965</t>
  </si>
  <si>
    <t>Atif Azad</t>
  </si>
  <si>
    <t>H/no 4B, 247 tameez ud din Road, lalkurti Rawalpindi</t>
  </si>
  <si>
    <t>Adi Branded Tracksuit - 2XL / Black (x1), ADI Ref Stripes - 3XL / White (x1), ADI Ref Stripes - 3XL / Black (x1)</t>
  </si>
  <si>
    <t>TR26966</t>
  </si>
  <si>
    <t>Chaudary plaza shop#23 , Hajipura Sialkot</t>
  </si>
  <si>
    <t xml:space="preserve">
 | 💰 COD Rec: 2025-12-12 | Ref: CPR-DX3ZF222814 | Amt: 4649</t>
  </si>
  <si>
    <t>TR26967</t>
  </si>
  <si>
    <t>Zeeshan Murtaza Murtaza</t>
  </si>
  <si>
    <t>House staff hostel Room No 8 Nishtar Multan Multan</t>
  </si>
  <si>
    <t>TR26968</t>
  </si>
  <si>
    <t>Faizan Ashfaq</t>
  </si>
  <si>
    <t>Tcs hajipura sialkot Sialkot</t>
  </si>
  <si>
    <t>tcs  office</t>
  </si>
  <si>
    <t>TR26969</t>
  </si>
  <si>
    <t>Muhammad Ishaq</t>
  </si>
  <si>
    <t>Kharal House, House No.19,Street No.4,Block Y Housing Colony Layyah Layyah</t>
  </si>
  <si>
    <t>Main out of city tha call ai thy Mjhy main Received ni kr pia thaa
 | ↩️ Return Charged: 2025-12-19 | Fee: 220</t>
  </si>
  <si>
    <t>TR26970</t>
  </si>
  <si>
    <t>Amir Khan</t>
  </si>
  <si>
    <t>155. St.#3. orchard 1 paragon city lahore Lahore</t>
  </si>
  <si>
    <t>TR26971</t>
  </si>
  <si>
    <t>Usama Mazhar</t>
  </si>
  <si>
    <t>Punjab Housing C2-59 Faisalabad</t>
  </si>
  <si>
    <t>TR26972</t>
  </si>
  <si>
    <t>GUL ZAIB</t>
  </si>
  <si>
    <t>Tcs office Ghotki Sindh</t>
  </si>
  <si>
    <t>Sorry i want to cancel that order</t>
  </si>
  <si>
    <t>TR26973</t>
  </si>
  <si>
    <t>Ameer Hamza</t>
  </si>
  <si>
    <t>Abdullah gaas center   bhutta pur chowk nazd bhutta pur flyover  tehsil and district muzzafargarh Muzzafrggarh</t>
  </si>
  <si>
    <t>Muzzafrggarh</t>
  </si>
  <si>
    <t>galti sa white ki jaga black chala gaya
 | ↩️ Return Charged: 2025-12-19 | Fee: 200</t>
  </si>
  <si>
    <t>TR26974</t>
  </si>
  <si>
    <t>Usama bin yaseen</t>
  </si>
  <si>
    <t>P#103 z block madina town mujahid hospital faisalabad Faisalabad</t>
  </si>
  <si>
    <t>TR26975</t>
  </si>
  <si>
    <t>Hassan Bilal</t>
  </si>
  <si>
    <t>Kudlathi Ara tehsil Sahiwal District Sargodha Lahore</t>
  </si>
  <si>
    <t>TR26976</t>
  </si>
  <si>
    <t>Kashaf Munir</t>
  </si>
  <si>
    <t>97 Hasseb block azam garden multan road Lahore Lahore</t>
  </si>
  <si>
    <t>no need cancel ma shop sa la gao ga</t>
  </si>
  <si>
    <t>TR26977</t>
  </si>
  <si>
    <t>+923200469983</t>
  </si>
  <si>
    <t>Kot Radha kishen  chak no 54 near musjid district kasur Kark</t>
  </si>
  <si>
    <t>Kark</t>
  </si>
  <si>
    <t>LE7522368546</t>
  </si>
  <si>
    <t>ok  rider nahi aya</t>
  </si>
  <si>
    <t>TR26978</t>
  </si>
  <si>
    <t>TR26979</t>
  </si>
  <si>
    <t>ADI Multi Ref Stripes - 3XL / White (x1), ADI Multi Ref Stripes - 4XL / Black (x1)</t>
  </si>
  <si>
    <t>TR26980</t>
  </si>
  <si>
    <t>Danish Nawaz</t>
  </si>
  <si>
    <t>+923006002453</t>
  </si>
  <si>
    <t>Kotmomin near fawara chok Kot Momin</t>
  </si>
  <si>
    <t>Kot Momin</t>
  </si>
  <si>
    <t>LE7522368548</t>
  </si>
  <si>
    <t>TR26981</t>
  </si>
  <si>
    <t>+923061651627</t>
  </si>
  <si>
    <t>LE7522368559</t>
  </si>
  <si>
    <t>TR26982</t>
  </si>
  <si>
    <t>Allowed to open Zebi</t>
  </si>
  <si>
    <t>Muslim town near viersin accdmy fort abbas Fort abbas</t>
  </si>
  <si>
    <t>Fort abbas</t>
  </si>
  <si>
    <t>+92 346 2278335 is number sa rider na rabta ker ka apna liya bhi orfder kiya tha</t>
  </si>
  <si>
    <t>ADI-3strips Full TrackSuit - L / Black (x1)</t>
  </si>
  <si>
    <t>TR26983</t>
  </si>
  <si>
    <t>Ali Danish</t>
  </si>
  <si>
    <t>Abbas general store opposite national bank mohala sadaat bharth Sialkot</t>
  </si>
  <si>
    <t>TR26984</t>
  </si>
  <si>
    <t>Sajid Ali</t>
  </si>
  <si>
    <t>Canal Garden Nazd Bakalat Ul Khalid Burewala</t>
  </si>
  <si>
    <t>Burewala</t>
  </si>
  <si>
    <t>TR26985</t>
  </si>
  <si>
    <t>Javid Afridi</t>
  </si>
  <si>
    <t>OGDCL head office islamabad blue area Islamabad</t>
  </si>
  <si>
    <t>+92 346 0753971  not avail
 | ↩️ Return Charged: 2025-12-19 | Fee: 200</t>
  </si>
  <si>
    <t>TR26986</t>
  </si>
  <si>
    <t>Shams Khan</t>
  </si>
  <si>
    <t>Elite Business Tower  32 c sreat 13 24 commercial pas 2 Karachi</t>
  </si>
  <si>
    <t>TR26987</t>
  </si>
  <si>
    <t>Mustafa Ghazi</t>
  </si>
  <si>
    <t>C71 etihad town riwand road phese 1 lahore Lahore</t>
  </si>
  <si>
    <t>TR26988</t>
  </si>
  <si>
    <t>Jazib Wahab</t>
  </si>
  <si>
    <t>+923342885821</t>
  </si>
  <si>
    <t>Shop name RMC enterprise Reagel chowk sadar Karachi</t>
  </si>
  <si>
    <t>TR26989</t>
  </si>
  <si>
    <t>Adil Khan</t>
  </si>
  <si>
    <t>Barasti cafe sagheer market street 40 f10/4 Islamabad</t>
  </si>
  <si>
    <t>TR26990</t>
  </si>
  <si>
    <t>Gohar Khan</t>
  </si>
  <si>
    <t>H#12, St#14, ilam din colony wandala road shahdra lahore Lahore</t>
  </si>
  <si>
    <t>TR26991</t>
  </si>
  <si>
    <t>Qalb.e.Abbas Bukhari</t>
  </si>
  <si>
    <t>12-s M M E Cafe C 4 Nust University Sector H Islamabad</t>
  </si>
  <si>
    <t>TR26992</t>
  </si>
  <si>
    <t>Ahsan Khan</t>
  </si>
  <si>
    <t>+923455423335</t>
  </si>
  <si>
    <t>royal atous Khaigala bazzar zilla Poonch  city rawalakot Rawala Kot</t>
  </si>
  <si>
    <t>Rawala Kot</t>
  </si>
  <si>
    <t>TR26993</t>
  </si>
  <si>
    <t>Safeer Shahi</t>
  </si>
  <si>
    <t>City Dour Shahi Bazar Bismillah Gold Smith Shaheed Benazirabad</t>
  </si>
  <si>
    <t>Shaheed Benazirabad</t>
  </si>
  <si>
    <t>LE7522348983</t>
  </si>
  <si>
    <t>NIK- Ref LOGO - M / white (x1), NIK- Ref LOGO - M / black (x1)</t>
  </si>
  <si>
    <t>TR26994</t>
  </si>
  <si>
    <t>power off</t>
  </si>
  <si>
    <t>TR26995</t>
  </si>
  <si>
    <t>Touseef Rana</t>
  </si>
  <si>
    <t>28 civil  lines ,najma club road Sialkot</t>
  </si>
  <si>
    <t>TR26996</t>
  </si>
  <si>
    <t>Altafbaloch Baloch</t>
  </si>
  <si>
    <t>Hub Chowki shearali pump Hub Chowki</t>
  </si>
  <si>
    <t>Hub Chowki</t>
  </si>
  <si>
    <t>combne cancel</t>
  </si>
  <si>
    <t>TR26997</t>
  </si>
  <si>
    <t>+923162772223</t>
  </si>
  <si>
    <t>Hub Chowki        ( shear ali pump ) Hub Chowki</t>
  </si>
  <si>
    <t>LE7522364763</t>
  </si>
  <si>
    <t>rider nahi aya</t>
  </si>
  <si>
    <t>TR26998</t>
  </si>
  <si>
    <t>Arbab Muzammil</t>
  </si>
  <si>
    <t>Peshawar university lalazar colony hamza street house number 3 ,peshawar Peshawar</t>
  </si>
  <si>
    <t>TR26999</t>
  </si>
  <si>
    <t>LE7522347454</t>
  </si>
  <si>
    <t>DESIGNER Arma-ni - M / skin (x1)</t>
  </si>
  <si>
    <t>TR27000</t>
  </si>
  <si>
    <t>Kumail Shabbir</t>
  </si>
  <si>
    <t>SHABBIR TRADERS 13A/E hyderi memorial market near dehli muslim kabab house Karachi</t>
  </si>
  <si>
    <t>TR27001</t>
  </si>
  <si>
    <t>Rakesh Kumar</t>
  </si>
  <si>
    <t>35-D, PECHS block 6 Karachi</t>
  </si>
  <si>
    <t>LE7522347452</t>
  </si>
  <si>
    <t>Multi ref PUM-A - M / White (x1), Multi ref PUM-A - M / Black (x1), NIK- Ref LOGO - M / white (x1), NIK- Ref LOGO - M / black (x1)</t>
  </si>
  <si>
    <t>TR27002</t>
  </si>
  <si>
    <t>Muhammad Sheharyar</t>
  </si>
  <si>
    <t>House 50 sadiq garden canal road okara Okara</t>
  </si>
  <si>
    <t>TR27003</t>
  </si>
  <si>
    <t>Usman Maan</t>
  </si>
  <si>
    <t>193 Beech St Ottawa</t>
  </si>
  <si>
    <t>Ottawa</t>
  </si>
  <si>
    <t>cancel galti sa order ho gaya</t>
  </si>
  <si>
    <t>TR27004</t>
  </si>
  <si>
    <t>Sajjad Shah</t>
  </si>
  <si>
    <t>Alsyed Photostate Near Nbp Kachehri koRoad Battagram Battagram</t>
  </si>
  <si>
    <t>Battagram</t>
  </si>
  <si>
    <t>nahe aya mery pas
 | ↩️ Return Charged: 2025-12-19 | Fee: 213</t>
  </si>
  <si>
    <t>TR27005</t>
  </si>
  <si>
    <t>ahmed Raees</t>
  </si>
  <si>
    <t>+923170163547</t>
  </si>
  <si>
    <t>Bi pass road  nazad little scholar school feroza Teh Liaquat pur Dist Rahim yar khan Feroza</t>
  </si>
  <si>
    <t>Feroza</t>
  </si>
  <si>
    <t>ok  rider aya hi nahi</t>
  </si>
  <si>
    <t>ADI Ref Stripes - L / White (x1), ADI Ref Stripes - L / Black (x1)</t>
  </si>
  <si>
    <t>TR27006</t>
  </si>
  <si>
    <t>Saad Ammar</t>
  </si>
  <si>
    <t>New Hostel GC University Lahore opposite katchery court street lower mall Lahore Lahore</t>
  </si>
  <si>
    <t>TR27007</t>
  </si>
  <si>
    <t>abdullah.shinwari1255@gmail.com Shinwari</t>
  </si>
  <si>
    <t>Shop No 83 Royal Plaza Bijli Gali Karkhano Peshawar Peshawar</t>
  </si>
  <si>
    <t>TR27008</t>
  </si>
  <si>
    <t>Muhammad Zuhaib</t>
  </si>
  <si>
    <t>806-korangi No 1 Near Madni Masjid Karachi</t>
  </si>
  <si>
    <t>TR27009</t>
  </si>
  <si>
    <t>Hannan Gohar</t>
  </si>
  <si>
    <t>Flat C9 210D Rehmanpura Colony Lahore Lahore</t>
  </si>
  <si>
    <t>TR27010</t>
  </si>
  <si>
    <t>Zubair Tariq Tariq</t>
  </si>
  <si>
    <t>+923303171725</t>
  </si>
  <si>
    <t>Hayatabad Peshawar phase 2 khattak hostel Peshawar</t>
  </si>
  <si>
    <t xml:space="preserve">
 | 💰 COD Rec: 2025-12-12 | Ref: CPR-DX3ZF222814 | Amt: 3949</t>
  </si>
  <si>
    <t>TR27011</t>
  </si>
  <si>
    <t>Usman Waraixh</t>
  </si>
  <si>
    <t>+923155344507</t>
  </si>
  <si>
    <t>House 09 street 15 sector c DHA 2 Islamabad Islamabad</t>
  </si>
  <si>
    <t>LE7522347000</t>
  </si>
  <si>
    <t>TR27012</t>
  </si>
  <si>
    <t>Raja Arslan</t>
  </si>
  <si>
    <t>New Multan v block. j street Multan</t>
  </si>
  <si>
    <t>LE7522347455</t>
  </si>
  <si>
    <t>TR27013</t>
  </si>
  <si>
    <t>Muhammad Shahzad</t>
  </si>
  <si>
    <t>Kaka Khel Town Peshawar Peshawar.but Parcel Open Check Hoga..</t>
  </si>
  <si>
    <t>Peshawar.but Parcel Open Check Hoga..</t>
  </si>
  <si>
    <t>allow to open
 | ↩️ Return Charged: 2025-12-19 | Fee: 227</t>
  </si>
  <si>
    <t>TR27014</t>
  </si>
  <si>
    <t>syed ahsan jafri</t>
  </si>
  <si>
    <t>Branch Manager Faysal Bank Limited main PWD road National police foundation Islamabad Islamabad</t>
  </si>
  <si>
    <t>TR27015</t>
  </si>
  <si>
    <t>Tanveer Anwar</t>
  </si>
  <si>
    <t>system Limited software company near DHA phase 8 lahore. lahore</t>
  </si>
  <si>
    <t>TR27016</t>
  </si>
  <si>
    <t>Umar Khan</t>
  </si>
  <si>
    <t>House No. Sd 205,paf Falcon Complex, Gulberg 3 Lahore Lahore</t>
  </si>
  <si>
    <t>TR27017</t>
  </si>
  <si>
    <t>Zain Zaidi</t>
  </si>
  <si>
    <t>House # 146/k-1 block 2 pechs behind toyota showroom and hockey ground Karachi</t>
  </si>
  <si>
    <t>TR27018</t>
  </si>
  <si>
    <t>Abdur Rehman</t>
  </si>
  <si>
    <t>Thoker niaz baig Near Ali hospital Bismilah pan shop Lahore</t>
  </si>
  <si>
    <t>Nhi meray pss nhi aya
 | ↩️ Return Charged: 2025-12-16 | Fee: 107</t>
  </si>
  <si>
    <t>TR27019</t>
  </si>
  <si>
    <t>ghulam abbas Sagheer</t>
  </si>
  <si>
    <t>Mian town jallo park road opposite shah din marriage hall Lahore</t>
  </si>
  <si>
    <t>TR27020</t>
  </si>
  <si>
    <t>Muhmmad Haroon Abul hameed</t>
  </si>
  <si>
    <t>Mohla Bajli Gahr Shakhar Garh Near Honda Show Room Shakhar Garh</t>
  </si>
  <si>
    <t>Shakhar Garh</t>
  </si>
  <si>
    <t>not ans
 | ↩️ Return Charged: 2025-12-26 | Fee: 220</t>
  </si>
  <si>
    <t>TR27021</t>
  </si>
  <si>
    <t>Zia ud Din</t>
  </si>
  <si>
    <t>B 21 R block north Nazimabad Karachi</t>
  </si>
  <si>
    <t>TR27022</t>
  </si>
  <si>
    <t>Qaisar Naveed</t>
  </si>
  <si>
    <t>+923214850301</t>
  </si>
  <si>
    <t>St No1 Haji Park Bedian Road Lahore Cantt Lahore</t>
  </si>
  <si>
    <t>ma busy hoo bad ma call kerta hoo
 | ↩️ Return Charged: 2025-12-23 | Fee: 120</t>
  </si>
  <si>
    <t>TR27023</t>
  </si>
  <si>
    <t>Manzoor Ahmed</t>
  </si>
  <si>
    <t>Nematullah Market Tailor Abdul Ghaffar Bhiria Road District Naushahro Feroze gy Bhiria Road</t>
  </si>
  <si>
    <t>Bhiria Road</t>
  </si>
  <si>
    <t>TR27024</t>
  </si>
  <si>
    <t>Yasir Nawaz</t>
  </si>
  <si>
    <t>+923066515600</t>
  </si>
  <si>
    <t>Mandi mor katchery road near al shifa hospital street no. 2 pakpattan Pakpattan</t>
  </si>
  <si>
    <t>Pakpattan</t>
  </si>
  <si>
    <t>TR27025</t>
  </si>
  <si>
    <t>Sikandar Haq</t>
  </si>
  <si>
    <t>H No 270,strt no 7,Eastern district,Bahria orchard,Raiwind road lahore Lahore</t>
  </si>
  <si>
    <t>TR27026</t>
  </si>
  <si>
    <t>irfan Ali</t>
  </si>
  <si>
    <t>Azizaabad sadiqabad Sadiqabad</t>
  </si>
  <si>
    <t>cancel mujha receive ho agay haaa</t>
  </si>
  <si>
    <t>TR27027</t>
  </si>
  <si>
    <t>COMBINE CANCEL</t>
  </si>
  <si>
    <t>TR27028</t>
  </si>
  <si>
    <t>sudais khan sudais khan</t>
  </si>
  <si>
    <t>+923214321940</t>
  </si>
  <si>
    <t>Meezan Bank - Nowshera Branch, Main Peshawar Rd, Nowshera Nowshera cantt</t>
  </si>
  <si>
    <t>Nowshera cantt</t>
  </si>
  <si>
    <t>whatsup
 | ↩️ Return Charged: 2025-12-19 | Fee: 213</t>
  </si>
  <si>
    <t>TR27029</t>
  </si>
  <si>
    <t>Sheikh Aamir Aamir</t>
  </si>
  <si>
    <t>Saddar Gul Plaza Shop No 75 Mezzanine floor Karachi</t>
  </si>
  <si>
    <t>TR27030</t>
  </si>
  <si>
    <t>Muhammad waqar Virk</t>
  </si>
  <si>
    <t>9c second floor near Abdullah stationary photo state touheed commercial phase V DHA karachi Karachi</t>
  </si>
  <si>
    <t>A | X Embroidery LOGO - L / Mustard (x1)</t>
  </si>
  <si>
    <t>TR27031</t>
  </si>
  <si>
    <t>Muneeb Ahmad</t>
  </si>
  <si>
    <t>+923217219080</t>
  </si>
  <si>
    <t>Ghakkhar Institute of Technology Main G T Road Ghakkhar Gujranwala</t>
  </si>
  <si>
    <t>A | X Embroidery LOGO - 3XL / White (x1), A | X Embroidery LOGO - 3XL / Sky (x1), A | X Embroidery LOGO - 3XL / Black (x1)</t>
  </si>
  <si>
    <t>TR27032</t>
  </si>
  <si>
    <t>+923474065437</t>
  </si>
  <si>
    <t>28190exchange</t>
  </si>
  <si>
    <t>TR27033</t>
  </si>
  <si>
    <t>Muhammad Aoun</t>
  </si>
  <si>
    <t>Village lakhia district hafizabad Hafizabad</t>
  </si>
  <si>
    <t>LE7522348986</t>
  </si>
  <si>
    <t>hafizabad  leopard    boll raha ka office sa receive ker la gaa</t>
  </si>
  <si>
    <t>TR27034</t>
  </si>
  <si>
    <t>Aman javed Javed</t>
  </si>
  <si>
    <t>Muhallah riaz pura boys hostel back side near akram store Shakargarh</t>
  </si>
  <si>
    <t>Shakargarh</t>
  </si>
  <si>
    <t>Imported Scoba Executive Nik Tro - XL / Black (x1)</t>
  </si>
  <si>
    <t>TR27035</t>
  </si>
  <si>
    <t>Isam Waqar</t>
  </si>
  <si>
    <t>740 C Block Street 13 DHA Phase 6 Lahore</t>
  </si>
  <si>
    <t>ADI Ref Stripes - 2XL / White (x1), ADI Ref Stripes - 2XL / Black (x1), Adi- Hoodie - 2xl / White (x1), Adi- Hoodie - 2xl / Black (x1)</t>
  </si>
  <si>
    <t>TR27036</t>
  </si>
  <si>
    <t>Shalimar link road Shalimar hospital Lahore</t>
  </si>
  <si>
    <t>Ma us time yhn nai tha cancel kar dia a
 | ↩️ Return Charged: 2025-12-23 | Fee: 107</t>
  </si>
  <si>
    <t>TR27037</t>
  </si>
  <si>
    <t>Qasim Lakho. Qasim Lakho.</t>
  </si>
  <si>
    <t>+923332580819</t>
  </si>
  <si>
    <t>Mehboob General store, opposite Old MCB bank main road New Saeedabad, Dist Matiari, Sindh. New Saeedabad, Dist Matiari, Sindh.</t>
  </si>
  <si>
    <t>New Saeedabad, Dist Matiari, Sindh.</t>
  </si>
  <si>
    <t>TR27038</t>
  </si>
  <si>
    <t>Usman Usman</t>
  </si>
  <si>
    <t>+923263602890</t>
  </si>
  <si>
    <t>jubilee chowrangi Noor Masjid  near Mamu Biryani karachi</t>
  </si>
  <si>
    <t>NIK- Ref LOGO - M / white (x1), Embossed NIK-E - M / White (x1)</t>
  </si>
  <si>
    <t>TR27039</t>
  </si>
  <si>
    <t>Sanaullah Kamboh</t>
  </si>
  <si>
    <t>Near  Dr.Azam wade no16 Mehrabpur</t>
  </si>
  <si>
    <t>Mehrabpur</t>
  </si>
  <si>
    <t>TR27040</t>
  </si>
  <si>
    <t>Amir Sohail</t>
  </si>
  <si>
    <t>+923469274169</t>
  </si>
  <si>
    <t>Peshawar  charsadda tahsil shabqdar Peshawar</t>
  </si>
  <si>
    <t>shabqdar tcs / lcs     ridr aya tha ma avail nahi tha ap reattempt ker do
 | ↩️ Return Charged: 2025-12-30 | Fee: 414</t>
  </si>
  <si>
    <t>Basic RL Crew- Plus Size - 2XL / Dark Grey (x1)</t>
  </si>
  <si>
    <t>TR27041</t>
  </si>
  <si>
    <t>Mazhar Naseem</t>
  </si>
  <si>
    <t>No 1-54/c Sandal Street Saeed Colony Faisalabad</t>
  </si>
  <si>
    <t>TR27042</t>
  </si>
  <si>
    <t>Sufyan Ahmad</t>
  </si>
  <si>
    <t>Servies Long march tyre limited Noriyabad Noriyabad</t>
  </si>
  <si>
    <t>Noriyabad</t>
  </si>
  <si>
    <t>fake attempt</t>
  </si>
  <si>
    <t>Imported Scoba Executive Nik Tro - M / commando (x1)</t>
  </si>
  <si>
    <t>TR27043</t>
  </si>
  <si>
    <t>Sajid Mehmood</t>
  </si>
  <si>
    <t>Ch plaza st town comercal markt rawlpindi Rawalpindi</t>
  </si>
  <si>
    <t>Koi rider nahi aya na he ph cal ayi ha
 | ↩️ Return Charged: 2025-12-30 | Fee: 220</t>
  </si>
  <si>
    <t>TR27044</t>
  </si>
  <si>
    <t>faheem saleem</t>
  </si>
  <si>
    <t>A-167 block 5 sadabad society gulistan e johar mear labbaik  motors 2 floor karachi</t>
  </si>
  <si>
    <t>LE7522347488</t>
  </si>
  <si>
    <t>TR27045</t>
  </si>
  <si>
    <t>Malik Malik</t>
  </si>
  <si>
    <t>+923036392362</t>
  </si>
  <si>
    <t>Chashma niazi adda  Near new colony gate Mianwali</t>
  </si>
  <si>
    <t>call bhi nahi ai
 | ↩️ Return Charged: 2025-12-30 | Fee: 200</t>
  </si>
  <si>
    <t>TR27046</t>
  </si>
  <si>
    <t>Asif Chhipa</t>
  </si>
  <si>
    <t>Uzair glass bohrapir sheesha markit karachi Karachi</t>
  </si>
  <si>
    <t>LE7522347487</t>
  </si>
  <si>
    <t>TR27047</t>
  </si>
  <si>
    <t>Muhammad Zohaib</t>
  </si>
  <si>
    <t>B-154 block 5 KAECHS Karachi</t>
  </si>
  <si>
    <t>LE7522347485</t>
  </si>
  <si>
    <t>TR27048</t>
  </si>
  <si>
    <t>Imran Rao</t>
  </si>
  <si>
    <t>+923008181865</t>
  </si>
  <si>
    <t>Office alkareem orchard town near dream land phase 3 Mian Channu</t>
  </si>
  <si>
    <t xml:space="preserve">ok
HELLO 
</t>
  </si>
  <si>
    <t>Imported Scoba Executive Nik Tro - L / Black (x1)</t>
  </si>
  <si>
    <t>TR27049</t>
  </si>
  <si>
    <t>Usman Khalid Maan</t>
  </si>
  <si>
    <t>Faisalabad Kalyan wala 193 RB Faisalabad</t>
  </si>
  <si>
    <t>TR27050</t>
  </si>
  <si>
    <t>TR27051</t>
  </si>
  <si>
    <t>Ejaz Nawab</t>
  </si>
  <si>
    <t>177 B Secter C Jasmeen Block Bahria Town Lahore</t>
  </si>
  <si>
    <t>TR27052</t>
  </si>
  <si>
    <t>+923018421018</t>
  </si>
  <si>
    <t>House No 457, Street No 9 Imperial 1 Paragon City Lahore Lahore</t>
  </si>
  <si>
    <t>LE7522347484</t>
  </si>
  <si>
    <t>TR27053</t>
  </si>
  <si>
    <t>Noor Ul amon Wazir</t>
  </si>
  <si>
    <t>Sabil Khan Baba Filling Station, Near Muslim Chowk, Main Klp Road Rahim Yar Khan Rahim Yar khan</t>
  </si>
  <si>
    <t>Rahim Yar khan</t>
  </si>
  <si>
    <t>LE7522347457</t>
  </si>
  <si>
    <t>TR27054</t>
  </si>
  <si>
    <t>Sulman Nazir</t>
  </si>
  <si>
    <t>New ali electric store shahi rood Rahim yar khan</t>
  </si>
  <si>
    <t>Rahim yar khan</t>
  </si>
  <si>
    <t>TR27055</t>
  </si>
  <si>
    <t>Farhan Yameen</t>
  </si>
  <si>
    <t>Piran Gaib Road Z Town Phase 1 Multan Multan</t>
  </si>
  <si>
    <t>LE7522347458</t>
  </si>
  <si>
    <t>TR27056</t>
  </si>
  <si>
    <t>Umar Rana</t>
  </si>
  <si>
    <t>+923001212298</t>
  </si>
  <si>
    <t>Matta virkan tehsil nowsehra virkan district gujranwala Gujranwala</t>
  </si>
  <si>
    <t>not ans in wp</t>
  </si>
  <si>
    <t>TR27057</t>
  </si>
  <si>
    <t>Abdul Rehman</t>
  </si>
  <si>
    <t>1122-akbar Plaza Sialkot Stationers Daska Road Near Rescue Sialkot</t>
  </si>
  <si>
    <t>TR27058</t>
  </si>
  <si>
    <t>Talib Mayoon</t>
  </si>
  <si>
    <t>Street 5A building 56-57 House#6 Golden Jubilee Residential Cooperative Housing Society Rawalpindi</t>
  </si>
  <si>
    <t>LE7522347482</t>
  </si>
  <si>
    <t>TR27059</t>
  </si>
  <si>
    <t>Sajjad Hussain</t>
  </si>
  <si>
    <t>Kpk chitral drosh pedo office drosh near tmo office Kpk Chitral</t>
  </si>
  <si>
    <t>Kpk Chitral</t>
  </si>
  <si>
    <t>open to allow  size ka masla tha nahi lena
 | ↩️ Return Charged: 2025-12-23 | Fee: 227</t>
  </si>
  <si>
    <t>TR27060</t>
  </si>
  <si>
    <t>Street Number 5, House Number 178/1B, Cheema Colony, Wazirabad Wazirabad</t>
  </si>
  <si>
    <t>Wazirabad</t>
  </si>
  <si>
    <t>LE7522347483</t>
  </si>
  <si>
    <t>TR27061</t>
  </si>
  <si>
    <t>Zain Raza</t>
  </si>
  <si>
    <t>Alkhaf boys Hostel Dream street near UMT Johar town Lahore Lahore - Johar Town</t>
  </si>
  <si>
    <t>Lahore - Johar Town</t>
  </si>
  <si>
    <t>LE7522347480</t>
  </si>
  <si>
    <t>TR27062</t>
  </si>
  <si>
    <t>Saad Chauhan</t>
  </si>
  <si>
    <t>47s pechs block 2 Karachi</t>
  </si>
  <si>
    <t>LE7522347460</t>
  </si>
  <si>
    <t>TR27063</t>
  </si>
  <si>
    <t>Ali Ali</t>
  </si>
  <si>
    <t>+923412207325</t>
  </si>
  <si>
    <t>R-787 15/A/1 Buffer zone karachi North nazimabad karachi</t>
  </si>
  <si>
    <t>TR27064</t>
  </si>
  <si>
    <t>Mubeen Muhammad</t>
  </si>
  <si>
    <t>House 113 street 1 block A rozi khan goth surjani karachi Karachi</t>
  </si>
  <si>
    <t>LE7522347479</t>
  </si>
  <si>
    <t>NIK- Ref LOGO - 3XL / white (x1), NIK- Ref LOGO - 3XL / black (x1)</t>
  </si>
  <si>
    <t>TR27065</t>
  </si>
  <si>
    <t>+923004325576</t>
  </si>
  <si>
    <t>28162,28340 both exchange</t>
  </si>
  <si>
    <t>Adi Branded Tracksuit - 2XL / Black (x1), NIK- Ref LOGO - XL / black (x1)</t>
  </si>
  <si>
    <t>TR27066</t>
  </si>
  <si>
    <t>Abdullah Azhar</t>
  </si>
  <si>
    <t>Tower 4-2/2, phase 4, naval housing scheme karsaz, karachi. Karachi</t>
  </si>
  <si>
    <t>Yes rider aya tha, mene khud wapis bheja hai   Since I'm not in town
 | ↩️ Return Charged: 2025-12-26 | Fee: 213</t>
  </si>
  <si>
    <t>TR27067</t>
  </si>
  <si>
    <t>Iqra Iqra</t>
  </si>
  <si>
    <t>pind dadan khan lilla town Al shifa pharmacy Pind Dadan Khan</t>
  </si>
  <si>
    <t>Basic RL Crew- Cotton - L / Black (x1)</t>
  </si>
  <si>
    <t>TR27068</t>
  </si>
  <si>
    <t>+923256054519</t>
  </si>
  <si>
    <t>Service shoes shop near leopard office feroze wattwan Faisalabad road Feroze wattwan</t>
  </si>
  <si>
    <t>Feroze wattwan</t>
  </si>
  <si>
    <t>Imported Scoba Executive Adi Tro - L / olive (x1)</t>
  </si>
  <si>
    <t>TR27069</t>
  </si>
  <si>
    <t>Suhail Ahmed shah Rashdi</t>
  </si>
  <si>
    <t>+923048248191</t>
  </si>
  <si>
    <t>Sindhi khairpur mirs pir Jo goth sallar muhallah  House Abdul Latif shah rashdi Khairpur</t>
  </si>
  <si>
    <t>Khairpur</t>
  </si>
  <si>
    <t>TR27070</t>
  </si>
  <si>
    <t>Shoaib Ismail</t>
  </si>
  <si>
    <t>Orange Town 10 Faqir Coloni Karachi</t>
  </si>
  <si>
    <t>TR27071</t>
  </si>
  <si>
    <t>Mubashir Asghar</t>
  </si>
  <si>
    <t>Suthra Punjab office gerneli road Qauid abad</t>
  </si>
  <si>
    <t>Qauid abad</t>
  </si>
  <si>
    <t>TR27072</t>
  </si>
  <si>
    <t>Hassan yousaf Hassan yousaf</t>
  </si>
  <si>
    <t>+923076560459</t>
  </si>
  <si>
    <t>Muslim Town  near  lari adda    call courier Mian Channu</t>
  </si>
  <si>
    <t>call courier</t>
  </si>
  <si>
    <t>TR27073</t>
  </si>
  <si>
    <t>Maaz Khan</t>
  </si>
  <si>
    <t>Near Mominabad  near Universal health institute Karachi</t>
  </si>
  <si>
    <t>cancel abhi nahi lena +92 321 2633036</t>
  </si>
  <si>
    <t>TR27074</t>
  </si>
  <si>
    <t>Muhammad Rana Zulkarnain Muhammad Zulkarnain</t>
  </si>
  <si>
    <t>Pakistan City gujranwala. City ghakkar mani village kala wala Ghakkar Mandi</t>
  </si>
  <si>
    <t>Ghakkar Mandi</t>
  </si>
  <si>
    <t>TR27075</t>
  </si>
  <si>
    <t>Muhammad Ansar</t>
  </si>
  <si>
    <t>Nadeem General Store Khan Garh Muzaffargarh</t>
  </si>
  <si>
    <t>Muzaffargarh</t>
  </si>
  <si>
    <t>TR27076</t>
  </si>
  <si>
    <t>+923011333116</t>
  </si>
  <si>
    <t>Signature Adi-Trouser - M / Grey (x1), Adi Winter Trouser - M / Black (x1)</t>
  </si>
  <si>
    <t>TR27077</t>
  </si>
  <si>
    <t>Junaid Rasheed</t>
  </si>
  <si>
    <t>+923150673081</t>
  </si>
  <si>
    <t>Head Rajkan Madina Colony  shakeel book center Bahawalpur</t>
  </si>
  <si>
    <t>confirm
 | ↩️ Return Charged: 2025-12-30 | Fee: 200</t>
  </si>
  <si>
    <t>TR27078</t>
  </si>
  <si>
    <t>Sajjad Rafique</t>
  </si>
  <si>
    <t>Defence view phase 2 near iqra univeirsty g51 al rehman hostel Karachi</t>
  </si>
  <si>
    <t>TR27079</t>
  </si>
  <si>
    <t>Syed Asim Raza</t>
  </si>
  <si>
    <t>House# A-751, Mohammadi Dera, Malir 15 Flyover, Karachi</t>
  </si>
  <si>
    <t>TR27080</t>
  </si>
  <si>
    <t>Shakeel Ahmed</t>
  </si>
  <si>
    <t>Tcs Office Air Port Road Gwadar Kech</t>
  </si>
  <si>
    <t>Kech</t>
  </si>
  <si>
    <t>tcs / lcs / call courier</t>
  </si>
  <si>
    <t>TR27081</t>
  </si>
  <si>
    <t>M Daniyal</t>
  </si>
  <si>
    <t>Bin talib residency, near shahnawaz chowk, Tando Adam Tando Adam</t>
  </si>
  <si>
    <t>Tando Adam</t>
  </si>
  <si>
    <t>A | X Embroidery LOGO - M / Grey (x1)</t>
  </si>
  <si>
    <t>TR27082</t>
  </si>
  <si>
    <t>Haroon Gondal</t>
  </si>
  <si>
    <t>+923272890001</t>
  </si>
  <si>
    <t>Galib road Sialkot jhai bazarr nzd bari masjid Sialkot</t>
  </si>
  <si>
    <t>TR27083</t>
  </si>
  <si>
    <t>Muhammad Akram</t>
  </si>
  <si>
    <t>Mohalla Peery Wala Hamid Pur Kanora Old Shuja Abad Road Multan Near Smart Premium Housing Society Tehsil And District Multan Multan</t>
  </si>
  <si>
    <t>TR27084</t>
  </si>
  <si>
    <t>Ibrar khan</t>
  </si>
  <si>
    <t>+923359594971</t>
  </si>
  <si>
    <t>Islamabad G-13/4 Sareena height hostel Islamabad</t>
  </si>
  <si>
    <t>confirm
 | ↩️ Return Charged: 2025-12-23 | Fee: 200</t>
  </si>
  <si>
    <t>TR27085</t>
  </si>
  <si>
    <t>Awais Ali</t>
  </si>
  <si>
    <t>+923251253310</t>
  </si>
  <si>
    <t>Sialkot chack mandhar Kharota saida Wala rood... Sialkot</t>
  </si>
  <si>
    <t>ok
 | ↩️ Return Charged: 2025-12-26 | Fee: 200</t>
  </si>
  <si>
    <t>TR27086</t>
  </si>
  <si>
    <t>Shafique Ahmed Ahmed</t>
  </si>
  <si>
    <t>Airport road allmuh chok police colony Quetta Quetta</t>
  </si>
  <si>
    <t xml:space="preserve">
 | ↩️ Return Charged: 2025-12-30 | Fee: 227</t>
  </si>
  <si>
    <t>TR27087</t>
  </si>
  <si>
    <t>Mohammed Sajjad Sajjad</t>
  </si>
  <si>
    <t>+923454928035</t>
  </si>
  <si>
    <t>Lal Dwara Kucha Wazirabad.</t>
  </si>
  <si>
    <t>Wazirabad.</t>
  </si>
  <si>
    <t>nahi lena ap cancel ker dein</t>
  </si>
  <si>
    <t>TR27088</t>
  </si>
  <si>
    <t>Aafreen murtaza</t>
  </si>
  <si>
    <t>D 97 block 7 gulshan e iqbal Karachi</t>
  </si>
  <si>
    <t>paisa nahi hain
 | ↩️ Return Charged: 2025-12-26 | Fee: 227</t>
  </si>
  <si>
    <t>TR27089</t>
  </si>
  <si>
    <t>Muhammad Sami hussain</t>
  </si>
  <si>
    <t>Naimatabad road Pathan Wala Chowk Faisal Town Street Number 2 Near Ms Milk Shop Jhung Road Faisalabad Faislabad City</t>
  </si>
  <si>
    <t>Faislabad City</t>
  </si>
  <si>
    <t>TR27090</t>
  </si>
  <si>
    <t>Uzair Ibrahim</t>
  </si>
  <si>
    <t>Nawaz boys hostel shah Latif town sector 17-a FAST university Karachi</t>
  </si>
  <si>
    <t>not ans
 | ↩️ Return Charged: 2025-12-23 | Fee: 227</t>
  </si>
  <si>
    <t>TR27091</t>
  </si>
  <si>
    <t>Bilal Zubair</t>
  </si>
  <si>
    <t>Lhr Road Bdu Murady Rood Toheed Abad Nzd Jamia Muhmmdia Sheikhpura Qila Shekhupura</t>
  </si>
  <si>
    <t>Qila Shekhupura</t>
  </si>
  <si>
    <t>TR27092</t>
  </si>
  <si>
    <t>GHULAM MURTAZA</t>
  </si>
  <si>
    <t>Dr. Farid Ahmed and Company Sindh Small Industry Larkana</t>
  </si>
  <si>
    <t>TR27093</t>
  </si>
  <si>
    <t>Amin ch</t>
  </si>
  <si>
    <t>Nori Masjid Mohajir Colony Liaquatpur</t>
  </si>
  <si>
    <t>Liaquatpur</t>
  </si>
  <si>
    <t>cancel tis one</t>
  </si>
  <si>
    <t>TR27094</t>
  </si>
  <si>
    <t>+923038054125</t>
  </si>
  <si>
    <t>near Nori Masjid Mohajir Colony Liaquatpur</t>
  </si>
  <si>
    <t>TR27095</t>
  </si>
  <si>
    <t>Muddasir Sharif</t>
  </si>
  <si>
    <t>Bar kahu ghnani boys hostal Islamabad</t>
  </si>
  <si>
    <t>TR27096</t>
  </si>
  <si>
    <t>Aryan batra</t>
  </si>
  <si>
    <t>Flat No 902 f block parsa citi garden Karachi</t>
  </si>
  <si>
    <t>TR27097</t>
  </si>
  <si>
    <t>ZRC Complex, School of Army Air Defense Malir Cantonment Karachi Karachi</t>
  </si>
  <si>
    <t>confirm haa    number bussy haa
 | ↩️ Return Charged: 2025-12-30 | Fee: 414</t>
  </si>
  <si>
    <t>TR27098</t>
  </si>
  <si>
    <t>Asif Hakeem</t>
  </si>
  <si>
    <t>Hamza Mobiles Darbar Road Mithan Kot District Rajanpur Mithankot District Rajanpur</t>
  </si>
  <si>
    <t>Mithankot District Rajanpur</t>
  </si>
  <si>
    <t>TR27099</t>
  </si>
  <si>
    <t>Kamran Abbas</t>
  </si>
  <si>
    <t>VPO, MCB Bank Ahmedal, TEH, Pindi Gheb, DISTT, Attock Ahmedal</t>
  </si>
  <si>
    <t>Ahmedal</t>
  </si>
  <si>
    <t>TR27100</t>
  </si>
  <si>
    <t>Mian Ubaid</t>
  </si>
  <si>
    <t>Near Islamia Educational Grammar School Dhair Shahdara Town Lahore Lahore</t>
  </si>
  <si>
    <t>number off</t>
  </si>
  <si>
    <t>TR27101</t>
  </si>
  <si>
    <t>+923120254228</t>
  </si>
  <si>
    <t>Orange Town 10 Faqir Coloni  near sara medical Karachi</t>
  </si>
  <si>
    <t>TR27102</t>
  </si>
  <si>
    <t>27 3A Dha Rahbar Haloki Garden Defence Road Lahore Lahore</t>
  </si>
  <si>
    <t>TR27103</t>
  </si>
  <si>
    <t>Zahid Awan</t>
  </si>
  <si>
    <t>Irrigation colony near pilot school larkana Larkana</t>
  </si>
  <si>
    <t>TR27104</t>
  </si>
  <si>
    <t>Sameer Ijaz</t>
  </si>
  <si>
    <t>+923197030234</t>
  </si>
  <si>
    <t>"Pull 214 Malik Book Dipu" Other</t>
  </si>
  <si>
    <t>consignee reamrks ( yahi address haa city nahi haa)</t>
  </si>
  <si>
    <t>TR27105</t>
  </si>
  <si>
    <t>Abdul Sami</t>
  </si>
  <si>
    <t>+923016437162</t>
  </si>
  <si>
    <t>Gulistan villas block A house 23 Daska</t>
  </si>
  <si>
    <t>Daska</t>
  </si>
  <si>
    <t>Adi- Hoodie - M / Black (x1), Imported Scoba Executive Nik Tro - M / Silver Grey (x1)</t>
  </si>
  <si>
    <t>TR27106</t>
  </si>
  <si>
    <t>TR27107</t>
  </si>
  <si>
    <t>TR27108</t>
  </si>
  <si>
    <t>Mohammad Hassan Mohammad Hassan</t>
  </si>
  <si>
    <t>+923162602640</t>
  </si>
  <si>
    <t>Kneez Fatima Aleem paradise near new Karachi Allah wali Karachi karachi</t>
  </si>
  <si>
    <t>Multi ref PUM-A - M / Black (x1), Embossed NIK-E - M / White (x1)</t>
  </si>
  <si>
    <t>TR27109</t>
  </si>
  <si>
    <t>Waqqar Ul Hassan</t>
  </si>
  <si>
    <t>DAWLANCE sales officer, 96-A, People's Colony #1, Karan wala Road, In Front of Signature by Erum, Faisalabad. Faisalabad</t>
  </si>
  <si>
    <t>nahi lena mana dil nahi ker raha sath ma bohat late haaa
 | ↩️ Return Charged: 2025-12-26 | Fee: 313</t>
  </si>
  <si>
    <t>TR27110</t>
  </si>
  <si>
    <t>Atif Shaikh Atif Shaikh</t>
  </si>
  <si>
    <t>+923101333537</t>
  </si>
  <si>
    <t>Kiran Cosmetics Muslim Shopping center Khisak Pura Mirpurkhas Mirpurkhas</t>
  </si>
  <si>
    <t>ADI Multi Ref Stripes - XL / Black (x1), Multi ref PUM-A - XL / White (x1), Multi ref PUM-A - XL / Black (x1)</t>
  </si>
  <si>
    <t>TR27111</t>
  </si>
  <si>
    <t>Sudais J</t>
  </si>
  <si>
    <t>Kalapul Police Officer Colony Road Near Gelani Mart Abbottabad Abbottabad</t>
  </si>
  <si>
    <t>TR27112</t>
  </si>
  <si>
    <t>Khawaja Imran Ashraf</t>
  </si>
  <si>
    <t>+923018457771</t>
  </si>
  <si>
    <t>Best wheels- Queen’s Road Lahore</t>
  </si>
  <si>
    <t>TR27113</t>
  </si>
  <si>
    <t>Mehtab Ali Lashari</t>
  </si>
  <si>
    <t>+923232246491</t>
  </si>
  <si>
    <t>Syalabad road  dera foundaion Mehrabpur</t>
  </si>
  <si>
    <t>consigee village gaya hua haa
 | ↩️ Return Charged: 2025-12-23 | Fee: 227</t>
  </si>
  <si>
    <t>TR27114</t>
  </si>
  <si>
    <t>28325replacement</t>
  </si>
  <si>
    <t>TR27115</t>
  </si>
  <si>
    <t>Mehnazs Shah</t>
  </si>
  <si>
    <t>+923333681852</t>
  </si>
  <si>
    <t>Akhunzada Stationery Mart  Haji Zareen Khan St, Faqirabad Quetta, Pakistan Quetta</t>
  </si>
  <si>
    <t>TR27116</t>
  </si>
  <si>
    <t>Hashim Faraz</t>
  </si>
  <si>
    <t>+923443889932</t>
  </si>
  <si>
    <t>Lora Hazara, Pakistan near sanda water fall Abbottabad</t>
  </si>
  <si>
    <t>mujha nahi pata ka mana kya order kiya haa
 | ↩️ Return Charged: 2025-12-23 | Fee: 227</t>
  </si>
  <si>
    <t>TR27117</t>
  </si>
  <si>
    <t>179 A abubakar block new garden town lahore Lahore</t>
  </si>
  <si>
    <t xml:space="preserve">
 | ↩️ Return Charged: 2025-12-19 | Fee: 107</t>
  </si>
  <si>
    <t>TR27118</t>
  </si>
  <si>
    <t>Asad Khan</t>
  </si>
  <si>
    <t>House no 13-B, 5th Central Lane, Phase 2, DHA Karachi</t>
  </si>
  <si>
    <t>Imported Scoba Executive Adi Tro - L / Black (x1), Adi- Hoodie - L / Black (x1), Adi- Hoodie - L / White (x1)</t>
  </si>
  <si>
    <t>TR27119</t>
  </si>
  <si>
    <t>Reagel chowk sadar Karachi</t>
  </si>
  <si>
    <t>cancel mujha receive ho gaya haa</t>
  </si>
  <si>
    <t>TR27120</t>
  </si>
  <si>
    <t>+923115771151</t>
  </si>
  <si>
    <t>LE7522382366</t>
  </si>
  <si>
    <t>28181exchange</t>
  </si>
  <si>
    <t>TR27121</t>
  </si>
  <si>
    <t>Saim Akhlaq</t>
  </si>
  <si>
    <t>Bahria town phase 8, Ali block,  street 17, H#141, upper portion Rawalpindi</t>
  </si>
  <si>
    <t>TR27122</t>
  </si>
  <si>
    <t>Saeed ullah Jaan</t>
  </si>
  <si>
    <t>+923002636205</t>
  </si>
  <si>
    <t>New Sabzi Mandi  near  bilal musjid Karachi</t>
  </si>
  <si>
    <t>TR27123</t>
  </si>
  <si>
    <t>Sheeraz Ali</t>
  </si>
  <si>
    <t>Civil hospital chadiya mod khairpur mir Khairpur Mir</t>
  </si>
  <si>
    <t>Khairpur Mir</t>
  </si>
  <si>
    <t>TR27124</t>
  </si>
  <si>
    <t>Muhammad panjal</t>
  </si>
  <si>
    <t>Ghulam Muhammad Medical Store Near Civil Hospital Pir Jo Goth Khairpur</t>
  </si>
  <si>
    <t>TR27125</t>
  </si>
  <si>
    <t>MUHAMMAD ALI</t>
  </si>
  <si>
    <t>A-164 Gulshan-e-Hadeed Phase 1 Karachi</t>
  </si>
  <si>
    <t>TR27126</t>
  </si>
  <si>
    <t>Syed Tasawar</t>
  </si>
  <si>
    <t>+923338002023</t>
  </si>
  <si>
    <t>(Shah G Mobile Center   )   Sadar Bazar Narang Mandi Narang Mandi</t>
  </si>
  <si>
    <t>Narang Mandi</t>
  </si>
  <si>
    <t>confirm
 | ↩️ Return Charged: 2025-12-23 | Fee: 220</t>
  </si>
  <si>
    <t>TR27127</t>
  </si>
  <si>
    <t>Usama Arshad</t>
  </si>
  <si>
    <t>+923056113545</t>
  </si>
  <si>
    <t>(Usman Filling Station- Total Petrol Station)   Between 2 &amp; 3 Km Mandi Bahuddin, Sargodha Road Mandi Bahauddin Mandi Bahauddin</t>
  </si>
  <si>
    <t>Mandi Bahauddin</t>
  </si>
  <si>
    <t>TR27128</t>
  </si>
  <si>
    <t>Muhammad Abdullah</t>
  </si>
  <si>
    <t>Solar home lakar mandi chowk jhang Road Faisalabad Faisalabad</t>
  </si>
  <si>
    <t>TR27129</t>
  </si>
  <si>
    <t>Shahram Mehmood MEHMOOD AHMAD</t>
  </si>
  <si>
    <t>+923237288082</t>
  </si>
  <si>
    <t>Dist. Nankana sahib tehsil shahkot Sahi road  near Jamia Masjid Ayesha Shahkot</t>
  </si>
  <si>
    <t>TR27130</t>
  </si>
  <si>
    <t>Muhammad Shahid</t>
  </si>
  <si>
    <t>District mianawali post office thamywali dhok blkka District Mianawali Tehsil Mianawali</t>
  </si>
  <si>
    <t>District Mianawali Tehsil Mianawali</t>
  </si>
  <si>
    <t>cancel My Order cancel My Chachu Gfit Tracksuit</t>
  </si>
  <si>
    <t>TR27131</t>
  </si>
  <si>
    <t>Nasir Nawaz</t>
  </si>
  <si>
    <t>+923194230860</t>
  </si>
  <si>
    <t>Man Bazar dharm pura  near bismillah jewllers Lahore</t>
  </si>
  <si>
    <t>TR27132</t>
  </si>
  <si>
    <t>Zeeshan Ali</t>
  </si>
  <si>
    <t>C-32-6 Main Boulevard Lake City Raiwind Road Lahore Lahore</t>
  </si>
  <si>
    <t>TR27133</t>
  </si>
  <si>
    <t>Suresh kumar Wasvani</t>
  </si>
  <si>
    <t>+923008251795</t>
  </si>
  <si>
    <t>Shop 2 Marine Pride Building Clifton Block 7 Karachi</t>
  </si>
  <si>
    <t>TR27134</t>
  </si>
  <si>
    <t>Ikram Mirza</t>
  </si>
  <si>
    <t>Mcb Bank Mian Wal Ranjha Mandi Bahauddin</t>
  </si>
  <si>
    <t>TR27135</t>
  </si>
  <si>
    <t>Umair Khan</t>
  </si>
  <si>
    <t>+923456571728</t>
  </si>
  <si>
    <t>UK ELECTRONICS ALAMGEER ROAD KAMOKI DISST GUJRANWALA Kamoki</t>
  </si>
  <si>
    <t>Kamoki</t>
  </si>
  <si>
    <t>A | X Embroidery LOGO - 2XL / Navy (x1), A | X Embroidery LOGO - 2XL / Black (x1)</t>
  </si>
  <si>
    <t>TR27136</t>
  </si>
  <si>
    <t>Batti chock ravi link road choudary market shop 9 truck ada Lahore</t>
  </si>
  <si>
    <t>TR27137</t>
  </si>
  <si>
    <t>Qaisar Ali</t>
  </si>
  <si>
    <t>+923181720723</t>
  </si>
  <si>
    <t>Faisalabad. Nawaba Wala Road Trend Lab Hair Saloon Faisalabad</t>
  </si>
  <si>
    <t>TR27138</t>
  </si>
  <si>
    <t>TR27139</t>
  </si>
  <si>
    <t>Shoaib Malik</t>
  </si>
  <si>
    <t>cafe d’bono 2 Officers Colony Adj Zsasha Salon Apwa Club Street Rahim Yar Khan</t>
  </si>
  <si>
    <t>TR27140</t>
  </si>
  <si>
    <t>Shakeel ur Rahman</t>
  </si>
  <si>
    <t>House No. NE2730, Steet No. 25, Muhallah: Hukamdad Rawalpindi</t>
  </si>
  <si>
    <t>FAKE ATTEMPT  RIDER NAHI AYA</t>
  </si>
  <si>
    <t>TR27141</t>
  </si>
  <si>
    <t>Hassan Iftikhar</t>
  </si>
  <si>
    <t>Apartment C-02, Defence View Apartments, Shanghai Road, Opposite DHA phase 4 KK extension. Lahore</t>
  </si>
  <si>
    <t>TR27142</t>
  </si>
  <si>
    <t>MUHAMMAD Abdullah maqbool</t>
  </si>
  <si>
    <t>PO Depalpur Chak 40 D Tehsil Depalpur District Okara Okara</t>
  </si>
  <si>
    <t>LE7522382365</t>
  </si>
  <si>
    <t>TR27143</t>
  </si>
  <si>
    <t>Uzair Rajpoot</t>
  </si>
  <si>
    <t>Kuchehri Pasrur near city police station pasrur Sialkot</t>
  </si>
  <si>
    <t xml:space="preserve">
 | ↩️ Return Charged: 2025-12-23 | Fee: 220</t>
  </si>
  <si>
    <t>TR27144</t>
  </si>
  <si>
    <t>Rana Hamza</t>
  </si>
  <si>
    <t>Raiwand road Lahore near 92news channel Lahore</t>
  </si>
  <si>
    <t>TR27145</t>
  </si>
  <si>
    <t>Abdul Rauf</t>
  </si>
  <si>
    <t>Friend's public higher secondary school Chowk Azam district layyah Chowk Azam District Layyah</t>
  </si>
  <si>
    <t>Chowk Azam District Layyah</t>
  </si>
  <si>
    <t>not ans
 | ↩️ Return Charged: 2025-12-23 | Fee: 220</t>
  </si>
  <si>
    <t>TR27146</t>
  </si>
  <si>
    <t>Syed Naseeb Shah</t>
  </si>
  <si>
    <t>+923168508842</t>
  </si>
  <si>
    <t>Paimal ada near akhondkhail palaza Rahim Syed electric store battagram Battagram</t>
  </si>
  <si>
    <t>rider aya tha mana  mare ana ma late ho agay or wo chala gaya
 | ↩️ Return Charged: 2025-12-23 | Fee: 213</t>
  </si>
  <si>
    <t>TR27147</t>
  </si>
  <si>
    <t>Jamshed Badshah</t>
  </si>
  <si>
    <t>+923111705217</t>
  </si>
  <si>
    <t>main bazzar Yahoo mobile Gaggo Mandi</t>
  </si>
  <si>
    <t>Gaggo Mandi</t>
  </si>
  <si>
    <t>open to allow
 | ↩️ Return Charged: 2025-12-23 | Fee: 200</t>
  </si>
  <si>
    <t>TR27148</t>
  </si>
  <si>
    <t>Daanyaal Raza Ahmad</t>
  </si>
  <si>
    <t>837A-F2 Block johar town near samsani Lahore</t>
  </si>
  <si>
    <t>TR27149</t>
  </si>
  <si>
    <t>CH MUHAMMAD ASHRAF MUHAMMAD ASHRAF</t>
  </si>
  <si>
    <t>Fajar Buidling,1st Floor,19/a,abbott Road,lahore Lahore</t>
  </si>
  <si>
    <t>mujha laga full tracksuit ha
 | ↩️ Return Charged: 2025-12-19 | Fee: 120</t>
  </si>
  <si>
    <t>TR27150</t>
  </si>
  <si>
    <t>Mirza Kamran Baig</t>
  </si>
  <si>
    <t>Hassan tardars pasrur road mainwali bangla daska Daska</t>
  </si>
  <si>
    <t>TR27151</t>
  </si>
  <si>
    <t>Muhammad Asad</t>
  </si>
  <si>
    <t>Office # 2. 1st Floor, Al Asghar plaza, Blue Area, Islamabad Islamabad</t>
  </si>
  <si>
    <t>TR27152</t>
  </si>
  <si>
    <t>نعیم اشرف</t>
  </si>
  <si>
    <t>جہلم تحصیل پنڈدادنخان ،مین راجہ ہوٹل چوک پنڈدادنخان ،پنجاب ملک ڈیری ضلع جہلم ، تحصیل پنڈدادنخان ،مین راجہ ہوٹل چوک،پنجاب ملک ڈیری</t>
  </si>
  <si>
    <t>ضلع جہلم ، تحصیل پنڈدادنخان ،مین راجہ ہوٹل چوک،پنجاب ملک ڈیری</t>
  </si>
  <si>
    <t>TR27153</t>
  </si>
  <si>
    <t>Mohsi Yasin</t>
  </si>
  <si>
    <t>+923334851072</t>
  </si>
  <si>
    <t>New sajid electronics near hbl bank thana bazar arifwala Arifwala</t>
  </si>
  <si>
    <t>Arifwala</t>
  </si>
  <si>
    <t>ADI Ref Stripes - 2XL / White (x1), ADI Ref Stripes - 2XL / Black (x1)</t>
  </si>
  <si>
    <t>TR27154</t>
  </si>
  <si>
    <t>Mohsin Yasin</t>
  </si>
  <si>
    <t>Adi Branded Tracksuit - 2XL / Black (x1)</t>
  </si>
  <si>
    <t>TR27155</t>
  </si>
  <si>
    <t>Shaheer Ahmed</t>
  </si>
  <si>
    <t>+923353235051</t>
  </si>
  <si>
    <t>90/2/2 14th lane Khayabane Rahat Phase 7 DHA Karachi</t>
  </si>
  <si>
    <t>ADI Ref Stripes - XL / White (x1), ADI Ref Stripes - XL / Black (x1), NIK- Ref LOGO - XL / white (x1), NIK- Ref LOGO - XL / black (x1)</t>
  </si>
  <si>
    <t>TR27156</t>
  </si>
  <si>
    <t>28428exchange</t>
  </si>
  <si>
    <t>Tipping Crew - M / Black (x1), Tipping Crew - M / White (x1), ADI - EMBOSSED LOGO (Cotton) - M / Sky (x1)</t>
  </si>
  <si>
    <t>TR27157</t>
  </si>
  <si>
    <t>Mamoon Iqbal</t>
  </si>
  <si>
    <t>Chack deda Village Sua Asal road Near Raiwind Lahore Lahore</t>
  </si>
  <si>
    <t>ok
 | ↩️ Return Charged: 2025-12-19 | Fee: 200</t>
  </si>
  <si>
    <t>TR27158</t>
  </si>
  <si>
    <t>+923444451944</t>
  </si>
  <si>
    <t>House no 51 Abbasia Chowk Ahmad pur east Ahmedpur East</t>
  </si>
  <si>
    <t>Ahmedpur East</t>
  </si>
  <si>
    <t>confirm  not na s</t>
  </si>
  <si>
    <t>TR27159</t>
  </si>
  <si>
    <t>Abdul Waqar</t>
  </si>
  <si>
    <t>+923095103637</t>
  </si>
  <si>
    <t>Factory area Sargodha Sargodha</t>
  </si>
  <si>
    <t>TR27160</t>
  </si>
  <si>
    <t>Abdul Qayyum Shah</t>
  </si>
  <si>
    <t>+923006385208</t>
  </si>
  <si>
    <t>IM Solar systems  Abdullah plaza shop # 01 mps road opposit royal orchard Multan</t>
  </si>
  <si>
    <t>quality achi nahi thi
 | ↩️ Return Charged: 2025-12-23 | Fee: 200</t>
  </si>
  <si>
    <t>TR27161</t>
  </si>
  <si>
    <t>Mohsin Idrees</t>
  </si>
  <si>
    <t>+923169435535</t>
  </si>
  <si>
    <t>House number 6/4b Kohsar street, Habibullah colony mandian abbottabad.  Use this phone number for call. 03110885502 Abbottabad</t>
  </si>
  <si>
    <t>TR27162</t>
  </si>
  <si>
    <t>TR27163</t>
  </si>
  <si>
    <t>Irtiza Khan</t>
  </si>
  <si>
    <t>house 06, street 115, G13/1 Islamabad</t>
  </si>
  <si>
    <t>MA GHER AVAIL NAHI THA
 | ↩️ Return Charged: 2025-12-23 | Fee: 313</t>
  </si>
  <si>
    <t>TR27164</t>
  </si>
  <si>
    <t>Farooq Town Street No 8 Sarai Alamgir Gujrat</t>
  </si>
  <si>
    <t>TR27165</t>
  </si>
  <si>
    <t>Nawa Kot Pheroke PO Alipur Chattha District Gujranwala Ali Pur Chatha</t>
  </si>
  <si>
    <t>Ali Pur Chatha</t>
  </si>
  <si>
    <t>ADI - EMBOSSED LOGO (Cotton) - L / Black (x1), Imported Scoba Executive Nik Tro - XL / Silver Grey (x1), Tipping Crew - L / Black (x1), Tipping Crew - L / White (x1)</t>
  </si>
  <si>
    <t>TR27166</t>
  </si>
  <si>
    <t>Jahangir Khan</t>
  </si>
  <si>
    <t>Do talwar Clifton park line block 5 house number f48 Karachi</t>
  </si>
  <si>
    <t>hum gher per nahi tha</t>
  </si>
  <si>
    <t>TR27167</t>
  </si>
  <si>
    <t>Aamir Nadeem</t>
  </si>
  <si>
    <t>+923208432399</t>
  </si>
  <si>
    <t>House # 37 St # 3 IBL Homes near Sozo Water Park Jallo Lahore Lahore</t>
  </si>
  <si>
    <t>NIK- Ref LOGO - XL / white (x1), NIK- Ref LOGO - XL / black (x1), Imported Scoba Executive Nik Tro - L / Black (x1), Imported Scoba Executive Nik Tro - L / Silver Grey (x1)</t>
  </si>
  <si>
    <t>TR27168</t>
  </si>
  <si>
    <t>+923352476262</t>
  </si>
  <si>
    <t>Basic RL Crew- Cotton - M / light chocolate (x1), Basic RL Crew- Cotton - M / Black (x1), Basic RL Crew- Cotton - M / Sea green (x1), Tipping Crew - M / White (x1), Tipping Crew - M / Black (x1)</t>
  </si>
  <si>
    <t>TR27169</t>
  </si>
  <si>
    <t>Ab wahab abbasi</t>
  </si>
  <si>
    <t>Malik tuck shop city saddar road rawalpindi near mashriq hotel muhan pura rawalpindi</t>
  </si>
  <si>
    <t>rawalpindi</t>
  </si>
  <si>
    <t>TR27170</t>
  </si>
  <si>
    <t>Umer Sharaf</t>
  </si>
  <si>
    <t>G9 OEC TOWER Islamabad Islamabad</t>
  </si>
  <si>
    <t>TR27171</t>
  </si>
  <si>
    <t>Afsar Abbas</t>
  </si>
  <si>
    <t>216, 2nd Floor, The Forum Mall, Block 9, Clifton Karachi</t>
  </si>
  <si>
    <t>TR27172</t>
  </si>
  <si>
    <t>Usman Shah</t>
  </si>
  <si>
    <t>District bajaur Khar Khar</t>
  </si>
  <si>
    <t>Khar</t>
  </si>
  <si>
    <t>TR27173</t>
  </si>
  <si>
    <t>District neosharoferoze suleman book store near old taxi shop tharushah Tharushah</t>
  </si>
  <si>
    <t>Tharushah</t>
  </si>
  <si>
    <t>tcs ya lcs  not ans</t>
  </si>
  <si>
    <t>INV-258193</t>
  </si>
  <si>
    <t>TR27174</t>
  </si>
  <si>
    <t>Vivek Kumar Rathor VKR</t>
  </si>
  <si>
    <t>Al Abbas Heights main Wadhuwah Road Qasimabad Hyderabad block B Floor 5th Flat No 29 Hyderabad</t>
  </si>
  <si>
    <t>fake attempt rider nahi aya
 | ↩️ Return Charged: 2025-12-23 | Fee: 213</t>
  </si>
  <si>
    <t>TR27175</t>
  </si>
  <si>
    <t>Siddiq Aobar</t>
  </si>
  <si>
    <t>+923076133462</t>
  </si>
  <si>
    <t>(Pakistan) Kabirwala-Jameel Colony Kabirwala Kabirwala</t>
  </si>
  <si>
    <t>Kabirwala</t>
  </si>
  <si>
    <t>fake customer nahi lena ,mujha yaad nahi ,ap cancel ker dein ,ma out of city hoo</t>
  </si>
  <si>
    <t>TR27176</t>
  </si>
  <si>
    <t>Israr Sial</t>
  </si>
  <si>
    <t>Amir Medical Store Near New Qubo Bus Stop Shahdadkot Shahdadkot</t>
  </si>
  <si>
    <t>Shahdadkot</t>
  </si>
  <si>
    <t>TR27177</t>
  </si>
  <si>
    <t>Chowk marly UBL bank main road Chowk marly</t>
  </si>
  <si>
    <t>Chowk marly</t>
  </si>
  <si>
    <t>TR27178</t>
  </si>
  <si>
    <t>nisar khan</t>
  </si>
  <si>
    <t>House No 198 G Block Lahore Lahore</t>
  </si>
  <si>
    <t>TR27179</t>
  </si>
  <si>
    <t>Zeeshan Malik</t>
  </si>
  <si>
    <t>+923214345042</t>
  </si>
  <si>
    <t>Jorapull Bahar shah road c block madni masjid street no 4 Lahore</t>
  </si>
  <si>
    <t>TR27180</t>
  </si>
  <si>
    <t>Syed Mujtaba</t>
  </si>
  <si>
    <t>Al mustafa road mohsin town house number 519 multan Multan</t>
  </si>
  <si>
    <t>TR27181</t>
  </si>
  <si>
    <t>Rizwan Khokher</t>
  </si>
  <si>
    <t>Orange line a station thoker niaz baig lahore Lahore</t>
  </si>
  <si>
    <t xml:space="preserve">
 | ↩️ Return Charged: 2025-12-23 | Fee: 107</t>
  </si>
  <si>
    <t>TR27182</t>
  </si>
  <si>
    <t>Hamad Saab</t>
  </si>
  <si>
    <t>Canal Road Near Burhan Masjid Ronnie Snooker Club Toba Tek Singh</t>
  </si>
  <si>
    <t>Toba Tek Singh</t>
  </si>
  <si>
    <t>size issue
[Return Fee: 313.49 | Ref: CPR-T4ZJB871627]
 | ↩️ Return Charged: 2025-12-19 | Fee: 313</t>
  </si>
  <si>
    <t>TR27183</t>
  </si>
  <si>
    <t>Tariq Naeem Awan</t>
  </si>
  <si>
    <t>+923331545676</t>
  </si>
  <si>
    <t>Corner house upper portion Abdul Ghaffar street lane 3 Gulistan Colony Rawalpindi. 03331545676 Rawalpindi</t>
  </si>
  <si>
    <t>TR27184</t>
  </si>
  <si>
    <t>muhammad umar</t>
  </si>
  <si>
    <t>+923038975181</t>
  </si>
  <si>
    <t>Khanelwa road oposite wapda mepco offices 873b multan Multan</t>
  </si>
  <si>
    <t>ok
[Return Fee: 313.49 | Ref: CPR-T4ZJB871627]</t>
  </si>
  <si>
    <t>Imported Scoba Executive Nik Tro - L / Black (x1), Adi- Hoodie - L / Black (x1), Adi- Hoodie - L / White (x1)</t>
  </si>
  <si>
    <t>TR27185</t>
  </si>
  <si>
    <t>Adil Jan</t>
  </si>
  <si>
    <t>TR27186</t>
  </si>
  <si>
    <t>Duraid Shahid</t>
  </si>
  <si>
    <t>City court hoor centre building office no 501 Karachi</t>
  </si>
  <si>
    <t>TR27187</t>
  </si>
  <si>
    <t>Nadeem Alwani</t>
  </si>
  <si>
    <t>Al Karim Tower nishter road garden west karachi Karachi</t>
  </si>
  <si>
    <t>TR27188</t>
  </si>
  <si>
    <t>28483replacement  only trouser kerna ha tracksuit ki jaga 2xl kaa
[Return Fee: 120.06 | Ref: CPR-T4ZJB871627]
 | ↩️ Return Charged: 2025-12-19 | Fee: 120</t>
  </si>
  <si>
    <t>TR27189</t>
  </si>
  <si>
    <t>Danish gunjial Danish gunjial</t>
  </si>
  <si>
    <t>+923417527700</t>
  </si>
  <si>
    <t>khushab tehsil quiadabad  shop name Haseeb  My phone number is 03417527700 khushab</t>
  </si>
  <si>
    <t>khushab</t>
  </si>
  <si>
    <t>already cancel kerdiya tha
 | ↩️ Return Charged: 2025-12-23 | Fee: 200</t>
  </si>
  <si>
    <t>TR27190</t>
  </si>
  <si>
    <t>Raja Ahsan Nawaz</t>
  </si>
  <si>
    <t>Kashi general store, near mcb bank, sohawa city,main gt road Sohawa</t>
  </si>
  <si>
    <t>TR27191</t>
  </si>
  <si>
    <t>Muhallah chah nai wala post office bhutta pur  tehsil and district muzzafargarh Muzzafargarh</t>
  </si>
  <si>
    <t>Muzzafargarh</t>
  </si>
  <si>
    <t>TR27192</t>
  </si>
  <si>
    <t>Salman Ahmed Mehar</t>
  </si>
  <si>
    <t>Lane no 01, building no 01, 1st floor suit 103, bluefin office, square commercial, bahria town phase-7 islamabad Islamabad</t>
  </si>
  <si>
    <t>TR27193</t>
  </si>
  <si>
    <t>salah malik</t>
  </si>
  <si>
    <t>gedroasia technology office, in front of tahiri plaza Gawadar</t>
  </si>
  <si>
    <t>Gawadar</t>
  </si>
  <si>
    <t>TR27194</t>
  </si>
  <si>
    <t>Irsam Warraich</t>
  </si>
  <si>
    <t>Al hafeez shopping mall office 811 8th floor Lahore</t>
  </si>
  <si>
    <t>TR27195</t>
  </si>
  <si>
    <t>kousar hussain mirani kousar hussain</t>
  </si>
  <si>
    <t>+923322761635</t>
  </si>
  <si>
    <t>House Near Old Police Station city Naudero Dist Larkana Naudero</t>
  </si>
  <si>
    <t>Naudero</t>
  </si>
  <si>
    <t>TR27196</t>
  </si>
  <si>
    <t>Nadeem Qureshi</t>
  </si>
  <si>
    <t>National School System Near Municipal Park Jampur Jampur</t>
  </si>
  <si>
    <t>Jampur</t>
  </si>
  <si>
    <t>TR27197</t>
  </si>
  <si>
    <t>Hasnain Awan</t>
  </si>
  <si>
    <t>Arbab Ghulam Ali Road Deba Quetta Near Al Saddat Medical Quetta</t>
  </si>
  <si>
    <t>TR27198</t>
  </si>
  <si>
    <t>Tinakhan Khan</t>
  </si>
  <si>
    <t>135EME society E block Lahore</t>
  </si>
  <si>
    <t>not ans
azeem</t>
  </si>
  <si>
    <t>TR27199</t>
  </si>
  <si>
    <t>Faisal Faisal mehmood</t>
  </si>
  <si>
    <t>+923454758098</t>
  </si>
  <si>
    <t>Mughal Pura  dry port  Unnamed Road, Kumharpura, Lahore, Lahore</t>
  </si>
  <si>
    <t>ok  consigne want open parcel
 | ↩️ Return Charged: 2025-12-23 | Fee: 120</t>
  </si>
  <si>
    <t>TR27200</t>
  </si>
  <si>
    <t>Taimoorali Awan</t>
  </si>
  <si>
    <t>Talwar Chowk sec c commercial 166c near jasmine mall bahria town Lahore Lahore</t>
  </si>
  <si>
    <t>TR27201</t>
  </si>
  <si>
    <t>Imran Rafiq</t>
  </si>
  <si>
    <t>95/B cinal view Lahore road Burewala Burewala</t>
  </si>
  <si>
    <t>not ans
 | ↩️ Return Charged: 2025-12-30 | Fee: 200</t>
  </si>
  <si>
    <t>TR27202</t>
  </si>
  <si>
    <t>SHAMS ULLAH</t>
  </si>
  <si>
    <t>Block No 1 Near Gol Masjid Satellite Town Quetta</t>
  </si>
  <si>
    <t>TR27203</t>
  </si>
  <si>
    <t>Qamar Abbas</t>
  </si>
  <si>
    <t>Shah taj sughar mil Mandi Bahauddin</t>
  </si>
  <si>
    <t>NIK- Ref LOGO - XL / white (x1), NIK- Ref LOGO - M / black (x1)</t>
  </si>
  <si>
    <t>TR27204</t>
  </si>
  <si>
    <t>Tariq Khan</t>
  </si>
  <si>
    <t>Tariq faiz refrejration center gaous por road zahir pir district rahim yar khan tehsil kha por Zahir pir</t>
  </si>
  <si>
    <t>Zahir pir</t>
  </si>
  <si>
    <t>TR27205</t>
  </si>
  <si>
    <t>Ghulam Qadir</t>
  </si>
  <si>
    <t>Gaon Allah Bakhsh Khan Bhutto, Doka Khana, Badani Kacho Kashmor</t>
  </si>
  <si>
    <t>Kashmor</t>
  </si>
  <si>
    <t>rider nahi aya
 | ↩️ Return Charged: 2025-12-30 | Fee: 320</t>
  </si>
  <si>
    <t>TR27206</t>
  </si>
  <si>
    <t>Abdul Hanan Abdul Hanan</t>
  </si>
  <si>
    <t>+923126910791</t>
  </si>
  <si>
    <t>House no 75 X block 40 feet road tbz colony sahiwal  Sahiwal Sahiwal</t>
  </si>
  <si>
    <t>whatsup open to allow
[Paid: 1750 | Ref: CPR-NK7WJ291313]</t>
  </si>
  <si>
    <t>TR27207</t>
  </si>
  <si>
    <t>Pardeep mandhan Kumar</t>
  </si>
  <si>
    <t>+923337249019</t>
  </si>
  <si>
    <t>Bali ram sirichand tarders zafer bazar daharki dist ghotki sindh pakistan Sukkur</t>
  </si>
  <si>
    <t>LE7522474198</t>
  </si>
  <si>
    <t>tcs ya lcs hoga  consignee wany open parcel</t>
  </si>
  <si>
    <t>TR27208</t>
  </si>
  <si>
    <t>Riffat Nishan</t>
  </si>
  <si>
    <t>Islamabad Islamabad</t>
  </si>
  <si>
    <t>TR27209</t>
  </si>
  <si>
    <t>Zameer ahmed Zameer ahmed</t>
  </si>
  <si>
    <t>+923445320080</t>
  </si>
  <si>
    <t>Saint Francis degree college for boys sari alamgir Sari Alamgir Gujrat</t>
  </si>
  <si>
    <t>Sari Alamgir Gujrat</t>
  </si>
  <si>
    <t>TR27210</t>
  </si>
  <si>
    <t>Shoaib Tahir</t>
  </si>
  <si>
    <t>Shop#lg 27/a Hafeez Centre Gulberg Lahore Lahore</t>
  </si>
  <si>
    <t>TR27211</t>
  </si>
  <si>
    <t>University of engineering and technology peshawar hostel 3 Peshawar</t>
  </si>
  <si>
    <t>TR27212</t>
  </si>
  <si>
    <t>Imtiaz Khan</t>
  </si>
  <si>
    <t>H13 Street Nbr 10 Sahibzada Hights Islamabad</t>
  </si>
  <si>
    <t>TR27213</t>
  </si>
  <si>
    <t>Muhammad Farhan Farhan</t>
  </si>
  <si>
    <t>Post Office Rang Pur Ada ,teh;pahar Pur ,dist; Ismailkhan Dera Ismail Khan</t>
  </si>
  <si>
    <t>TR27214</t>
  </si>
  <si>
    <t>Ahsan Syed</t>
  </si>
  <si>
    <t>C-304 3rd floor chapel arcade2 opposite dollmin mall karachi Karachi</t>
  </si>
  <si>
    <t>IMPORTED POPCORN DRYFIT Adi - Xl / White (x1)</t>
  </si>
  <si>
    <t>TR27215</t>
  </si>
  <si>
    <t>Haseeb Awan</t>
  </si>
  <si>
    <t>House #3/3 survey no.287 malir near madarsa wahidiya Karachi</t>
  </si>
  <si>
    <t>TR27216</t>
  </si>
  <si>
    <t>REHAN Ahmed</t>
  </si>
  <si>
    <t>+923195582415</t>
  </si>
  <si>
    <t>Daska punjab Mundakey Goraya chowk ma ker rider call ker la Daska</t>
  </si>
  <si>
    <t>TR27217</t>
  </si>
  <si>
    <t>Haider ali</t>
  </si>
  <si>
    <t>Bank of Punjab district complex chakwal Chakwal</t>
  </si>
  <si>
    <t>Chakwal</t>
  </si>
  <si>
    <t>TR27218</t>
  </si>
  <si>
    <t>Kashif Ali Bughio</t>
  </si>
  <si>
    <t>+923273393052</t>
  </si>
  <si>
    <t>Ward No 4 Memon Muhalla School Sita Road  dadu sindh Dadu</t>
  </si>
  <si>
    <t>LE7522474199</t>
  </si>
  <si>
    <t>ok   not ans</t>
  </si>
  <si>
    <t>TR27219</t>
  </si>
  <si>
    <t>Nabeel Zafar</t>
  </si>
  <si>
    <t>A36 Erum Garden Gulshan e Iqbal Block 13A Karachi</t>
  </si>
  <si>
    <t>TR27220</t>
  </si>
  <si>
    <t>Fazal Rehman</t>
  </si>
  <si>
    <t>A &amp; K Chamber Room No 7 West Wharf Road Karachi Karachi</t>
  </si>
  <si>
    <t>TR27221</t>
  </si>
  <si>
    <t>order receive ho gaya haa ap ya cancel ker dein</t>
  </si>
  <si>
    <t>TR27222</t>
  </si>
  <si>
    <t>Rana munir</t>
  </si>
  <si>
    <t>03076281152 Daska</t>
  </si>
  <si>
    <t>cancel ker den nahi lena</t>
  </si>
  <si>
    <t>TR27223</t>
  </si>
  <si>
    <t>Hasnain ali ali</t>
  </si>
  <si>
    <t>215, houce, number, channa shop,surjani town,north Karachi. Karachi</t>
  </si>
  <si>
    <t>TR27224</t>
  </si>
  <si>
    <t>Kashif Nawaz</t>
  </si>
  <si>
    <t>City Rangpur baghur tehsil nurpur thal district khushab Rangpur baghur</t>
  </si>
  <si>
    <t>Rangpur baghur</t>
  </si>
  <si>
    <t>LE7522474243</t>
  </si>
  <si>
    <t>lcs rangpur</t>
  </si>
  <si>
    <t>TR27225</t>
  </si>
  <si>
    <t>Aman Ali</t>
  </si>
  <si>
    <t>Statelife Housing Society House Number 401 Block F Street 25 Lahore Lahore</t>
  </si>
  <si>
    <t>not ans
 | ↩️ Return Charged: 2025-12-23 | Fee: 120</t>
  </si>
  <si>
    <t>TR27226</t>
  </si>
  <si>
    <t>Dr Aftab Vet</t>
  </si>
  <si>
    <t>+923128888788</t>
  </si>
  <si>
    <t>I-8/4-paws N Claws Pets Clinic Pakeeza Market I Islamabad</t>
  </si>
  <si>
    <t>TR27227</t>
  </si>
  <si>
    <t>Ghalib Siddiqui</t>
  </si>
  <si>
    <t>House #81 Block-b Punjab Small Industries Cooperative Housing Society (near Lums) Lahore</t>
  </si>
  <si>
    <t>TR27228</t>
  </si>
  <si>
    <t>Ammad Tanveer</t>
  </si>
  <si>
    <t>10a-abdullah Colony Pasrur Road St Sialkot</t>
  </si>
  <si>
    <t>rider nai aya
 | ↩️ Return Charged: 2025-12-23 | Fee: 200</t>
  </si>
  <si>
    <t>TR27229</t>
  </si>
  <si>
    <t>Imran Ali Mani</t>
  </si>
  <si>
    <t>+923204360837</t>
  </si>
  <si>
    <t>Pajian stop near rescue 1122 office main Raiwind road Lahore Raiwind</t>
  </si>
  <si>
    <t>TR27230</t>
  </si>
  <si>
    <t>Syed Ertiza Nadeem</t>
  </si>
  <si>
    <t>Alpine tower block A flat no A-303 , gulistan e Johar block 10,khi Karachi</t>
  </si>
  <si>
    <t>TR27231</t>
  </si>
  <si>
    <t>Ammar Aslam</t>
  </si>
  <si>
    <t>Hs#1 Lane#1 F Block Royal Orchard Mps Road Multan</t>
  </si>
  <si>
    <t>consignee want open parcel
 | ↩️ Return Charged: 2025-12-23 | Fee: 200</t>
  </si>
  <si>
    <t>TR27232</t>
  </si>
  <si>
    <t>Imdad Hayat</t>
  </si>
  <si>
    <t>Lakki Marwat Sari nawarang</t>
  </si>
  <si>
    <t>Sari nawarang</t>
  </si>
  <si>
    <t>not ans no wp 28655 secound order ha is ka</t>
  </si>
  <si>
    <t>TR27233</t>
  </si>
  <si>
    <t>TR27234</t>
  </si>
  <si>
    <t>Mujeeb Kiani</t>
  </si>
  <si>
    <t>New ideal bekar behria enclve road gulzar plaza near utility store islamabad Islamabad</t>
  </si>
  <si>
    <t>TR27235</t>
  </si>
  <si>
    <t>Ahmad Waleed</t>
  </si>
  <si>
    <t>House no 295 street no 4 rafipark near bilal masjid Sargodha</t>
  </si>
  <si>
    <t>TR27236</t>
  </si>
  <si>
    <t>Ahmed Zaib</t>
  </si>
  <si>
    <t>+923195980723</t>
  </si>
  <si>
    <t>Blochistan uthal lasbila university Uthal</t>
  </si>
  <si>
    <t>Uthal</t>
  </si>
  <si>
    <t>TR27237</t>
  </si>
  <si>
    <t>Zaman Azam</t>
  </si>
  <si>
    <t>P#115 street 08 Nawaz Park near Kaleem Shaheed Park Faisalabad Faisalabad</t>
  </si>
  <si>
    <t>Tipping Crew - XL / Black (x1)</t>
  </si>
  <si>
    <t>TR27238</t>
  </si>
  <si>
    <t>Model Town Near The Aims School House 3 Sadiqabad</t>
  </si>
  <si>
    <t xml:space="preserve">
 | ↩️ Return Charged: 2025-12-26 | Fee: 200</t>
  </si>
  <si>
    <t>TR27239</t>
  </si>
  <si>
    <t>Aman Ullah</t>
  </si>
  <si>
    <t>Noshad Sport Main Bazar Turbat Turbat</t>
  </si>
  <si>
    <t>Turbat</t>
  </si>
  <si>
    <t>TR27240</t>
  </si>
  <si>
    <t>Sayed Perozi</t>
  </si>
  <si>
    <t>+923400550753</t>
  </si>
  <si>
    <t>near  Firdous Center, Firdous Colony, Karachi, 74600, Pakistan Karachi</t>
  </si>
  <si>
    <t>TR27241</t>
  </si>
  <si>
    <t>UBED BROHI</t>
  </si>
  <si>
    <t>ALI BABA HOTEL BOLAN JACOBABAD</t>
  </si>
  <si>
    <t>JACOBABAD</t>
  </si>
  <si>
    <t>TR27242</t>
  </si>
  <si>
    <t>Khuram Butt</t>
  </si>
  <si>
    <t>+923004352295</t>
  </si>
  <si>
    <t>House Number Five, Street Number 5 Mata Nandlal Park Nagar Akram Road Lahore</t>
  </si>
  <si>
    <t>NIK- Ref LOGO - 2XL / white (x1), NIK- Ref LOGO - 2XL / black (x1)</t>
  </si>
  <si>
    <t>TR27243</t>
  </si>
  <si>
    <t>RASHID SHAIKH</t>
  </si>
  <si>
    <t>GOVT BOYS HIGHER SECONDARY SCHOOL SHIKARPUR ROAD JACOBABAD JACOBABAD</t>
  </si>
  <si>
    <t>TR27244</t>
  </si>
  <si>
    <t>Naveed Anwaar</t>
  </si>
  <si>
    <t>4 mozang road ofc no 1 sajad mension Lahore</t>
  </si>
  <si>
    <t>TR27245</t>
  </si>
  <si>
    <t>Bisaam Saad</t>
  </si>
  <si>
    <t>+923317045249</t>
  </si>
  <si>
    <t>Suthra Punjab Office Tehsil Quaidabad District Khushab Quaid Abad</t>
  </si>
  <si>
    <t>Quaid Abad</t>
  </si>
  <si>
    <t>ok
 | 💰 COD Rec: 2025-12-23 | Ref: CPR-MWE6F901193 | Amt: 2548</t>
  </si>
  <si>
    <t>TR27246</t>
  </si>
  <si>
    <t>Usama Farman</t>
  </si>
  <si>
    <t>Ghori town phase 5 street 10f house 721 Islamabad</t>
  </si>
  <si>
    <t>combine cancelled</t>
  </si>
  <si>
    <t>TR27247</t>
  </si>
  <si>
    <t>+923115453501</t>
  </si>
  <si>
    <t>Ghori town phase 5 street 10f house no 721 Islamabad</t>
  </si>
  <si>
    <t>open to allow  muaree gaya hua haa
 | ↩️ Return Charged: 2025-12-26 | Fee: 220</t>
  </si>
  <si>
    <t>TR27248</t>
  </si>
  <si>
    <t>Mohsin Arain</t>
  </si>
  <si>
    <t>House #166 Gulatan e khaliq Digri Mirpur Khas Dogri</t>
  </si>
  <si>
    <t>Dogri</t>
  </si>
  <si>
    <t>TR27249</t>
  </si>
  <si>
    <t>Rizwan Ahmed</t>
  </si>
  <si>
    <t>+923315199999</t>
  </si>
  <si>
    <t>Shop no 8,9 sheikh rasheed market new sarafa bazar rawalpindi Rawalpindi</t>
  </si>
  <si>
    <t>TR27250</t>
  </si>
  <si>
    <t>Civil hospital chandia mod khairpur mir Khairpur mir's</t>
  </si>
  <si>
    <t>Khairpur mir's</t>
  </si>
  <si>
    <t>hold  large kerna haa  ager nahi ha toh cancel ker do</t>
  </si>
  <si>
    <t>TR27251</t>
  </si>
  <si>
    <t>Mazhar Nazir</t>
  </si>
  <si>
    <t>+923416096003</t>
  </si>
  <si>
    <t>Rukan road near nadra ofice Malakwal Malakwal</t>
  </si>
  <si>
    <t>rider open kerna nahi da raha
 | 💰 COD Rec: 2025-12-23 | Ref: CPR-MWE6F901193 | Amt: 4399</t>
  </si>
  <si>
    <t>TR27252</t>
  </si>
  <si>
    <t>Ayub Khan</t>
  </si>
  <si>
    <t>Moeen arcade 2nd floor flat 208 saddar regal chowk karachi Karachi</t>
  </si>
  <si>
    <t>TR27253</t>
  </si>
  <si>
    <t>Raza Muhammad Raza</t>
  </si>
  <si>
    <t>03003545627 M. Lashari agriculture shop takani Mir pure sakro Mirpur Sakro</t>
  </si>
  <si>
    <t>Mirpur Sakro</t>
  </si>
  <si>
    <t>ok   ma available nahi tha
 | ↩️ Return Charged: 2025-12-30 | Fee: 213</t>
  </si>
  <si>
    <t>TR27254</t>
  </si>
  <si>
    <t>Arslan Sheikh</t>
  </si>
  <si>
    <t>Multan cables Near Western Union Currency Exchange Chowk Shah abbas Multan</t>
  </si>
  <si>
    <t>I want to cancel my order</t>
  </si>
  <si>
    <t>TR27255</t>
  </si>
  <si>
    <t>Fawad Abdullah</t>
  </si>
  <si>
    <t>Muhammadi medical store, lakhi gate, ghanta ghr. Shikarpur</t>
  </si>
  <si>
    <t>Shikarpur</t>
  </si>
  <si>
    <t>TR27256</t>
  </si>
  <si>
    <t>Umar Yasin</t>
  </si>
  <si>
    <t>House No 79 Street 1 Tulip Block Bahria Town Lahore Lahore</t>
  </si>
  <si>
    <t xml:space="preserve">
 | ↩️ Return Charged: 2025-12-26 | Fee: 120</t>
  </si>
  <si>
    <t>TR27257</t>
  </si>
  <si>
    <t>A | X Embroidery LOGO - 2XL / Mustard (x1)</t>
  </si>
  <si>
    <t>TR27258</t>
  </si>
  <si>
    <t>+923064637804</t>
  </si>
  <si>
    <t>Faslabad road ada madanyjutt Jhang</t>
  </si>
  <si>
    <t>Jhang</t>
  </si>
  <si>
    <t>ADI - Hoodie (Female) - M / White (x1)</t>
  </si>
  <si>
    <t>TR27259</t>
  </si>
  <si>
    <t>Naeem Abbas</t>
  </si>
  <si>
    <t>Sonehri bank bhakkar branch Bhakkar</t>
  </si>
  <si>
    <t>Bhakkar</t>
  </si>
  <si>
    <t>.
cancel this one  28684   secound order is sa kiya hua</t>
  </si>
  <si>
    <t>TR27260</t>
  </si>
  <si>
    <t>Sonehri Bank Bhakkar Branch Bhakkar</t>
  </si>
  <si>
    <t>confirm this one</t>
  </si>
  <si>
    <t>TR27261</t>
  </si>
  <si>
    <t>Azeem Subhani</t>
  </si>
  <si>
    <t>H.6, St.22 Furqania Park Sanda Road Lahore Lahore</t>
  </si>
  <si>
    <t>TR27262</t>
  </si>
  <si>
    <t>Sheikh Aminullah</t>
  </si>
  <si>
    <t>Asim Match Pvt Limited 93-D, Industrial Estate Hayatabad Peshawar</t>
  </si>
  <si>
    <t>TR27263</t>
  </si>
  <si>
    <t>+923103491528</t>
  </si>
  <si>
    <t>TR27264</t>
  </si>
  <si>
    <t>Shoaib Khalid</t>
  </si>
  <si>
    <t>Plot 40/A PECHS block 6, main ShahreFaisal Karachi Karachi</t>
  </si>
  <si>
    <t>size issue nahi lena
 | ↩️ Return Charged: 2025-12-30 | Fee: 213</t>
  </si>
  <si>
    <t>TR27265</t>
  </si>
  <si>
    <t>Muʜammed Shahid</t>
  </si>
  <si>
    <t>+923470492122</t>
  </si>
  <si>
    <t>Phase 07 khaya bane abbasi commercial avenue Karachi</t>
  </si>
  <si>
    <t>to late ma ab out of city chala gaya hoo</t>
  </si>
  <si>
    <t>TR27266</t>
  </si>
  <si>
    <t>Uzair Zafar</t>
  </si>
  <si>
    <t>Akiana house, abdullah street lilla town mandibhaudin Mandibhauddin</t>
  </si>
  <si>
    <t>Mandibhauddin</t>
  </si>
  <si>
    <t>TR27267</t>
  </si>
  <si>
    <t>Muhammad Waseem Waseem</t>
  </si>
  <si>
    <t>Sport city Dubai Sport City</t>
  </si>
  <si>
    <t>Sport City</t>
  </si>
  <si>
    <t>is ko mail ker di haa</t>
  </si>
  <si>
    <t>TR27268</t>
  </si>
  <si>
    <t>Arslan Rajpoot</t>
  </si>
  <si>
    <t>Yaseen Kohlo street#1 gulistan Colony Chiniot</t>
  </si>
  <si>
    <t>TR27269</t>
  </si>
  <si>
    <t>Faheem Akhtar</t>
  </si>
  <si>
    <t>Taluka faiz gunj district khairpur mirs city pacca Chang Pacca Chang</t>
  </si>
  <si>
    <t>Pacca Chang</t>
  </si>
  <si>
    <t>order ka sunta hi call cutt ker di</t>
  </si>
  <si>
    <t>TR27270</t>
  </si>
  <si>
    <t>Mohammed Huzaifa Niazi</t>
  </si>
  <si>
    <t>House No 71/70b Shaheed Shabir Street Major Muhammad Ali Road Quetta Quetta</t>
  </si>
  <si>
    <t>TR27271</t>
  </si>
  <si>
    <t>Moeez Syed</t>
  </si>
  <si>
    <t>+923218442256</t>
  </si>
  <si>
    <t>Muridke Naem electronics near ubl bnk Muridke</t>
  </si>
  <si>
    <t>Muridke</t>
  </si>
  <si>
    <t>TR27272</t>
  </si>
  <si>
    <t>Taimoor Malik</t>
  </si>
  <si>
    <t>House # 1927 Street # 32b I 10/2 Islamabad</t>
  </si>
  <si>
    <t>TR27273</t>
  </si>
  <si>
    <t>Sajan Das Sajan kumar</t>
  </si>
  <si>
    <t>+923063155577</t>
  </si>
  <si>
    <t>Chandni Cloth Silk Center Mander Gali Panoakil Pannu Akil</t>
  </si>
  <si>
    <t>Pannu Akil</t>
  </si>
  <si>
    <t>TR27274</t>
  </si>
  <si>
    <t>Munawar Ali</t>
  </si>
  <si>
    <t>+923323295994</t>
  </si>
  <si>
    <t>Future Generation School ghazi goth near city view project scheem 33 Karachi Karachi</t>
  </si>
  <si>
    <t>TR27275</t>
  </si>
  <si>
    <t>wajid khan</t>
  </si>
  <si>
    <t>+923339241563</t>
  </si>
  <si>
    <t>Darra Adam Khel, Zarghan Khel Tribe, F.R. Peshawar Dara Adam Khel</t>
  </si>
  <si>
    <t>Dara Adam Khel</t>
  </si>
  <si>
    <t>LE7522522287</t>
  </si>
  <si>
    <t>lcs  ma abhi bussy ho kal receive ker lo gaa</t>
  </si>
  <si>
    <t>INV-262536</t>
  </si>
  <si>
    <t>TR27276</t>
  </si>
  <si>
    <t>Furqan khattak</t>
  </si>
  <si>
    <t>14-street No 11 B Muhallah Dar U Salam Kamalabad Rawalpindi Rawalpindi</t>
  </si>
  <si>
    <t>cancel ma advance nahi doo gaa</t>
  </si>
  <si>
    <t>TR27277</t>
  </si>
  <si>
    <t>Muhammad Fawad</t>
  </si>
  <si>
    <t>+923328787873</t>
  </si>
  <si>
    <t>NFC IET university multan Multan</t>
  </si>
  <si>
    <t>TR27278</t>
  </si>
  <si>
    <t>Moksh Leenjara</t>
  </si>
  <si>
    <t>+923180359921</t>
  </si>
  <si>
    <t>Address quaid azam road  Pakistan medical store Jacobabad</t>
  </si>
  <si>
    <t>TR27279</t>
  </si>
  <si>
    <t>Abu Hurraira Abbasi</t>
  </si>
  <si>
    <t>House 169 rose road safari 3 bahria town rawalpindi Rawalpindi</t>
  </si>
  <si>
    <t xml:space="preserve">
 | ↩️ Return Charged: 2025-12-30 | Fee: 220</t>
  </si>
  <si>
    <t>TR27280</t>
  </si>
  <si>
    <t>SHAHBAZ Shahbaz</t>
  </si>
  <si>
    <t>Chak no 22 GB staina rod jaranwala Jaranwala</t>
  </si>
  <si>
    <t>Jaranwala</t>
  </si>
  <si>
    <t>TR27281</t>
  </si>
  <si>
    <t>Saqib Malik</t>
  </si>
  <si>
    <t>Alquresh phase 2 sher shah road Multan Multan</t>
  </si>
  <si>
    <t>ok  Sir Ride aya tha  Mein busy tha
 | ↩️ Return Charged: 2025-12-23 | Fee: 220</t>
  </si>
  <si>
    <t>TR27282</t>
  </si>
  <si>
    <t>+923004793709</t>
  </si>
  <si>
    <t>confirm
 | ↩️ Return Charged: 2025-12-26 | Fee: 313</t>
  </si>
  <si>
    <t>TR27283</t>
  </si>
  <si>
    <t>Engr Bukhari</t>
  </si>
  <si>
    <t>PAF Base Bholari Hyderabad Sindh Hyderabad</t>
  </si>
  <si>
    <t>TR27284</t>
  </si>
  <si>
    <t>Husnain Sandhu</t>
  </si>
  <si>
    <t>Ajniawala hafizabad road distric sheikhupura ubl bank Sheikhupura</t>
  </si>
  <si>
    <t>TR27285</t>
  </si>
  <si>
    <t>Bilal Shah</t>
  </si>
  <si>
    <t>Ahmad nagar chattha Wazirabad</t>
  </si>
  <si>
    <t>TR27286</t>
  </si>
  <si>
    <t>Faizan Ali</t>
  </si>
  <si>
    <t>Punjab Safe Cities Authority Police Lines Lahore Lahore</t>
  </si>
  <si>
    <t>quality achi nahi thi
 | ↩️ Return Charged: 2025-12-23 | Fee: 120</t>
  </si>
  <si>
    <t>TR27287</t>
  </si>
  <si>
    <t>Waqas Mushtaq</t>
  </si>
  <si>
    <t>Janhal palaza hajira road Tata pani azad kashmir Tata pani</t>
  </si>
  <si>
    <t>Tata pani</t>
  </si>
  <si>
    <t>TR27288</t>
  </si>
  <si>
    <t>Aizaz Khan</t>
  </si>
  <si>
    <t>Rustam Mardan</t>
  </si>
  <si>
    <t>Cancel it sorry</t>
  </si>
  <si>
    <t>TR27289</t>
  </si>
  <si>
    <t>Ahmad Hussain</t>
  </si>
  <si>
    <t>House no 181 x block Haronabad Haronabad</t>
  </si>
  <si>
    <t>Haronabad</t>
  </si>
  <si>
    <t>TR27290</t>
  </si>
  <si>
    <t>shahzad tariq</t>
  </si>
  <si>
    <t>+923038316548</t>
  </si>
  <si>
    <t>Punjab government servant housing scheme, House no 156/A Sahiwal Sahiwal</t>
  </si>
  <si>
    <t>Tipping Crew - L / Black (x1), Tipping Crew - L / White (x1), Imported Scoba Executive Nik Tro - L / Silver Grey (x1)</t>
  </si>
  <si>
    <t>TR27291</t>
  </si>
  <si>
    <t>Shabeen Ahmed</t>
  </si>
  <si>
    <t>156, AA BlocK, Bahria Town Lahore</t>
  </si>
  <si>
    <t>TR27292</t>
  </si>
  <si>
    <t>Faizan Ahmed</t>
  </si>
  <si>
    <t>House no B. 102 Suechs, Society Phase 2, Jamshoro Jamshoro</t>
  </si>
  <si>
    <t>A | X Embroidery LOGO - 3XL / White (x1)</t>
  </si>
  <si>
    <t>TR27293</t>
  </si>
  <si>
    <t>MUHAMMAD FARHAN SALEEM</t>
  </si>
  <si>
    <t>+923349918850</t>
  </si>
  <si>
    <t>Street # 2 Mohalla Samanabad Sangla Hill District Nankana Sahib Sangla Hill</t>
  </si>
  <si>
    <t>Sangla Hill</t>
  </si>
  <si>
    <t>TR27294</t>
  </si>
  <si>
    <t>Muhmammad Sohail</t>
  </si>
  <si>
    <t>+923211554987</t>
  </si>
  <si>
    <t>407 C - Commercial Area, Satellite Town, Bahawalpur, 63100 Bahawalpur</t>
  </si>
  <si>
    <t>TR27295</t>
  </si>
  <si>
    <t>Haji Zain</t>
  </si>
  <si>
    <t>+923067090234</t>
  </si>
  <si>
    <t>chack no 203 manawala fsd canal road Faisalabad</t>
  </si>
  <si>
    <t>ridr nahi aya</t>
  </si>
  <si>
    <t>Imported Scoba Executive Nik Tro - XL / Silver Grey (x1)</t>
  </si>
  <si>
    <t>TR27296</t>
  </si>
  <si>
    <t>Abdul Ahad Mansoor</t>
  </si>
  <si>
    <t>+923027397387</t>
  </si>
  <si>
    <t>Old Gracylines Officers Colony, Rawalpindi Rawalpindi</t>
  </si>
  <si>
    <t>open to allow
[Paid: 3749 | Ref: CPR-T4ZJB871627]</t>
  </si>
  <si>
    <t>TR27297</t>
  </si>
  <si>
    <t>Ishfaque Ahmed</t>
  </si>
  <si>
    <t>Ishfaque Electronics And Home Appliances Store, Infront Of Js Bank, Main Road Mirpur Mathelo Mirpur Mathelo</t>
  </si>
  <si>
    <t>Ji rider mere pass aya tha. Lekin parcel per Allow to open mention na hony ki waja sy return kerdiya.
 | ↩️ Return Charged: 2025-12-30 | Fee: 213</t>
  </si>
  <si>
    <t>TR27298</t>
  </si>
  <si>
    <t>Javed Anjum</t>
  </si>
  <si>
    <t>Javed jewellers main bazar qila didar sing gujranwala pakistan For details &amp; information  03007403840  03217403840 watsap Gujranwala</t>
  </si>
  <si>
    <t>TR27299</t>
  </si>
  <si>
    <t>Naveen Utradi</t>
  </si>
  <si>
    <t>Sardar House, 3b-2nd East Street, Near Dha Head Office Phase 1 Dha Karachi Karachi</t>
  </si>
  <si>
    <t>ADI Ref Stripes - 4XL / White (x1), ADI Ref Stripes - 4XL / Black (x1), A | X Embroidery LOGO - 2XL / Olive (x1)</t>
  </si>
  <si>
    <t>TR27300</t>
  </si>
  <si>
    <t>Sami KHAN Khan</t>
  </si>
  <si>
    <t>H.99 St 15 Ghora Shah Road Gujar Pura Lahore Lahore</t>
  </si>
  <si>
    <t>TR27301</t>
  </si>
  <si>
    <t>Muhammad Talha</t>
  </si>
  <si>
    <t>House No 92 Madni Town Jaranwala Roed Shahkot Shahkot</t>
  </si>
  <si>
    <t>TR27302</t>
  </si>
  <si>
    <t>khawaja Rizwan Ahmed Wani khawaja Rizwan Ahmed Wani</t>
  </si>
  <si>
    <t>39C/1, pechs block6 Karachi</t>
  </si>
  <si>
    <t>TR27303</t>
  </si>
  <si>
    <t>Muhmmad Asif</t>
  </si>
  <si>
    <t>Usta Muhammad Balochistan . Upl Chok Azad Electrik Shop Usta muhammad</t>
  </si>
  <si>
    <t>Usta muhammad</t>
  </si>
  <si>
    <t>TR27304</t>
  </si>
  <si>
    <t>R10 sec 15 A 1 bufferzone north nazimabad Karachi</t>
  </si>
  <si>
    <t>TR27305</t>
  </si>
  <si>
    <t>Muhammad Mehtab</t>
  </si>
  <si>
    <t>+923455103907</t>
  </si>
  <si>
    <t>Danish Book Depo Railway Scheme # 7 Rawalpindi Rawalpindi</t>
  </si>
  <si>
    <t>Adi Winter Trouser - M / Black (x1)</t>
  </si>
  <si>
    <t>TR27306</t>
  </si>
  <si>
    <t>Subhan Khan</t>
  </si>
  <si>
    <t>Taunsa Taunsa</t>
  </si>
  <si>
    <t>Taunsa</t>
  </si>
  <si>
    <t>TR27307</t>
  </si>
  <si>
    <t>Arif ullah khan Khan</t>
  </si>
  <si>
    <t>+923329741725</t>
  </si>
  <si>
    <t>Arif medical store  Shahid Medicin Markit Bannu Bannu</t>
  </si>
  <si>
    <t>Bannu</t>
  </si>
  <si>
    <t>TR27308</t>
  </si>
  <si>
    <t>Chak 251/EB Teh burewala dist vehari Gaggo mandi</t>
  </si>
  <si>
    <t>Gaggo mandi</t>
  </si>
  <si>
    <t>TR27309</t>
  </si>
  <si>
    <t>Ali Abbas</t>
  </si>
  <si>
    <t>Tw mess, Chaklaa Garrison, Rawalpindi Rawalpindi</t>
  </si>
  <si>
    <t>TR27310</t>
  </si>
  <si>
    <t>faisal faisal</t>
  </si>
  <si>
    <t>F/18 House # 1, Bagh-e-Fidai, Clifton Block 7 Karachi</t>
  </si>
  <si>
    <t>TR27311</t>
  </si>
  <si>
    <t>Pajjagi road chaghar matti bazar near Ashab baba mazar peshawar peshawar</t>
  </si>
  <si>
    <t>TR27312</t>
  </si>
  <si>
    <t>Ali Hassan</t>
  </si>
  <si>
    <t>House 89-A, street 9, Shah Taj Colony, Walton Road. Lahore</t>
  </si>
  <si>
    <t>ADI - EMBOSSED LOGO (Cotton) - XL / Sky (x1), ADI - EMBOSSED LOGO (Cotton) - XL / Dark Red(Maroon) (x1)</t>
  </si>
  <si>
    <t>TR27313</t>
  </si>
  <si>
    <t>Service Long march Tyre limited Noriyabad Noori Abad</t>
  </si>
  <si>
    <t>Noori Abad</t>
  </si>
  <si>
    <t>Imported Scoba Executive Nik Tro - M / Black (x1)</t>
  </si>
  <si>
    <t>TR27314</t>
  </si>
  <si>
    <t>Saifurrehman Rana</t>
  </si>
  <si>
    <t>Dt 48 f.b gulberg block 12 f.b area karachi Karachi</t>
  </si>
  <si>
    <t>available nahi tha ap reattempt ker dien
 | ↩️ Return Charged: 2025-12-30 | Fee: 227</t>
  </si>
  <si>
    <t>TR27315</t>
  </si>
  <si>
    <t>Noor Tahir</t>
  </si>
  <si>
    <t>+923338796810</t>
  </si>
  <si>
    <t>39/24 darul rehmat sharqi rajeki Chenab Nagar</t>
  </si>
  <si>
    <t>Chenab Nagar</t>
  </si>
  <si>
    <t>TR27316</t>
  </si>
  <si>
    <t>Rahim Khan</t>
  </si>
  <si>
    <t>+923194095898</t>
  </si>
  <si>
    <t>Tension Free Shopping Centre Swawai  Buner Khadukhel Rd, Sawawai, Pakistan Other</t>
  </si>
  <si>
    <t>TR27317</t>
  </si>
  <si>
    <t>Ahsan Israr</t>
  </si>
  <si>
    <t>Quetta Sada Bhar caffee bhera pull baraku Islamabad Islamabad</t>
  </si>
  <si>
    <t>(Premium) Popcorn Polo - M / Black (x1)</t>
  </si>
  <si>
    <t>TR27318</t>
  </si>
  <si>
    <t>Arham Khan</t>
  </si>
  <si>
    <t>269-P Ex Air avenue Dha phase 8 Lahore</t>
  </si>
  <si>
    <t>TR27319</t>
  </si>
  <si>
    <t>Noor Ahmed Shaikh</t>
  </si>
  <si>
    <t>Ps b section near buddy Chowk unit number 06 latifabad Hyderabad</t>
  </si>
  <si>
    <t xml:space="preserve">
 | ↩️ Return Charged: 2025-12-30 | Fee: 320</t>
  </si>
  <si>
    <t>TR27320</t>
  </si>
  <si>
    <t>Maaz Rasheed</t>
  </si>
  <si>
    <t>Banglow # 22-B/|| golf course road # 4 dha phase 4 Karachi</t>
  </si>
  <si>
    <t>TR27321</t>
  </si>
  <si>
    <t>Kabir Ahmed</t>
  </si>
  <si>
    <t>+923190268727</t>
  </si>
  <si>
    <t>House no 408 phase 1 street 1 malir cantt Karachi</t>
  </si>
  <si>
    <t>ADI Multi Ref Stripes - XL / White (x1), ADI Multi Ref Stripes - L / Black (x1), NIK- Ref LOGO - L / white (x1), NIK- Ref LOGO - L / black (x1)</t>
  </si>
  <si>
    <t>TR27322</t>
  </si>
  <si>
    <t>Hashir Akhtar</t>
  </si>
  <si>
    <t>+923211555333</t>
  </si>
  <si>
    <t>Mean nartopa chowke toll tex Rocks mobile Attock</t>
  </si>
  <si>
    <t>TR27323</t>
  </si>
  <si>
    <t>taimoor ahmed</t>
  </si>
  <si>
    <t>Galiab road Lahore the Fred hotal Lahore</t>
  </si>
  <si>
    <t>A | X Embroidery LOGO - XL / Black (x1)</t>
  </si>
  <si>
    <t>TR27324</t>
  </si>
  <si>
    <t>Arsalan Mushtaq</t>
  </si>
  <si>
    <t>2nd floor SBP main building ii chundriger road Karachi</t>
  </si>
  <si>
    <t>TR27325</t>
  </si>
  <si>
    <t>Yousaf Bin zahid</t>
  </si>
  <si>
    <t>Khattak Colony, St#7 Opposite Jalal Perteol Pump, University Road Kohat Kohat</t>
  </si>
  <si>
    <t>TR27326</t>
  </si>
  <si>
    <t>Imran Hanif</t>
  </si>
  <si>
    <t>Al Kabir Arcade Ameer Khusroo Road Flat # 402 Plot # 115/30 Karachi</t>
  </si>
  <si>
    <t>TR27327</t>
  </si>
  <si>
    <t>Korangi no 2 men market House no Q-281 kadri Jama masjid Karachi korangi no 2 Karachi</t>
  </si>
  <si>
    <t>TR27328</t>
  </si>
  <si>
    <t>Adnan Malik Malik</t>
  </si>
  <si>
    <t>House No 172 Strret No 10 Lane No 1 Gulraiz Phase 3 Rawalpindi Rawalpindi</t>
  </si>
  <si>
    <t>ADI - EMBOSSED LOGO (Cotton) - XL / Olive( Commando Green) (x1), Tipping Crew - XL / Black (x1)</t>
  </si>
  <si>
    <t>TR27329</t>
  </si>
  <si>
    <t>Habib Ch</t>
  </si>
  <si>
    <t>Pakistan Tobacco Company jhelum Jhelum</t>
  </si>
  <si>
    <t>TR27330</t>
  </si>
  <si>
    <t>Nazeer Ahmed</t>
  </si>
  <si>
    <t>+923150387707</t>
  </si>
  <si>
    <t>Qasimabad waaduwa alrehman tower Hyderabad</t>
  </si>
  <si>
    <t>TR27331</t>
  </si>
  <si>
    <t>Aftab hashmi</t>
  </si>
  <si>
    <t>29-taxila Jamilabd St Taxila Wahcantt</t>
  </si>
  <si>
    <t>Taxila Wahcantt</t>
  </si>
  <si>
    <t xml:space="preserve">
 | ↩️ Return Charged: 2025-12-23 | Fee: 220.11</t>
  </si>
  <si>
    <t>TR27332</t>
  </si>
  <si>
    <t>47 S PECHS BLOCK 2 model school street karachi Karachi</t>
  </si>
  <si>
    <t>TR27333</t>
  </si>
  <si>
    <t>Shamsuddin Daudpoto</t>
  </si>
  <si>
    <t>Flat #3, Building 28-C, Lane 12, Bukhari Commercial Area DHA Phase 6 Karachi</t>
  </si>
  <si>
    <t>TR27334</t>
  </si>
  <si>
    <t>28575 i shirt is missing from previous parcel
[Return Fee: 213.44 | Ref: CPR-T4ZJB871627]</t>
  </si>
  <si>
    <t>ADI - EMBOSSED LOGO (Cotton) - M / Sky (x1)</t>
  </si>
  <si>
    <t>TR27335</t>
  </si>
  <si>
    <t>0306 0007471</t>
  </si>
  <si>
    <t>Saleem clothe house. Mzail chowck hazro.  Tehseel hazro zila attock Hazro</t>
  </si>
  <si>
    <t>LE7522474203</t>
  </si>
  <si>
    <t>tcs / lcs whatsup</t>
  </si>
  <si>
    <t>TR27336</t>
  </si>
  <si>
    <t>+923364811835</t>
  </si>
  <si>
    <t>28268exchange
[Return Fee: 120.06 | Ref: CPR-T4ZJB871627]</t>
  </si>
  <si>
    <t>TR27337</t>
  </si>
  <si>
    <t>+923360442122</t>
  </si>
  <si>
    <t>SHOP01</t>
  </si>
  <si>
    <t>28567shop sa exchage ker gaya tha</t>
  </si>
  <si>
    <t>TR27338</t>
  </si>
  <si>
    <t>Daniyal Liaquat</t>
  </si>
  <si>
    <t>House A 81 P I A CO OPERATIVE HOUSING SOCIETY GULISTAN E JOHAR BLOCK 9 Karachi</t>
  </si>
  <si>
    <t>TR27339</t>
  </si>
  <si>
    <t>+923408529303</t>
  </si>
  <si>
    <t>TR27340</t>
  </si>
  <si>
    <t>Sher rehman</t>
  </si>
  <si>
    <t>Landhi Hospital Chorange Karachi</t>
  </si>
  <si>
    <t>opn to allow
 | ↩️ Return Charged: 2026-01-06 | Fee: 213.44</t>
  </si>
  <si>
    <t>CPR-PFN20465030</t>
  </si>
  <si>
    <t>TR27341</t>
  </si>
  <si>
    <t>Asghar Shah</t>
  </si>
  <si>
    <t>Muhsin book santir Paroa  City thseel Paroa Parova</t>
  </si>
  <si>
    <t>Parova</t>
  </si>
  <si>
    <t>cancel this one  28766 already order</t>
  </si>
  <si>
    <t>TR27342</t>
  </si>
  <si>
    <t>hanaan Honey</t>
  </si>
  <si>
    <t>+923445616423</t>
  </si>
  <si>
    <t>Hanan Pharmacy JEHLAM ROAD  Mulhal Mughlan district chakwal Chakwal</t>
  </si>
  <si>
    <t>LE7522474204</t>
  </si>
  <si>
    <t>TR27343</t>
  </si>
  <si>
    <t>imran javed</t>
  </si>
  <si>
    <t>AL farid garden house no#72-B Pakpattan</t>
  </si>
  <si>
    <t>TR27344</t>
  </si>
  <si>
    <t>Zahid Mehmood</t>
  </si>
  <si>
    <t>124/15l Ikram Wali Mianchannu Mianchannu</t>
  </si>
  <si>
    <t>Mianchannu</t>
  </si>
  <si>
    <t>TR27345</t>
  </si>
  <si>
    <t>Ashar Nizam Nizam</t>
  </si>
  <si>
    <t>Flat No.126, Third Floor, 1st Lift, Block C-2, Phase2, Haroon Royal City, Block 17, Gulistan e Johar, Karachi, Pakistan. Karachi</t>
  </si>
  <si>
    <t>(Premium) Popcorn Polo - L / Navy (x1)</t>
  </si>
  <si>
    <t>TR27346</t>
  </si>
  <si>
    <t>Sarmad Ali</t>
  </si>
  <si>
    <t>H#A-9 faraz villaz phase 2,qasimabad hyd Hyderabad</t>
  </si>
  <si>
    <t>TR27347</t>
  </si>
  <si>
    <t>Malik Abdullah</t>
  </si>
  <si>
    <t>+923263710006</t>
  </si>
  <si>
    <t>Johar town samsani khoi Lahore Lahore</t>
  </si>
  <si>
    <t xml:space="preserve">
 | ↩️ Return Charged: 2025-12-23 | Fee: 120.06</t>
  </si>
  <si>
    <t>TR27348</t>
  </si>
  <si>
    <t>+923227324546</t>
  </si>
  <si>
    <t>28384exchnage
[Return Fee: 220.11 | Ref: CPR-T4ZJB871627]</t>
  </si>
  <si>
    <t>TR27349</t>
  </si>
  <si>
    <t>Ibneali Syed</t>
  </si>
  <si>
    <t>+923165724245</t>
  </si>
  <si>
    <t>House no At 19 alitown mansehra Mansehra</t>
  </si>
  <si>
    <t>Mansehra</t>
  </si>
  <si>
    <t>confirm (  20% off discount given by rehman)</t>
  </si>
  <si>
    <t>Adi- Hoodie - L / Black (x2)</t>
  </si>
  <si>
    <t>TR27350</t>
  </si>
  <si>
    <t>+923135968643</t>
  </si>
  <si>
    <t>28531exchange
[Return Fee: 213.44 | Ref: CPR-T4ZJB871627]</t>
  </si>
  <si>
    <t>TR27351</t>
  </si>
  <si>
    <t>Nauman Manzoor</t>
  </si>
  <si>
    <t>House#334-a, Street#6, Sector-4 Vip Proper, Airport Housing Society Rawalpindi</t>
  </si>
  <si>
    <t xml:space="preserve">
 | ↩️ Return Charged: 2025-12-30 | Fee: 200</t>
  </si>
  <si>
    <t>TR27352</t>
  </si>
  <si>
    <t>Muhammad Ali Ali</t>
  </si>
  <si>
    <t>Postex office main bypass road near adil kanta madina bolck sahiwal Sahiwal</t>
  </si>
  <si>
    <t>TR27353</t>
  </si>
  <si>
    <t>Mohsineen Buksh</t>
  </si>
  <si>
    <t>House No.1066A, Street No.70 Pak-Avenue, E-11/3 Islamabad</t>
  </si>
  <si>
    <t>Embossed NIK-E - XL / Black (x1), Embossed NIK-E - XL / White (x1), ADI Ref Stripes - XL / White (x1), ADI Ref Stripes - XL / Black (x1)</t>
  </si>
  <si>
    <t>TR27354</t>
  </si>
  <si>
    <t>Asmatullah Quresh</t>
  </si>
  <si>
    <t>House # E-17 wahdat colony Quetta Quetta</t>
  </si>
  <si>
    <t xml:space="preserve">
 | ↩️ Return Charged: 2026-01-16 | Fee: 227</t>
  </si>
  <si>
    <t xml:space="preserve"> CPR-ZFZUE952731 </t>
  </si>
  <si>
    <t>TR27355</t>
  </si>
  <si>
    <t>Mazdar-ul-Hassan Mazdar</t>
  </si>
  <si>
    <t>Riphah College of Veterinary Sciences Lahore 13km Raiwind Road Chamru pur stop Lahore</t>
  </si>
  <si>
    <t>TR27356</t>
  </si>
  <si>
    <t>Asif Mumtaz</t>
  </si>
  <si>
    <t>+923124073434</t>
  </si>
  <si>
    <t>GC university imam bargah chok ma a ker rider call ker la Faisalabad</t>
  </si>
  <si>
    <t>TR27357</t>
  </si>
  <si>
    <t>MARTIN AKOMOLAFE</t>
  </si>
  <si>
    <t>Shaman Colony Capital Homes Houses5,street3,sectorh13. Upper Portion Islamabad</t>
  </si>
  <si>
    <t>TR27358</t>
  </si>
  <si>
    <t>Farrukh Abbas</t>
  </si>
  <si>
    <t>Muhalla Mukhara Abad Street No 03 Gojra Road Jhang Sadar Jhang</t>
  </si>
  <si>
    <t xml:space="preserve">
 | ↩️ Return Charged: 2025-12-26 | Fee: 200.1</t>
  </si>
  <si>
    <t>TR27359</t>
  </si>
  <si>
    <t>Faisal Khan</t>
  </si>
  <si>
    <t>+923326917476</t>
  </si>
  <si>
    <t>Flat 12 block B chaklala garrison Rawalpindi</t>
  </si>
  <si>
    <t>TR27360</t>
  </si>
  <si>
    <t>Abdul Ahad</t>
  </si>
  <si>
    <t>House 17/A, Street 9/B, Muslim Colony Shalimar Link rd Lahore</t>
  </si>
  <si>
    <t>TR27361</t>
  </si>
  <si>
    <t>Samiraja Samiraja</t>
  </si>
  <si>
    <t>District Kotli tahseel Khuiratta post office ajk Bhayal</t>
  </si>
  <si>
    <t>Bhayal</t>
  </si>
  <si>
    <t>Khuiratta  call courier
 | ↩️ Return Charged: 2026-01-13 | Fee: 213</t>
  </si>
  <si>
    <t>CPR-9DM8S625709</t>
  </si>
  <si>
    <t>TR27362</t>
  </si>
  <si>
    <t>M nadeem nadeem</t>
  </si>
  <si>
    <t>Pak behria city house no 79 pakpptan Pakpptan</t>
  </si>
  <si>
    <t>Pakpptan</t>
  </si>
  <si>
    <t>TR27363</t>
  </si>
  <si>
    <t>+923224011592</t>
  </si>
  <si>
    <t xml:space="preserve">
 | ↩️ Return Charged: 2025-12-26 | Fee: 220.11</t>
  </si>
  <si>
    <t>TR27364</t>
  </si>
  <si>
    <t>Hakeem Abdul</t>
  </si>
  <si>
    <t>+923126555002</t>
  </si>
  <si>
    <t>Makkah Motor, Sirki Road, Quetta Quetta</t>
  </si>
  <si>
    <t>TR27365</t>
  </si>
  <si>
    <t>Suleman Sajjad</t>
  </si>
  <si>
    <t>House no :567,block:XX ,dha , phase 3 Lahore</t>
  </si>
  <si>
    <t>TR27366</t>
  </si>
  <si>
    <t>Raheel Bari</t>
  </si>
  <si>
    <t>F10 markaz silver oaks health club Islamabad Islamabad</t>
  </si>
  <si>
    <t>TR27367</t>
  </si>
  <si>
    <t>Dr.Muhammed Kabir Toor</t>
  </si>
  <si>
    <t>UOG HAFIZ HAYAT CAMPUS GUJRAT Nishter Lane =4HN=13 Gujrat</t>
  </si>
  <si>
    <t>TR27368</t>
  </si>
  <si>
    <t>Shahidbajwa Shahidbajwa</t>
  </si>
  <si>
    <t>Chonat Road Near Masjd Jhumra Faisalbad Faislabad</t>
  </si>
  <si>
    <t>Faislabad</t>
  </si>
  <si>
    <t xml:space="preserve">
 | ↩️ Return Charged: 2025-12-26 | Fee: 313.49</t>
  </si>
  <si>
    <t>TR27369</t>
  </si>
  <si>
    <t>Hussnain abbas</t>
  </si>
  <si>
    <t>V Mall Shop Scent and scerat near to kitchen cuisine galib road Sialkot centt Sialkot</t>
  </si>
  <si>
    <t>TR27370</t>
  </si>
  <si>
    <t>Mohiz Malik</t>
  </si>
  <si>
    <t>+923700823761</t>
  </si>
  <si>
    <t>Rehmatabad cant area rasheed genernal store Abbottabad</t>
  </si>
  <si>
    <t>ok
 | ↩️ Return Charged: 2025-12-30 | Fee: 213</t>
  </si>
  <si>
    <t>TR27371</t>
  </si>
  <si>
    <t>Saad Imran</t>
  </si>
  <si>
    <t>+923325599709</t>
  </si>
  <si>
    <t>Street4 House3 new city phase 2 wah cantt Wah Cantt</t>
  </si>
  <si>
    <t>Wah Cantt</t>
  </si>
  <si>
    <t>TR27372</t>
  </si>
  <si>
    <t>Aman Ul Haq</t>
  </si>
  <si>
    <t>Mohallah Qabristan Road Pabbi Bazar, P.O Box Pabbi, District Nowshera, KPK, Pakistan Pabbi, Nowshera</t>
  </si>
  <si>
    <t>Pabbi, Nowshera</t>
  </si>
  <si>
    <t>(Premium) Popcorn Polo - XL / Biscuit (x1)</t>
  </si>
  <si>
    <t>TR27373</t>
  </si>
  <si>
    <t>Hamid Falki</t>
  </si>
  <si>
    <t>+923216769600</t>
  </si>
  <si>
    <t>Digital Communication Department , pak china friend s hip center   chand tara road Shakarparian Rd, Islamabad, Pakistan Islamabad</t>
  </si>
  <si>
    <t>TR27374</t>
  </si>
  <si>
    <t>Ammad Shah</t>
  </si>
  <si>
    <t>Kitchen cuisine flight catering old airport road chaklala fazal town pase 2 rawalpindi Islamabad</t>
  </si>
  <si>
    <t>TR27375</t>
  </si>
  <si>
    <t>Iftikhar shah Abbas</t>
  </si>
  <si>
    <t>Flat# 302 , 3rd floor, plot# 37-C, Lane# 7, ittehad commercial,  phase 6, DHA Karachi</t>
  </si>
  <si>
    <t>TR27376</t>
  </si>
  <si>
    <t>jahanzaib jahanzaib</t>
  </si>
  <si>
    <t>+923238964895</t>
  </si>
  <si>
    <t>Hospital road kandiaro nazed national bank kandiaro</t>
  </si>
  <si>
    <t>kandiaro</t>
  </si>
  <si>
    <t>open to allow whatsup</t>
  </si>
  <si>
    <t>TR27377</t>
  </si>
  <si>
    <t>Block 6 federal b area Karachi</t>
  </si>
  <si>
    <t>28169exchange
[Return Fee: 213.44 | Ref: CPR-T4ZJB871627]</t>
  </si>
  <si>
    <t>Basic RL Crew- Cotton - L / light chocolate (x1), Basic RL Crew- Cotton - L / Black (x1)</t>
  </si>
  <si>
    <t>TR27378</t>
  </si>
  <si>
    <t>Taufiq Ahmed Taufiq Ahmed</t>
  </si>
  <si>
    <t>+923337355666</t>
  </si>
  <si>
    <t>near post office distt kashmore sindh kashmore sindh</t>
  </si>
  <si>
    <t>kashmore sindh</t>
  </si>
  <si>
    <t>whatsp tcs</t>
  </si>
  <si>
    <t>TR27379</t>
  </si>
  <si>
    <t>Fariha Rizwan</t>
  </si>
  <si>
    <t>Building # 112 ,8-A , Askari 5 Malir Cantt. Karachi</t>
  </si>
  <si>
    <t>Imported Scoba Executive Nik Tro - XL / Black (x1), Multi ref PUM-A - 2xl / White (x1), Multi ref PUM-A - 2xl / Black (x1)</t>
  </si>
  <si>
    <t>TR27380</t>
  </si>
  <si>
    <t>Abdullah khan Abdullah khan</t>
  </si>
  <si>
    <t>+923455083655</t>
  </si>
  <si>
    <t>Taj Sher Rabbani Masjid   Dhoke Kala Khan, Rawalpindi, Pakistan Rawalpindi</t>
  </si>
  <si>
    <t>ADI Multi Ref Stripes - L / White (x1)</t>
  </si>
  <si>
    <t>TR27381</t>
  </si>
  <si>
    <t>+923431002471</t>
  </si>
  <si>
    <t>Sahibzada heights 2nd floor 201 H13 Islamabad</t>
  </si>
  <si>
    <t>TR27382</t>
  </si>
  <si>
    <t>syed hamza</t>
  </si>
  <si>
    <t>+923251566805</t>
  </si>
  <si>
    <t>Ahad Mobile Center  Ghalotian Morr, Pakistan Sialkot</t>
  </si>
  <si>
    <t>TR27383</t>
  </si>
  <si>
    <t>Adnan Abbas</t>
  </si>
  <si>
    <t>House no. 1116-Q, Sector F-8/1, Phase 8, Bahria Town, Rawalpindi Rawalpindi</t>
  </si>
  <si>
    <t>TR27384</t>
  </si>
  <si>
    <t>TR27385</t>
  </si>
  <si>
    <t>Touseef Abid</t>
  </si>
  <si>
    <t>Chak No 194 Murad Tehsil Hasilpur District Bahawalpur Bahawalpur</t>
  </si>
  <si>
    <t>not ans
 | ↩️ Return Charged: 2025-12-30 | Fee: 220</t>
  </si>
  <si>
    <t>TR27386</t>
  </si>
  <si>
    <t>Imported Scoba Executive Adi Tro - L / olive (x1), Imported Scoba Executive Nik Tro - L / Black (x1)</t>
  </si>
  <si>
    <t>TR27387</t>
  </si>
  <si>
    <t>Khurram M Iqbal</t>
  </si>
  <si>
    <t>83-P, Phase 1, DHA Lahore</t>
  </si>
  <si>
    <t>Shop02</t>
  </si>
  <si>
    <t>Adi Winter Trouser - M / Blue (x1), ADI - Hoodie (Female) - M / Black (x1), Adi Winter Trouser - M / Black (x1), Adi- Hoodie - M / Black (x1), Adi- Hoodie - M / White (x1)</t>
  </si>
  <si>
    <t>TR27388</t>
  </si>
  <si>
    <t>Adnan Qazi</t>
  </si>
  <si>
    <t>+923232254199</t>
  </si>
  <si>
    <t>House No 113 Block 16 Sector B1 Township Lahore Lahore</t>
  </si>
  <si>
    <t>ok  cancel ma out of city ho
 | ↩️ Return Charged: 2025-12-23 | Fee: 186.76
 | ↩️ Return Charged: 2025-12-23 | Fee: 187</t>
  </si>
  <si>
    <t>TR27389</t>
  </si>
  <si>
    <t>Ali Abbasi</t>
  </si>
  <si>
    <t>446/1 st 9 CC DHA PHASE 4 Lahore</t>
  </si>
  <si>
    <t>TR27390</t>
  </si>
  <si>
    <t>Zaheer Ahmad</t>
  </si>
  <si>
    <t>Gulshan e Ahbab Housing Society Lahore, House #71A , Defence Road (Chandrai Road ) Lahore</t>
  </si>
  <si>
    <t>TR27391</t>
  </si>
  <si>
    <t>Javed Sheikh</t>
  </si>
  <si>
    <t>+9203314408200</t>
  </si>
  <si>
    <t>241P phase 8 dha Lahore</t>
  </si>
  <si>
    <t>galti sa order ho gaya cancel</t>
  </si>
  <si>
    <t>TR27392</t>
  </si>
  <si>
    <t>TR27393</t>
  </si>
  <si>
    <t>Junaid Jadoon</t>
  </si>
  <si>
    <t>House No 1259 Mohallah Musazai Nawanshehr Abbottabad</t>
  </si>
  <si>
    <t>TR27394</t>
  </si>
  <si>
    <t>Mudasir Gujjar</t>
  </si>
  <si>
    <t>+923201411703</t>
  </si>
  <si>
    <t>Shahdra 25 number stop Islambad</t>
  </si>
  <si>
    <t>Islambad</t>
  </si>
  <si>
    <t>cancel ma advance nahi doo ga</t>
  </si>
  <si>
    <t>TR27395</t>
  </si>
  <si>
    <t>Abdul Jabbar</t>
  </si>
  <si>
    <t>+923108181817</t>
  </si>
  <si>
    <t>Phase 3 k samne house number c38   Dimond city gulshan e maymar Karachi</t>
  </si>
  <si>
    <t>ok
 | ↩️ Return Charged: 2026-01-02 | Fee: 213.44</t>
  </si>
  <si>
    <t>CPR-SP0VO509900</t>
  </si>
  <si>
    <t>TR27396</t>
  </si>
  <si>
    <t>Rao Asad</t>
  </si>
  <si>
    <t>Malir khokrapar khayaban e Muhammad phase 2 h003 Karachi</t>
  </si>
  <si>
    <t>TR27397</t>
  </si>
  <si>
    <t>Ahmed Rizwan</t>
  </si>
  <si>
    <t>N.H.S maripur road opposite kafayah shopping maal gate Karachi</t>
  </si>
  <si>
    <t xml:space="preserve">
 | ↩️ Return Charged: 2026-01-02 | Fee: 213.44</t>
  </si>
  <si>
    <t>TR27398</t>
  </si>
  <si>
    <t>Muridke Naem electronics Muridke</t>
  </si>
  <si>
    <t>cancel order late ho gaya tha is liya again order kiya tha</t>
  </si>
  <si>
    <t>TR27399</t>
  </si>
  <si>
    <t>Hamza Ali</t>
  </si>
  <si>
    <t>Korangi no 2 norani basti house no 732 Karachi</t>
  </si>
  <si>
    <t>cancel nahi lena
 | ↩️ Return Charged: 2026-01-02 | Fee: 213.44</t>
  </si>
  <si>
    <t>TR27400</t>
  </si>
  <si>
    <t>Tipuu Gill</t>
  </si>
  <si>
    <t>J-219 DHA Mulatn</t>
  </si>
  <si>
    <t>Mulatn</t>
  </si>
  <si>
    <t>ok  consignee want to open parcel
 | ↩️ Return Charged: 2026-01-02 | Fee: 220.11</t>
  </si>
  <si>
    <t>TR27401</t>
  </si>
  <si>
    <t>Aijaz Ahmed</t>
  </si>
  <si>
    <t>Magsi kiryana store near asad public school city Tangwani district kndhkot Tangwani</t>
  </si>
  <si>
    <t>Tangwani</t>
  </si>
  <si>
    <t>bhai na order kiya tha but aus ka pass mobile nahi aa</t>
  </si>
  <si>
    <t>TR27402</t>
  </si>
  <si>
    <t>Muhammad kamran</t>
  </si>
  <si>
    <t>Ayub gate sukkur near munawar school Sukkur</t>
  </si>
  <si>
    <t>TR27403</t>
  </si>
  <si>
    <t>shahzad ahmad</t>
  </si>
  <si>
    <t>E tye flat 15/7 DI khan cantt DI khan</t>
  </si>
  <si>
    <t>DI khan</t>
  </si>
  <si>
    <t>TR27404</t>
  </si>
  <si>
    <t>Faisal Usman</t>
  </si>
  <si>
    <t>Sudais shopping plaza kpk Karak</t>
  </si>
  <si>
    <t>cancel ker dien ma abhi nahi loo gaa bad ma ohir khabhi order karo gaa</t>
  </si>
  <si>
    <t>TR27405</t>
  </si>
  <si>
    <t>Saeed Ahmad</t>
  </si>
  <si>
    <t>Main Gate NORE II near Aisha Bhawani academy main shahrah e faisal karachi Karachi</t>
  </si>
  <si>
    <t>G pass aya tha maine e return kiya hai  Due to low quality of product
 | ↩️ Return Charged: 2025-12-30 | Fee: 320</t>
  </si>
  <si>
    <t>TR27406</t>
  </si>
  <si>
    <t>Shani Mehar</t>
  </si>
  <si>
    <t>Chak no 38 jb jhang road Faisalabad</t>
  </si>
  <si>
    <t>TR27407</t>
  </si>
  <si>
    <t>Farwa Ali</t>
  </si>
  <si>
    <t>H.no.129 St.3 Southern Block Bahtia Orchard raiwind road Lahore Lahore</t>
  </si>
  <si>
    <t>TR27408</t>
  </si>
  <si>
    <t>Zahid Raza</t>
  </si>
  <si>
    <t>Alraza software point,main bazaar,near khaad market,city fazilpur,district rajanpur Fazilpur</t>
  </si>
  <si>
    <t>Fazilpur</t>
  </si>
  <si>
    <t>no, i had cancelled the order
 | ↩️ Return Charged: 2026-01-02 | Fee: 220.11</t>
  </si>
  <si>
    <t>TR27409</t>
  </si>
  <si>
    <t>Salman Afzal</t>
  </si>
  <si>
    <t>+923215876478</t>
  </si>
  <si>
    <t>Chak 166 GB Mehlu  adaa kania bangla  near shop haji zahid Dijkot</t>
  </si>
  <si>
    <t>Dijkot</t>
  </si>
  <si>
    <t>ADI - EMBOSSED LOGO (Cotton) - L / Sky (x1)</t>
  </si>
  <si>
    <t>TR27410</t>
  </si>
  <si>
    <t>Javed khan Javad Khan</t>
  </si>
  <si>
    <t>+923191804434</t>
  </si>
  <si>
    <t>District Mandi Bahauddin, Tehsil Phalia Other</t>
  </si>
  <si>
    <t>mana cancel ker diya tha</t>
  </si>
  <si>
    <t>TR27411</t>
  </si>
  <si>
    <t>Muhammad Ilyas</t>
  </si>
  <si>
    <t>House no 1 , main jinnah road , banigala , Islamabad Islamabad</t>
  </si>
  <si>
    <t>TR27412</t>
  </si>
  <si>
    <t>Arsalan Khan</t>
  </si>
  <si>
    <t>Lahore luxury apartments #4 REAL COTTAGES ghazi road Lahore</t>
  </si>
  <si>
    <t>I cancelled it myself
 | ↩️ Return Charged: 2025-12-26 | Fee: 106.72
 | ↩️ Return Charged: 2025-12-26 | Fee: 107</t>
  </si>
  <si>
    <t>TR27413</t>
  </si>
  <si>
    <t>Husnain Wattoo</t>
  </si>
  <si>
    <t>+923018635815</t>
  </si>
  <si>
    <t>Pepsi Mehtabi Warehouse Industrial Estate Multan Multan</t>
  </si>
  <si>
    <t>delivery ker raha</t>
  </si>
  <si>
    <t>TR27414</t>
  </si>
  <si>
    <t>Irfan Shabbir</t>
  </si>
  <si>
    <t>Plot 7 shayan iconic palace gulshan e iqbal block 10 Karachi</t>
  </si>
  <si>
    <t>rider na rabta nahi kiya
 | ↩️ Return Charged: 2026-01-02 | Fee: 226.78</t>
  </si>
  <si>
    <t>TR27415</t>
  </si>
  <si>
    <t>Anees Awn</t>
  </si>
  <si>
    <t>Muzaffarabad rashedabad ajaz steel trader near jirga hotel Muzaffarabad</t>
  </si>
  <si>
    <t>TR27416</t>
  </si>
  <si>
    <t>Tanseem Khan</t>
  </si>
  <si>
    <t>+923157697778</t>
  </si>
  <si>
    <t>Hmc rod main Usman khatter stop Rawalpindi</t>
  </si>
  <si>
    <t>ok 0027651233961</t>
  </si>
  <si>
    <t>TR27417</t>
  </si>
  <si>
    <t>Yasin Ali</t>
  </si>
  <si>
    <t>Hazara Town Brewery Road Block 1 near Taj Mahel Shadi hall Quetta</t>
  </si>
  <si>
    <t>Imported Scoba Executive Nik Tro - L / Black (x1), Imported Scoba Executive Nik Tro - XL / Silver Grey (x1)</t>
  </si>
  <si>
    <t>TR27418</t>
  </si>
  <si>
    <t>Raja Shams</t>
  </si>
  <si>
    <t>City Sehnsa Main Chok Ahmed Bakery Azad Kashmir Sehnsa Ak</t>
  </si>
  <si>
    <t>Sehnsa Ak</t>
  </si>
  <si>
    <t>order cancel by request umair</t>
  </si>
  <si>
    <t>TR27419</t>
  </si>
  <si>
    <t>City sehnsa main chok Ahmed bakery azad kashmir Sehnsa Ak</t>
  </si>
  <si>
    <t>TR27420</t>
  </si>
  <si>
    <t>Hasnain Ali</t>
  </si>
  <si>
    <t>+923323688421</t>
  </si>
  <si>
    <t>Village khair Muhammad Arija tahseel bakrani District larkana Larkana</t>
  </si>
  <si>
    <t>ok
 | ↩️ Return Charged: 2026-01-02 | Fee: 320.16</t>
  </si>
  <si>
    <t>TR27421</t>
  </si>
  <si>
    <t>Sabir Ahmed</t>
  </si>
  <si>
    <t>Ravi link road choudry marken shop no 9 Lahore</t>
  </si>
  <si>
    <t>TR27422</t>
  </si>
  <si>
    <t>Mamoon Ali</t>
  </si>
  <si>
    <t>Paf base Nur Khan Rawalpindi Officer mess Rawalpindi</t>
  </si>
  <si>
    <t>mana order nahi kiya 3344684663 zain na order kiya haa is sa rabta ker lo</t>
  </si>
  <si>
    <t>TR27423</t>
  </si>
  <si>
    <t>Rao m Ali</t>
  </si>
  <si>
    <t>Ho No 12 Banker's Colony Behind One Unit Staff Colony Bahawalpur Bahawalpur</t>
  </si>
  <si>
    <t>TR27424</t>
  </si>
  <si>
    <t>Nouman Azhar</t>
  </si>
  <si>
    <t>+923430466939</t>
  </si>
  <si>
    <t>Post Office Kakrali Tehsil Kharian District Gujarat Kotla Arab Ali Khan Kotla Arab Ali Khan</t>
  </si>
  <si>
    <t>Kotla Arab Ali Khan</t>
  </si>
  <si>
    <t>ok
 | ↩️ Return Charged: 2026-01-02 | Fee: 200.1</t>
  </si>
  <si>
    <t>TR27425</t>
  </si>
  <si>
    <t>+923165332844</t>
  </si>
  <si>
    <t>TR27426</t>
  </si>
  <si>
    <t>Salman Shahidi</t>
  </si>
  <si>
    <t>+923086202523</t>
  </si>
  <si>
    <t>SAlman garment Shmal road chote bazar Shakargarh</t>
  </si>
  <si>
    <t>confirm  not ans
 | ↩️ Return Charged: 2026-01-06 | Fee: 200.1</t>
  </si>
  <si>
    <t>TR27427</t>
  </si>
  <si>
    <t>410-G, Lake city meadows (state life society) Lahore</t>
  </si>
  <si>
    <t>TR27428</t>
  </si>
  <si>
    <t>Wajid latif LATIF</t>
  </si>
  <si>
    <t>+923008438814</t>
  </si>
  <si>
    <t>Sapphire Fibres LTD unit no 3.   26 KM SHEIKHUPURA FAISALABAD ROAD FEROZEWATTAN Mananwala</t>
  </si>
  <si>
    <t>Mananwala</t>
  </si>
  <si>
    <t>ADI Multi Ref Stripes - 3XL / Black (x1)</t>
  </si>
  <si>
    <t>TR27429</t>
  </si>
  <si>
    <t>umer Ali</t>
  </si>
  <si>
    <t>+923456842828</t>
  </si>
  <si>
    <t>manawala pind ahmed nager zilla sheikupura Manawala</t>
  </si>
  <si>
    <t>Manawala</t>
  </si>
  <si>
    <t>yahi address haa
 | ↩️ Return Charged: 2026-01-13 | Fee: 220</t>
  </si>
  <si>
    <t>TR27430</t>
  </si>
  <si>
    <t>MuhammadU Tayyab</t>
  </si>
  <si>
    <t>Shop Number 14, Sector E Askari 10 Lahore Cantt Lahore</t>
  </si>
  <si>
    <t>Multi ref PUM-A - L / White (x1), Multi ref PUM-A - L / Black (x1), Imported Scoba Executive Nik Tro - L / Black (x1)</t>
  </si>
  <si>
    <t>TR27431</t>
  </si>
  <si>
    <t>Malik Mudassar</t>
  </si>
  <si>
    <t>Model town A.street number 10 cb 842 Bahawalpur</t>
  </si>
  <si>
    <t>TR27432</t>
  </si>
  <si>
    <t>Naeem Ahmad</t>
  </si>
  <si>
    <t>+923024778718</t>
  </si>
  <si>
    <t>National cricket acadmy lhr qaddafi staduim Lahore</t>
  </si>
  <si>
    <t>Rider aya tha but quality wasn’t good enough that’s why I returned
 | ↩️ Return Charged: 2025-12-26 | Fee: 120.06</t>
  </si>
  <si>
    <t>TR27433</t>
  </si>
  <si>
    <t>241P phase dha Lahore</t>
  </si>
  <si>
    <t>mana koi order nahi kiya</t>
  </si>
  <si>
    <t>TR27434</t>
  </si>
  <si>
    <t>Muhammad Ihsan</t>
  </si>
  <si>
    <t>P.O Box Village Bambanwala Mohala Haider Pura Tehsil Daska District Sialkot Daska</t>
  </si>
  <si>
    <t>confirm yahai address haa</t>
  </si>
  <si>
    <t>TR27435</t>
  </si>
  <si>
    <t>Sidra Khan</t>
  </si>
  <si>
    <t>Flat 3 2nd floot 2nd floor 11th commercial street phase 2 extension dha Karachi</t>
  </si>
  <si>
    <t>TR27436</t>
  </si>
  <si>
    <t>Noroz Rind</t>
  </si>
  <si>
    <t>+923351031101</t>
  </si>
  <si>
    <t>Saachan Hotel Mein Road Raik Posht Pasni</t>
  </si>
  <si>
    <t>Pasni</t>
  </si>
  <si>
    <t>TR27437</t>
  </si>
  <si>
    <t>Ahsan Nadeem</t>
  </si>
  <si>
    <t>+923045853588</t>
  </si>
  <si>
    <t>kousar colony street no 5  near imran muaaz house Bahawalpur</t>
  </si>
  <si>
    <t>ap ya fihal cancel ker  dien 
mujha full tracksuit chaiya</t>
  </si>
  <si>
    <t>TR27438</t>
  </si>
  <si>
    <t>+923224282607</t>
  </si>
  <si>
    <t>28650replacement
[Return Fee: 120.06 | Ref: CPR-T4ZJB871627]</t>
  </si>
  <si>
    <t>TR27439</t>
  </si>
  <si>
    <t>Muhammad Abbas Muhammad Abbas</t>
  </si>
  <si>
    <t>+923252995276</t>
  </si>
  <si>
    <t>defince Panjab churangi 16 number Gali karachi</t>
  </si>
  <si>
    <t>cancel paisa nahi hain mera pass
 | ↩️ Return Charged: 2025-12-30 | Fee: 213</t>
  </si>
  <si>
    <t>TR27440</t>
  </si>
  <si>
    <t>Azhar Khalid</t>
  </si>
  <si>
    <t>Kot Abdul Malik Street No 2 House No 1 Sheikhupura Road Lahore Lahore</t>
  </si>
  <si>
    <t>TR27441</t>
  </si>
  <si>
    <t>Mehran Malik Mehran Malik</t>
  </si>
  <si>
    <t>+923455466419</t>
  </si>
  <si>
    <t>Gulyana Mor Gujar khan near international Islamic university kyani street Gujar khan</t>
  </si>
  <si>
    <t>Gujar khan</t>
  </si>
  <si>
    <t xml:space="preserve">whatsup
</t>
  </si>
  <si>
    <t>TR27442</t>
  </si>
  <si>
    <t>TR27443</t>
  </si>
  <si>
    <t>Waseem Ilyas</t>
  </si>
  <si>
    <t>R a bazr can't Lahore</t>
  </si>
  <si>
    <t>ap cancel dein nahi lena ma given address per nahi hoo</t>
  </si>
  <si>
    <t>TR27444</t>
  </si>
  <si>
    <t>+923060475808</t>
  </si>
  <si>
    <t>TR27445</t>
  </si>
  <si>
    <t>Muhammad Tahir</t>
  </si>
  <si>
    <t>H# 9/1/a, St#3, Islam Road, Pakki Thathi Road Samanabad Lahore Lahore</t>
  </si>
  <si>
    <t>TR27446</t>
  </si>
  <si>
    <t>M Mubashir Asghar</t>
  </si>
  <si>
    <t>Suthra punjab office,Gerneli road Qauid abad</t>
  </si>
  <si>
    <t>TR27447</t>
  </si>
  <si>
    <t>Saqlain Haider</t>
  </si>
  <si>
    <t>+923130377392</t>
  </si>
  <si>
    <t>ali pco near al habib bank  Distick n feroze City mehrabpur Mehrabpur</t>
  </si>
  <si>
    <t>TR27448</t>
  </si>
  <si>
    <t>Awais wasi</t>
  </si>
  <si>
    <t>Azad kashmir Dictric Kotli tehsil khui Ratta Khui Ratta</t>
  </si>
  <si>
    <t>Khui Ratta</t>
  </si>
  <si>
    <t>cancel mujha laga full tracksuit haa</t>
  </si>
  <si>
    <t>TR27449</t>
  </si>
  <si>
    <t>Kamran Khan</t>
  </si>
  <si>
    <t>+923463736213</t>
  </si>
  <si>
    <t>Village Chappargram tehsil and district Battagram drop location leopard Office Battagram Battagram</t>
  </si>
  <si>
    <t>TR27450</t>
  </si>
  <si>
    <t>Nauman Anjum</t>
  </si>
  <si>
    <t>+923334650573</t>
  </si>
  <si>
    <t>House # Cat-iii 175, C2 Colony Chashma Kundian District Mianwali Mianwali</t>
  </si>
  <si>
    <t>TR27451</t>
  </si>
  <si>
    <t>Haris Manzoor</t>
  </si>
  <si>
    <t>+923105138619</t>
  </si>
  <si>
    <t>Islamabad, g73 Qadria market Islamabad</t>
  </si>
  <si>
    <t>ok
 | ↩️ Return Charged: 2025-12-30 | Fee: 200</t>
  </si>
  <si>
    <t>TR27452</t>
  </si>
  <si>
    <t>Muhammad Atif</t>
  </si>
  <si>
    <t>Al Fajr Lounge Ali Palace Qasimbad Hyderabad</t>
  </si>
  <si>
    <t>consignee want open parcel
 | ↩️ Return Charged: 2025-12-30 | Fee: 227</t>
  </si>
  <si>
    <t>TR27453</t>
  </si>
  <si>
    <t>Hammad Anjum</t>
  </si>
  <si>
    <t>Homeo healthcare clinic Raja Asad Hameed Shaheed road shamsbad Rawalpindi</t>
  </si>
  <si>
    <t>ok ma avail nahi ho ap monday ko deliver kerva dein
 | ↩️ Return Charged: 2025-12-30 | Fee: 200</t>
  </si>
  <si>
    <t>TR27454</t>
  </si>
  <si>
    <t>Asadullah Bagrani</t>
  </si>
  <si>
    <t>Alamin collage matli Matli</t>
  </si>
  <si>
    <t>Matli</t>
  </si>
  <si>
    <t>indirectly boll raha ma available nahi hoo</t>
  </si>
  <si>
    <t>TR27455</t>
  </si>
  <si>
    <t>Saqib Javeed</t>
  </si>
  <si>
    <t>+923117071898</t>
  </si>
  <si>
    <t>Chak no 34/3.r P/O Dahranwala Tehsil Christian District Bahwalnagar Dahranwala</t>
  </si>
  <si>
    <t>TR27456</t>
  </si>
  <si>
    <t>Safdar Ali</t>
  </si>
  <si>
    <t>Gulshan e hadeed phase 2 A1183 Larkana</t>
  </si>
  <si>
    <t xml:space="preserve">
[21-Jan Reattempt]: hello
 | ↩️ Return Charged: 2026-01-09 | Fee: 213</t>
  </si>
  <si>
    <t>CPR-6B75E381646</t>
  </si>
  <si>
    <t>TR27457</t>
  </si>
  <si>
    <t>Muzammil Khan</t>
  </si>
  <si>
    <t>House no R-292 Sector 15A/3 Buffer zone north karachi Karachi</t>
  </si>
  <si>
    <t>TR27458</t>
  </si>
  <si>
    <t>Ilsa Khan</t>
  </si>
  <si>
    <t>+923329931934</t>
  </si>
  <si>
    <t>Comsats University Abbottabad Reception Abbottabad</t>
  </si>
  <si>
    <t>TR27459</t>
  </si>
  <si>
    <t>Syed Shujaa Haider</t>
  </si>
  <si>
    <t>307 Ground, Phase # 1, Jeewan City Sahiwal</t>
  </si>
  <si>
    <t>TR27460</t>
  </si>
  <si>
    <t>Mehraj o din house Kashmir murree Murree</t>
  </si>
  <si>
    <t>TR27461</t>
  </si>
  <si>
    <t>Hassan Awan</t>
  </si>
  <si>
    <t>+923231025172</t>
  </si>
  <si>
    <t>Umer oil change  bala kot road Village reerh postoffice attersheisha Mansehra</t>
  </si>
  <si>
    <t>ADI - Hoodie (Female) - 2XL / Black (x1)</t>
  </si>
  <si>
    <t>TR27462</t>
  </si>
  <si>
    <t>Jahanzaib Chishti</t>
  </si>
  <si>
    <t>House no 300 janiper block sector c Bahria town lahore Lahore</t>
  </si>
  <si>
    <t>TR27463</t>
  </si>
  <si>
    <t>Naveed sharif Naveed sharif</t>
  </si>
  <si>
    <t>Jiwani National Baink Jiwani National Baink</t>
  </si>
  <si>
    <t>Jiwani National Baink</t>
  </si>
  <si>
    <t>LE7522522288</t>
  </si>
  <si>
    <t>ok  rider na rabta nahi kiya ma receive ker lo gaaa
 | 💰 COD Rec: 2026-01-01 | Ref: INV-268857 | Amt: 2748</t>
  </si>
  <si>
    <t>TR27464</t>
  </si>
  <si>
    <t>Head Rajkan Bahawalpur shakeel book center Ahmadpur</t>
  </si>
  <si>
    <t>Ahmadpur</t>
  </si>
  <si>
    <t>TR27465</t>
  </si>
  <si>
    <t>Faisal Awan</t>
  </si>
  <si>
    <t>242. E, PIA HOUSING SOCIETY Lahore</t>
  </si>
  <si>
    <t>nahi leni mana zipper lena tha
 | ↩️ Return Charged: 2025-12-26 | Fee: 120.06</t>
  </si>
  <si>
    <t>TR27466</t>
  </si>
  <si>
    <t>+923004633334</t>
  </si>
  <si>
    <t>quality achi nahi thi mana nahi lena  previous order per bhi mera apisa haram hua hain
 | ↩️ Return Charged: 2025-12-30 | Fee: 407</t>
  </si>
  <si>
    <t>TR27467</t>
  </si>
  <si>
    <t>Saleem Arain</t>
  </si>
  <si>
    <t>+923083045913</t>
  </si>
  <si>
    <t>umer wakil memon muhalha liaqt rod kotri near MCB Bank kotri</t>
  </si>
  <si>
    <t>kotri</t>
  </si>
  <si>
    <t>fabric acha nahi tha scammer ho tum log
 | ↩️ Return Charged: 2025-12-30 | Fee: 227</t>
  </si>
  <si>
    <t>TR27468</t>
  </si>
  <si>
    <t>Danyal Shams</t>
  </si>
  <si>
    <t>+923339655347</t>
  </si>
  <si>
    <t>Flat A, Block 10, Babar Lane, Peshawar Cantt Peshawar</t>
  </si>
  <si>
    <t>TR27469</t>
  </si>
  <si>
    <t>Abdul Rahman Abdul Rahman</t>
  </si>
  <si>
    <t>Faisalabad mansorabad Pana wala chok street #1Near Fuji karyana stor Faisalabad</t>
  </si>
  <si>
    <t>not ans
 | ↩️ Return Charged: 2026-01-02 | Fee: 220.11</t>
  </si>
  <si>
    <t>TR27470</t>
  </si>
  <si>
    <t>Saad Tanveer</t>
  </si>
  <si>
    <t>+923057714728</t>
  </si>
  <si>
    <t>Khayabaan riwind road boys hostle   society chinar bag Lahore</t>
  </si>
  <si>
    <t>TR27471</t>
  </si>
  <si>
    <t>Kabeer Khosa</t>
  </si>
  <si>
    <t>Haji Abdul Rahman Khosa Armiz Dealer Quetta Road Dera Allah Yar Jafarabad Balochistan Sibi</t>
  </si>
  <si>
    <t>Sibi</t>
  </si>
  <si>
    <t>TR27472</t>
  </si>
  <si>
    <t>Imad Uddin</t>
  </si>
  <si>
    <t>GIKI UNIVERSITY MECHANICAL DEPARTMENT TOPI Topi</t>
  </si>
  <si>
    <t>Topi</t>
  </si>
  <si>
    <t>TR27473</t>
  </si>
  <si>
    <t>Azam Yar</t>
  </si>
  <si>
    <t>+923044609088</t>
  </si>
  <si>
    <t>Fateh Garh   Jehangir Rd  near pso  pump ma a ker rider call ker la Lahore</t>
  </si>
  <si>
    <t>ok
 | 💰 COD Rec: 2025-12-23 | Ref: CPR-MWE6F901193 | Amt: 3749</t>
  </si>
  <si>
    <t>TR27474</t>
  </si>
  <si>
    <t>haroon khan</t>
  </si>
  <si>
    <t>F9 park marghala road gate no 3 islamabad Islamabad</t>
  </si>
  <si>
    <t>rider nahi aya mujha ya lazmi chaiya
 | ↩️ Return Charged: 2026-01-02 | Fee: 200.1</t>
  </si>
  <si>
    <t>TR27475</t>
  </si>
  <si>
    <t>Usama liaqat</t>
  </si>
  <si>
    <t>Dubai shoes Dera nawab road ahmed pur east Ahmed Pur</t>
  </si>
  <si>
    <t>Ahmed Pur</t>
  </si>
  <si>
    <t>TR27476</t>
  </si>
  <si>
    <t>Mirza Mirza</t>
  </si>
  <si>
    <t>Chenab house yaseen wattu road G1 joher town Lahore</t>
  </si>
  <si>
    <t>TR27477</t>
  </si>
  <si>
    <t>+923709172660</t>
  </si>
  <si>
    <t>TR27478</t>
  </si>
  <si>
    <t>Muhammad Raheel khan</t>
  </si>
  <si>
    <t>C-10 Gfs House Askari 4 Near Salateen Restaurant Gulshan E Jamal Karachi</t>
  </si>
  <si>
    <t>TR27479</t>
  </si>
  <si>
    <t>Asad Ali</t>
  </si>
  <si>
    <t>+923297000873</t>
  </si>
  <si>
    <t>Khadim Ali Road  near  Khadim sweet bakery    sialkot Sialkot</t>
  </si>
  <si>
    <t>ok  rider nahi aya
 | ↩️ Return Charged: 2025-12-30 | Fee: 220</t>
  </si>
  <si>
    <t>TR27480</t>
  </si>
  <si>
    <t>Syed Abdur Rehman</t>
  </si>
  <si>
    <t>5b ashrafia park near Jamia Ashrafia madrisa feroz e pur Road Lahore Lahore</t>
  </si>
  <si>
    <t>TR27481</t>
  </si>
  <si>
    <t>Suhail Khan</t>
  </si>
  <si>
    <t>House no 932 Street 22 phase 4 bahria town Islamabad</t>
  </si>
  <si>
    <t>cancelthis one</t>
  </si>
  <si>
    <t>TR27482</t>
  </si>
  <si>
    <t>Shahzam Mahmood</t>
  </si>
  <si>
    <t>C-152/1 block 6 Fb Area Karachi</t>
  </si>
  <si>
    <t>nahi lena Mene return ker diya
 | ↩️ Return Charged: 2025-12-30 | Fee: 227</t>
  </si>
  <si>
    <t>TR27483</t>
  </si>
  <si>
    <t>Shahzad Hussain</t>
  </si>
  <si>
    <t>Nawab pur Road near Madina Masjid Nawaan bhatta Multan Multan</t>
  </si>
  <si>
    <t>Bhai Jan mere pas ap ka koi rider nhn Aya . Or na he koi rider ke call ai.
 | ↩️ Return Charged: 2025-12-30 | Fee: 200</t>
  </si>
  <si>
    <t>TR27484</t>
  </si>
  <si>
    <t>+923314408200</t>
  </si>
  <si>
    <t>TR27485</t>
  </si>
  <si>
    <t>Zubair Khan</t>
  </si>
  <si>
    <t>TCS office Ghara More Vehari</t>
  </si>
  <si>
    <t>Vehari</t>
  </si>
  <si>
    <t>tcs   kal receive ker la gaa</t>
  </si>
  <si>
    <t>TR27486</t>
  </si>
  <si>
    <t>Ahmad Naveed</t>
  </si>
  <si>
    <t>kabir hospital melad chowk harand raod dajal tahsile jampur district rajanpur dajal</t>
  </si>
  <si>
    <t>dajal</t>
  </si>
  <si>
    <t>umair reamrks ( order cancel ker do )</t>
  </si>
  <si>
    <t>TR27487</t>
  </si>
  <si>
    <t>Ansab Inayat</t>
  </si>
  <si>
    <t>3-city Mobile Centr Rahim Yar Khan Shope No.3 Hamza Mobile Rahim Yar Khan</t>
  </si>
  <si>
    <t>Imported Scoba Executive Nik Tro - L / Silver Grey (x1), Adi- Hoodie - XL / Black (x1)</t>
  </si>
  <si>
    <t>TR27488</t>
  </si>
  <si>
    <t>Kashif Bazi</t>
  </si>
  <si>
    <t>03405990942-g6/4 Islambad Youth Hostel Islamabad</t>
  </si>
  <si>
    <t>Imported Scoba Executive Adi Tro - M / Black (x1)</t>
  </si>
  <si>
    <t>TR27489</t>
  </si>
  <si>
    <t>Muhammad Usama</t>
  </si>
  <si>
    <t>Qazafi Town Aqsa Masjid Near Manzil pump Karachi</t>
  </si>
  <si>
    <t>switch off haa
 | ↩️ Return Charged: 2026-01-02 | Fee: 226.78</t>
  </si>
  <si>
    <t>TR27490</t>
  </si>
  <si>
    <t>+923070526791</t>
  </si>
  <si>
    <t>Auto House and property near Pak guest goose , G8 markaz islamabad Islamabad</t>
  </si>
  <si>
    <t>mention in paper   half payment advance
 | 💰 COD Rec: 2025-12-23 | Ref: CPR-MWE6F901193 | Amt: 2849</t>
  </si>
  <si>
    <t>ADI Ref Stripes - M / White (x1), ADI Ref Stripes - M / Black (x1)</t>
  </si>
  <si>
    <t>TR27491</t>
  </si>
  <si>
    <t>Saif Khan</t>
  </si>
  <si>
    <t>Meezan Bank DHA Phase 1 Branch Karachi Karachi</t>
  </si>
  <si>
    <t>not ans
 | ↩️ Return Charged: 2026-01-02 | Fee: 213.44</t>
  </si>
  <si>
    <t>TR27492</t>
  </si>
  <si>
    <t>Syed sibtul hassan Gilani</t>
  </si>
  <si>
    <t>+923028476049</t>
  </si>
  <si>
    <t>10 N, Model Town Extension. Lahore Lahore</t>
  </si>
  <si>
    <t>TR27493</t>
  </si>
  <si>
    <t>Khurram saeed</t>
  </si>
  <si>
    <t>+923329219444</t>
  </si>
  <si>
    <t>1st floor , c-31, blovk-17, f.b.area, waterpump, karachi nearest landmark arena multimedia Karachi</t>
  </si>
  <si>
    <t>TR27494</t>
  </si>
  <si>
    <t>Kamran Mughal</t>
  </si>
  <si>
    <t>Islamabad Expressway, bilal town TM cng khanapul Islamad</t>
  </si>
  <si>
    <t>Islamad</t>
  </si>
  <si>
    <t>TR27495</t>
  </si>
  <si>
    <t>+923087011947</t>
  </si>
  <si>
    <t>28660replacement</t>
  </si>
  <si>
    <t>TR27496</t>
  </si>
  <si>
    <t>TR27497</t>
  </si>
  <si>
    <t>Hasnain Ali Hasnain Ali</t>
  </si>
  <si>
    <t>+923015515296</t>
  </si>
  <si>
    <t>Dhoke Jhanda,Thoha Mehram Khan,Talagang  City: Talagang   call courier Talagang</t>
  </si>
  <si>
    <t>whatsup open to alow call courier
 | 💰 COD Rec: 2025-12-26 | Ref: CPR-4FUUH324016 | Amt: 3450</t>
  </si>
  <si>
    <t>TR27498</t>
  </si>
  <si>
    <t>Hannan honey</t>
  </si>
  <si>
    <t>Hanan pharmacy Mulhal mughlan Mulhal Mughlan</t>
  </si>
  <si>
    <t>Mulhal Mughlan</t>
  </si>
  <si>
    <t>cancel late ho gaya tha previous parcel is liya again order kiya</t>
  </si>
  <si>
    <t>TR27499</t>
  </si>
  <si>
    <t>Muhammad Irshad</t>
  </si>
  <si>
    <t>The benitoz tiles Shop no 5 Haroon tiles market karkhano market Peshawar Peshawar</t>
  </si>
  <si>
    <t>TR27500</t>
  </si>
  <si>
    <t>M Irfan</t>
  </si>
  <si>
    <t>By pass Shahbaz pur road Yasir mobile &amp; electronics near punjnad pump Rahim Yar Khan Rahim Yar Khan</t>
  </si>
  <si>
    <t>TR27501</t>
  </si>
  <si>
    <t>confirm by umair</t>
  </si>
  <si>
    <t>TR27502</t>
  </si>
  <si>
    <t>Huzaifa Bilal</t>
  </si>
  <si>
    <t>43-N Samanabad , Lahore LAHORE</t>
  </si>
  <si>
    <t>Adi Winter Trouser - large / Black (x1)</t>
  </si>
  <si>
    <t>TR27503</t>
  </si>
  <si>
    <t>~Usman Mehar Ali ~Usman Mehar Ali</t>
  </si>
  <si>
    <t>+923470009259</t>
  </si>
  <si>
    <t>New Satellite Town  Kiran Hotel Wali Gali  Garnal Bus Stend  Water Supply Chowk sargodha</t>
  </si>
  <si>
    <t>sargodha</t>
  </si>
  <si>
    <t>TR27504</t>
  </si>
  <si>
    <t>Haris Ramzan</t>
  </si>
  <si>
    <t>+923055400608</t>
  </si>
  <si>
    <t>House 318,street 11, Phase 4 B Ghouri Town Islamabad</t>
  </si>
  <si>
    <t>+92 305 5400609</t>
  </si>
  <si>
    <t>ADI Multi Ref Stripes - 2XL / White (x1), ADI Multi Ref Stripes - 2XL / Black (x1), Imported Scoba Executive Nik Tro - XL / Silver Grey (x1)</t>
  </si>
  <si>
    <t>TR27505</t>
  </si>
  <si>
    <t>Waqar Dk</t>
  </si>
  <si>
    <t>Gulshan E Iqbal Block 19 Shanti Nagr Sindhi Society Karachi</t>
  </si>
  <si>
    <t>TR27506</t>
  </si>
  <si>
    <t>Muhammad Khalid</t>
  </si>
  <si>
    <t>Shangla karora Karora</t>
  </si>
  <si>
    <t>Karora</t>
  </si>
  <si>
    <t>cancel to expensive nahi lena</t>
  </si>
  <si>
    <t>TR27507</t>
  </si>
  <si>
    <t>Saud Bukhari</t>
  </si>
  <si>
    <t>MOHALLa Rana garhi Chota Lahor swabi KP Swabi</t>
  </si>
  <si>
    <t>TR27508</t>
  </si>
  <si>
    <t>Ayyan Iqbal</t>
  </si>
  <si>
    <t>Poona Wala apartment 1st floor flate no B103 keamari Karachi</t>
  </si>
  <si>
    <t>ap retattempt kerva dien
 | ↩️ Return Charged: 2026-01-06 | Fee: 213.44</t>
  </si>
  <si>
    <t>TR27509</t>
  </si>
  <si>
    <t>Muzammil Khalid</t>
  </si>
  <si>
    <t>House#a59 popular villaz opposite session court malir karachi Karachi</t>
  </si>
  <si>
    <t>TR27510</t>
  </si>
  <si>
    <t>Malik Qaiser</t>
  </si>
  <si>
    <t>S A Rehman Stop G T Road Darogay Wala Oppsite Hbl Bank New Malik Rent A Cras Lahore</t>
  </si>
  <si>
    <t>TR27511</t>
  </si>
  <si>
    <t>+923214757203</t>
  </si>
  <si>
    <t>Multi ref PUM-A - 2xl / White (x1), Multi ref PUM-A - 2xl / Black (x1), ADI Ref Stripes - 2XL / White (x1), ADI Ref Stripes - 2XL / Black (x1)</t>
  </si>
  <si>
    <t>TR27512</t>
  </si>
  <si>
    <t>Maani Khan</t>
  </si>
  <si>
    <t>101-C Al-Murtaza Commercial Lane 4, DHA Phase 8, Karachi Pakistan Karachi</t>
  </si>
  <si>
    <t>TR27513</t>
  </si>
  <si>
    <t>Ahmad  Ur Rehman</t>
  </si>
  <si>
    <t>House No 1154, Street No 10, Muhallah Qadeerabad, Multan Multan</t>
  </si>
  <si>
    <t>TR27514</t>
  </si>
  <si>
    <t>Bilal ali</t>
  </si>
  <si>
    <t>Old golimar Mangopeer Road Near usmania masjid Karachi</t>
  </si>
  <si>
    <t>TR27515</t>
  </si>
  <si>
    <t>Ajwad Imtaar</t>
  </si>
  <si>
    <t>101K, st 4, phase5, Lahore Lahore</t>
  </si>
  <si>
    <t>TR27516</t>
  </si>
  <si>
    <t>Malik Ahsan Awan</t>
  </si>
  <si>
    <t>Bediyan Rod Golfar line Ashan Club 911 farmhouse Lahore</t>
  </si>
  <si>
    <t xml:space="preserve">
 | ↩️ Return Charged: 2025-12-30 | Fee: 107</t>
  </si>
  <si>
    <t>TR27517</t>
  </si>
  <si>
    <t>Anas Awan</t>
  </si>
  <si>
    <t>House 45 Street 2 Ideal Homes Gulzar e Quaid Rawalpindi</t>
  </si>
  <si>
    <t>TR27518</t>
  </si>
  <si>
    <t>Dr imran Ulhaq</t>
  </si>
  <si>
    <t>southcity hospital ivf centre ,, delivery after 2 pm only Karachi</t>
  </si>
  <si>
    <t>N_F Branded Dri-Fit  T-shirt - XL / Black (x1)</t>
  </si>
  <si>
    <t>TR27519</t>
  </si>
  <si>
    <t>Raja Maaz</t>
  </si>
  <si>
    <t>house c29 - 2nd floor- mpr colony Manghopir road Karachi Karachi</t>
  </si>
  <si>
    <t xml:space="preserve">
 | ↩️ Return Charged: 2026-01-02 | Fee: 226.78</t>
  </si>
  <si>
    <t>TR27520</t>
  </si>
  <si>
    <t>Farhan Arshad</t>
  </si>
  <si>
    <t>+923216644613</t>
  </si>
  <si>
    <t>Farhan arshad and company  Lasani  tower plazaa office no 6 grain market Okara</t>
  </si>
  <si>
    <t>TR27521</t>
  </si>
  <si>
    <t>Jabber Hussain</t>
  </si>
  <si>
    <t>House#E/361, street#6, Hussnain Abad Lahore Cantt Lahore</t>
  </si>
  <si>
    <t>TR27522</t>
  </si>
  <si>
    <t>Zohaib Ali shah</t>
  </si>
  <si>
    <t>+923471757528</t>
  </si>
  <si>
    <t>i-10/1 street 64 house#165G Islamabad</t>
  </si>
  <si>
    <t>confirm
 | 💰 COD Rec: 2025-12-26 | Ref: CPR-4FUUH324016 | Amt: 3799</t>
  </si>
  <si>
    <t>TR27523</t>
  </si>
  <si>
    <t>Umar Umar</t>
  </si>
  <si>
    <t>+923086995661</t>
  </si>
  <si>
    <t>lda 261 shah jamal ichra lahore Lahore</t>
  </si>
  <si>
    <t>TR27524</t>
  </si>
  <si>
    <t>Hamza Mirza</t>
  </si>
  <si>
    <t>Cheezious kalma chowk Rawalpindi</t>
  </si>
  <si>
    <t>TR27525</t>
  </si>
  <si>
    <t>Tofiq Tofiq</t>
  </si>
  <si>
    <t>3km ferozpur road pso pump near hunbultex pvt Lahore</t>
  </si>
  <si>
    <t>TR27526</t>
  </si>
  <si>
    <t>M Tausif M Tausif</t>
  </si>
  <si>
    <t>Madina plaza kot radha kishan near mezan bank Kot radha kishan</t>
  </si>
  <si>
    <t>Kot radha kishan</t>
  </si>
  <si>
    <t>TR27527</t>
  </si>
  <si>
    <t>Rashid Latif</t>
  </si>
  <si>
    <t>718-johar Town Lahore J2 Lahore</t>
  </si>
  <si>
    <t>TR27528</t>
  </si>
  <si>
    <t>Sahil Raza</t>
  </si>
  <si>
    <t>+923222450804</t>
  </si>
  <si>
    <t>Shireen Jinnah colony house no m87 street 6 block 4 gulshan sikandrabad kemari Karachi Clifton near zauddin hospital Karachi</t>
  </si>
  <si>
    <t>TR27529</t>
  </si>
  <si>
    <t>TR27530</t>
  </si>
  <si>
    <t>Muhammad Tayyab Muhammad Tayyab</t>
  </si>
  <si>
    <t>+923191536334</t>
  </si>
  <si>
    <t>word no 2 Nazeer shoes near saif madical store  fatehpur road chowk azam layyah chowk azam</t>
  </si>
  <si>
    <t>chowk azam</t>
  </si>
  <si>
    <t>whatsup whatsup</t>
  </si>
  <si>
    <t>TR27531</t>
  </si>
  <si>
    <t>M. asif M. asif</t>
  </si>
  <si>
    <t>+923120764276</t>
  </si>
  <si>
    <t>Daewoo terminal multan chok khumara khanewal road Daewoo cargo Multan</t>
  </si>
  <si>
    <t>TR27532</t>
  </si>
  <si>
    <t>Iqbal Iqbal</t>
  </si>
  <si>
    <t>+923075134309</t>
  </si>
  <si>
    <t>near Govt. Middle school Kalli Almas Chiltan Housing Society Quetta, Pakistan quetta</t>
  </si>
  <si>
    <t>quetta</t>
  </si>
  <si>
    <t>Multi ref PUM-A - M / White (x1), Multi ref PUM-A - L / White (x1)</t>
  </si>
  <si>
    <t>TR27533</t>
  </si>
  <si>
    <t>Ijaz Ahmed</t>
  </si>
  <si>
    <t>Khrota sayeda Sialkot Pakistan near Cosmo factory Sialkot</t>
  </si>
  <si>
    <t>TR27534</t>
  </si>
  <si>
    <t>haroon iqbal haroon iqbal</t>
  </si>
  <si>
    <t>+923487785273</t>
  </si>
  <si>
    <t>Mohallah shamshakhel Near Girls High school.Near aman.chok swabi Swabi</t>
  </si>
  <si>
    <t>whatsup
 | ↩️ Return Charged: 2025-12-30 | Fee: 213</t>
  </si>
  <si>
    <t>TR27535</t>
  </si>
  <si>
    <t>Rizwan Ahmad</t>
  </si>
  <si>
    <t>Al Razzaq House, House #55/a, Street 55, Malik Park,iqbal Road,shadbagh Lahore</t>
  </si>
  <si>
    <t>ADI - Hoodie (Female) - L / Black (x1)</t>
  </si>
  <si>
    <t>TR27536</t>
  </si>
  <si>
    <t>Naam erum jabbar Naam erum jabbar</t>
  </si>
  <si>
    <t>+923185707620</t>
  </si>
  <si>
    <t>Nasir colony 32 E street no 8 house no 5 Sindh, Karachi-Korangi karachi</t>
  </si>
  <si>
    <t>whatsup
 | ↩️ Return Charged: 2026-01-02 | Fee: 213.44</t>
  </si>
  <si>
    <t>TR27537</t>
  </si>
  <si>
    <t>Nabeel Rajpoot</t>
  </si>
  <si>
    <t>House # 2087,Street # F-6/2, Police Foundation (0-9) Islamabad Islamabad</t>
  </si>
  <si>
    <t>TR27538</t>
  </si>
  <si>
    <t>+923175440002</t>
  </si>
  <si>
    <t>confirm
 | ↩️ Return Charged: 2025-12-30 | Fee: 220</t>
  </si>
  <si>
    <t>TR27539</t>
  </si>
  <si>
    <t>aqeel shabir aqeel shabir</t>
  </si>
  <si>
    <t>+923127111427</t>
  </si>
  <si>
    <t>Lalazar.  Colony  Near boota karyaaana store  City. Gujrat Gujrat</t>
  </si>
  <si>
    <t>whatsup
 | 💰 COD Rec: 2025-12-23 | Ref: CPR-MWE6F901193 | Amt: 3000</t>
  </si>
  <si>
    <t>Embossed NIK-E - XL / Black (x1), Embossed NIK-E - XL / White (x1), Multi ref PUM-A - XL / Black (x1)</t>
  </si>
  <si>
    <t>TR27540</t>
  </si>
  <si>
    <t>Haroon Pervez</t>
  </si>
  <si>
    <t>Circular Road Near By Food Office Sendicate Morr Leopards Courier Service Dera Ismail Khan Dera Ismail Khan Kpk</t>
  </si>
  <si>
    <t>Dera Ismail Khan Kpk</t>
  </si>
  <si>
    <t>TR27541</t>
  </si>
  <si>
    <t>confirm  totally Fake reason hy rider mere pass nahen aya
 | ↩️ Return Charged: 2026-01-02 | Fee: 226.78</t>
  </si>
  <si>
    <t>TR27542</t>
  </si>
  <si>
    <t>Uzair Amjad</t>
  </si>
  <si>
    <t>House Num 138 M5 Lake city Lahore</t>
  </si>
  <si>
    <t>TR27543</t>
  </si>
  <si>
    <t>Nazim Mahar</t>
  </si>
  <si>
    <t>Bukhari Tikka Street/ Tibba Ansariyan Ward 4/ Kahna Nau Lahore Punjab Lahore Cantt.</t>
  </si>
  <si>
    <t>TR27544</t>
  </si>
  <si>
    <t>Adeel Ahmed Ahmed</t>
  </si>
  <si>
    <t>+923025112934</t>
  </si>
  <si>
    <t>Nazakat Markeet naeem sweet bakker Islamabad</t>
  </si>
  <si>
    <t>ok  not ans
 | ↩️ Return Charged: 2025-12-30 | Fee: 220</t>
  </si>
  <si>
    <t>Adi Branded Tracksuit (not active) - L / Black (x1)</t>
  </si>
  <si>
    <t>TR27545</t>
  </si>
  <si>
    <t>Muhammad Basit</t>
  </si>
  <si>
    <t>Insaf Hotel opposite Fort Continental Hotel near Malik Saad Shaheed BRT station Peshawar Peshawar</t>
  </si>
  <si>
    <t>TR27546</t>
  </si>
  <si>
    <t>sheikh Shahid sheikh Shahid</t>
  </si>
  <si>
    <t>City Marriage Hall Ashger Mall Road Rawalpindi</t>
  </si>
  <si>
    <t>TR27547</t>
  </si>
  <si>
    <t>GHULAM MUHAMMAD SHAIKH</t>
  </si>
  <si>
    <t>House number A 63 Mohallah waspur royal road old Sukkur Sukkur</t>
  </si>
  <si>
    <t>ma available nahi tha  ab office sa receive ker lo gaa</t>
  </si>
  <si>
    <t>TR27548</t>
  </si>
  <si>
    <t>Khurshed Khan</t>
  </si>
  <si>
    <t>+923479496165</t>
  </si>
  <si>
    <t>Halil hotel hayat Abad swat mangora Swat</t>
  </si>
  <si>
    <t>Swat</t>
  </si>
  <si>
    <t>TR27549</t>
  </si>
  <si>
    <t>Ijaz Ahmad</t>
  </si>
  <si>
    <t>Timergera dir lower Timergera</t>
  </si>
  <si>
    <t>Timergera</t>
  </si>
  <si>
    <t>cancel ker dien shirt per name likhwana haa</t>
  </si>
  <si>
    <t>TR27550</t>
  </si>
  <si>
    <t>Kashif Abbasi</t>
  </si>
  <si>
    <t>Raheem Town Shakrial Gali 14 Rawalpindi</t>
  </si>
  <si>
    <t>TR27551</t>
  </si>
  <si>
    <t>Sunny Medical Store Opposite Sagheer sweets Tlumba Road  Mian channu Mian Channu</t>
  </si>
  <si>
    <t>Imported Scoba Executive Nik Tro - L / Silver Grey (x1), Imported Scoba Executive Adi Tro - L / Navy (x1), Imported Scoba Executive Nik Tro - L / Gray (x1)</t>
  </si>
  <si>
    <t>TR27552</t>
  </si>
  <si>
    <t>+923121564197</t>
  </si>
  <si>
    <t>confirm  rider na bola ma available nahi hoo</t>
  </si>
  <si>
    <t>TR27553</t>
  </si>
  <si>
    <t>Saim Mustafa</t>
  </si>
  <si>
    <t>Thorar district poonch Azad Kashmir Rawalakot</t>
  </si>
  <si>
    <t>TR27554</t>
  </si>
  <si>
    <t>Sherbaz Hussain</t>
  </si>
  <si>
    <t>+923555250521</t>
  </si>
  <si>
    <t>post man danyore Gilgit</t>
  </si>
  <si>
    <t>cancel ker dein nahi lena</t>
  </si>
  <si>
    <t>TR27555</t>
  </si>
  <si>
    <t>TR27556</t>
  </si>
  <si>
    <t>TR27557</t>
  </si>
  <si>
    <t>TR27558</t>
  </si>
  <si>
    <t>TR27559</t>
  </si>
  <si>
    <t>cancel ma bad ma order ker do ga ap ya wala fil haal cancel ekr doo</t>
  </si>
  <si>
    <t>TR27560</t>
  </si>
  <si>
    <t>Zafar Javeed</t>
  </si>
  <si>
    <t>F/561 bazar taizabiyan rang mahal Lahore</t>
  </si>
  <si>
    <t>TR27561</t>
  </si>
  <si>
    <t>Munir Ahmad Soomro</t>
  </si>
  <si>
    <t>Bungalow No 22 Sukkur Cooperative Housing Society Sukkur Sukkur</t>
  </si>
  <si>
    <t>TR27562</t>
  </si>
  <si>
    <t>Tehsil thorar district ponch Azad Kashmir Rawalakot</t>
  </si>
  <si>
    <t>confirm  not ans</t>
  </si>
  <si>
    <t>Imported Scoba Executive Adi Tro - XL / Silver Grey (x1)</t>
  </si>
  <si>
    <t>TR27563</t>
  </si>
  <si>
    <t>Fahad Sadiq</t>
  </si>
  <si>
    <t>Asif Elactronics Main Bazar Quaidabad District Khushab Khushab</t>
  </si>
  <si>
    <t>Khushab</t>
  </si>
  <si>
    <t>TR27564</t>
  </si>
  <si>
    <t>Mian bilal Nadeem</t>
  </si>
  <si>
    <t>+923160697198</t>
  </si>
  <si>
    <t>Malkhanwala Near HBL bank Sambrial</t>
  </si>
  <si>
    <t>Sambrial</t>
  </si>
  <si>
    <t>TR27565</t>
  </si>
  <si>
    <t>Naveed qureshi</t>
  </si>
  <si>
    <t>korangi num 1 S area plot num S283 Karachi</t>
  </si>
  <si>
    <t>TR27566</t>
  </si>
  <si>
    <t>Ubaid Khan</t>
  </si>
  <si>
    <t>Main Peshawar Road Chur Chowk Near Rafay Mall K Sath 1 Pound Store Pa Rawalpindi</t>
  </si>
  <si>
    <t>TR27567</t>
  </si>
  <si>
    <t>Jamal Shah</t>
  </si>
  <si>
    <t>E-99block ,2 Jamal Medical Store Metroville Site Area Karachi Karachi</t>
  </si>
  <si>
    <t>Tipping Crew - M / White (x1)</t>
  </si>
  <si>
    <t>TR27568</t>
  </si>
  <si>
    <t>Meer muhallah near meer budo masaqe Tando Muhammad Khan</t>
  </si>
  <si>
    <t>Tando Muhammad Khan</t>
  </si>
  <si>
    <t>TR27569</t>
  </si>
  <si>
    <t>Waqar Sheikh</t>
  </si>
  <si>
    <t>34/8 shahajamal near pak health care clinic Lhr</t>
  </si>
  <si>
    <t>not ans
 | ↩️ Return Charged: 2026-01-13 | Fee: 107</t>
  </si>
  <si>
    <t>TR27570</t>
  </si>
  <si>
    <t>Muhammad shahid khan I</t>
  </si>
  <si>
    <t>House c1-43Near furqan masjid cantt bazar malir cantt karachi Karachi</t>
  </si>
  <si>
    <t>Aya ta. But ma available nahi ta yos time
 | ↩️ Return Charged: 2026-01-02 | Fee: 213.44</t>
  </si>
  <si>
    <t>TR27571</t>
  </si>
  <si>
    <t>Ameer Hamza(Allow to open)</t>
  </si>
  <si>
    <t>Office 86 first floor rehman plaza university road sargodha Sargodha</t>
  </si>
  <si>
    <t>ADI-3strips Full TrackSuit - L / Navy (x1)</t>
  </si>
  <si>
    <t>TR27572</t>
  </si>
  <si>
    <t>Jahanzaib Khan</t>
  </si>
  <si>
    <t>Main bazar haider abad thall near hbl bank Haider abad thall</t>
  </si>
  <si>
    <t>Haider abad thall</t>
  </si>
  <si>
    <t>LE7522522289</t>
  </si>
  <si>
    <t>mana lena sa mana ker diya bhai na order kiya tha</t>
  </si>
  <si>
    <t>INV-264679</t>
  </si>
  <si>
    <t>TR27573</t>
  </si>
  <si>
    <t>Abdul Basit Khan</t>
  </si>
  <si>
    <t>Khan house, boobkanwala road, near galotian mor Daska</t>
  </si>
  <si>
    <t xml:space="preserve">
 | ↩️ Return Charged: 2025-12-30 | Fee: 313</t>
  </si>
  <si>
    <t>TR27574</t>
  </si>
  <si>
    <t>Hamza Wahab</t>
  </si>
  <si>
    <t>5jb-kamal Pur Near Punjab Medical Store Sargodha Road Faisalabad Faisalabad</t>
  </si>
  <si>
    <t>not an s
 | ↩️ Return Charged: 2026-01-02 | Fee: 200.1</t>
  </si>
  <si>
    <t>TR27575</t>
  </si>
  <si>
    <t>Noman Murza</t>
  </si>
  <si>
    <t>Last house karamatabad toltex chowk satyana rd Faisalabad</t>
  </si>
  <si>
    <t>TR27576</t>
  </si>
  <si>
    <t>Ahmad Nazami</t>
  </si>
  <si>
    <t>No 2-amin Park Sateert On 8 House No 331 People Colony Faisalabad</t>
  </si>
  <si>
    <t>not ans
 | ↩️ Return Charged: 2026-01-02 | Fee: 200.1</t>
  </si>
  <si>
    <t>TR27577</t>
  </si>
  <si>
    <t>TR27578</t>
  </si>
  <si>
    <t>TR27579</t>
  </si>
  <si>
    <t>Shahbaz Ashraf</t>
  </si>
  <si>
    <t>Kotli Rod Chuhroi Subani Filling Station Dalma</t>
  </si>
  <si>
    <t>Dalma</t>
  </si>
  <si>
    <t>TR27580</t>
  </si>
  <si>
    <t>Sohail Nazir</t>
  </si>
  <si>
    <t>House 2, Street 2, Lane 5, Lalazar Estates, Baqar Colony, Rawalpindi Rawalpindi</t>
  </si>
  <si>
    <t>TR27581</t>
  </si>
  <si>
    <t>Yasir Mirza</t>
  </si>
  <si>
    <t>House 19 B, Rajpoottown Near Eme Canal Road Lahore Lahore</t>
  </si>
  <si>
    <t xml:space="preserve">
 | ↩️ Return Charged: 2025-12-30 | Fee: 120</t>
  </si>
  <si>
    <t>TR27582</t>
  </si>
  <si>
    <t>Faizan Faizan</t>
  </si>
  <si>
    <t>Kohsar Housing Scheme Phase 1 B316 Latifabad Hyderabad Hyderabad Latifabad</t>
  </si>
  <si>
    <t>Hyderabad Latifabad</t>
  </si>
  <si>
    <t>TR27583</t>
  </si>
  <si>
    <t>+923359744310</t>
  </si>
  <si>
    <t>cancel     order late tha is liya again order kiya</t>
  </si>
  <si>
    <t>TR27584</t>
  </si>
  <si>
    <t>+923004830669</t>
  </si>
  <si>
    <t>28889 replacement
 | 💰 COD Rec: 2025-12-23 | Ref: CPR-MWE6F901193 | Amt: 440</t>
  </si>
  <si>
    <t>ADI - TriStrip-Tracksuit Winter - XL / Navy (x1)</t>
  </si>
  <si>
    <t>TR27585</t>
  </si>
  <si>
    <t>Bilal meeran Bilal meeran</t>
  </si>
  <si>
    <t>+923251523106</t>
  </si>
  <si>
    <t>Rawalpindi saddar near Rumi park army sports line athletics team Rawalpindi</t>
  </si>
  <si>
    <t>cancel this one secound order 29030
 Rawalpindi saddar near Rumi park army sports line athletics team Rawalpindi, Rawalpindi
🔗 https://www.google.com/maps/search/?api=1&amp;query=33.59904,73.04361
📍 Verified: Rawalpindi umair</t>
  </si>
  <si>
    <t>TR27586</t>
  </si>
  <si>
    <t>Shop03</t>
  </si>
  <si>
    <t>28427exchangeat shop</t>
  </si>
  <si>
    <t>TR27587</t>
  </si>
  <si>
    <t>ali hamza ali hamza</t>
  </si>
  <si>
    <t>+92 346 1400601</t>
  </si>
  <si>
    <t>chowk Mondayki goraya  Allah Malik naan shop . Near gourmey Bakery.city  daska.(Sialkot) daska</t>
  </si>
  <si>
    <t>daska</t>
  </si>
  <si>
    <t>allow to open whatsup</t>
  </si>
  <si>
    <t>TR27588</t>
  </si>
  <si>
    <t>Rao Qaiser</t>
  </si>
  <si>
    <t>House J-191 Street 13 DHA Villas, DHA Multan Multan</t>
  </si>
  <si>
    <t>ADI Ref Stripes - M / White (x1), ADI Ref Stripes - M / Black (x1), Adi- Hoodie - M / Black (x1), Adi- Hoodie - M / White (x1)</t>
  </si>
  <si>
    <t>TR27589</t>
  </si>
  <si>
    <t>Asim Shah</t>
  </si>
  <si>
    <t>Garden corner flat m1 Albella signal opp karachi haleem near pak peshawari ice cream garden east karachi Karachi</t>
  </si>
  <si>
    <t>DESIGNER Arma-ni - M / Red (x1)</t>
  </si>
  <si>
    <t>TR27590</t>
  </si>
  <si>
    <t>Kashif Yaqoob</t>
  </si>
  <si>
    <t>A116 Sector X Sub Sector 6 Gulshan E Maymar Karachi</t>
  </si>
  <si>
    <t>TR27591</t>
  </si>
  <si>
    <t>Hafiz Aleem</t>
  </si>
  <si>
    <t>SGS chung Multan Road Lahore Lahore</t>
  </si>
  <si>
    <t>ADI - TriStrip-Tracksuit Winter - M / Navy (x1)</t>
  </si>
  <si>
    <t>TR27592</t>
  </si>
  <si>
    <t>Azmat Nawaz</t>
  </si>
  <si>
    <t>+923350961262</t>
  </si>
  <si>
    <t>Bilal atta Chaki Mohala ghosia kallar kahar distt chakwal Kallar kahar (distt)chakwal</t>
  </si>
  <si>
    <t>Kallar kahar (distt)chakwal</t>
  </si>
  <si>
    <t>ok  rider aya tha ma avail nahi tha
 | ↩️ Return Charged: 2026-01-02 | Fee: 200.1</t>
  </si>
  <si>
    <t>TR27593</t>
  </si>
  <si>
    <t>Saadat Laghari</t>
  </si>
  <si>
    <t>Ssp office nasarpur road tando Allahyar TandoAllahyar</t>
  </si>
  <si>
    <t>TandoAllahyar</t>
  </si>
  <si>
    <t>cancel mujha laga 3 piece haa</t>
  </si>
  <si>
    <t>TR27594</t>
  </si>
  <si>
    <t>Mazhar Naseem Virk</t>
  </si>
  <si>
    <t>54/c Sandal Street Saeed Colony no 1 madina town Faisalabad</t>
  </si>
  <si>
    <t>TR27595</t>
  </si>
  <si>
    <t>abdul wajid</t>
  </si>
  <si>
    <t>+923348548063</t>
  </si>
  <si>
    <t>House on 591 new city sector F block E mirpur Azad Kashmir Mirpur Azad Kashmir</t>
  </si>
  <si>
    <t>Mirpur Azad Kashmir</t>
  </si>
  <si>
    <t>LE7522595905</t>
  </si>
  <si>
    <t>leopard kerna haa
 | 💰 COD Rec: 2026-01-01 | Ref: INV-266133 | Amt: 3999</t>
  </si>
  <si>
    <t>Adi- Hoodie - M / White (x1), Adi- Hoodie - M / Black (x1)</t>
  </si>
  <si>
    <t>INV-266133</t>
  </si>
  <si>
    <t>TR27596</t>
  </si>
  <si>
    <t>Bakir Hussain  (  call before delivery  )</t>
  </si>
  <si>
    <t>+923315267217</t>
  </si>
  <si>
    <t>I.9.3 street number 5 plot number 360 Islamabad  (  call before delivery  ) Islamabad</t>
  </si>
  <si>
    <t>LE7522558949</t>
  </si>
  <si>
    <t>ok
 | 💰 COD Rec: 2026-01-01 | Ref: InvoicesINV-264681 | Amt: 2549
 | 💰 Part-Pay Rec: 2026-01-01 | Ref: InvoicesINV-264681 | Amt: 2549</t>
  </si>
  <si>
    <t>TR27597</t>
  </si>
  <si>
    <t>+923002507438</t>
  </si>
  <si>
    <t>ok
 | 💰 COD Rec: 2025-12-30 | Ref: CPR-LOPZA422218 | Amt: 1749</t>
  </si>
  <si>
    <t>TR27598</t>
  </si>
  <si>
    <t>Mazhar Hussain</t>
  </si>
  <si>
    <t>Al Baraka Bank Pakistan Floor 2nd Trade Centre I.I. Chundriger Road Karachi</t>
  </si>
  <si>
    <t>TR27599</t>
  </si>
  <si>
    <t>LE7522556053</t>
  </si>
  <si>
    <t>TR27600</t>
  </si>
  <si>
    <t>Asif Ur Rehman</t>
  </si>
  <si>
    <t>House# A1/18 Government Teachers Housing Society Sector 16-a Gulzar E Hijri Karachi</t>
  </si>
  <si>
    <t xml:space="preserve">
 | ↩️ Return Charged: 2026-01-06 | Fee: 213.44</t>
  </si>
  <si>
    <t>TR27601</t>
  </si>
  <si>
    <t>TR27602</t>
  </si>
  <si>
    <t>shoaib khan</t>
  </si>
  <si>
    <t>H 2 , st 2 , officers home behind iqra school warsak road Peshawar</t>
  </si>
  <si>
    <t>TR27603</t>
  </si>
  <si>
    <t>Mudassir Jamil</t>
  </si>
  <si>
    <t>Cb#261/10, street 4 liaqat road lalazar Wah Cantt</t>
  </si>
  <si>
    <t>TR27604</t>
  </si>
  <si>
    <t>Nadeem Mughal</t>
  </si>
  <si>
    <t>Miraj ul din house Kashmir point Murree Murree</t>
  </si>
  <si>
    <t>TR27605</t>
  </si>
  <si>
    <t>M Waqar</t>
  </si>
  <si>
    <t>Mallah Ada near MCB Bank Attock</t>
  </si>
  <si>
    <t>Aya tha but meny  return kr di
 | ↩️ Return Charged: 2026-01-02 | Fee: 220.11</t>
  </si>
  <si>
    <t>TR27606</t>
  </si>
  <si>
    <t>Dr Muhammad Arshad</t>
  </si>
  <si>
    <t>House No 111 Rehman Avenue AL Quraish Phase 3 Sher Shah Road Multan</t>
  </si>
  <si>
    <t>Adi Winter Trouser - M / Black (x1), ADI - Hoodie (Female) - M / Black (x1)</t>
  </si>
  <si>
    <t>TR27607</t>
  </si>
  <si>
    <t>Naeem Punjab</t>
  </si>
  <si>
    <t>Kot godhra Lahore</t>
  </si>
  <si>
    <t>cancel ma available nahi hoo</t>
  </si>
  <si>
    <t>TR27608</t>
  </si>
  <si>
    <t>Kazim Suhag</t>
  </si>
  <si>
    <t>Block A ,house # 75 Qadir avenue near halla nakka hyderabad Hyderabad</t>
  </si>
  <si>
    <t>TR27609</t>
  </si>
  <si>
    <t>Aqeel Anwar</t>
  </si>
  <si>
    <t>Faysal Bank Cantt Branch Mulatn</t>
  </si>
  <si>
    <t>TR27610</t>
  </si>
  <si>
    <t>Umar Riaz</t>
  </si>
  <si>
    <t>+9203156692060</t>
  </si>
  <si>
    <t>Plaza No. 39 Midway Commercial Phase 7 Bahria Town Rawalpindip Rawalpindi</t>
  </si>
  <si>
    <t>TR27611</t>
  </si>
  <si>
    <t>Zaheer abbas</t>
  </si>
  <si>
    <t>83A, mounds block, paragon city Burkina road Lahore</t>
  </si>
  <si>
    <t>TR27612</t>
  </si>
  <si>
    <t>Shahid Mahmood</t>
  </si>
  <si>
    <t>59, block 7 &amp; 8 BMCHS, off amir khusro road, karachi Karachi</t>
  </si>
  <si>
    <t>rider fake reson da raha ma avil ho ap deliver kervein
 | ↩️ Return Charged: 2026-01-06 | Fee: 226.78</t>
  </si>
  <si>
    <t>TR27613</t>
  </si>
  <si>
    <t>Bilal Aman</t>
  </si>
  <si>
    <t>P-238, Mehar Sadiq Market Railway Road Faisalabad</t>
  </si>
  <si>
    <t>TR27614</t>
  </si>
  <si>
    <t>Akhtar Bhutto</t>
  </si>
  <si>
    <t>+923333936125</t>
  </si>
  <si>
    <t>Shadman town #2 phase3 street 21/1 Karachi</t>
  </si>
  <si>
    <t>TR27615</t>
  </si>
  <si>
    <t>Muhammad Israr ul Hassan</t>
  </si>
  <si>
    <t>Nrsp Microfinance Bank  main multan road near naroki majha janaz e gah pattoki district kasur Pattoki</t>
  </si>
  <si>
    <t>TR27616</t>
  </si>
  <si>
    <t>Muhammad Shahzaib Shahzaib</t>
  </si>
  <si>
    <t>+923186234862</t>
  </si>
  <si>
    <t>haji mukhatr lashari house  Mamori kot chutta road Dera Ghazi khan Dera Ghazi Khan</t>
  </si>
  <si>
    <t>Dera Ghazi Khan</t>
  </si>
  <si>
    <t>TR27617</t>
  </si>
  <si>
    <t>Shahbaz Shaikh</t>
  </si>
  <si>
    <t>211 2nd floor Al fiza glass tower main rashid minhas road Karachi</t>
  </si>
  <si>
    <t>TR27618</t>
  </si>
  <si>
    <t>Rao Asif Iqbal</t>
  </si>
  <si>
    <t>+923218660273</t>
  </si>
  <si>
    <t>Nisar Colony Samanabad Faisalabad, H#72 St No 15 Nisarcolony Faisalabad</t>
  </si>
  <si>
    <t>OK</t>
  </si>
  <si>
    <t>ADI Multi Ref Stripes - 2XL / Black (x1), ADI Multi Ref Stripes - L / White (x1)</t>
  </si>
  <si>
    <t>TR27619</t>
  </si>
  <si>
    <t>Hassaan Muslim</t>
  </si>
  <si>
    <t>House # A-28 block - 1 Gulshan e iqbal Karachi</t>
  </si>
  <si>
    <t>TR27620</t>
  </si>
  <si>
    <t>Syed husnain Shah</t>
  </si>
  <si>
    <t>Chack Shafi Zila Pakpattan Thsil Arifwala Arif Wala</t>
  </si>
  <si>
    <t>Arif Wala</t>
  </si>
  <si>
    <t xml:space="preserve">
 | ↩️ Return Charged: 2026-01-02 | Fee: 200.1</t>
  </si>
  <si>
    <t>TR27621</t>
  </si>
  <si>
    <t>Rafaqat Ali</t>
  </si>
  <si>
    <t>+923055033143</t>
  </si>
  <si>
    <t>Harappa Nai Wala Bungalow Harappa Station</t>
  </si>
  <si>
    <t>Harappa Station</t>
  </si>
  <si>
    <t>TR27622</t>
  </si>
  <si>
    <t>Muhammad Hassan Yousaf</t>
  </si>
  <si>
    <t>Near national hospital tasweer mahal road Faisalabad road near batti chowk Sheikhupura</t>
  </si>
  <si>
    <t>TR27623</t>
  </si>
  <si>
    <t>TR27624</t>
  </si>
  <si>
    <t>Said pur road pindora chungi Raja rustum street rawalpindi Rawalpindi</t>
  </si>
  <si>
    <t>hum village gay hua available nahi hain
 | ↩️ Return Charged: 2026-01-02 | Fee: 220.11</t>
  </si>
  <si>
    <t>TR27625</t>
  </si>
  <si>
    <t>Shehryar Ali</t>
  </si>
  <si>
    <t>A-2402, phase 2 Gulshan-e-Hadeed Bin Qasim Town Karachi</t>
  </si>
  <si>
    <t>TR27626</t>
  </si>
  <si>
    <t>Malik Nadeem</t>
  </si>
  <si>
    <t>+923055910617</t>
  </si>
  <si>
    <t>Leeds house plaza Number 7&amp;8 commercial block A izmir town lahore Lahore</t>
  </si>
  <si>
    <t>ADI-3strips Full TrackSuit - L / Navy (x1), ADI-3strips Full TrackSuit - L / Black (x1)</t>
  </si>
  <si>
    <t>TR27627</t>
  </si>
  <si>
    <t>Shayaan Malik</t>
  </si>
  <si>
    <t>house 3, Kaghan Road, F-8/3 Islamabad</t>
  </si>
  <si>
    <t>TR27628</t>
  </si>
  <si>
    <t>Fahd Umar</t>
  </si>
  <si>
    <t>C/O Major Fahd Umar, 34 Frontier Force Regiment, 34 Frontier Force Regiment, Opposite to Shell Pump, Shami Road, Lahore Cantonment Lahore</t>
  </si>
  <si>
    <t>TR27629</t>
  </si>
  <si>
    <t>+923415623872</t>
  </si>
  <si>
    <t>confrm</t>
  </si>
  <si>
    <t>NIK- Ref LOGO - M / white (x1), NIK- Ref LOGO - M / black (x1), Imported Scoba Executive Nik Tro - M / Silver Grey (x1)</t>
  </si>
  <si>
    <t>TR27630</t>
  </si>
  <si>
    <t xml:space="preserve">
 | ↩️ Return Charged: 2026-01-09 | Fee: 200</t>
  </si>
  <si>
    <t>TR27631</t>
  </si>
  <si>
    <t>Mansoor Ahmef</t>
  </si>
  <si>
    <t>Flat no H-19, Flat-10,, Bet-UL-Anam, Sector 5-K, North Karachi Karachi</t>
  </si>
  <si>
    <t>TR27632</t>
  </si>
  <si>
    <t>Jaanees Imran</t>
  </si>
  <si>
    <t>Al-Jehad Gate, 14 Div, Okara Cantt Pakistan</t>
  </si>
  <si>
    <t>Pakistan</t>
  </si>
  <si>
    <t>TR27633</t>
  </si>
  <si>
    <t>Muhammad Ijaz</t>
  </si>
  <si>
    <t>Plot C/174 sector. 35/A zaman town korangi Karachi Karachi</t>
  </si>
  <si>
    <t>na rider ayaa no koi call ai
 | ↩️ Return Charged: 2026-01-09 | Fee: 213</t>
  </si>
  <si>
    <t>TR27634</t>
  </si>
  <si>
    <t>Mobeen Naqvi official</t>
  </si>
  <si>
    <t>Qissa khwani Hujra Restaurant Dera Ismail Khan Kpk</t>
  </si>
  <si>
    <t>TR27635</t>
  </si>
  <si>
    <t>TR27636</t>
  </si>
  <si>
    <t>Rana Murtaza</t>
  </si>
  <si>
    <t>127 Ahmed Bolck floerts luxery apartments Lahore</t>
  </si>
  <si>
    <t xml:space="preserve">
 | ↩️ Return Charged: 2026-01-06 | Fee: 120.06</t>
  </si>
  <si>
    <t>TR27637</t>
  </si>
  <si>
    <t>Main Bazar Chanda Qila Near Railway Phatak Gujranwala</t>
  </si>
  <si>
    <t>TR27638</t>
  </si>
  <si>
    <t>Imran Khan</t>
  </si>
  <si>
    <t>Aubaid Musa commission shop shop number 22 old gran Markit Darya Khan District Bhakkar Darya Khan</t>
  </si>
  <si>
    <t>Darya Khan</t>
  </si>
  <si>
    <t>TR27639</t>
  </si>
  <si>
    <t>Zahid Khan</t>
  </si>
  <si>
    <t>+923472855652</t>
  </si>
  <si>
    <t>NEAR SunSaviour Katlang Gul plaza, Thana Chowk, Katlang, Pakistan Katlang</t>
  </si>
  <si>
    <t>Katlang</t>
  </si>
  <si>
    <t>LE7522557465</t>
  </si>
  <si>
    <t>TR27640</t>
  </si>
  <si>
    <t>Adil Parvaiz</t>
  </si>
  <si>
    <t>Chak No 313 Hr Marot Tehsil Fortabbas District Bahawlnagr Marot</t>
  </si>
  <si>
    <t>Marot</t>
  </si>
  <si>
    <t>size issue next time order ker lo ga
 | ↩️ Return Charged: 2025-12-30 | Fee: 220</t>
  </si>
  <si>
    <t>TR27641</t>
  </si>
  <si>
    <t>Abdul Aleem</t>
  </si>
  <si>
    <t>+923216017140</t>
  </si>
  <si>
    <t>H no 198 street 30 F 10/1 Islamabad Islamabad</t>
  </si>
  <si>
    <t>TR27642</t>
  </si>
  <si>
    <t>Hadeed Shahid</t>
  </si>
  <si>
    <t>184A, Block M gulberg 3 Lahore</t>
  </si>
  <si>
    <t>ADI Multi Ref Stripes - XL / White (x1), ADI Multi Ref Stripes - XL / Black (x1), Multi ref PUM-A - XL / White (x1), Multi ref PUM-A - XL / Black (x1)</t>
  </si>
  <si>
    <t>TR27643</t>
  </si>
  <si>
    <t>Waqar Gujjar</t>
  </si>
  <si>
    <t>Khan Model Colony Street # 3 Noor Pua Chok Faisalabad Faisalabad</t>
  </si>
  <si>
    <t xml:space="preserve">
 | ↩️ Return Charged: 2026-01-06 | Fee: 220.11</t>
  </si>
  <si>
    <t>TR27644</t>
  </si>
  <si>
    <t>Afaq Naeem</t>
  </si>
  <si>
    <t>+923236972330</t>
  </si>
  <si>
    <t>House No # 408 , 2nd Street, 4th Avenue D Block Nfc Society Lahore Lahore</t>
  </si>
  <si>
    <t>TR27645</t>
  </si>
  <si>
    <t>Farrukh Khan</t>
  </si>
  <si>
    <t>+923314300005</t>
  </si>
  <si>
    <t>Suit #104, 1st floor, shafi court, mereweather road, off club road saddar karachi Karachi</t>
  </si>
  <si>
    <t>TR27646</t>
  </si>
  <si>
    <t>fake attempt
 | ↩️ Return Charged: 2026-01-16 | Fee: 227</t>
  </si>
  <si>
    <t>TR27647</t>
  </si>
  <si>
    <t>+923000718839</t>
  </si>
  <si>
    <t>ok    kal receive ker la gaa</t>
  </si>
  <si>
    <t>TR27648</t>
  </si>
  <si>
    <t>Mohallah Qabristan road, Pabbi Bazar, District Nowshera, P.O Box Pabbi, KPK Pabbi, Nowshera</t>
  </si>
  <si>
    <t>ADI - EMBOSSED LOGO (Cotton) - L / Olive( Commando Green) (x1), Tipping Crew - L / White (x1), A | X Embroidery LOGO - XL / Mustard (x1)</t>
  </si>
  <si>
    <t>TR27649</t>
  </si>
  <si>
    <t>Rais mumtaz sub inspector</t>
  </si>
  <si>
    <t>+923186464476</t>
  </si>
  <si>
    <t>Rais mumtaz sub inspector pc camp police line rahim yar khan 03186464476 Rahim Yar Khan</t>
  </si>
  <si>
    <t>TR27650</t>
  </si>
  <si>
    <t>+923129108888</t>
  </si>
  <si>
    <t>Distic Nowshera  PABBI TCS OFFICE Nowshera</t>
  </si>
  <si>
    <t>Nowshera</t>
  </si>
  <si>
    <t>PABBI TCS</t>
  </si>
  <si>
    <t>TR27651</t>
  </si>
  <si>
    <t>Shahid Afridi</t>
  </si>
  <si>
    <t>Chughl Pura new Javed Towne noor and brother general store Peshawar</t>
  </si>
  <si>
    <t>TR27652</t>
  </si>
  <si>
    <t>Mani Khan</t>
  </si>
  <si>
    <t>+923140522863</t>
  </si>
  <si>
    <t>Wah cannt bareyal number 3 Wah Cantt</t>
  </si>
  <si>
    <t>TR27653</t>
  </si>
  <si>
    <t>Near benazir university kashan Madical store shop#B22 lyari karachi Karachi</t>
  </si>
  <si>
    <t>TR27654</t>
  </si>
  <si>
    <t>Zabit khan Khan jadoon</t>
  </si>
  <si>
    <t>ziarat shah road bhuttah village kemari opposite gujrat bakery kemari Karachi</t>
  </si>
  <si>
    <t>TR27655</t>
  </si>
  <si>
    <t>Muhammad Zohaib Hussain</t>
  </si>
  <si>
    <t>Prime Garden,d52,flat A001,block 9 Clifton Karachi</t>
  </si>
  <si>
    <t>TR27656</t>
  </si>
  <si>
    <t>Ashfaq karim Karim</t>
  </si>
  <si>
    <t>A7, Super Plaza, Aisha Manzil, FB Area, Karachi Karachi</t>
  </si>
  <si>
    <t>ADI - EMBOSSED LOGO (Cotton) - XL / Black (x1)</t>
  </si>
  <si>
    <t>TR27657</t>
  </si>
  <si>
    <t>Tuseef Tattla</t>
  </si>
  <si>
    <t>156 RB Dher Tahsil Chak Jummra Faislabad</t>
  </si>
  <si>
    <t>TR27658</t>
  </si>
  <si>
    <t>Arslan Arslan</t>
  </si>
  <si>
    <t>+923310452616</t>
  </si>
  <si>
    <t>Diamond city phase 2 street no 22 house no 1130 Sialkot</t>
  </si>
  <si>
    <t xml:space="preserve">
 | ↩️ Return Charged: 2026-01-02 | Fee: 220.11</t>
  </si>
  <si>
    <t>Adi Branded Tracksuit (not active) - 2XL / Black (x1)</t>
  </si>
  <si>
    <t>TR27659</t>
  </si>
  <si>
    <t>WASEEM SAJJAD AHMAD</t>
  </si>
  <si>
    <t>Shalimar complex makhdoom Jumanji noad near QUBBA MASJID Street House No C-581/03 SUKKUR Sukkur</t>
  </si>
  <si>
    <t>TR27660</t>
  </si>
  <si>
    <t>Kamran Ali Kalhoro</t>
  </si>
  <si>
    <t>+923213642206</t>
  </si>
  <si>
    <t>P/0 Nd Taluka Bakrani District Larkana Main City Bakrani Waseem abbasi gernal store near khadim cloth house Larkana</t>
  </si>
  <si>
    <t>Performance UA Tracksuit - L / Gray (x1)</t>
  </si>
  <si>
    <t>TR27661</t>
  </si>
  <si>
    <t>Tahseen Raza</t>
  </si>
  <si>
    <t>Al Rehman Dental Care Near Qazi Stamp Farosh Nehr Kinara Khan Bela, Liaqatpur Tehsil Liaqatpur , District Rahim Yar Khan</t>
  </si>
  <si>
    <t>Tehsil Liaqatpur , District Rahim Yar Khan</t>
  </si>
  <si>
    <t>(Premium) Popcorn Polo - XL / White (x1)</t>
  </si>
  <si>
    <t>TR27662</t>
  </si>
  <si>
    <t>Ali Hussain</t>
  </si>
  <si>
    <t>Sec 17#A H.R002 Shah latif town bin qasim karachi Karachi</t>
  </si>
  <si>
    <t>TR27663</t>
  </si>
  <si>
    <t>Abaseen Khan</t>
  </si>
  <si>
    <t>Dhoke Paracha satellite Town Rawalpindi 6th road near graveyard Abdul Wali Mosque Rawalpindi Rawalpindi</t>
  </si>
  <si>
    <t xml:space="preserve">
 | ↩️ Return Charged: 2026-01-09 | Fee: 220</t>
  </si>
  <si>
    <t>TR27664</t>
  </si>
  <si>
    <t>Ghulam Hussain</t>
  </si>
  <si>
    <t>Gohar textile khurianwala Faisalabad</t>
  </si>
  <si>
    <t>TR27665</t>
  </si>
  <si>
    <t>Muneer Jabbar</t>
  </si>
  <si>
    <t>Engro Dormatory, Room#50 Near Engro Fertilizer Daharki Daharki</t>
  </si>
  <si>
    <t>Daharki</t>
  </si>
  <si>
    <t>TR27666</t>
  </si>
  <si>
    <t>Khawaja Usman</t>
  </si>
  <si>
    <t>Pully top khana,Naseem manzil,khawaja naseem street,gondal road,sialkot Sialkot</t>
  </si>
  <si>
    <t>TR27667</t>
  </si>
  <si>
    <t>Rashid Latif Rashid Latif</t>
  </si>
  <si>
    <t>+923024468203</t>
  </si>
  <si>
    <t>joher town Lahore J2 block house number 718 ph number 03024468203 lahore</t>
  </si>
  <si>
    <t>ADI Multi Ref Stripes - L / Black (x1)</t>
  </si>
  <si>
    <t>TR27668</t>
  </si>
  <si>
    <t>Numan Khan</t>
  </si>
  <si>
    <t>+923000846988</t>
  </si>
  <si>
    <t>bazzar Kumber maidan    tcs office   Dir lower Lower Dir</t>
  </si>
  <si>
    <t>Lower Dir</t>
  </si>
  <si>
    <t>TR27669</t>
  </si>
  <si>
    <t>Ahmed Farooq</t>
  </si>
  <si>
    <t>House No 25 J Block Arifwala Arifwala</t>
  </si>
  <si>
    <t>TR27670</t>
  </si>
  <si>
    <t>Muhammad Naveed Ejaz</t>
  </si>
  <si>
    <t>Al Rehman Street No 4. Nashaiman Park. Near Punjab Marque.lahore Road Sheikhupura Qila Shekhupura</t>
  </si>
  <si>
    <t>TR27671</t>
  </si>
  <si>
    <t>Sami Baluch</t>
  </si>
  <si>
    <t>705-A, Street 5, Sector A, Phase 8, Bahria Town Rawalpindi</t>
  </si>
  <si>
    <t>NIK- Ref LOGO - L / white (x1), NIK- Ref LOGO - L / black (x1), ADI Multi Ref Stripes - L / White (x1), ADI Multi Ref Stripes - L / Black (x1)</t>
  </si>
  <si>
    <t>TR27672</t>
  </si>
  <si>
    <t>Wasee Waseem</t>
  </si>
  <si>
    <t>A-584 HASHMI NAGAR EIDOGOTH NEAR STEEL TOWNSHIP, port BIN QASIM karachi KARACHI MALIR (K125)</t>
  </si>
  <si>
    <t>KARACHI MALIR (K125)</t>
  </si>
  <si>
    <t>Tipping Crew - L / White (x1)</t>
  </si>
  <si>
    <t>TR27673</t>
  </si>
  <si>
    <t>ghulamshaikh.pci@gmail.com Sukkur</t>
  </si>
  <si>
    <t>order late tha is liya again order kiya cancl</t>
  </si>
  <si>
    <t>TR27674</t>
  </si>
  <si>
    <t>Farhat Sadiqi</t>
  </si>
  <si>
    <t>Alwasi Medical Store, Kiani Road,barakahu, Islamabad, Pakistan Islamabad</t>
  </si>
  <si>
    <t>TR27675</t>
  </si>
  <si>
    <t>Faraz Ahmed</t>
  </si>
  <si>
    <t>H#95/697 bail khana road tando Wali muhammad hyderabad Hyderabad</t>
  </si>
  <si>
    <t>not an s
 | ↩️ Return Charged: 2026-01-06 | Fee: 213.44</t>
  </si>
  <si>
    <t>TR27676</t>
  </si>
  <si>
    <t>Umair Rasheed</t>
  </si>
  <si>
    <t>+923475496637</t>
  </si>
  <si>
    <t>Rawalakot tcs office  Azad Kashmir Rawala Kot</t>
  </si>
  <si>
    <t>Rawalakot tcs office
 | 💰 COD Rec: 2026-01-01 | Ref: INV-266133 | Amt: 6100</t>
  </si>
  <si>
    <t>Imported Scoba Executive Nik Tro - L / Gray (x1), Imported Scoba Executive Nik Tro - L / Black (x1)</t>
  </si>
  <si>
    <t>TR27677</t>
  </si>
  <si>
    <t>Bilal Khan</t>
  </si>
  <si>
    <t>Main market gulbarga 2 Lahore aurga centre shop number 80 Lahore</t>
  </si>
  <si>
    <t xml:space="preserve">
 | ↩️ Return Charged: 2026-01-02 | Fee: 120.06</t>
  </si>
  <si>
    <t>TR27678</t>
  </si>
  <si>
    <t>Shahzad Romi</t>
  </si>
  <si>
    <t>+923472127359</t>
  </si>
  <si>
    <t>Office 2 hameed center gali no 5 Munshi Mohalla clock tower Faisalabad</t>
  </si>
  <si>
    <t>TR27679</t>
  </si>
  <si>
    <t>CHAUDHARY Ali Raza</t>
  </si>
  <si>
    <t>Bhuman Shah Depalpur</t>
  </si>
  <si>
    <t>Depalpur</t>
  </si>
  <si>
    <t>TR27680</t>
  </si>
  <si>
    <t>+923021448288</t>
  </si>
  <si>
    <t>Fazal Electric Work shop Near Zam Zam Medical Store heveli depalpur road ada Bhuman Shah tehsail depalpur district Okara Depalpur</t>
  </si>
  <si>
    <t>LE7522557460</t>
  </si>
  <si>
    <t>ADI-3strips Full TrackSuit - M / Grey (x1), Imported Scoba Executive Nik Tro - M / Silver Grey (x1)</t>
  </si>
  <si>
    <t>TR27681</t>
  </si>
  <si>
    <t>Waleed Kakar</t>
  </si>
  <si>
    <t>C-11-gor Colony Quetta</t>
  </si>
  <si>
    <t>not ans
 | ↩️ Return Charged: 2026-01-20 | Fee: 213
 | ↩️ Return Charged: 2026-01-20 | Fee: 213.44</t>
  </si>
  <si>
    <t>CPR-PET00266528</t>
  </si>
  <si>
    <t>TR27682</t>
  </si>
  <si>
    <t>Haider Qureshi</t>
  </si>
  <si>
    <t>house 100 Street 93 Sector I8.4 Islamabad</t>
  </si>
  <si>
    <t>TR27683</t>
  </si>
  <si>
    <t>Rehman Gujjar Advocate</t>
  </si>
  <si>
    <t>Office 200 Abdullah Umar International, Mumtaz Market GT Road Gujranwala</t>
  </si>
  <si>
    <t>refund voucher issued of one hoodie
 | 💰 COD Rec: 2025-12-30 | Ref: CPR-LOPZA422218 | Amt: 3999</t>
  </si>
  <si>
    <t>TR27684</t>
  </si>
  <si>
    <t>TR27685</t>
  </si>
  <si>
    <t>Usman Khan</t>
  </si>
  <si>
    <t>+923006900405</t>
  </si>
  <si>
    <t>in frount of ubl bank   H block shdman town Sahiwal</t>
  </si>
  <si>
    <t>Aya thaa lakin mera time nhi lgaa</t>
  </si>
  <si>
    <t>TR27686</t>
  </si>
  <si>
    <t>Zohaib Anjum</t>
  </si>
  <si>
    <t>+923009466129</t>
  </si>
  <si>
    <t>Sadaqat Limited khuryawala Sahiwalq Road Khurrianwala</t>
  </si>
  <si>
    <t>Khurrianwala</t>
  </si>
  <si>
    <t>ok  humna order nahi kiya</t>
  </si>
  <si>
    <t>TR27687</t>
  </si>
  <si>
    <t>+923333015555</t>
  </si>
  <si>
    <t>ma out of city hoo or bussy ho bad ma call kerna
 | ↩️ Return Charged: 2026-01-06 | Fee: 220.11</t>
  </si>
  <si>
    <t>TR27688</t>
  </si>
  <si>
    <t>Nasir Ahmed</t>
  </si>
  <si>
    <t>+923409615662</t>
  </si>
  <si>
    <t>Mandi Bahauddin  postex call courier Mandi Bahauddin</t>
  </si>
  <si>
    <t>TR27689</t>
  </si>
  <si>
    <t>Shahzaib Nawaz Shahzaib Nawaz</t>
  </si>
  <si>
    <t>+92 334 5491065</t>
  </si>
  <si>
    <t>LE7522557454</t>
  </si>
  <si>
    <t>28518exchange
 | 💰 COD Rec: 2026-01-01 | Ref: InvoicesINV-264679 | Amt: 650
 | 💰 Part-Pay Rec: 2026-01-01 | Ref: InvoicesINV-264679 | Amt: 2850</t>
  </si>
  <si>
    <t>(Premium) Popcorn Polo - XL / White (x1), (Premium) Popcorn Polo - XL / Biscuit (x1)</t>
  </si>
  <si>
    <t>TR27690</t>
  </si>
  <si>
    <t>Mubashir Anwer</t>
  </si>
  <si>
    <t>Plot no 39 block 12 gulberg karachi ( near bombay bakery) Karachi</t>
  </si>
  <si>
    <t>TR27691</t>
  </si>
  <si>
    <t>Saqib Akhtar</t>
  </si>
  <si>
    <t>Saqi foto studio shokat palaza G.T Rode kharian Kharian</t>
  </si>
  <si>
    <t>Kharian</t>
  </si>
  <si>
    <t>TR27692</t>
  </si>
  <si>
    <t>Faheem Ahmed Ahmed</t>
  </si>
  <si>
    <t>Kamra Road Alam City Attock Attock</t>
  </si>
  <si>
    <t>NOT ANS</t>
  </si>
  <si>
    <t>TR27693</t>
  </si>
  <si>
    <t>Qalb e abbas Noon</t>
  </si>
  <si>
    <t>Vpo halalpur tehsil kotmomin distt sargodha Kotmomin</t>
  </si>
  <si>
    <t>Kotmomin</t>
  </si>
  <si>
    <t>kot momin call curier</t>
  </si>
  <si>
    <t>Adi Winter Trouser - large / Grey (x1)</t>
  </si>
  <si>
    <t>TR27694</t>
  </si>
  <si>
    <t>RANA allow to open MAZHAR</t>
  </si>
  <si>
    <t>Cresent Travel Railway Road Ahbab Tower Sahiwal</t>
  </si>
  <si>
    <t>TR27695</t>
  </si>
  <si>
    <t>Abdul Fattah</t>
  </si>
  <si>
    <t>Plot no 151 block 7,8 cp&amp;berar scoity at the main ghazi slahudin Road dhoraji Karachi</t>
  </si>
  <si>
    <t>ADI - EMBOSSED LOGO (Cotton) - XL / light orange (x1)</t>
  </si>
  <si>
    <t>TR27696</t>
  </si>
  <si>
    <t>Mansoor Shah</t>
  </si>
  <si>
    <t>+923044850827</t>
  </si>
  <si>
    <t>Chanisar gotha masoom Shah colony Kala pol Karachi</t>
  </si>
  <si>
    <t xml:space="preserve">
 | ↩️ Return Charged: 2026-01-09 | Fee: 213</t>
  </si>
  <si>
    <t>TR27697</t>
  </si>
  <si>
    <t>Mujahid Feroze</t>
  </si>
  <si>
    <t>+923009770221</t>
  </si>
  <si>
    <t>D9 moulsary road Wah cantt Wah Cantt</t>
  </si>
  <si>
    <t>LE7522558953</t>
  </si>
  <si>
    <t>TR27698</t>
  </si>
  <si>
    <t>Waqas Awan</t>
  </si>
  <si>
    <t>Faiz Khan House, Molakhail Street,Near Comsats university Main gate Abbottabad</t>
  </si>
  <si>
    <t>TR27699</t>
  </si>
  <si>
    <t>Altaf Bhatti</t>
  </si>
  <si>
    <t>Lucky building materials ada kamir 120 9L district sahiwal allow to open Sahiwal To Arifwala Road Kamir 120 9l District Sahiwal allow to open</t>
  </si>
  <si>
    <t>Sahiwal To Arifwala Road Kamir 120 9l District Sahiwal allow to open</t>
  </si>
  <si>
    <t>TR27700</t>
  </si>
  <si>
    <t>Dawood Hasan</t>
  </si>
  <si>
    <t>D-124 Street 9 Phase 3 Naval Housing Kasaz Karachi</t>
  </si>
  <si>
    <t>TR27701</t>
  </si>
  <si>
    <t>Ghulam Haider Wattu</t>
  </si>
  <si>
    <t>Street 3, muhalla rehmat pura, near al shifa hospital,  Pakpattan Pakpattan</t>
  </si>
  <si>
    <t>TR27702</t>
  </si>
  <si>
    <t>Riaz Ahmed</t>
  </si>
  <si>
    <t>Subhan Allah Car Centre Nadir Showroom 01 Ispini Road Quetta Quetta</t>
  </si>
  <si>
    <t>TR27703</t>
  </si>
  <si>
    <t>Bilal Ahmad</t>
  </si>
  <si>
    <t>+923177097775</t>
  </si>
  <si>
    <t>Jamai Musjid Ya Rasool Allah Chhata     Chhata ROAD Lala Musa</t>
  </si>
  <si>
    <t>Lala Musa</t>
  </si>
  <si>
    <t>TR27704</t>
  </si>
  <si>
    <t>Kashif mehmood</t>
  </si>
  <si>
    <t>Gujarkhan city Punjab collage near GT road Jalil palaza 2nd floor Gujarkhan</t>
  </si>
  <si>
    <t>Gujarkhan</t>
  </si>
  <si>
    <t>TR27705</t>
  </si>
  <si>
    <t>Hassnain Ahmed Ali</t>
  </si>
  <si>
    <t># 151-media Town, A Block ,street #7 , House Islamabad</t>
  </si>
  <si>
    <t>TR27706</t>
  </si>
  <si>
    <t>kotli Loharan West Sialkot Usman Town Street No 1 Home no 10 Sialkot</t>
  </si>
  <si>
    <t>TR27707</t>
  </si>
  <si>
    <t>Fahad Khan</t>
  </si>
  <si>
    <t>Hattian Bala, School Gali Rahman Plaza Fahad Collection, Muzzaffarabad Ajk, Pakistan Muzaffarabad</t>
  </si>
  <si>
    <t>TR27708</t>
  </si>
  <si>
    <t>Muhammad touseef Azam</t>
  </si>
  <si>
    <t>Ijaz sarwar Town near fayzan madina street 3 house 2 hony beauty salon Jampur</t>
  </si>
  <si>
    <t>TR27709</t>
  </si>
  <si>
    <t>Izaan Aamir</t>
  </si>
  <si>
    <t>h/no 363, Street 21, Defence Villas, Sector F, Dha-1 Islamabad</t>
  </si>
  <si>
    <t>TR27710</t>
  </si>
  <si>
    <t>Wasiq Zafar</t>
  </si>
  <si>
    <t>Refreshment center, commercial market, block B , satellite town Rawalpindi. Rawalpindi</t>
  </si>
  <si>
    <t>TR27711</t>
  </si>
  <si>
    <t>Azeem Awan</t>
  </si>
  <si>
    <t>Al.awan electric store near petrol pump challa bandi muzaffarabad ajk Muzaffarabad.ak</t>
  </si>
  <si>
    <t>Muzaffarabad.ak</t>
  </si>
  <si>
    <t>TR27712</t>
  </si>
  <si>
    <t>Hubdar Hussain</t>
  </si>
  <si>
    <t>+923055186206</t>
  </si>
  <si>
    <t>Mess No 4, Young Officers Club, Royal Artillery Bazar, Peshawar Cantt Peshawar</t>
  </si>
  <si>
    <t xml:space="preserve">.
</t>
  </si>
  <si>
    <t>TR27713</t>
  </si>
  <si>
    <t>Ali Raza Gardezi</t>
  </si>
  <si>
    <t>H۔ No۔ 125 Pearl City (P۔ C colony) Multan  Cantt</t>
  </si>
  <si>
    <t>Multan  Cantt</t>
  </si>
  <si>
    <t xml:space="preserve">
 | ↩️ Return Charged: 2026-01-06 | Fee: 200.1</t>
  </si>
  <si>
    <t>TR27714</t>
  </si>
  <si>
    <t>touqir abbas</t>
  </si>
  <si>
    <t>Never shafy hospital karor road fateh pur district layyah Fateh pur</t>
  </si>
  <si>
    <t>Fateh pur</t>
  </si>
  <si>
    <t>TR27715</t>
  </si>
  <si>
    <t>Rehmatullah Rehmatullah</t>
  </si>
  <si>
    <t>+923009090322</t>
  </si>
  <si>
    <t>Masood market wana road  al rehmet  electronic Tank</t>
  </si>
  <si>
    <t>Tank</t>
  </si>
  <si>
    <t>Embossed NIK-E - XL / White (x1), Embossed NIK-E - XL / Black (x1)</t>
  </si>
  <si>
    <t>TR27716</t>
  </si>
  <si>
    <t>Salman Cheema</t>
  </si>
  <si>
    <t>+923146105701</t>
  </si>
  <si>
    <t>Chak jhummra   leopard self collection Faisalabad</t>
  </si>
  <si>
    <t>ok
 | ↩️ Return Charged: 2026-01-02 | Fee: 220.11</t>
  </si>
  <si>
    <t>TR27717</t>
  </si>
  <si>
    <t>Ali raza Abra heme</t>
  </si>
  <si>
    <t>g/9 4  street 85 H 130 Aslamabad</t>
  </si>
  <si>
    <t>Aslamabad</t>
  </si>
  <si>
    <t>NOT ANS
 | ↩️ Return Charged: 2026-01-02 | Fee: 220.11</t>
  </si>
  <si>
    <t>TR27718</t>
  </si>
  <si>
    <t>Distic Nowshera Post Office Taru Jabba Nowshera</t>
  </si>
  <si>
    <t>TR27719</t>
  </si>
  <si>
    <t>Ahmed Abdullah</t>
  </si>
  <si>
    <t>House 11 street 1 g-13/3 Islamabad</t>
  </si>
  <si>
    <t>TR27720</t>
  </si>
  <si>
    <t>Muhammad Omer</t>
  </si>
  <si>
    <t>House # b158 , 2nd flr, North nazimabad block I Karachi</t>
  </si>
  <si>
    <t>TR27721</t>
  </si>
  <si>
    <t>Shahzad Ali</t>
  </si>
  <si>
    <t>Hotel defence continental main Blvd DHA lahore Lahore</t>
  </si>
  <si>
    <t>TR27722</t>
  </si>
  <si>
    <t>House no 567,block XX,dha phase 3 Lahore</t>
  </si>
  <si>
    <t>TR27723</t>
  </si>
  <si>
    <t>Reuben Reuben</t>
  </si>
  <si>
    <t>Tipu market E11/4 Islamabad Islamabad</t>
  </si>
  <si>
    <t>Reuben Reuben
call cut ki ha</t>
  </si>
  <si>
    <t>TR27724</t>
  </si>
  <si>
    <t>Sohail Sohail</t>
  </si>
  <si>
    <t>+923219223221</t>
  </si>
  <si>
    <t>Falt # 502, Al mustafa homes, Shahani street, garden east karachi karachi</t>
  </si>
  <si>
    <t>WHATSUP</t>
  </si>
  <si>
    <t>Tipping Crew - M / Black (x1), Tipping Crew - L / White (x1)</t>
  </si>
  <si>
    <t>TR27725</t>
  </si>
  <si>
    <t>Iqra kaamil Iqra kaamil</t>
  </si>
  <si>
    <t>+92 336 8771852</t>
  </si>
  <si>
    <t>House no 8d gosha ehbab phase 2 azam garden near mansoira housing society lahore Lahore</t>
  </si>
  <si>
    <t>.WHATSUP</t>
  </si>
  <si>
    <t>TR27726</t>
  </si>
  <si>
    <t>Mahar Maqsood Maqsood</t>
  </si>
  <si>
    <t>Pnd Group(distributor Nestle) Ada Bagh Wala Near Bzu Chowk Bosan Road Multab Multan</t>
  </si>
  <si>
    <t>TR27727</t>
  </si>
  <si>
    <t>Junaid alam Alam</t>
  </si>
  <si>
    <t>Mir Ali Tcs Office Nwtd Mir Ali</t>
  </si>
  <si>
    <t>Mir Ali</t>
  </si>
  <si>
    <t>ager tcs ya lcs nahi toh cancel ker doo</t>
  </si>
  <si>
    <t>TR27728</t>
  </si>
  <si>
    <t>Pardeep Kumar</t>
  </si>
  <si>
    <t>Plot no 615c flat 202 central commercial area pechs block 2 tariq road Karachi</t>
  </si>
  <si>
    <t>koi nahi aya
 | ↩️ Return Charged: 2026-01-13 | Fee: 213</t>
  </si>
  <si>
    <t>TR27729</t>
  </si>
  <si>
    <t>Yasir Hafeez</t>
  </si>
  <si>
    <t>B 105 Pearl Luxury Apartments Phase 1 North Karachi Sector 11c2 Karachi</t>
  </si>
  <si>
    <t>rider na rabta kiya tha mana nahi lena because mujha conformation ki call nahi ai
 | ↩️ Return Charged: 2026-01-06 | Fee: 213.44</t>
  </si>
  <si>
    <t>TR27730</t>
  </si>
  <si>
    <t>Imran Ali</t>
  </si>
  <si>
    <t>Manga mandi Lahore Star electronics opposite National Bank Lahore</t>
  </si>
  <si>
    <t>TR27731</t>
  </si>
  <si>
    <t>Mr Toufeeq</t>
  </si>
  <si>
    <t>House no 577 st 6 m block phase 5 dha lahore Lahore</t>
  </si>
  <si>
    <t>TR27732</t>
  </si>
  <si>
    <t>Aqib Iqbal Ansari</t>
  </si>
  <si>
    <t>Johar Phelwan Goth Habib University Gate No 2 Karachi Karachi</t>
  </si>
  <si>
    <t>TR27733</t>
  </si>
  <si>
    <t>Junaid Javed</t>
  </si>
  <si>
    <t>House no 30-A Civil Lines Near Abubakr Masjid Khanewal Khanewal</t>
  </si>
  <si>
    <t>TR27734</t>
  </si>
  <si>
    <t>Awais mahmood</t>
  </si>
  <si>
    <t>+923467077892</t>
  </si>
  <si>
    <t>Faisal mahmood jeweller main bazar Ouch District Dir Lower Chakdara</t>
  </si>
  <si>
    <t>Chakdara</t>
  </si>
  <si>
    <t>TR27735</t>
  </si>
  <si>
    <t>qalab Abbas</t>
  </si>
  <si>
    <t>+923245736513</t>
  </si>
  <si>
    <t>Sukeh ki mandi HBL bank Hafizabad</t>
  </si>
  <si>
    <t>ADI - TriStrip-Tracksuit Winter - L / Gray (x1)</t>
  </si>
  <si>
    <t>TR27736</t>
  </si>
  <si>
    <t>TR27737</t>
  </si>
  <si>
    <t>Maghan Parmar</t>
  </si>
  <si>
    <t>Ratnabad By-pass near pcdp office aaryan jarnal store shop Mīrpur Khās</t>
  </si>
  <si>
    <t>Mīrpur Khās</t>
  </si>
  <si>
    <t>cancel bohat mangha haa mujha laga ka full tracksuit haa</t>
  </si>
  <si>
    <t>TR27738</t>
  </si>
  <si>
    <t>Muhammad Bilal Yousaf</t>
  </si>
  <si>
    <t>Shuker Din Surgical Hospital,Narowal Narowal</t>
  </si>
  <si>
    <t>ADI-3strips Full TrackSuit - XL / Pista (x1)</t>
  </si>
  <si>
    <t>TR27739</t>
  </si>
  <si>
    <t>Tayyab Farooq</t>
  </si>
  <si>
    <t>+923004611273</t>
  </si>
  <si>
    <t>shop name perfect cash and carry Multan chungi ,wahdat road lahore Lahore</t>
  </si>
  <si>
    <t>ok   not ans
 | ↩️ Return Charged: 2026-01-06 | Fee: 120.06</t>
  </si>
  <si>
    <t>TR27740</t>
  </si>
  <si>
    <t>Syed babar Ali</t>
  </si>
  <si>
    <t>Karma Wala Karyana Store Near Mujhid Hotel Muridke</t>
  </si>
  <si>
    <t>TR27741</t>
  </si>
  <si>
    <t>Rai Rameez</t>
  </si>
  <si>
    <t>House Of Technology church road near munawar hospital Jhang</t>
  </si>
  <si>
    <t>ADI - TriStrip-Tracksuit Winter - L / Navy (x1)</t>
  </si>
  <si>
    <t>TR27742</t>
  </si>
  <si>
    <t>Hafiz M Saif</t>
  </si>
  <si>
    <t>+923450975390</t>
  </si>
  <si>
    <t>Chah Tring Road Street #03 Family Ceramics Gujrat Gujrat</t>
  </si>
  <si>
    <t>ADI Multi Ref Stripes - XL / White (x1), ADI Multi Ref Stripes - XL / Black (x1), Imported Scoba Executive Nik Tro - XL / Black (x1)</t>
  </si>
  <si>
    <t>TR27743</t>
  </si>
  <si>
    <t>Ali Bodlah Bodlah</t>
  </si>
  <si>
    <t>+923008768442</t>
  </si>
  <si>
    <t>Eid gah road  near bodlah bakers  layyah Layyah</t>
  </si>
  <si>
    <t>TR27744</t>
  </si>
  <si>
    <t>Usama Usma</t>
  </si>
  <si>
    <t>+923098310128</t>
  </si>
  <si>
    <t>kamoke near ismail school gala sindhia wala kamoke gujranwala</t>
  </si>
  <si>
    <t>kamoke gujranwala</t>
  </si>
  <si>
    <t>TR27745</t>
  </si>
  <si>
    <t>Saeedullah Jan</t>
  </si>
  <si>
    <t>House 39, Block F, Road S, Naval Anchorage Islamabad Islamabad</t>
  </si>
  <si>
    <t>ADI-3strips Full TrackSuit - XL / Grey (x1)</t>
  </si>
  <si>
    <t>TR27746</t>
  </si>
  <si>
    <t>Zaman charaghali</t>
  </si>
  <si>
    <t>United charagh bakres new Bazar Hussaini Chowk skardu Skardu</t>
  </si>
  <si>
    <t>TR27747</t>
  </si>
  <si>
    <t>Salman Rasheed</t>
  </si>
  <si>
    <t>Car Bazar Shop#33 Shamim Skytowr Block 9 Fb Area Karachi Karachi</t>
  </si>
  <si>
    <t>confirm  ma out of city chala gaya ap ka parcel late tha
 | ↩️ Return Charged: 2026-01-06 | Fee: 226.78</t>
  </si>
  <si>
    <t>TR27748</t>
  </si>
  <si>
    <t>Ali Jawwad</t>
  </si>
  <si>
    <t>161 C. Eme society Multan road lahore Lahore</t>
  </si>
  <si>
    <t>(Premium) POLO TH - M / Chocolate (x1), (Premium) Cotton lycra RL - 2XL / pista (x1)</t>
  </si>
  <si>
    <t>TR27749</t>
  </si>
  <si>
    <t>Hassan Khalid</t>
  </si>
  <si>
    <t>Jadoon Pharmacy Near Burhani Hospital Haqani Chowk Karachi Karachi</t>
  </si>
  <si>
    <t>IMPORTED POPCORN DRYFIT Adi - L / Black (x1)</t>
  </si>
  <si>
    <t>TR27750</t>
  </si>
  <si>
    <t>Muhammad Uzair</t>
  </si>
  <si>
    <t>House # F 15 caa colony near airport stargate behind metro cash n carry Karachi</t>
  </si>
  <si>
    <t>TR27751</t>
  </si>
  <si>
    <t>Sharif Mirbahar</t>
  </si>
  <si>
    <t>Baloch falooda shop green city mirpur mathelo Mirpur mathelo</t>
  </si>
  <si>
    <t>Mirpur mathelo</t>
  </si>
  <si>
    <t>TR27752</t>
  </si>
  <si>
    <t>Building 138. CCA. 1. Commercial. Phase.6. DHA Lahore</t>
  </si>
  <si>
    <t>TR27753</t>
  </si>
  <si>
    <t>Wasiq Abbasi</t>
  </si>
  <si>
    <t>Refreshment center Commercial Market Satellite Town Rawalpindi Rawalpindi</t>
  </si>
  <si>
    <t>TR27754</t>
  </si>
  <si>
    <t>husnain ali mir</t>
  </si>
  <si>
    <t>Establishment section ajk bank head office Muzaffarabad</t>
  </si>
  <si>
    <t>TR27755</t>
  </si>
  <si>
    <t>Muhammad Hammad Arshad</t>
  </si>
  <si>
    <t>House # E02, Pakarab Fertilizer Residential Colony, khanewaal Road Multan</t>
  </si>
  <si>
    <t>TR27756</t>
  </si>
  <si>
    <t>Shahid Iqbal</t>
  </si>
  <si>
    <t>Midway B commercial bahria town karachi Karachi</t>
  </si>
  <si>
    <t>TR27757</t>
  </si>
  <si>
    <t>Ali Gillani</t>
  </si>
  <si>
    <t>House#66 block ( K ) architect &amp; engineer hosuing society Lahore</t>
  </si>
  <si>
    <t>cancel size chota tha
 | ↩️ Return Charged: 2026-01-02 | Fee: 106.72</t>
  </si>
  <si>
    <t>TR27758</t>
  </si>
  <si>
    <t>Arbab General Store Ramzan Market Tank Tank</t>
  </si>
  <si>
    <t>TR27759</t>
  </si>
  <si>
    <t>Danish Nazeer</t>
  </si>
  <si>
    <t>Wah cantt , basti ,near gadwal stop Wah cantt</t>
  </si>
  <si>
    <t>Wah cantt</t>
  </si>
  <si>
    <t>ma bussy hoo ap kal bhej dein ma receive ker lo gaa
 | ↩️ Return Charged: 2026-01-02 | Fee: 200.1</t>
  </si>
  <si>
    <t>TR27760</t>
  </si>
  <si>
    <t>Faysal sheikh Sheikh</t>
  </si>
  <si>
    <t>R 316 green park city quaid a bad Karachi</t>
  </si>
  <si>
    <t xml:space="preserve">
 | ↩️ Return Charged: 2026-01-13 | Fee: 213</t>
  </si>
  <si>
    <t>TR27761</t>
  </si>
  <si>
    <t>Muhammad Nouman</t>
  </si>
  <si>
    <t>Haqbahoo street 11 dhama mor adyala road Rawalpindi Rawalpindi</t>
  </si>
  <si>
    <t>He came once but due to some issue i couldn't receive it he said I'll come tomorrow means today but he didn't come</t>
  </si>
  <si>
    <t>TR27762</t>
  </si>
  <si>
    <t>Malik Ghaus</t>
  </si>
  <si>
    <t>House No 303, Block W, Street 11, Phase 8, Dha Lahore</t>
  </si>
  <si>
    <t>TR27763</t>
  </si>
  <si>
    <t>Beach blessing center opp bilawal house Karachi</t>
  </si>
  <si>
    <t>TR27764</t>
  </si>
  <si>
    <t>Muhammad Sajawal</t>
  </si>
  <si>
    <t>City safdarabad zila sheikhupura house mumber 3 Safdarabad</t>
  </si>
  <si>
    <t>Safdarabad</t>
  </si>
  <si>
    <t>not ans
 | ↩️ Return Charged: 2026-01-06 | Fee: 200.1</t>
  </si>
  <si>
    <t>TR27765</t>
  </si>
  <si>
    <t>Muhammad Aslam</t>
  </si>
  <si>
    <t>104 C2 , Gulberg 3, adgescent   Macca Tower, Liberty Market Lahore</t>
  </si>
  <si>
    <t>TR27766</t>
  </si>
  <si>
    <t>rizwan ahmad</t>
  </si>
  <si>
    <t>+923006305087</t>
  </si>
  <si>
    <t># 9-office #3-4 Fazal Centre Hazoori Bagh Rod Chungi Multan</t>
  </si>
  <si>
    <t>confirm haa ya open to allow
 | 💰 COD Rec: 2026-01-06 | Ref: CPR-PFN20465030 | Amt: 2849</t>
  </si>
  <si>
    <t>TR27767</t>
  </si>
  <si>
    <t>Idrees Muhammad</t>
  </si>
  <si>
    <t>+923408485946</t>
  </si>
  <si>
    <t>Pindi Sadiqabad Service road khajur wali gali near musjid  ( EK MINAR WALI ) Other</t>
  </si>
  <si>
    <t>TR27768</t>
  </si>
  <si>
    <t>UMar Ayub</t>
  </si>
  <si>
    <t>Mohalla Ahmad Abad st#3 Bhakkar</t>
  </si>
  <si>
    <t>allow to open  ma avail nahi hoo bad ma order ker lo gaa
 | ↩️ Return Charged: 2026-01-02 | Fee: 200.1</t>
  </si>
  <si>
    <t>TR27769</t>
  </si>
  <si>
    <t>M Waseem</t>
  </si>
  <si>
    <t>Chak no.224 RB Mohallah Bilal Town street no.5 near Nawab marriage hall Faisalabad Faisalabad</t>
  </si>
  <si>
    <t>TR27770</t>
  </si>
  <si>
    <t>Chowk Alama Iqbal Ali Mobile Center Sialkot Sialkot</t>
  </si>
  <si>
    <t xml:space="preserve">
 | ↩️ Return Charged: 2026-01-13 | Fee: 200</t>
  </si>
  <si>
    <t>TR27771</t>
  </si>
  <si>
    <t>Waseem Amir</t>
  </si>
  <si>
    <t>Officers Mess, PAF Base Shahbaz Jacobabad</t>
  </si>
  <si>
    <t>TR27772</t>
  </si>
  <si>
    <t>Alinawaz Chhachhar Chharchhar</t>
  </si>
  <si>
    <t>+923241348363</t>
  </si>
  <si>
    <t>hyderabad Naseem shoping mall qasimabad Near Naseem Shoping Mall</t>
  </si>
  <si>
    <t>Near Naseem Shoping Mall</t>
  </si>
  <si>
    <t>ok   rider na koi call nahi ki
 | ↩️ Return Charged: 2026-01-09 | Fee: 227</t>
  </si>
  <si>
    <t>TR27773</t>
  </si>
  <si>
    <t>Huzaifa Baloch</t>
  </si>
  <si>
    <t>Green city society TANDO ADAM</t>
  </si>
  <si>
    <t>TANDO ADAM</t>
  </si>
  <si>
    <t>mana koi order nhi kiya</t>
  </si>
  <si>
    <t>TR27774</t>
  </si>
  <si>
    <t>Khan Shahid</t>
  </si>
  <si>
    <t>Hyderabad Hyd</t>
  </si>
  <si>
    <t>Hyd</t>
  </si>
  <si>
    <t>no wp invalid number</t>
  </si>
  <si>
    <t>TR27775</t>
  </si>
  <si>
    <t>Sunny Kazmi</t>
  </si>
  <si>
    <t>Doc Akhter Ali clinic gaushala chowk Boys College Road Bahawalnagar</t>
  </si>
  <si>
    <t>TR27776</t>
  </si>
  <si>
    <t>Gulzar Ali</t>
  </si>
  <si>
    <t>+923422655319</t>
  </si>
  <si>
    <t>near police station Block E north Nazimabad karachi Karachi</t>
  </si>
  <si>
    <t>TR27777</t>
  </si>
  <si>
    <t>Aamir Shahzad</t>
  </si>
  <si>
    <t>Mohal fark nager near zevar sha masjid Dhok chaudhari Rawalpindi sadar Rewlpndi</t>
  </si>
  <si>
    <t>Rewlpndi</t>
  </si>
  <si>
    <t>confrm ma karachi chala gaya hoo ap cancel ker dien
 | ↩️ Return Charged: 2026-01-06 | Fee: 220.11</t>
  </si>
  <si>
    <t>TR27778</t>
  </si>
  <si>
    <t>Sohail Abbas</t>
  </si>
  <si>
    <t>B-222pia employees cooperative housing Society Block - 9 Gulistan E Jauhar Karachi</t>
  </si>
  <si>
    <t>IMPORTED POPCORN DRYFIT Adi - 2Xl / White (x1)</t>
  </si>
  <si>
    <t>TR27779</t>
  </si>
  <si>
    <t>Touseef Ansar</t>
  </si>
  <si>
    <t>150 C dha phase 8 ex parkview Lahore</t>
  </si>
  <si>
    <t>TR27780</t>
  </si>
  <si>
    <t>consignee want open parcel
 | ↩️ Return Charged: 2026-01-06 | Fee: 106.72</t>
  </si>
  <si>
    <t>TR27781</t>
  </si>
  <si>
    <t>Hassan Ali Shar Hassan Sattar</t>
  </si>
  <si>
    <t>Sattar CNG bypass road daharki Daharki</t>
  </si>
  <si>
    <t>TR27782</t>
  </si>
  <si>
    <t>subhash khetpal</t>
  </si>
  <si>
    <t>Himilton g1 block 5th floor flat #405 teen talwar Clifton near dilpasand backry Karachi</t>
  </si>
  <si>
    <t>hello
 | ↩️ Return Charged: 2026-01-09 | Fee: 213</t>
  </si>
  <si>
    <t>TR27783</t>
  </si>
  <si>
    <t>Muhammad Hamid</t>
  </si>
  <si>
    <t>House 134, A-2 Block, Gulber 3 Lahore</t>
  </si>
  <si>
    <t>fsdfsda</t>
  </si>
  <si>
    <t>ADI - EMBOSSED LOGO (Cotton) - XL / Sky (x1)</t>
  </si>
  <si>
    <t>TR27784</t>
  </si>
  <si>
    <t>Hassan Hasan</t>
  </si>
  <si>
    <t>Jalalpur Jattan house number 25kharian road Jalalpur Jattan Gujrat Gujrat</t>
  </si>
  <si>
    <t>TR27785</t>
  </si>
  <si>
    <t>sifat Ullah sifat Ullah</t>
  </si>
  <si>
    <t>+923319394918</t>
  </si>
  <si>
    <t>north Waziristan Miran shah near DHQ Miran shah jalal Khan plaza pir D R X ray shop number 32 miran shah</t>
  </si>
  <si>
    <t>miran shah</t>
  </si>
  <si>
    <t>TR27786</t>
  </si>
  <si>
    <t>Irfan Naseer</t>
  </si>
  <si>
    <t>Near DPO office,  Saeed Centre,  metalogix ground floor Sahiwal</t>
  </si>
  <si>
    <t>TR27787</t>
  </si>
  <si>
    <t>Wajeeha kanwal Wajeeha kanwal</t>
  </si>
  <si>
    <t>+923116302996</t>
  </si>
  <si>
    <t>Empire salon Shop no 144/A Main commercial market model town  Multan multan</t>
  </si>
  <si>
    <t>multan</t>
  </si>
  <si>
    <t>TEXTURE BOTTLE GREEN - 15 (x1)</t>
  </si>
  <si>
    <t>TR27788</t>
  </si>
  <si>
    <t>Muhammad Awais</t>
  </si>
  <si>
    <t>+923269663334</t>
  </si>
  <si>
    <t>6 km sheikhupura road near allied petrol pump Gujar Singh Other</t>
  </si>
  <si>
    <t>ok  rider na rabta nahi kiya
 | ↩️ Return Charged: 2026-01-06 | Fee: 220.11</t>
  </si>
  <si>
    <t>TR27789</t>
  </si>
  <si>
    <t>Mubeen zahid Mubeen zahid</t>
  </si>
  <si>
    <t>+923121023354</t>
  </si>
  <si>
    <t>No 1-laitabad   1/414 Karachi</t>
  </si>
  <si>
    <t>rider fake attempt ker raha no koi call ai na koi rider aya
 | ↩️ Return Charged: 2026-01-09 | Fee: 213</t>
  </si>
  <si>
    <t>TR27790</t>
  </si>
  <si>
    <t>Waqar Ahmed Ahmed</t>
  </si>
  <si>
    <t># 764-house; Street 83; Sector I 8/4 Islamabad</t>
  </si>
  <si>
    <t>TR27791</t>
  </si>
  <si>
    <t>Shahid Khan</t>
  </si>
  <si>
    <t>Shop, shah Bannu beef pulao rabbani street arbab road main university road Peshawer Peshawer</t>
  </si>
  <si>
    <t>Peshawer</t>
  </si>
  <si>
    <t>ADI Multi Ref Stripes - 2XL / White (x1), ADI Multi Ref Stripes - M / Black (x1)</t>
  </si>
  <si>
    <t>TR27792</t>
  </si>
  <si>
    <t>Shah Rukh</t>
  </si>
  <si>
    <t>+923449258162</t>
  </si>
  <si>
    <t>Room no 36 Doctor hostel Mufti mehmood hospital Dera Ismail khan Dera Ismail Khan</t>
  </si>
  <si>
    <t>A | X Embroidery LOGO - M / Olive (x1)</t>
  </si>
  <si>
    <t>TR27793</t>
  </si>
  <si>
    <t>Manan Bajwa</t>
  </si>
  <si>
    <t>Precient 10 A bahria town karachi Karachi</t>
  </si>
  <si>
    <t>not ans cal pick nahi ker raha
 | ↩️ Return Charged: 2026-01-09 | Fee: 213</t>
  </si>
  <si>
    <t>TR27794</t>
  </si>
  <si>
    <t>Pharma Traders street No 19-B Muhammadia Colony Bahawalpur Bahawalpur</t>
  </si>
  <si>
    <t>TR27795</t>
  </si>
  <si>
    <t>Nasir Warraich Warraich</t>
  </si>
  <si>
    <t>+923187971614</t>
  </si>
  <si>
    <t>Jalalpur jattha  tcs offic self collection Jalalpur Jattan</t>
  </si>
  <si>
    <t>Jalalpur Jattan</t>
  </si>
  <si>
    <t>tcs
 | 💰 COD Rec: 2026-01-01 | Ref: INV-267527 | Amt: 2277</t>
  </si>
  <si>
    <t>N_F Branded Dri-Fit  T-shirt - XL / White (x1)</t>
  </si>
  <si>
    <t>INV-267527</t>
  </si>
  <si>
    <t>TR27796</t>
  </si>
  <si>
    <t>Irfan Khoso</t>
  </si>
  <si>
    <t>+923003629303</t>
  </si>
  <si>
    <t>Main Qasimabad Rd Hyderabad</t>
  </si>
  <si>
    <t>TR27797</t>
  </si>
  <si>
    <t>House no C 61 phase 1 block 3 qasimabad Hyderabad sindh Hyderabad</t>
  </si>
  <si>
    <t>TR27798</t>
  </si>
  <si>
    <t>+923027247303</t>
  </si>
  <si>
    <t>TR27799</t>
  </si>
  <si>
    <t>Tamiz (Allow to open the parcel) Muqri</t>
  </si>
  <si>
    <t>House Number 113-kokan Housing Society Alamgir Road Karachi</t>
  </si>
  <si>
    <t>(Premium) Cotton lycra RL - 2XL / Beige (x1)</t>
  </si>
  <si>
    <t>TR27800</t>
  </si>
  <si>
    <t>Rehmatullah Shaikh</t>
  </si>
  <si>
    <t>Kmc, Bunglow No. 4, Near Columbus Towers, Teen Talwaar Karachi. Karachi</t>
  </si>
  <si>
    <t>TR27801</t>
  </si>
  <si>
    <t>Faizan Abbasi</t>
  </si>
  <si>
    <t>Upper Naluchi ground ward no. 25 near universal public school  beside Ayan sheikh general store Abbasi house Muzaffarabad Azad kashmir Muzaffarabad</t>
  </si>
  <si>
    <t>Adi- Hoodie - M / Black (x1), Basic Branded Adi Trouser - M / Black (x1)</t>
  </si>
  <si>
    <t>TR27802</t>
  </si>
  <si>
    <t>Shehbaz Khan</t>
  </si>
  <si>
    <t>Sector b Dha 2 Rawalpindi</t>
  </si>
  <si>
    <t>cancel Is very expensive</t>
  </si>
  <si>
    <t>TR27803</t>
  </si>
  <si>
    <t>+923468207506</t>
  </si>
  <si>
    <t>Plot 40 A PECHS block 6 main ShahreFaisal Karachi opposite to Pakistan post office Karachi</t>
  </si>
  <si>
    <t>TR27804</t>
  </si>
  <si>
    <t>dr Asim Raza</t>
  </si>
  <si>
    <t>Maryam nawaz health clinic Thathi,UC THATHI,TEHSIL GUJAR KHAN ,RAWALPINDI Gujar khan</t>
  </si>
  <si>
    <t>rider nahi aya iam waiting
 | ↩️ Return Charged: 2026-01-06 | Fee: 220.11</t>
  </si>
  <si>
    <t>TR27805</t>
  </si>
  <si>
    <t>Muhammad Mehmood</t>
  </si>
  <si>
    <t>Jamia halimia town pezu Lakki</t>
  </si>
  <si>
    <t>Lakki</t>
  </si>
  <si>
    <t>TR27806</t>
  </si>
  <si>
    <t>Kamran Jamali</t>
  </si>
  <si>
    <t>House b 79 street 1 new liyari CHS gulshan e ismail gulzar e hijri scheme 33 karachi Karachi</t>
  </si>
  <si>
    <t>TR27807</t>
  </si>
  <si>
    <t>Muhammad Ali Khan Khan</t>
  </si>
  <si>
    <t>+923002131225</t>
  </si>
  <si>
    <t>(Bellagio Banquet and Conference Hall )Shahrah-e-Pakistan, Federal B Area Block 6 Gulberg Town, Karachi, Pakistan Karachi</t>
  </si>
  <si>
    <t>ok
 | ↩️ Return Charged: 2026-01-16 | Fee: 227</t>
  </si>
  <si>
    <t>TR27808</t>
  </si>
  <si>
    <t>Ahmad Anas</t>
  </si>
  <si>
    <t>Punjab district khushab city mitha tiwana ex nazim Malik Sadiq shaloly house Mitha tiwana</t>
  </si>
  <si>
    <t>Mitha tiwana</t>
  </si>
  <si>
    <t>TR27809</t>
  </si>
  <si>
    <t>Kamil Said</t>
  </si>
  <si>
    <t>Office 1,2 ,3 block C Awami market Karkhano Peshawar. Peshawar</t>
  </si>
  <si>
    <t>TR27810</t>
  </si>
  <si>
    <t>Rana Waheed</t>
  </si>
  <si>
    <t>Office # 1,1st floor,Omer Center,Akbar chowk,Township Lahore</t>
  </si>
  <si>
    <t>TR27811</t>
  </si>
  <si>
    <t>Hammad Khan</t>
  </si>
  <si>
    <t>+923345352861</t>
  </si>
  <si>
    <t>tcs office Kurram Bridge, Bannu, Pakistan Bannu</t>
  </si>
  <si>
    <t xml:space="preserve">
 | 💰 COD Rec: 2026-01-01 | Ref: INV-266133 | Amt: 2900</t>
  </si>
  <si>
    <t>TR27812</t>
  </si>
  <si>
    <t>Asad Munir</t>
  </si>
  <si>
    <t>Margala view housing society D17 STREET 9 HOUSE 15A Islamabad Islamabad</t>
  </si>
  <si>
    <t>ma bussy tha ap reattmpt ker dein
 | ↩️ Return Charged: 2026-01-13 | Fee: 200</t>
  </si>
  <si>
    <t>TR27813</t>
  </si>
  <si>
    <t>Zain Adtab</t>
  </si>
  <si>
    <t>+923169233172</t>
  </si>
  <si>
    <t>Hal road sector f1 near chugtai shoping mall landa bazar mirpor ajk Mirpur AJK</t>
  </si>
  <si>
    <t>Mirpur AJK</t>
  </si>
  <si>
    <t>ok  G rider aya ta jnaab lkn us parsel m jo chez ti r jo videos m ti vo the e nh btya kuch or jta h bhja kuch or jata hai
 | ↩️ Return Charged: 2026-01-06 | Fee: 226.78</t>
  </si>
  <si>
    <t>TR27814</t>
  </si>
  <si>
    <t>Salah Udd</t>
  </si>
  <si>
    <t>Quessa khawani muhallah khudad 3 number dukan Peshawer</t>
  </si>
  <si>
    <t>TR27815</t>
  </si>
  <si>
    <t>Maaz Ali</t>
  </si>
  <si>
    <t>F8/3 Royal inn hostel kaghan road. Islamabad</t>
  </si>
  <si>
    <t>4 pm ka bad ma avail hota ap rider ko is time bhejho
 | ↩️ Return Charged: 2026-01-06 | Fee: 200.1</t>
  </si>
  <si>
    <t>TR27816</t>
  </si>
  <si>
    <t>Adeel Mirza</t>
  </si>
  <si>
    <t>No 2-2j 5/3 Nazimabad Karachi</t>
  </si>
  <si>
    <t>TR27817</t>
  </si>
  <si>
    <t>Hasnain Hasnain</t>
  </si>
  <si>
    <t>Zubair poltry service shakot sadr police station shakot Shakot</t>
  </si>
  <si>
    <t>Shakot</t>
  </si>
  <si>
    <t>TR27818</t>
  </si>
  <si>
    <t>TR27158 exchange
 | 💰 COD Rec: 2025-12-30 | Ref: CPR-LOPZA422218 | Amt: 357</t>
  </si>
  <si>
    <t>ADI - TriStrip-Tracksuit Winter - L / Navy (x1), A | X Embroidery LOGO - XL / Black (x1)</t>
  </si>
  <si>
    <t>TR27819</t>
  </si>
  <si>
    <t>Nisar Hussian</t>
  </si>
  <si>
    <t>Kothang bala district shigar skardu Baltistan Shigar</t>
  </si>
  <si>
    <t>Shigar</t>
  </si>
  <si>
    <t>not ans no wp</t>
  </si>
  <si>
    <t>TR27820</t>
  </si>
  <si>
    <t>+923123912233</t>
  </si>
  <si>
    <t>House# 18-D, nawabshah housing society, City nawabshah District Shaheed benazirabad. Nawabshah</t>
  </si>
  <si>
    <t>28801exchange</t>
  </si>
  <si>
    <t>TR27821</t>
  </si>
  <si>
    <t>Kashif Ali</t>
  </si>
  <si>
    <t>Al qadeer hostel near decent departmental store muslim town Lahore</t>
  </si>
  <si>
    <t>cancel mana nahi lena mari marzi
 | ↩️ Return Charged: 2026-01-06 | Fee: 106.72</t>
  </si>
  <si>
    <t>TR27822</t>
  </si>
  <si>
    <t>imran ali imran ali</t>
  </si>
  <si>
    <t>+923235666661</t>
  </si>
  <si>
    <t>manga mandi zila lahore manga chok shani shoes shop nbr 3 manga mundi</t>
  </si>
  <si>
    <t>manga mundi</t>
  </si>
  <si>
    <t>NIK- Ref LOGO - 3XL / black (x1)</t>
  </si>
  <si>
    <t>TR27823</t>
  </si>
  <si>
    <t>Hassanalamkhan Khan</t>
  </si>
  <si>
    <t>Hassan Scientific Store 5-zia Science Market Abkari Road Anarkali Lahore Lahore</t>
  </si>
  <si>
    <t>ADI-3strips Full TrackSuit - XL / Black (x1)</t>
  </si>
  <si>
    <t>TR27824</t>
  </si>
  <si>
    <t>waqar lucky waqar lucky</t>
  </si>
  <si>
    <t>+923260510732</t>
  </si>
  <si>
    <t>house no 4 street no 1 shaheen kalooni city phularwaan phularwaan</t>
  </si>
  <si>
    <t>phularwaan</t>
  </si>
  <si>
    <t>LE7523000275</t>
  </si>
  <si>
    <t>TR27825</t>
  </si>
  <si>
    <t>28864exchnage</t>
  </si>
  <si>
    <t>ADI Multi Ref Stripes - 4XL / White (x1)</t>
  </si>
  <si>
    <t>TR27826</t>
  </si>
  <si>
    <t>Younis Mugheri</t>
  </si>
  <si>
    <t>First family line nade Ali milk shop Jacobabad</t>
  </si>
  <si>
    <t>ma out of city hoo ap cancel ker dein
 | ↩️ Return Charged: 2026-01-09 | Fee: 320</t>
  </si>
  <si>
    <t>TR27827</t>
  </si>
  <si>
    <t>Waqas Ahmad</t>
  </si>
  <si>
    <t>House No: 715, Street No 2, Shahzad Town, Islamabad Islamabad</t>
  </si>
  <si>
    <t>TR27828</t>
  </si>
  <si>
    <t>Essa Khan</t>
  </si>
  <si>
    <t>Mri Department Dr.ziauddin Hospital North Nazimabad Karachi Karachi</t>
  </si>
  <si>
    <t>TR27829</t>
  </si>
  <si>
    <t>Zeeshan Maqbool</t>
  </si>
  <si>
    <t>P/o kapurowali basantpur sialkot Sialkot</t>
  </si>
  <si>
    <t>TR27830</t>
  </si>
  <si>
    <t>Taskeen Arshad</t>
  </si>
  <si>
    <t>Room no 312, advisor to speaker office first floor New assembly building Punjab assembly mall road lahore Lahore</t>
  </si>
  <si>
    <t>TR27831</t>
  </si>
  <si>
    <t>Mansoor Ahmad</t>
  </si>
  <si>
    <t>Matchless Travels international 10 Huma plaza Block 25 Blue Area Islamabad</t>
  </si>
  <si>
    <t>TR27832</t>
  </si>
  <si>
    <t>Arshad Khan</t>
  </si>
  <si>
    <t>+923369742298</t>
  </si>
  <si>
    <t>KPK dist Bannu p o box Nizam Bazar kohat Road Bannu Bannu</t>
  </si>
  <si>
    <t>TR27833</t>
  </si>
  <si>
    <t>Tariq khan Tariq khan</t>
  </si>
  <si>
    <t>Peshawar tea store mansehra colony LAL kohti c.1 akhri stap Qidabad landhi Krachi</t>
  </si>
  <si>
    <t>Krachi</t>
  </si>
  <si>
    <t>TR27834</t>
  </si>
  <si>
    <t>+923132100047</t>
  </si>
  <si>
    <t>Peshawar tea store mansehra colony LAL kohti c.1 akhri stap Qidabad landhi Karachi</t>
  </si>
  <si>
    <t>cancel bhai na order kiya tha</t>
  </si>
  <si>
    <t>TR27835</t>
  </si>
  <si>
    <t>Mister Fawad</t>
  </si>
  <si>
    <t>+923054696689</t>
  </si>
  <si>
    <t>Plot#A-52/B near Muhammadi Chowk Autobahn Road UNILEVER Pakistan Limited Hyderabad</t>
  </si>
  <si>
    <t>Basic Branded Adi Trouser - 2XL / Black (x1), Performance UA Tracksuit - XL / Gray (x1)</t>
  </si>
  <si>
    <t>TR27836</t>
  </si>
  <si>
    <t>Plot#A/51-B authbhan Road near Muhammadi Chowk, UNILEVER Pakistan Limited Hyderabad</t>
  </si>
  <si>
    <t>Adi- Hoodie - XL / Black (x1), Adi- Hoodie - XL / White (x1), ADI Ref Stripes - 3XL / White (x1), ADI Ref Stripes - 3XL / Black (x1)</t>
  </si>
  <si>
    <t>TR27837</t>
  </si>
  <si>
    <t>Husnain Babar</t>
  </si>
  <si>
    <t>House No. 951, Block Q, Phase 2, Wapda Town. Multan</t>
  </si>
  <si>
    <t>TR27838</t>
  </si>
  <si>
    <t>Iqbal khan</t>
  </si>
  <si>
    <t>near Govt. Middle school Kalli Almas Chiltan Housing Society Quetta, Pakistan Quetta</t>
  </si>
  <si>
    <t>ok not ans
 | ↩️ Return Charged: 2026-01-20 | Fee: 213
 | ↩️ Return Charged: 2026-01-20 | Fee: 213.44</t>
  </si>
  <si>
    <t>TR27839</t>
  </si>
  <si>
    <t>+923446459616</t>
  </si>
  <si>
    <t>main gate per a ker call ker lein Chand Baag Clony Sialkot Sialkot</t>
  </si>
  <si>
    <t>TR27840</t>
  </si>
  <si>
    <t>Hasan Akhter</t>
  </si>
  <si>
    <t>First Allow to open Shop no 4 sec 11H north Karachi, karachi Karachi</t>
  </si>
  <si>
    <t>TR27841</t>
  </si>
  <si>
    <t>Ans Shahid</t>
  </si>
  <si>
    <t>Shop#1,2 Basement Umar Market Street #5 Kacheri Bazar Faisalabad</t>
  </si>
  <si>
    <t>TR27842</t>
  </si>
  <si>
    <t>Muhammad Nawaz Rind</t>
  </si>
  <si>
    <t>Sindh Coprative society banglow number 172 Sukkur</t>
  </si>
  <si>
    <t>TR27843</t>
  </si>
  <si>
    <t>Usman Alvi</t>
  </si>
  <si>
    <t>House No 89 B 1 Allama Iqbal Road Alvi Manzil Pattoki Kasur</t>
  </si>
  <si>
    <t>rider nahi aya ap reattempt kervein
 | ↩️ Return Charged: 2026-01-09 | Fee: 200</t>
  </si>
  <si>
    <t>TR27844</t>
  </si>
  <si>
    <t>Ishtiaqwalls@gmail.com Ahmed</t>
  </si>
  <si>
    <t>+923214241345</t>
  </si>
  <si>
    <t>near    Ahmar Traders Plot # 48 Industrial Area, Rohi Nala Rd, near Zamin City, Gajumatta, Lahore, Pakistan Lahore</t>
  </si>
  <si>
    <t>ok
 | ↩️ Return Charged: 2026-01-09 | Fee: 107</t>
  </si>
  <si>
    <t>TR27845</t>
  </si>
  <si>
    <t>Irfan zaur Zaur</t>
  </si>
  <si>
    <t>ZAUR mension ward no 1 p. O. Box. Darro town taluka Mir pur bathoro District Sujawal. Darro</t>
  </si>
  <si>
    <t>Darro</t>
  </si>
  <si>
    <t>combince cancel</t>
  </si>
  <si>
    <t>TR27846</t>
  </si>
  <si>
    <t>Noman Burhan</t>
  </si>
  <si>
    <t>Wajhedan Clouth House Samand Market Umerkot Sindh Umerkot</t>
  </si>
  <si>
    <t>Umerkot</t>
  </si>
  <si>
    <t>TR27847</t>
  </si>
  <si>
    <t>+923130321645</t>
  </si>
  <si>
    <t>ZAUR mension ward no 1 p. O. Box. Darro town taluka Mir pur bathoro District Sujawal. Darra</t>
  </si>
  <si>
    <t>Darra</t>
  </si>
  <si>
    <t>cancel ker ien gher ma footgi ho gai haa nahi chaiya</t>
  </si>
  <si>
    <t>TR27848</t>
  </si>
  <si>
    <t>TR27849</t>
  </si>
  <si>
    <t>Zayan Zayan</t>
  </si>
  <si>
    <t>+923260098988</t>
  </si>
  <si>
    <t>Soneri bank plaza 3 floor, sector c, behria enclave, islmabad Islamabad</t>
  </si>
  <si>
    <t xml:space="preserve">6,645 BALANCE KIYA HA 
confirm
</t>
  </si>
  <si>
    <t>Multi ref PUM-A - M / White (x1), Multi ref PUM-A - M / Black (x1), Adi- Hoodie - M / White (x1), Adi- Hoodie - M / Black (x1)</t>
  </si>
  <si>
    <t>TR27850</t>
  </si>
  <si>
    <t>Soneri bank plaza 3rd floor, behria enclave, sector c islmabad Islamabad</t>
  </si>
  <si>
    <t>TR27851</t>
  </si>
  <si>
    <t>Zaheer Nawaz</t>
  </si>
  <si>
    <t>364-c-block Pakarab Housing Society Ferozepur Road Lahore Lahore</t>
  </si>
  <si>
    <t>cancel biscut colour lena haa</t>
  </si>
  <si>
    <t>TR27852</t>
  </si>
  <si>
    <t>Ashhad Ashhad</t>
  </si>
  <si>
    <t>Giga Downtown Residency, Block 14, Flat 811 Islamabad</t>
  </si>
  <si>
    <t>TR27853</t>
  </si>
  <si>
    <t>Ammar Afzal</t>
  </si>
  <si>
    <t>+923004765454</t>
  </si>
  <si>
    <t>BOQ No 4 Ordnance College BOQ Complex Near CO 2  Malir Cantonment karachi Karachi</t>
  </si>
  <si>
    <t>TR27854</t>
  </si>
  <si>
    <t>Huraira Bhatti</t>
  </si>
  <si>
    <t>Near Mosque Siddiquia Haideria, Mohalla Qureshian Wala, Shorkot City, District Jhang Shorkot</t>
  </si>
  <si>
    <t>Shorkot</t>
  </si>
  <si>
    <t>TR27855</t>
  </si>
  <si>
    <t>Darron D'souza</t>
  </si>
  <si>
    <t>Flat B#8 first floor Shams  Square plot #83 Flynn street garden east karachi. near aga khan school Karachi</t>
  </si>
  <si>
    <t>TR27856</t>
  </si>
  <si>
    <t>4 mozang road sajad mension ofc one Lahore</t>
  </si>
  <si>
    <t>LE7523000278</t>
  </si>
  <si>
    <t>tcs / lcs
 | 💰 COD Rec: 2026-01-01 | Ref: INV-266133 | Amt: 3213</t>
  </si>
  <si>
    <t>TR27857</t>
  </si>
  <si>
    <t>Rizwan Khan</t>
  </si>
  <si>
    <t>Pak Austria institute Mang haripur Haripur</t>
  </si>
  <si>
    <t>TR27858</t>
  </si>
  <si>
    <t>Noman Gujjar</t>
  </si>
  <si>
    <t>Khalid surgical center rajan road samundri Samundri</t>
  </si>
  <si>
    <t>Samundri</t>
  </si>
  <si>
    <t>TR27859</t>
  </si>
  <si>
    <t>House Num. C489, near ghosia Azam mosque likhnow house society, korangi karachi Karachi</t>
  </si>
  <si>
    <t>N_F Branded Dri-Fit  T-shirt - M / Navy (x1), NIK- Ref LOGO - M / white (x1), NIK- Ref LOGO - M / black (x1)</t>
  </si>
  <si>
    <t>TR27860</t>
  </si>
  <si>
    <t>Ubaid Ullah</t>
  </si>
  <si>
    <t>Main bazar khwazakhela swat Khwazakhela</t>
  </si>
  <si>
    <t>Khwazakhela</t>
  </si>
  <si>
    <t>TR27861</t>
  </si>
  <si>
    <t>Wasim Malik</t>
  </si>
  <si>
    <t>AWAN HOUSE CB1165 RAJPOOT STREET RANGE ROAD SHALLEY VALLEY Rawalpindi</t>
  </si>
  <si>
    <t>TR27862</t>
  </si>
  <si>
    <t>+923094714471</t>
  </si>
  <si>
    <t>canfirm</t>
  </si>
  <si>
    <t>TR27863</t>
  </si>
  <si>
    <t>Mohala ghosia Ali general store kallar kahar distt chakwal Kallar kahar</t>
  </si>
  <si>
    <t>Kallar kahar</t>
  </si>
  <si>
    <t>cancel ker dein kal chaiya</t>
  </si>
  <si>
    <t>TR27864</t>
  </si>
  <si>
    <t>Lucky building materials ada kamir 120 9L district sahiwal Sahiwal To Arifwala Road Kamir 120 9l District Sahiwal Allow To Open</t>
  </si>
  <si>
    <t>Sahiwal To Arifwala Road Kamir 120 9l District Sahiwal Allow To Open</t>
  </si>
  <si>
    <t>cancel order late tha is liya again order kiya tha but ab receive ho gaya haa</t>
  </si>
  <si>
    <t>TR27865</t>
  </si>
  <si>
    <t>Zeeshan Tauseef</t>
  </si>
  <si>
    <t>Institutional Reforms Cell, no 1048, 1st Floor, Cabinet Division, Islamabad Islamabad</t>
  </si>
  <si>
    <t>mujha koi call nahi ai
 | ↩️ Return Charged: 2026-01-13 | Fee: 200</t>
  </si>
  <si>
    <t>TR27866</t>
  </si>
  <si>
    <t>Sapna bethlani Bethlani</t>
  </si>
  <si>
    <t>Bethlani house near sapna clinic godam road thar bazar umerkot sindh Umer Kot</t>
  </si>
  <si>
    <t>Umer Kot</t>
  </si>
  <si>
    <t>TR27867</t>
  </si>
  <si>
    <t>Hassaan Durrani</t>
  </si>
  <si>
    <t>R127greenparkcityquaidbad karachi Karachi</t>
  </si>
  <si>
    <t>wrong number haa durani ka number nahi haa  laies reply
 | ↩️ Return Charged: 2026-01-13 | Fee: 213</t>
  </si>
  <si>
    <t>TR27868</t>
  </si>
  <si>
    <t>Kamran Mustafa Kamran Mustafa</t>
  </si>
  <si>
    <t>+923255540642</t>
  </si>
  <si>
    <t>Mustafa Builders and Real Estate   Professor Model Town, Main Nasir Bagh Rd, near DHA, Sheikh Abad, Peshawar peshawar</t>
  </si>
  <si>
    <t>TR27869</t>
  </si>
  <si>
    <t>Atif Ali</t>
  </si>
  <si>
    <t>Sindh Hyderabad Qasimabad Main Waduwah Road Alfajr Foods Hyderabad</t>
  </si>
  <si>
    <t>TR27870</t>
  </si>
  <si>
    <t>cancel too late ab cancel kerva dein</t>
  </si>
  <si>
    <t>TR27871</t>
  </si>
  <si>
    <t>Iftikhar Ahmad Adv</t>
  </si>
  <si>
    <t>Stiyna Road Fish Farm Chowk Haji Ali Muhammad Building Awais Medical Store Faisalabad</t>
  </si>
  <si>
    <t>TR27872</t>
  </si>
  <si>
    <t>wasif Amin wasif Amin</t>
  </si>
  <si>
    <t>+923401137521</t>
  </si>
  <si>
    <t>Moh Saeedabad Mansoorwali tahsil wazirabad district Gujranwala  Phone number : 03401137521 ,,,03116708871 wazirabad</t>
  </si>
  <si>
    <t>wazirabad</t>
  </si>
  <si>
    <t>TR27873</t>
  </si>
  <si>
    <t>M shahbaz Shahbaz</t>
  </si>
  <si>
    <t>Nooriyabad Karachi Nooriyabad Karachi</t>
  </si>
  <si>
    <t>Nooriyabad Karachi</t>
  </si>
  <si>
    <t>Cancel order please</t>
  </si>
  <si>
    <t>TR27874</t>
  </si>
  <si>
    <t>Qaisar Hayat</t>
  </si>
  <si>
    <t>Country School near zainab Hospital Shah Jamal Muzaffar Garh Muzzfargarh</t>
  </si>
  <si>
    <t>Muzzfargarh</t>
  </si>
  <si>
    <t>TR27875</t>
  </si>
  <si>
    <t>Haseeb Memon</t>
  </si>
  <si>
    <t>Irfan Tea Plce Wisrio Waha Other</t>
  </si>
  <si>
    <t>TR27876</t>
  </si>
  <si>
    <t>Fayaz Shaikh</t>
  </si>
  <si>
    <t>+923070807954</t>
  </si>
  <si>
    <t>Near Jan Bakers  Station Rd, Mirwah Colony, Khairpur, Pakistan Khairpur</t>
  </si>
  <si>
    <t>TR27877</t>
  </si>
  <si>
    <t>Qaiser Ch</t>
  </si>
  <si>
    <t>+923009250192</t>
  </si>
  <si>
    <t>Hamza Gous  ( near pakistan science academy school ) Sialkot</t>
  </si>
  <si>
    <t>Adi- Hoodie - L / Black (x1), Basic Branded Adi Trouser - L / Black (x1)</t>
  </si>
  <si>
    <t>TR27878</t>
  </si>
  <si>
    <t>ok
 | ↩️ Return Charged: 2026-01-09 | Fee: 313</t>
  </si>
  <si>
    <t>TR27879</t>
  </si>
  <si>
    <t>Malik Hamza Malik Hamza</t>
  </si>
  <si>
    <t>+923139100075</t>
  </si>
  <si>
    <t>Qila Dedar Singh.Muhalla Ghalla Mandi.Gali Masjid Aqsa Wali.opp MCB Bank.Gujranwala Gujranwala</t>
  </si>
  <si>
    <t>TR27880</t>
  </si>
  <si>
    <t>Hassan durrani Durrani</t>
  </si>
  <si>
    <t>Quaid bad malir karachi Karachi</t>
  </si>
  <si>
    <t>cancel wrong number haa durani ka number nahi haa  laies reply</t>
  </si>
  <si>
    <t>TR27881</t>
  </si>
  <si>
    <t>Noman Zaur</t>
  </si>
  <si>
    <t>Zaur House Ward No 05 Near press club Badin Badin</t>
  </si>
  <si>
    <t>Badin</t>
  </si>
  <si>
    <t>LE7523000281</t>
  </si>
  <si>
    <t xml:space="preserve">
 | 💰 COD Rec: 2026-01-01 | Ref: INV-267527 | Amt: 3213</t>
  </si>
  <si>
    <t>TR27882</t>
  </si>
  <si>
    <t>Abdulmueed Sohaib</t>
  </si>
  <si>
    <t>Jagirani muhallah barrage road sukkur house no d516/130 Sukkur sindh</t>
  </si>
  <si>
    <t>Sukkur sindh</t>
  </si>
  <si>
    <t>TR27883</t>
  </si>
  <si>
    <t>Aqib Abbasi</t>
  </si>
  <si>
    <t>Ak Mobile Mart Clifton Block 2 Opp Karachi Brost Karachi</t>
  </si>
  <si>
    <t>TR27884</t>
  </si>
  <si>
    <t>ibrahim khan</t>
  </si>
  <si>
    <t>Bhria town phase 1 fuel up shop rawalpindi Rawalpindi</t>
  </si>
  <si>
    <t>TR27885</t>
  </si>
  <si>
    <t>+923019199680</t>
  </si>
  <si>
    <t>Hafiz Abad Road  per Saqid Road  haa   gali no 2 near saeed furniture house Gujranwala</t>
  </si>
  <si>
    <t>TR27886</t>
  </si>
  <si>
    <t>Umer Waqas</t>
  </si>
  <si>
    <t>afshan colony, kashmir market, street # 17, house # 52B/3 rawalpindi</t>
  </si>
  <si>
    <t>Multi ref PUM-A - 2xl / White (x1), Multi ref PUM-A - 2xl / Black (x1), N_F Branded Dri-Fit  T-shirt - XL / Navy (x1)</t>
  </si>
  <si>
    <t>TR27887</t>
  </si>
  <si>
    <t>Muhammad Usman</t>
  </si>
  <si>
    <t>+923090008844</t>
  </si>
  <si>
    <t>Tehsil Ali pur chattha zila wazirabad  Jamky Chattha Near Wazirabad Wazirabad</t>
  </si>
  <si>
    <t>TR27888</t>
  </si>
  <si>
    <t>Shah Farman</t>
  </si>
  <si>
    <t>94-Block R3, Johar Town, Lahore, Pakistan Lahore</t>
  </si>
  <si>
    <t>A | X Embroidery LOGO - XL / White (x1)</t>
  </si>
  <si>
    <t>TR27889</t>
  </si>
  <si>
    <t>Sheharyar Sheriyar</t>
  </si>
  <si>
    <t>Tanoli mobile shop barhama  jhang bhatr road barhama stop. نزد  pakistan hotel Taxila</t>
  </si>
  <si>
    <t>Taxila</t>
  </si>
  <si>
    <t>TR27890</t>
  </si>
  <si>
    <t>Ahmed Hassan</t>
  </si>
  <si>
    <t>Muhalla shafqat abad streat no 9 Mandi baha ud din</t>
  </si>
  <si>
    <t>Mandi baha ud din</t>
  </si>
  <si>
    <t>TR27891</t>
  </si>
  <si>
    <t>Ahmed mujtaba Bhangar</t>
  </si>
  <si>
    <t>First family line jacobabad Jacobabad</t>
  </si>
  <si>
    <t>TR27892</t>
  </si>
  <si>
    <t>talha qaiser</t>
  </si>
  <si>
    <t>+923214585002</t>
  </si>
  <si>
    <t>H#2 Street Name Sray Mian Essa Ghaziabad Near Govt Islamia Dgree Collge For Boys Lahore Lahore</t>
  </si>
  <si>
    <t>Multi ref PUM-A - XL / White (x1), Multi ref PUM-A - XL / Black (x1), Signature Adi-Trouser - L / Navy (x1)</t>
  </si>
  <si>
    <t>TR27893</t>
  </si>
  <si>
    <t>Sultania Bakers Main Bazar Dhamal Dist.kotli Tehsil Charhoi Azad Kashmir Chorhoi</t>
  </si>
  <si>
    <t>Chorhoi</t>
  </si>
  <si>
    <t>TR27894</t>
  </si>
  <si>
    <t>Syed Zubair Shah</t>
  </si>
  <si>
    <t>4 D 12/1 Aysha Garden Appartments Nazimabad 4 M-3 Karachi</t>
  </si>
  <si>
    <t>Rider aya tha but uskay pass online payment recieve karnay ka method nahi tha.
I didn't had cash.
 | ↩️ Return Charged: 2026-01-13 | Fee: 213</t>
  </si>
  <si>
    <t>TR27895</t>
  </si>
  <si>
    <t>Irfan Khan</t>
  </si>
  <si>
    <t>Salatin Hotel Samungli Road Near Beaconhouse School Arbab Town Quetta Quetta</t>
  </si>
  <si>
    <t xml:space="preserve">
 | ↩️ Return Charged: 2026-01-20 | Fee: 320
 | ↩️ Return Charged: 2026-01-20 | Fee: 320.16</t>
  </si>
  <si>
    <t>TR27896</t>
  </si>
  <si>
    <t>Noman Ali</t>
  </si>
  <si>
    <t>Mean chung near gormet shop lahore Lahore</t>
  </si>
  <si>
    <t>mujha kisi ki koi call nahi ai
 | ↩️ Return Charged: 2026-01-09 | Fee: 120</t>
  </si>
  <si>
    <t>TR27897</t>
  </si>
  <si>
    <t>Majid Hussain Farhat</t>
  </si>
  <si>
    <t>565 Q block model town Lahore Lahore</t>
  </si>
  <si>
    <t>TR27898</t>
  </si>
  <si>
    <t>Abdullah Hashim</t>
  </si>
  <si>
    <t>245 exective block paragon city barki road lahore cantt Lahore</t>
  </si>
  <si>
    <t>TR27899</t>
  </si>
  <si>
    <t>Ali Asghar Asghar</t>
  </si>
  <si>
    <t>Flat C 1301 zam zam tower fatima jinnah road civil lines Karachi</t>
  </si>
  <si>
    <t>(Premium) Popcorn Polo - L / White (x1), ADI - EMBOSSED LOGO (Cotton) - L / Sky (x1)</t>
  </si>
  <si>
    <t>TR27900</t>
  </si>
  <si>
    <t>M Shah</t>
  </si>
  <si>
    <t>Sraye kharbuza Islamabad sarye gawong street 4 Islamabad</t>
  </si>
  <si>
    <t>confirm  not ans
 | ↩️ Return Charged: 2026-01-13 | Fee: 200</t>
  </si>
  <si>
    <t>TR27901</t>
  </si>
  <si>
    <t>TR27902</t>
  </si>
  <si>
    <t>Dr Muhammad Shafique Muhammad</t>
  </si>
  <si>
    <t>Shifa Hospital Gt Road Dina Distt Jhelum Dina</t>
  </si>
  <si>
    <t>Dina</t>
  </si>
  <si>
    <t>LE7523133786</t>
  </si>
  <si>
    <t>confirm tcs ya lcs ker din
 | 💰 COD Rec: 2026-01-01 | Ref: INV-270735 | Amt: 4149</t>
  </si>
  <si>
    <t>INV-270735</t>
  </si>
  <si>
    <t>TR27903</t>
  </si>
  <si>
    <t>New subzi Mandi karachi Karachi</t>
  </si>
  <si>
    <t>#29359---+923408700249 cancel this one</t>
  </si>
  <si>
    <t>TR27904</t>
  </si>
  <si>
    <t>+923408700249</t>
  </si>
  <si>
    <t>LE7523000471</t>
  </si>
  <si>
    <t>confirm
 | 💰 COD Rec: 2026-01-01 | Ref: INV-266133 | Amt: 2589</t>
  </si>
  <si>
    <t>TR27905</t>
  </si>
  <si>
    <t>Zartash Ali Khokhar Zartash Ali Khokhar</t>
  </si>
  <si>
    <t>+923005311640</t>
  </si>
  <si>
    <t>District Rawalpindi tehsil Gujar Khan near City Palace marriage hall gujar khan</t>
  </si>
  <si>
    <t>gujar khan</t>
  </si>
  <si>
    <t>TR27906</t>
  </si>
  <si>
    <t>Zeeshan Siddiqui</t>
  </si>
  <si>
    <t>Express News Building, Plot No 5, Expressway, Off Korangi Road, i Karachi</t>
  </si>
  <si>
    <t>TR27907</t>
  </si>
  <si>
    <t>+923350070808</t>
  </si>
  <si>
    <t>Faysal Bank Cantt Branch Multan</t>
  </si>
  <si>
    <t>29054replacement</t>
  </si>
  <si>
    <t>TR27908</t>
  </si>
  <si>
    <t>Younas Younas</t>
  </si>
  <si>
    <t>+923149103093</t>
  </si>
  <si>
    <t>Pundo road chermen dafter  City peshawar peshawar</t>
  </si>
  <si>
    <t>Embossed NIK-E - M / White (x1), NIK- Ref LOGO - M / white (x1), NIK- Ref LOGO - M / black (x1), ADI Ref Stripes - M / White (x1)</t>
  </si>
  <si>
    <t>TR27909</t>
  </si>
  <si>
    <t>shahbaz ali</t>
  </si>
  <si>
    <t>karachi korangi paf base n3 petrol pump Karachi</t>
  </si>
  <si>
    <t>TR27910</t>
  </si>
  <si>
    <t>Muhammad Wasim Afzal Muhammad Wasim Afzal</t>
  </si>
  <si>
    <t>+923009420392</t>
  </si>
  <si>
    <t>Wasim Azeem Cloth Center,  Anarkali Bzar Dijkot, 03009420392 Dijkot</t>
  </si>
  <si>
    <t>TR27911</t>
  </si>
  <si>
    <t>Mohammad Naseem</t>
  </si>
  <si>
    <t>+923168126909</t>
  </si>
  <si>
    <t>Nawakilli teacher colony no 2 . Quetta Quetta</t>
  </si>
  <si>
    <t>allow to open   mujha koi call nahi ai
 | ↩️ Return Charged: 2026-01-16 | Fee: 227</t>
  </si>
  <si>
    <t>TR27912</t>
  </si>
  <si>
    <t>shop shop</t>
  </si>
  <si>
    <t>+923014405227</t>
  </si>
  <si>
    <t>shop</t>
  </si>
  <si>
    <t>Shop04</t>
  </si>
  <si>
    <t>.
.
shop sa la gaya  haa</t>
  </si>
  <si>
    <t>Imported Scoba Executive Adi Tro - XL / Black (x1)</t>
  </si>
  <si>
    <t>TR27913</t>
  </si>
  <si>
    <t>Fida Hussain</t>
  </si>
  <si>
    <t>New Imran Medical store Near saryab city centre Saryab road custom Quetta Quetta</t>
  </si>
  <si>
    <t>TR27914</t>
  </si>
  <si>
    <t>TR27915</t>
  </si>
  <si>
    <t>Rana Zahid</t>
  </si>
  <si>
    <t>Meezan Bank Limited Legal Department 19-Commercial, Block A, Eden City DHA Phase 8, Lahore Lahore</t>
  </si>
  <si>
    <t>ADI - EMBOSSED LOGO (Cotton) - L / Zinc Blue (x1)</t>
  </si>
  <si>
    <t>TR27916</t>
  </si>
  <si>
    <t>Syed Muhammad Kazim</t>
  </si>
  <si>
    <t>Syed Mehdi Shah House Muhallah Gulshan-e-Ali,Near Harriot Hotel,Hospital road Skardu Baltistan Skardu</t>
  </si>
  <si>
    <t>WRONG ORDER WAS MADED BY CUSTOMER AS SUMMER TROUSER WAS REQUIRED ORDER WAS CANCELLED BY CUSTOMER THROUGH EMAIL ON SAME DATE
 | ↩️ Return Charged: 2026-01-16 | Fee: 213</t>
  </si>
  <si>
    <t>TR27917</t>
  </si>
  <si>
    <t>Asad Bhatti</t>
  </si>
  <si>
    <t>Sultan Street Bahar Colony Kot Lakhpat Road Lhr Lahore</t>
  </si>
  <si>
    <t>Multi ref PUM-A - XL / White (x1), Multi ref PUM-A - XL / Black (x1), Embossed NIK-E - XL / Black (x1), Embossed NIK-E - XL / White (x1)</t>
  </si>
  <si>
    <t>TR27918</t>
  </si>
  <si>
    <t>Muhammad hasnain</t>
  </si>
  <si>
    <t>Pensy Store First Flor Shop # 4 near bahria college Nore 1 Mt Khan Road  Karachi Karachi</t>
  </si>
  <si>
    <t>TR27919</t>
  </si>
  <si>
    <t>Shahbaz ahmed</t>
  </si>
  <si>
    <t>House No B 106 Near Gpo Mohni Bazzar Nawabshah Nawabshah</t>
  </si>
  <si>
    <t>TR27920</t>
  </si>
  <si>
    <t>Muhammad Salman Rashid</t>
  </si>
  <si>
    <t>+923057122227</t>
  </si>
  <si>
    <t>no street Post office sehna dhall arora tehsil kharian district gujraat</t>
  </si>
  <si>
    <t>Post office sehna dhall arora tehsil kharian district gujraat</t>
  </si>
  <si>
    <t>cancel mujha village ma chiya post office ka through</t>
  </si>
  <si>
    <t>TR27921</t>
  </si>
  <si>
    <t>TR27922</t>
  </si>
  <si>
    <t>Danish Abbas</t>
  </si>
  <si>
    <t>Karachi united stadium Plot ST 20, Scheme 5 Block 1 Clifton, Karachi, 75600 Karachi</t>
  </si>
  <si>
    <t>TR27923</t>
  </si>
  <si>
    <t>Ali Khokhar</t>
  </si>
  <si>
    <t>House#p497,wapda Town Phase 2 Multan Multan</t>
  </si>
  <si>
    <t>ADI Multi Ref Stripes - M / Black (x1)</t>
  </si>
  <si>
    <t>TR27924</t>
  </si>
  <si>
    <t>Syed Ibrahim Ali Ali</t>
  </si>
  <si>
    <t>+923335278228</t>
  </si>
  <si>
    <t>Syed Brothers, Mochi Bazar, Shan Chan Chiragh, RawalpindI Rawalpindi</t>
  </si>
  <si>
    <t>(Premium) Cotton lycra RL - M / Black (x1), (Premium) Cotton lycra RL - M / Beige (x1), (Premium) POLO RL - M / grey (x1)</t>
  </si>
  <si>
    <t>TR27925</t>
  </si>
  <si>
    <t>Malik Waseem</t>
  </si>
  <si>
    <t>Aqab noorani masjid baba bahali shah bilal town 5 no stop kahna nau Lahore Lahore</t>
  </si>
  <si>
    <t>Embossed NIK-E - M / Black (x1), Embossed NIK-E - M / White (x1)</t>
  </si>
  <si>
    <t>TR27926</t>
  </si>
  <si>
    <t>Dawood Ahmad</t>
  </si>
  <si>
    <t>Azmat Pharmacy civil hospital BAHAWAL PUR Bahawalpur</t>
  </si>
  <si>
    <t>+92 321 5956889 cancel</t>
  </si>
  <si>
    <t>TR27927</t>
  </si>
  <si>
    <t>Muhammad Imran Khan</t>
  </si>
  <si>
    <t>+923470095963</t>
  </si>
  <si>
    <t>h.no 216, Street 3, Sector H1, Phase 2   town Hayatabad city  Peshawar" Peshawar</t>
  </si>
  <si>
    <t>ok  cancel size issue
 | ↩️ Return Charged: 2026-01-13 | Fee: 227</t>
  </si>
  <si>
    <t>TR27928</t>
  </si>
  <si>
    <t>Najeeb ullah</t>
  </si>
  <si>
    <t>Khada market shah waliullah road ishaq Mehmood manzil 1st Floor Flat No 05 Lyari Karachi south Karachi</t>
  </si>
  <si>
    <t>TR27929</t>
  </si>
  <si>
    <t>Saif Ullah Saif Ullah</t>
  </si>
  <si>
    <t>+923209940037</t>
  </si>
  <si>
    <t>Chak No 37/4L district Okara  OKARA CITY okara</t>
  </si>
  <si>
    <t>okara</t>
  </si>
  <si>
    <t>whatsup
 | ↩️ Return Charged: 2026-01-09 | Fee: 200</t>
  </si>
  <si>
    <t>TR27930</t>
  </si>
  <si>
    <t>Shabir Ahmad Shabir Ahmad</t>
  </si>
  <si>
    <t>+92 336 1960760</t>
  </si>
  <si>
    <t>Charsada tangi  shah zewar market  dokan  number  2 tangi</t>
  </si>
  <si>
    <t>tangi</t>
  </si>
  <si>
    <t>whatsup
 | ↩️ Return Charged: 2026-01-13 | Fee: 213</t>
  </si>
  <si>
    <t>TR27931</t>
  </si>
  <si>
    <t>Adeela Nazeer</t>
  </si>
  <si>
    <t>Housing Colony 1 Street no 3 House no 29 Layyah Layyah</t>
  </si>
  <si>
    <t>TR27932</t>
  </si>
  <si>
    <t>Naeem Ahmed</t>
  </si>
  <si>
    <t>75-a-abu Baqer Block New Garden Town Lahore Lahore</t>
  </si>
  <si>
    <t>TR27933</t>
  </si>
  <si>
    <t>+923325720085</t>
  </si>
  <si>
    <t>LE7523019634</t>
  </si>
  <si>
    <t>parcel is returned for exchange | new order is placed TR29074
 | 💰 COD Rec: 2026-01-01 | Ref: INV-268857 | Amt: 1549</t>
  </si>
  <si>
    <t>INV-268857</t>
  </si>
  <si>
    <t>TR27934</t>
  </si>
  <si>
    <t>Ali Jutt</t>
  </si>
  <si>
    <t>+923178763229</t>
  </si>
  <si>
    <t>Fatima fashion  Gujjar Khan Islam Pura Jaber" Gujar Khan</t>
  </si>
  <si>
    <t>Gujar Khan</t>
  </si>
  <si>
    <t>ok   open to allo w</t>
  </si>
  <si>
    <t>TR27935</t>
  </si>
  <si>
    <t>Faizan Hussain</t>
  </si>
  <si>
    <t>Mohalla Rasool Pura street no.3 near total petrol pump dhq hospital gojra road Jhang</t>
  </si>
  <si>
    <t>ma out of city  hoo
 | ↩️ Return Charged: 2026-01-09 | Fee: 200</t>
  </si>
  <si>
    <t>TR27936</t>
  </si>
  <si>
    <t>House No 408, 2nd Street, D Block , NFC Society, Phase 1 Lahore , Pakistan Lahore</t>
  </si>
  <si>
    <t>Adi Winter Trouser - large / Blue (x1), Imported Scoba Executive Nik Tro - L / Silver Grey (x1)</t>
  </si>
  <si>
    <t>TR27937</t>
  </si>
  <si>
    <t>Noman Bangash Mobiles Shamashad Market Joda Road Golra Railway Station Islamabad Islamabad</t>
  </si>
  <si>
    <t>cancel ker dien no need</t>
  </si>
  <si>
    <t>TR27938</t>
  </si>
  <si>
    <t>State life building 1A, Floor 3rd I.I. Chundrigar Road Karachi</t>
  </si>
  <si>
    <t>TR27939</t>
  </si>
  <si>
    <t>irfan Jani</t>
  </si>
  <si>
    <t>Juria Chock near water supply street Jacobabad</t>
  </si>
  <si>
    <t>NOT ANS CALL
 | ↩️ Return Charged: 2026-01-20 | Fee: 227
 | ↩️ Return Charged: 2026-01-20 | Fee: 226.78</t>
  </si>
  <si>
    <t>TR27940</t>
  </si>
  <si>
    <t>TR27941</t>
  </si>
  <si>
    <t>Gharo thatta Gharo no1 Front of All matlob hotel Gharo</t>
  </si>
  <si>
    <t>Gharo</t>
  </si>
  <si>
    <t xml:space="preserve">
 | ↩️ Return Charged: 2026-01-16 | Fee: 213</t>
  </si>
  <si>
    <t>TR27942</t>
  </si>
  <si>
    <t>Màhær Sanwal</t>
  </si>
  <si>
    <t>+923014726364</t>
  </si>
  <si>
    <t>Baloch terminal near Bail chok layyah Layyah</t>
  </si>
  <si>
    <t>TR27943</t>
  </si>
  <si>
    <t>Saif Ul Islam Saif</t>
  </si>
  <si>
    <t>Jamal Ghalla Merchant, Near Allied Bank Barikot Swat Swat</t>
  </si>
  <si>
    <t>TR27944</t>
  </si>
  <si>
    <t>confirm
 | ↩️ Return Charged: 2026-02-06 | Fee: 227</t>
  </si>
  <si>
    <t>TR27945</t>
  </si>
  <si>
    <t>Muhammad waqas Anwar</t>
  </si>
  <si>
    <t>+923007827856</t>
  </si>
  <si>
    <t>Mian basheer house main bazar near GPO   Tehseel Kror zilla Leyyah Fatehpur</t>
  </si>
  <si>
    <t>Fatehpur</t>
  </si>
  <si>
    <t>ADI Ref Stripes - 3XL / White (x1), ADI Ref Stripes - 3XL / Black (x1)</t>
  </si>
  <si>
    <t>TR27946</t>
  </si>
  <si>
    <t>Ch Ali Raza Ch Ali Raza</t>
  </si>
  <si>
    <t>Fazal Electric Works Shop near Zam Zam Medical Store heveli road ada Bhuman Shah Depalpur</t>
  </si>
  <si>
    <t>TR27947</t>
  </si>
  <si>
    <t>Syed abbas</t>
  </si>
  <si>
    <t>Bandar Road Opposite Abbasi Flauda Ice cream House no 1855/56 larkana Bismillah Hardware, Bander Road, Nawa Tak Mohalla, L Larkana</t>
  </si>
  <si>
    <t>rider aya tha cancel nahi lena
 | ↩️ Return Charged: 2026-01-16 | Fee: 213</t>
  </si>
  <si>
    <t>TR27948</t>
  </si>
  <si>
    <t>Sardar Muhammad Latif Khan</t>
  </si>
  <si>
    <t>House no 448A/B street no 2 Marrir Hassan Rawalpindi Rawalpindi</t>
  </si>
  <si>
    <t>TR27949</t>
  </si>
  <si>
    <t>Jammia Muhammadia Rizvia Firdos Market Gulberg 3 Lahore Lahore</t>
  </si>
  <si>
    <t xml:space="preserve">
 | ↩️ Return Charged: 2026-01-13 | Fee: 107</t>
  </si>
  <si>
    <t>TR27950</t>
  </si>
  <si>
    <t>Ghazanfar Ali</t>
  </si>
  <si>
    <t>+923331914007</t>
  </si>
  <si>
    <t>Khussa House Street no 1 near Ali Nehari Hotel Colony School Gate no 3 Jamia Qadria Bazar Rahim yar khan Rahim Yar Khan</t>
  </si>
  <si>
    <t>ok    mari bhen ki shadi haaa ma avail nahi hoo
 | ↩️ Return Charged: 2026-01-16 | Fee: 220</t>
  </si>
  <si>
    <t>NIK- Ref LOGO - XL / black (x1), Embossed NIK-E - XL / Black (x1), Tipping Crew - XL / Black (x1), ADI Multi Ref Stripes - XL / Black (x1)</t>
  </si>
  <si>
    <t>TR27951</t>
  </si>
  <si>
    <t>Muhammad Usman Usman</t>
  </si>
  <si>
    <t>Muhlla Samad Pura Street No 2 Okara Okara</t>
  </si>
  <si>
    <t>TR27952</t>
  </si>
  <si>
    <t>Muhibwazir Wazir</t>
  </si>
  <si>
    <t>Gpo Tamman Dhok Wazir Talagang</t>
  </si>
  <si>
    <t>LE7523115593</t>
  </si>
  <si>
    <t>lcs / confirm
 | 💰 COD Rec: 2026-01-01 | Ref: INV-270735 | Amt: 1861</t>
  </si>
  <si>
    <t>TR27953</t>
  </si>
  <si>
    <t>Muazzam Umar</t>
  </si>
  <si>
    <t>Nowshera Badrashi Essa Khail Nowshera</t>
  </si>
  <si>
    <t>essa khail
 | ↩️ Return Charged: 2026-01-13 | Fee: 213</t>
  </si>
  <si>
    <t>TR27954</t>
  </si>
  <si>
    <t>Hadiya Vallyani</t>
  </si>
  <si>
    <t>Flat 304 garden east Karachi</t>
  </si>
  <si>
    <t xml:space="preserve">
 | ↩️ Return Charged: 2026-01-20 | Fee: 213
 | ↩️ Return Charged: 2026-01-20 | Fee: 213.44</t>
  </si>
  <si>
    <t>TR27955</t>
  </si>
  <si>
    <t>Mian Hamza</t>
  </si>
  <si>
    <t>Awan Town Street No 3 Near Faizan E Madina Jaranwala</t>
  </si>
  <si>
    <t>TR27956</t>
  </si>
  <si>
    <t>Fiyyaz Sarwar</t>
  </si>
  <si>
    <t>Home number86 eiffle town mandi bhuddin Mandi Bahauddin</t>
  </si>
  <si>
    <t>TR27957</t>
  </si>
  <si>
    <t>M saad M saad</t>
  </si>
  <si>
    <t>+923361236688</t>
  </si>
  <si>
    <t>Peshawar karkhano  market United plaza(B) block shop no #17 yahya electriconics Peshawar</t>
  </si>
  <si>
    <t>from abd</t>
  </si>
  <si>
    <t>TR27958</t>
  </si>
  <si>
    <t>+923222002703</t>
  </si>
  <si>
    <t>Express News Building, Plot No. 5, Express Way, Off. Korangi Road Karachi</t>
  </si>
  <si>
    <t>cancel order late tha is liya again order ker diya tha</t>
  </si>
  <si>
    <t>TR27959</t>
  </si>
  <si>
    <t>29192replacement</t>
  </si>
  <si>
    <t>TR27960</t>
  </si>
  <si>
    <t>SARTAJ Hussain</t>
  </si>
  <si>
    <t>+923069276662</t>
  </si>
  <si>
    <t>Near flour mill kisan colony Gambat</t>
  </si>
  <si>
    <t>Gambat</t>
  </si>
  <si>
    <t>ok
 | ↩️ Return Charged: 2026-01-13 | Fee: 213</t>
  </si>
  <si>
    <t>TR27961</t>
  </si>
  <si>
    <t>Waqas Saqib</t>
  </si>
  <si>
    <t>D11 Sunny Heights, Main Rashid Minhas Road, Gulshan e iqbal block 10-A Karachi</t>
  </si>
  <si>
    <t>TR27962</t>
  </si>
  <si>
    <t>Street No 7 rabani banker hilal road faislabad Faislabad</t>
  </si>
  <si>
    <t>TR27963</t>
  </si>
  <si>
    <t>salman khan</t>
  </si>
  <si>
    <t>+923078064308</t>
  </si>
  <si>
    <t>karachi lee market mer muhammad baloch road near khoja jomat khana karachi</t>
  </si>
  <si>
    <t>TR27964</t>
  </si>
  <si>
    <t>WASIM MALIK</t>
  </si>
  <si>
    <t>RANGE ROAD SHALLEY VALLEY RAWALPINDI</t>
  </si>
  <si>
    <t>RAWALPINDI</t>
  </si>
  <si>
    <t>TR27965</t>
  </si>
  <si>
    <t>+923700916573</t>
  </si>
  <si>
    <t>RANGE ROAD SHALLEY VALLEY Rawalpindi</t>
  </si>
  <si>
    <t>Imported Scoba Executive Nik Tro - XL / Black (x1), Adi- Hoodie - XL / White (x1)</t>
  </si>
  <si>
    <t>TR27966</t>
  </si>
  <si>
    <t>Sardar Nabeel</t>
  </si>
  <si>
    <t>SA BOYS HOSTEL OPPOSITE MCDONALD'S AND ATTOCK PUMP REHMANABAD Rawalpindi</t>
  </si>
  <si>
    <t>return
 | ↩️ Return Charged: 2026-01-16 | Fee: 220</t>
  </si>
  <si>
    <t>TR27967</t>
  </si>
  <si>
    <t>open to allow    not ans return
 | ↩️ Return Charged: 2026-01-13 | Fee: 120</t>
  </si>
  <si>
    <t>TR27968</t>
  </si>
  <si>
    <t>Sadam Hussain khuhawar</t>
  </si>
  <si>
    <t>Street Number 4 House Number 126 Shaikh Mohla Near Tcs Office Nasirabad Sindh Larkana</t>
  </si>
  <si>
    <t>Tipping Crew - L / White (x1), Tipping Crew - M / Black (x1)</t>
  </si>
  <si>
    <t>TR27969</t>
  </si>
  <si>
    <t>Smchs block A umber plaza flat 601 Karachi</t>
  </si>
  <si>
    <t>TR27970</t>
  </si>
  <si>
    <t>Kashif Khan</t>
  </si>
  <si>
    <t>Off # 103 First Floor Crown Tyre Market Maripur Road Karachi Karachi West</t>
  </si>
  <si>
    <t>Karachi West</t>
  </si>
  <si>
    <t>TR27971</t>
  </si>
  <si>
    <t>Block E north Nazimabad karachi Karachi</t>
  </si>
  <si>
    <t>29226replacement</t>
  </si>
  <si>
    <t>TR27972</t>
  </si>
  <si>
    <t>muhammad anas muhammad anas</t>
  </si>
  <si>
    <t>+923452619075</t>
  </si>
  <si>
    <t>: 45-c P.E.C.H.S block 6 shahra e faisal karachi karachi</t>
  </si>
  <si>
    <t>TR27973</t>
  </si>
  <si>
    <t>District Sahiwal Tahsil chichawatni.chak number177.9.L P.O Box175.9.L Near Addha khoi husaain chouk, Punjab,Chichawatni, Chichawatni</t>
  </si>
  <si>
    <t>Chichawatni</t>
  </si>
  <si>
    <t>TR27974</t>
  </si>
  <si>
    <t>DANYAL JAVEED</t>
  </si>
  <si>
    <t>GLOBAL MOBILE SOLUTION BRANCH 3 MAIN BAZAR SARSAWA CHOWK AZAD  KASHMIR Kotli</t>
  </si>
  <si>
    <t>return
 | ↩️ Return Charged: 2026-01-13 | Fee: 227</t>
  </si>
  <si>
    <t>TR27975</t>
  </si>
  <si>
    <t>Ahmed Ali</t>
  </si>
  <si>
    <t>plot 4/2d, Faizan Ali St, Near Nazimabad Club, Nazimabad no 4 Karachi</t>
  </si>
  <si>
    <t>TR27976</t>
  </si>
  <si>
    <t>Muazam Rehman</t>
  </si>
  <si>
    <t>Jalal pur jatta cantt Jalal pur jatta</t>
  </si>
  <si>
    <t>Jalal pur jatta</t>
  </si>
  <si>
    <t>TR27977</t>
  </si>
  <si>
    <t>+923407637800</t>
  </si>
  <si>
    <t>Gujrat jalal pur jattan cantt Jalalpur Jattan</t>
  </si>
  <si>
    <t>TR27978</t>
  </si>
  <si>
    <t>Muhammad Adnan</t>
  </si>
  <si>
    <t>471/a-setlite Town Sargodha</t>
  </si>
  <si>
    <t>TR27979</t>
  </si>
  <si>
    <t>63-1, block A, uet society, Lahore Lahore</t>
  </si>
  <si>
    <t>TR27980</t>
  </si>
  <si>
    <t>Muhammad Ismail</t>
  </si>
  <si>
    <t>Toru sawaryan nazd Zeeshan mega Mart Mardan</t>
  </si>
  <si>
    <t>TR27981</t>
  </si>
  <si>
    <t>Rehman Sheikh</t>
  </si>
  <si>
    <t>+923291987098</t>
  </si>
  <si>
    <t>Gojra city call couirer postex Gojra</t>
  </si>
  <si>
    <t>return
 | ↩️ Return Charged: 2026-01-13 | Fee: 200</t>
  </si>
  <si>
    <t>TR27982</t>
  </si>
  <si>
    <t>Ayub Ali</t>
  </si>
  <si>
    <t>District muzafargrah tehsil jatoi Ali pur road sher sultan dammar wala shumalii Sher sultan</t>
  </si>
  <si>
    <t>Sher sultan</t>
  </si>
  <si>
    <t>TR27983</t>
  </si>
  <si>
    <t>Waleed Gulsher</t>
  </si>
  <si>
    <t>Maqbool cash and carry panjera kotli azad kashmir Panjera</t>
  </si>
  <si>
    <t>Panjera</t>
  </si>
  <si>
    <t>return
 | ↩️ Return Charged: 2026-01-13 | Fee: 213</t>
  </si>
  <si>
    <t>TR27984</t>
  </si>
  <si>
    <t>Wajid Iqbal</t>
  </si>
  <si>
    <t>Office no 22 3rd floor twin city plaza i-8 markaz islamabad Islamabad</t>
  </si>
  <si>
    <t>TR27985</t>
  </si>
  <si>
    <t>Dr Sohail Abid</t>
  </si>
  <si>
    <t>Bushra Hospital Gt Road Muridke Muridke</t>
  </si>
  <si>
    <t>Basic Branded Adi Trouser - L / Black (x1), Adi- Hoodie - L / Black (x1), Adi- Hoodie - L / White (x1)</t>
  </si>
  <si>
    <t>TR27986</t>
  </si>
  <si>
    <t>Usman Sabir</t>
  </si>
  <si>
    <t>+923048534324</t>
  </si>
  <si>
    <t>Depalpur moh essa langa shuja hasa wato ke dery k pas Depalpur</t>
  </si>
  <si>
    <t>TR27987</t>
  </si>
  <si>
    <t>Uzair Badshah</t>
  </si>
  <si>
    <t>+923119007558</t>
  </si>
  <si>
    <t>District malakand  batkhela village amandara Bat Khela</t>
  </si>
  <si>
    <t>Bat Khela</t>
  </si>
  <si>
    <t>TR27988</t>
  </si>
  <si>
    <t>Shafeeq Ahmed</t>
  </si>
  <si>
    <t>Sute No 5/6 Dragon Security Phase2 Extn:main Korangi Road Dha Karachi Karachi</t>
  </si>
  <si>
    <t>TR27989</t>
  </si>
  <si>
    <t>Azeem Ullah</t>
  </si>
  <si>
    <t>H#51, S#22 Akbar Shaheed Colony Kot Lakhpat Lahore Lahore</t>
  </si>
  <si>
    <t>TR27990</t>
  </si>
  <si>
    <t>Babar Mayo</t>
  </si>
  <si>
    <t>Dha phs 6 e block Lahore</t>
  </si>
  <si>
    <t>TR27991</t>
  </si>
  <si>
    <t>Sajjad Rana</t>
  </si>
  <si>
    <t>Sector,c-block,7 flat,16-askri 11 beaen road Lahore Lahore</t>
  </si>
  <si>
    <t>TR27992</t>
  </si>
  <si>
    <t>Saad Sehgal</t>
  </si>
  <si>
    <t>25 C abdul isphani road Faisal town Lahore</t>
  </si>
  <si>
    <t>replacement</t>
  </si>
  <si>
    <t>TR27993</t>
  </si>
  <si>
    <t>Muhammad Mashood</t>
  </si>
  <si>
    <t>Green Life Pharmacy, Mohri Chowk Dinga Road , Kharian Gujrat</t>
  </si>
  <si>
    <t>cancel reason mera friend na order kiya tha call by umair</t>
  </si>
  <si>
    <t>TR27994</t>
  </si>
  <si>
    <t>Nassar Farooq Shah</t>
  </si>
  <si>
    <t>Ap:05, Khudadad Heights, E-11 Islamabad</t>
  </si>
  <si>
    <t>Adi Winter Trouser - M / Black (x1), Basic Branded Adi Trouser - L / Black (x1)</t>
  </si>
  <si>
    <t>TR27995</t>
  </si>
  <si>
    <t>Tallah Iftikhar</t>
  </si>
  <si>
    <t>PoBox Dhab kalan village Dhab khushal opposite Jamia Masjid Ghounsia Dhab khushal Chakwal</t>
  </si>
  <si>
    <t xml:space="preserve">
 | ↩️ Return Charged: 2026-01-16 | Fee: 313</t>
  </si>
  <si>
    <t>TR27996</t>
  </si>
  <si>
    <t>idrees swati</t>
  </si>
  <si>
    <t>Near Main Gul Ahmed Textiles Mill, Gul Ahmed chowrangi Landhi karachi.near usmania masjid asghar murghi shop karachi</t>
  </si>
  <si>
    <t>TR27997</t>
  </si>
  <si>
    <t>Zaheer Abbas Abbas</t>
  </si>
  <si>
    <t>Mohar Wali Mandi Shah Jewana Mandi Shah Jewna</t>
  </si>
  <si>
    <t>Mandi Shah Jewna</t>
  </si>
  <si>
    <t>koi bi courier nhi available booking ka liya</t>
  </si>
  <si>
    <t>TR27998</t>
  </si>
  <si>
    <t>Iqbal qela Iqbal qela</t>
  </si>
  <si>
    <t>+923058885923</t>
  </si>
  <si>
    <t>Nk Muhammad Sadiq PC 22 Sindh Dera Ismail khan address Iqbal qela mob num 03058885923 dera ismail khan</t>
  </si>
  <si>
    <t>dera ismail khan</t>
  </si>
  <si>
    <t>Embossed NIK-E - XL / Black (x1), NIK- Ref LOGO - XL / black (x1), ADI Multi Ref Stripes - XL / White (x1)</t>
  </si>
  <si>
    <t>TR27999</t>
  </si>
  <si>
    <t>Hamza Hamza</t>
  </si>
  <si>
    <t>+923257766908</t>
  </si>
  <si>
    <t>gala madi sangla Hill zela nankana sab Sangla Hills</t>
  </si>
  <si>
    <t>Sangla Hills</t>
  </si>
  <si>
    <t>Wo parsal ni tekh tha  Ma ny is lya wapis Kya ha
 | ↩️ Return Charged: 2026-01-13 | Fee: 200</t>
  </si>
  <si>
    <t>TR28000</t>
  </si>
  <si>
    <t>Muhammad Naseer Muhammad Naseer</t>
  </si>
  <si>
    <t>+923458356126</t>
  </si>
  <si>
    <t>Kalat  street jil rod huda quetta quetta</t>
  </si>
  <si>
    <t>koi rabta nahi kiy a
 | ↩️ Return Charged: 2026-01-27 | Fee: 213.44</t>
  </si>
  <si>
    <t xml:space="preserve">CPR-JDDYU556799 </t>
  </si>
  <si>
    <t>TR28001</t>
  </si>
  <si>
    <t>Ibrar ajiz</t>
  </si>
  <si>
    <t>+923206834982</t>
  </si>
  <si>
    <t>Raja sarosh Dera Muslim colony Haroonabad Haroonabad</t>
  </si>
  <si>
    <t>ok 29120050021001</t>
  </si>
  <si>
    <t>TR28002</t>
  </si>
  <si>
    <t>Mujtaba Hassan</t>
  </si>
  <si>
    <t>Nouse No6, Street No7, Madina Colony, Jinnah Road Gujranwala</t>
  </si>
  <si>
    <t>TR28003</t>
  </si>
  <si>
    <t>Muhammad Sameer Hussain</t>
  </si>
  <si>
    <t>Ground floor, 1-D, 1/10, Near Subhan Clinic, Nazimabad 1 Karachi</t>
  </si>
  <si>
    <t>TR28004</t>
  </si>
  <si>
    <t>Ahsan Iqbal</t>
  </si>
  <si>
    <t>Umair street , Gulshan e wahid 2 , Gagra Villas , Model Town Multan</t>
  </si>
  <si>
    <t>TR28005</t>
  </si>
  <si>
    <t>Danish Imtiaz</t>
  </si>
  <si>
    <t>TCS Office Tando Jan Muhammad Tehsil Digri District Mirpurkhas Sindh Tando Jan muhammad</t>
  </si>
  <si>
    <t>Tando Jan muhammad</t>
  </si>
  <si>
    <t>tcs ok
 | 💰 COD Rec: 2026-01-01 | Ref: INV-270735 | Amt: 5616</t>
  </si>
  <si>
    <t>ADI Multi Ref Stripes - XL / White (x1), ADI Multi Ref Stripes - XL / Black (x1), Adi- Hoodie - XL / Black (x1)</t>
  </si>
  <si>
    <t>TR28006</t>
  </si>
  <si>
    <t>Ajaz Mir</t>
  </si>
  <si>
    <t>+923184526459</t>
  </si>
  <si>
    <t>P E C H S BLOCK 6 Karachi Karachi</t>
  </si>
  <si>
    <t>.cancel this one</t>
  </si>
  <si>
    <t>TR28007</t>
  </si>
  <si>
    <t>Tanveer Hussain Rana</t>
  </si>
  <si>
    <t>House No CPO 8/5, Street No 22, Naval Complex, Sector E-8, Islamabad Islamabad</t>
  </si>
  <si>
    <t xml:space="preserve">
 | ↩️ Return Charged: 2026-01-16 | Fee: 200</t>
  </si>
  <si>
    <t>TR28008</t>
  </si>
  <si>
    <t>FAKE ATEEMPT MADE BY RIDER KINDLY DELIVER THSI PARCEL
 | ↩️ Return Charged: 2026-01-20 | Fee: 227
 | ↩️ Return Charged: 2026-01-20 | Fee: 226.78</t>
  </si>
  <si>
    <t>TR28009</t>
  </si>
  <si>
    <t>+923342103909</t>
  </si>
  <si>
    <t>TR28010</t>
  </si>
  <si>
    <t>Tanzeel Ahmad Moosa</t>
  </si>
  <si>
    <t>+923060493002</t>
  </si>
  <si>
    <t>Fazal Mehmood Furniture House, Near Shezan International Factory, Band Road, lahore Lahore</t>
  </si>
  <si>
    <t>(Premium) Cotton lycra RL - M / pista (x1), (Premium) Popcorn Polo - M / White (x1), A | X Embroidery LOGO - 2XL / Sky (x1), (Premium) POLO RL - M / Blue (x1), (Premium) Cotton lycra RL - 2XL / Black (x1), (Premium) Cotton lycra RL - 2XL / pista (x1), Premium Basic RL - M / copper (x1)</t>
  </si>
  <si>
    <t>TR28011</t>
  </si>
  <si>
    <t>Rana Waqas</t>
  </si>
  <si>
    <t>Hd lace 4 kahmbha markeet Kot addu</t>
  </si>
  <si>
    <t>Kot addu</t>
  </si>
  <si>
    <t>TR28012</t>
  </si>
  <si>
    <t>Waqar Anjum</t>
  </si>
  <si>
    <t>+923445864736</t>
  </si>
  <si>
    <t>Satya Inter College District Camp Khanna Road Khannapul Rawalpindi Rawalpindi</t>
  </si>
  <si>
    <t>replacement received on 29-01-2026
 | 💰 COD Rec: 2026-01-16 | Ref:  CPR-ZFZUE952731  | Amt: 4303.96</t>
  </si>
  <si>
    <t>TR28013</t>
  </si>
  <si>
    <t>Roh Khan</t>
  </si>
  <si>
    <t>Dubi gat jan hostel street no 13 peshawar Peshwar</t>
  </si>
  <si>
    <t>Peshwar</t>
  </si>
  <si>
    <t>TR28014</t>
  </si>
  <si>
    <t>Moosa Skin Clinic.jamiyat Uk Farooq Road. Rahim Yar Khan</t>
  </si>
  <si>
    <t>TR28015</t>
  </si>
  <si>
    <t>Multan Multan</t>
  </si>
  <si>
    <t>incomplete address
 Multan Multan, Multan
🔗 https://www.google.com/maps/search/?api=1&amp;query=30.1863557,71.4885808</t>
  </si>
  <si>
    <t>TR28016</t>
  </si>
  <si>
    <t>Major Rana Jonaid Rashid</t>
  </si>
  <si>
    <t>House No 418, Phase 2, DOHS, Rahwali Cantt Gujranwala</t>
  </si>
  <si>
    <t>Adi- Hoodie - XL / Black (x1), Basic Branded Adi Trouser - XL / Black (x1), Adi- Hoodie - XL / Black (x1), Adi- Hoodie - XL / White (x1)</t>
  </si>
  <si>
    <t>TR28017</t>
  </si>
  <si>
    <t>Syed Abdul abdul Wahid</t>
  </si>
  <si>
    <t>Ikram Heights Second Floor Gulshan E Khudadad Colony E11 Islamabad</t>
  </si>
  <si>
    <t>TR28018</t>
  </si>
  <si>
    <t>Ehtisham Ali</t>
  </si>
  <si>
    <t>+923450507868</t>
  </si>
  <si>
    <t>Menu Outlet Near Old Butt Adda Kotli Ajk Kotli Azad Kashmir</t>
  </si>
  <si>
    <t>Kotli Azad Kashmir</t>
  </si>
  <si>
    <t xml:space="preserve">
 | 💰 COD Rec: 2026-02-03 | Ref: CPR-ZZCET490688 | Amt: 3213</t>
  </si>
  <si>
    <t>CPR-ZZCET490688</t>
  </si>
  <si>
    <t>TR28019</t>
  </si>
  <si>
    <t>FerozPur Road Malmo Bakery Shama Stop Lhr</t>
  </si>
  <si>
    <t>Adi- Hoodie - L / Black (x1), Adi- Hoodie - L / White (x1), Adi Winter Trouser - large / Black (x1)</t>
  </si>
  <si>
    <t>TR28020</t>
  </si>
  <si>
    <t>+923224433118</t>
  </si>
  <si>
    <t>combine cancle</t>
  </si>
  <si>
    <t>TR28021</t>
  </si>
  <si>
    <t>Muhammad Yousif</t>
  </si>
  <si>
    <t>Scientific English Medium School Sehwan Sehwan sharif</t>
  </si>
  <si>
    <t>Sehwan sharif</t>
  </si>
  <si>
    <t>TR28022</t>
  </si>
  <si>
    <t>Hamza Javed</t>
  </si>
  <si>
    <t>+923043190473</t>
  </si>
  <si>
    <t>Post office malukpur distic and tehsil Narowal Talwandi Bhindarn</t>
  </si>
  <si>
    <t>Talwandi Bhindarn</t>
  </si>
  <si>
    <t>not ans
 Post office malukpur distic and tehsil Narowal Talwandi Bhindarn, Talwandi Bhindarn
🔗 https://www.google.com/maps/search/?api=1&amp;query=32.095561,74.8845849</t>
  </si>
  <si>
    <t>TR28023</t>
  </si>
  <si>
    <t>Ahmed Khan</t>
  </si>
  <si>
    <t>Gulshan e maymar sector w1 house no c11 Karachi</t>
  </si>
  <si>
    <t>MA OUT OF CITY HU
 | ↩️ Return Charged: 2026-01-16 | Fee: 227</t>
  </si>
  <si>
    <t>TR28024</t>
  </si>
  <si>
    <t>Yaseen Malik</t>
  </si>
  <si>
    <t>Executive Club, Sagheer Market, St#40, F-10/4 Islamabad</t>
  </si>
  <si>
    <t>TR28025</t>
  </si>
  <si>
    <t>Zaib Hassan</t>
  </si>
  <si>
    <t>River hills plaza tower 3, 4th floor apartment D4-6F bahria town phase 7 Rawalpindi</t>
  </si>
  <si>
    <t>TR28026</t>
  </si>
  <si>
    <t>Safeer Ahmed</t>
  </si>
  <si>
    <t>PPIB, Ground Floor, Emigration Tower, G-8/1, Maouve Area, Islamabad Islamabad</t>
  </si>
  <si>
    <t>Basic Branded Adi Trouser - M / Black (x1), Embossed NIK-E - L / Black (x1), Embossed NIK-E - L / White (x1)</t>
  </si>
  <si>
    <t>TR28027</t>
  </si>
  <si>
    <t>Muhammad Awais Aziz</t>
  </si>
  <si>
    <t>House No 62-C Block C Abdalians Cooperative Housing Society Johar Town Lahore</t>
  </si>
  <si>
    <t>TR28028</t>
  </si>
  <si>
    <t>Muhammad Nauman</t>
  </si>
  <si>
    <t>Ryan Nauman Rice Mill Qila Amir Singh Sheikhupura Sheikhupura</t>
  </si>
  <si>
    <t>mujha koi call nahi ai</t>
  </si>
  <si>
    <t>ADI Multi Ref Stripes - L / White (x1), ADI Multi Ref Stripes - L / Black (x1), Imported Scoba Executive Nik Tro - L / Black (x1)</t>
  </si>
  <si>
    <t>TR28029</t>
  </si>
  <si>
    <t>Haris Burni</t>
  </si>
  <si>
    <t>1st floor R 1376 GOLD BLOCK NORTH TOWN RESIDRNCY PHASE 1 NORTH KARACHI Karachi</t>
  </si>
  <si>
    <t>TR28030</t>
  </si>
  <si>
    <t>Percel open permision required before payment R 1376 GOLD BLOCK NORTH TOWN RESIDRNCY PHASE 1 NORTH KARACHI Karachi</t>
  </si>
  <si>
    <t>ADI Multi Ref Stripes - 3XL / White (x1), ADI Multi Ref Stripes - 3XL / Black (x1), NIK- Ref LOGO - 3XL / white (x1), NIK- Ref LOGO - 3XL / black (x1)</t>
  </si>
  <si>
    <t>TR28031</t>
  </si>
  <si>
    <t>Abdul Rehman Liaqat</t>
  </si>
  <si>
    <t>OFFICE OF ASSISTANT CHIEF WILDLIFE RANGER MUZAFFARGARH IN DISTRICT COUNCIL MUZAFFARGARH Muzaffargarh</t>
  </si>
  <si>
    <t>TR28032</t>
  </si>
  <si>
    <t>Amjad Ali</t>
  </si>
  <si>
    <t>Office of the District public prosecutor kohat near passport office KDA kohat Kohat</t>
  </si>
  <si>
    <t>TR28033</t>
  </si>
  <si>
    <t>murad muhammad imran</t>
  </si>
  <si>
    <t>+923057111444</t>
  </si>
  <si>
    <t>New Satellite Town, 50-Foot Road, Block X Sargodha</t>
  </si>
  <si>
    <t>TR28034</t>
  </si>
  <si>
    <t>Exchange@shop29499</t>
  </si>
  <si>
    <t>umair exchnage at shop 29311</t>
  </si>
  <si>
    <t>Basic Branded Adi Trouser - L / Black (x1), Adi- Hoodie - L / Black (x1), custom item (x1)</t>
  </si>
  <si>
    <t>MUAZ</t>
  </si>
  <si>
    <t>TR28035</t>
  </si>
  <si>
    <t>TR28036</t>
  </si>
  <si>
    <t>ashfaq ahmed</t>
  </si>
  <si>
    <t>H-no 29 street 9, near dolphin bakery , A-one city phase 1, brewery road Quetta</t>
  </si>
  <si>
    <t>TR28037</t>
  </si>
  <si>
    <t>LE7523115594</t>
  </si>
  <si>
    <t>leopard / tcs
 | 💰 COD Rec: 2026-01-01 | Ref: INV-268857 | Amt: 4149</t>
  </si>
  <si>
    <t>TR28038</t>
  </si>
  <si>
    <t>28717exchange
 | 💰 COD Rec: 2026-01-06 | Ref: CPR-PFN20465030 | Amt: 249</t>
  </si>
  <si>
    <t>TR28039</t>
  </si>
  <si>
    <t>Furqan Khan</t>
  </si>
  <si>
    <t>393-sector 33 A Korangi No 2 House No Q Karrchi</t>
  </si>
  <si>
    <t>Karrchi</t>
  </si>
  <si>
    <t>ADI Multi Ref Stripes - L / Navy Blue (x1)</t>
  </si>
  <si>
    <t>TR28040</t>
  </si>
  <si>
    <t>Ahmad Saith</t>
  </si>
  <si>
    <t>Muhala shesh muhal gujjarawala road sheikhupura Sheikhupura</t>
  </si>
  <si>
    <t>Imported Scoba Executive Nik Tro - L / Silver Grey (x1), Imported Scoba Executive Nik Tro - L / Gray (x1), Imported Scoba Executive Nik Tro - L / Black (x1)</t>
  </si>
  <si>
    <t>TR28041</t>
  </si>
  <si>
    <t>29368exchnage</t>
  </si>
  <si>
    <t>Nik panel Tracksuit - L / Black (x1)</t>
  </si>
  <si>
    <t>TR28042</t>
  </si>
  <si>
    <t>murtaza kamal</t>
  </si>
  <si>
    <t>District malakand dargai bazar near sabzi mandi jamigh masjid Malakand Dargai</t>
  </si>
  <si>
    <t>Malakand Dargai</t>
  </si>
  <si>
    <t>TR28043</t>
  </si>
  <si>
    <t>Muhammad Naveed Gull</t>
  </si>
  <si>
    <t>F-8/2 street 24, house 24. Islamabad Islamabad</t>
  </si>
  <si>
    <t>Adi- Hoodie - L / Black (x1), Basic Branded Adi Trouser - M / Black (x1)</t>
  </si>
  <si>
    <t>TR28044</t>
  </si>
  <si>
    <t>Marzieh Abbas</t>
  </si>
  <si>
    <t>D216 KDA Scheme 1/A ext Karachi</t>
  </si>
  <si>
    <t xml:space="preserve">
 | 💰 COD Rec: 2026-01-16 | Ref:  CPR-ZFZUE952731  | Amt: 2797</t>
  </si>
  <si>
    <t>ADI-3strips Full TrackSuit - M / Navy (x1)</t>
  </si>
  <si>
    <t>TR28045</t>
  </si>
  <si>
    <t>+923485504662</t>
  </si>
  <si>
    <t>Near Refreshment center, commercial market, block B , satellite town Rawalpindi. Rawalpindi</t>
  </si>
  <si>
    <t xml:space="preserve">
 | 💰 COD Rec: 2026-01-20 | Ref: CPR-PET00266528 | Amt: 3213</t>
  </si>
  <si>
    <t>TR28046</t>
  </si>
  <si>
    <t>Hamza Hussain</t>
  </si>
  <si>
    <t>Qaiser Filling Station Near Niazi Chowk Khanewal Khanewal</t>
  </si>
  <si>
    <t>Adi- Hoodie - XL / Black (x1), Basic Branded Adi Trouser - XL / Black (x1)</t>
  </si>
  <si>
    <t>TR28047</t>
  </si>
  <si>
    <t>Num 3-haseeb Town House Num30 Street Bahawalpur</t>
  </si>
  <si>
    <t>stuff acha nahi tha
 | ↩️ Return Charged: 2026-01-13 | Fee: 220</t>
  </si>
  <si>
    <t>TR28048</t>
  </si>
  <si>
    <t>Imran Bao</t>
  </si>
  <si>
    <t>Hafiz jammal road Multan Multan</t>
  </si>
  <si>
    <t>cancel black polo chaiya</t>
  </si>
  <si>
    <t>TR28049</t>
  </si>
  <si>
    <t>TR28050</t>
  </si>
  <si>
    <t>Hurairah Zakir</t>
  </si>
  <si>
    <t>CVI 525 upper gizri clifton karachi near saeed hotal Karachi</t>
  </si>
  <si>
    <t>Basic RL Crew- Cotton - M / Olive (x1), Basic RL Crew- Cotton - M / Turkish blue (x1), Tipping Crew - M / Black (x1), Tipping Crew - M / White (x1)</t>
  </si>
  <si>
    <t>TR28051</t>
  </si>
  <si>
    <t>Muhammad Waqas anwar</t>
  </si>
  <si>
    <t>29406exchnage</t>
  </si>
  <si>
    <t>TR28052</t>
  </si>
  <si>
    <t>Usman zafar alvi</t>
  </si>
  <si>
    <t>+923008486284</t>
  </si>
  <si>
    <t>House 89B1Alvi house pattoki kasur Pattoki</t>
  </si>
  <si>
    <t>confirmed order hai   na koi call ai no koi rider
 | ↩️ Return Charged: 2026-01-20 | Fee: 220
 | ↩️ Return Charged: 2026-01-20 | Fee: 220.11</t>
  </si>
  <si>
    <t>TR28053</t>
  </si>
  <si>
    <t>Neka Pura riaz tea stall Sialkot</t>
  </si>
  <si>
    <t>A | X Embroidery LOGO - XL / Navy (x1)</t>
  </si>
  <si>
    <t>TR28054</t>
  </si>
  <si>
    <t>Arshad Anwar</t>
  </si>
  <si>
    <t>House 6 street 5 Aziz park khyam chowk Sargodha</t>
  </si>
  <si>
    <t>TR28055</t>
  </si>
  <si>
    <t>Imran Imran</t>
  </si>
  <si>
    <t>+923112124888</t>
  </si>
  <si>
    <t>Imran mobile near khalil palaza satar Rd Qta Quetta</t>
  </si>
  <si>
    <t>.,,,cancel to expensive</t>
  </si>
  <si>
    <t>TR28056</t>
  </si>
  <si>
    <t>Ilyas Baloch</t>
  </si>
  <si>
    <t>Plot No A105 flat no C1 near Royal Icon Tower Block 13D/Gulshan Iqbal Karachi</t>
  </si>
  <si>
    <t>TR28057</t>
  </si>
  <si>
    <t>Mian javed iqbaL Advocate</t>
  </si>
  <si>
    <t>Office No 5 Near Post Office Session Court Lahore Lahore</t>
  </si>
  <si>
    <t>TR28058</t>
  </si>
  <si>
    <t>Kamran U udin</t>
  </si>
  <si>
    <t>+923130888233</t>
  </si>
  <si>
    <t>near Masjid Al Habib     Ahmedzai Colony Quetta, Pakistan Quetta</t>
  </si>
  <si>
    <t>CPR-R4IZV745179</t>
  </si>
  <si>
    <t>TR28059</t>
  </si>
  <si>
    <t>Shan E rabbi</t>
  </si>
  <si>
    <t>569-waris Road Billu Motors Lahore</t>
  </si>
  <si>
    <t>TR28060</t>
  </si>
  <si>
    <t>musaddiq naeem</t>
  </si>
  <si>
    <t>Gulshan e shamim near shamim garden plot no ar124 Karachi</t>
  </si>
  <si>
    <t>TR28061</t>
  </si>
  <si>
    <t>Muhammad USMAN</t>
  </si>
  <si>
    <t>House no 667/668 bank road Dawn bread Near saggiyan bridge adjusted Islam Pura police station bund road lahore Lahore</t>
  </si>
  <si>
    <t>mana order nahi kiya mujha yad nahi
 | ↩️ Return Charged: 2026-01-13 | Fee: 107</t>
  </si>
  <si>
    <t>TR28062</t>
  </si>
  <si>
    <t>Badshah Irfan Rajput</t>
  </si>
  <si>
    <t>+923411228760</t>
  </si>
  <si>
    <t>Kinetex Institute Near 5 No Naka Daharki District Ghotki Sindh Pakistan Sukkur</t>
  </si>
  <si>
    <t>open to allow    Your shirts' quality was not upto right
 | ↩️ Return Charged: 23-Jan-2026 | Ref: CPR-ASUBQ198273 | Fee: 227</t>
  </si>
  <si>
    <t>TR28063</t>
  </si>
  <si>
    <t>Sunniullahmumtaz Sunny loona</t>
  </si>
  <si>
    <t>+923231708304</t>
  </si>
  <si>
    <t>Fast university fsd campus   gate no 1 chiniot Chiniot</t>
  </si>
  <si>
    <t>TR28064</t>
  </si>
  <si>
    <t>Afzal Afzal</t>
  </si>
  <si>
    <t>House No 193 Lake City Lahore Lahore</t>
  </si>
  <si>
    <t>TR28065</t>
  </si>
  <si>
    <t>Hamza Molai Molai</t>
  </si>
  <si>
    <t>House No-7 Street-15 Kh e Farooq Amanat Shaeed Phase-7 Ext DHA Karachi</t>
  </si>
  <si>
    <t>TR28066</t>
  </si>
  <si>
    <t>Cadet Noor Muhammad Khoso</t>
  </si>
  <si>
    <t>+923428967035</t>
  </si>
  <si>
    <t>Tcs Office Kashmore Sindh Kashmore</t>
  </si>
  <si>
    <t>Black large
White Medium 
---
Delivery charges advance a gaye muaz easy paisa acc mein
 | 💰 COD Rec: 2026-01-01 | Ref: INV-268857 | Amt: 2611</t>
  </si>
  <si>
    <t>Tipping Crew - L / Black (x1), Tipping Crew - M / White (x1)</t>
  </si>
  <si>
    <t>TR28067</t>
  </si>
  <si>
    <t>Musab Faraz</t>
  </si>
  <si>
    <t>A2 Mayamar square FL 8/14 gulshan e iqbal block 14 Karachi</t>
  </si>
  <si>
    <t>TR28068</t>
  </si>
  <si>
    <t>Shahid Ali Shahid Ali</t>
  </si>
  <si>
    <t>Sajjad Irani Gift Center Mirpurkhas Mirpurkhas</t>
  </si>
  <si>
    <t>TR28069</t>
  </si>
  <si>
    <t>Dr Dilshad Dilshad</t>
  </si>
  <si>
    <t>Badian road hair lahore Lahore</t>
  </si>
  <si>
    <t>TR28070</t>
  </si>
  <si>
    <t>Ijaz Rehman</t>
  </si>
  <si>
    <t>Ho no 8x  street no 1 x block tariq bin ziad colony Sahiwal</t>
  </si>
  <si>
    <t>MA out of city tha rider ay tha ab ma in city hu again attempt krwa dy
 | ↩️ Return Charged: 2026-01-16 | Fee: 220</t>
  </si>
  <si>
    <t>TR28071</t>
  </si>
  <si>
    <t>Malik Amir</t>
  </si>
  <si>
    <t>Plot 188 J3 block johar town Lahore Lahore</t>
  </si>
  <si>
    <t>TR28072</t>
  </si>
  <si>
    <t>main gate Hazara university, mansehra Mansehra</t>
  </si>
  <si>
    <t>Wait nahi kia us nai
 | ↩️ Return Charged: 2026-01-20 | Fee: 213
 | ↩️ Return Charged: 2026-01-20 | Fee: 213.44</t>
  </si>
  <si>
    <t>TR28073</t>
  </si>
  <si>
    <t xml:space="preserve">cancel 
got delivered </t>
  </si>
  <si>
    <t>TR28074</t>
  </si>
  <si>
    <t>Eraf Ahmad</t>
  </si>
  <si>
    <t>Plaza 64 fairways commercial defence raya phase 6 Lahore</t>
  </si>
  <si>
    <t>TR28075</t>
  </si>
  <si>
    <t>Saif Asad hardware store</t>
  </si>
  <si>
    <t>New goth shaikpur road Hari Masjid Sukkur</t>
  </si>
  <si>
    <t>TR28076</t>
  </si>
  <si>
    <t>Family hospital mochiwala road gojra Gojra</t>
  </si>
  <si>
    <t>TR28077</t>
  </si>
  <si>
    <t>Muhammad Idrees</t>
  </si>
  <si>
    <t>Sadiqabad Service road pindi Pindi</t>
  </si>
  <si>
    <t>Pindi</t>
  </si>
  <si>
    <t>cancel previous order late tha is liya again order kiya tha</t>
  </si>
  <si>
    <t>TR28078</t>
  </si>
  <si>
    <t>Zahid Ali</t>
  </si>
  <si>
    <t>House No A20, Pak Tamir Plaza, Block 14, Gulshan-e Iqbal Karachi</t>
  </si>
  <si>
    <t>TR28079</t>
  </si>
  <si>
    <t>Muhammad Hasnain</t>
  </si>
  <si>
    <t>House No 92B Muhafiz Town Sargodha</t>
  </si>
  <si>
    <t>TR28080</t>
  </si>
  <si>
    <t>mehran ali</t>
  </si>
  <si>
    <t>Bank stop Gulshan yaseen colony Lahore</t>
  </si>
  <si>
    <t>TR28081</t>
  </si>
  <si>
    <t>nouman azhar</t>
  </si>
  <si>
    <t>teshil kharian district gujarat kotla arab ali khan postoffice karali Kotla Arab Ali Khan</t>
  </si>
  <si>
    <t>ok  tcs +33 7 53 76 89 83</t>
  </si>
  <si>
    <t>Basic Branded Adi Trouser - L / Black (x1), Nik panel Tracksuit - L / Black (x1), NIK- Ref LOGO - L / black (x1)</t>
  </si>
  <si>
    <t>TR28082</t>
  </si>
  <si>
    <t>Shairbaz Kakar</t>
  </si>
  <si>
    <t>Wasi Market TCS office Killa Saifullah</t>
  </si>
  <si>
    <t>Killa Saifullah</t>
  </si>
  <si>
    <t>tcs
 | 💰 COD Rec: 2026-01-01 | Ref: INV-270735 | Amt: 2069</t>
  </si>
  <si>
    <t>(Premium) Popcorn Polo - M / Biscuit (x1)</t>
  </si>
  <si>
    <t>TR28083</t>
  </si>
  <si>
    <t>Hassan Baloch</t>
  </si>
  <si>
    <t>Elite headquarter Chiniot police line Chiniot</t>
  </si>
  <si>
    <t>number busy
 | ↩️ Return Charged: 2026-01-16 | Fee: 220</t>
  </si>
  <si>
    <t>TR28084</t>
  </si>
  <si>
    <t>Umair Patel Patel</t>
  </si>
  <si>
    <t>Plot E 25, JCHS, Block 7/8, Tipu Sultan Road, Karachi</t>
  </si>
  <si>
    <t>not ans
 | ↩️ Return Charged: 23-Jan-2026 | Ref: CPR-ASUBQ198273 | Fee: 213</t>
  </si>
  <si>
    <t>TR28085</t>
  </si>
  <si>
    <t>Yasir Khan</t>
  </si>
  <si>
    <t>Mirali Mussaki ada</t>
  </si>
  <si>
    <t>Mussaki ada</t>
  </si>
  <si>
    <t>TR28086</t>
  </si>
  <si>
    <t>Muhammad osama kaim khani Qaimkhani</t>
  </si>
  <si>
    <t>House # 612 Ward C Khatri Para Tandoallahyar Tandoallayar</t>
  </si>
  <si>
    <t>Tandoallayar</t>
  </si>
  <si>
    <t>TR28087</t>
  </si>
  <si>
    <t>Zulqarnain Fateh</t>
  </si>
  <si>
    <t>Officer colony phase 5 house A186 Wah cantt</t>
  </si>
  <si>
    <t>Basic Branded Adi Trouser - L / Black (x1)</t>
  </si>
  <si>
    <t>TR28088</t>
  </si>
  <si>
    <t>Sulman 56</t>
  </si>
  <si>
    <t>BALANCED
whatsup</t>
  </si>
  <si>
    <t>TR28089</t>
  </si>
  <si>
    <t>malik farhan malik farhan</t>
  </si>
  <si>
    <t>+923125727267</t>
  </si>
  <si>
    <t>Iftikhar shoping mall   shoukat acrade near fawara chowk attock city attock</t>
  </si>
  <si>
    <t>attock</t>
  </si>
  <si>
    <t>Embossed NIK-E - M / Black (x1), ADI Ref Stripes - M / Black (x1)</t>
  </si>
  <si>
    <t>TR28090</t>
  </si>
  <si>
    <t>Kashmore Dera more  post office Dera more chook Kashmore</t>
  </si>
  <si>
    <t>LE7523115595</t>
  </si>
  <si>
    <t>ok/ lcs</t>
  </si>
  <si>
    <t>TR28091</t>
  </si>
  <si>
    <t>Hassan Khurshid</t>
  </si>
  <si>
    <t>+923329104386</t>
  </si>
  <si>
    <t>United bank LTD gondal sialkot Sialkot</t>
  </si>
  <si>
    <t>tcs
 | 💰 COD Rec: 2026-01-01 | Ref: INV-268857 | Amt: 7050</t>
  </si>
  <si>
    <t>ADI Multi Ref Stripes - XL / Navy Blue (x1), Multi ref PUM-A - XL / White (x1), Multi ref PUM-A - XL / Black (x1)</t>
  </si>
  <si>
    <t>TR28092</t>
  </si>
  <si>
    <t>Wahab Saeed</t>
  </si>
  <si>
    <t>Bahria phase 8 Rawalpindi street 45 house 553 umer block phase 8 Rawalpindi</t>
  </si>
  <si>
    <t>TEXTURE WHITE - 15.5 (x1)</t>
  </si>
  <si>
    <t>TR28093</t>
  </si>
  <si>
    <t>Muhammad Danish</t>
  </si>
  <si>
    <t>+923280301237</t>
  </si>
  <si>
    <t>Hayatabad Street #13 Chichawatni</t>
  </si>
  <si>
    <t>ADI - TriStrip-Tracksuit Winter - XL / Gray (x1), Multi ref PUM-A - XL / White (x1), Multi ref PUM-A - XL / Black (x1), Adi- Hoodie - XL / Black (x1), Adi- Hoodie - XL / White (x1)</t>
  </si>
  <si>
    <t>TR28094</t>
  </si>
  <si>
    <t>Mohammad Yar Magsi</t>
  </si>
  <si>
    <t>+923337507702</t>
  </si>
  <si>
    <t>xen house irrigation colony khan pur road usta Muhammad usta Muhammad</t>
  </si>
  <si>
    <t>usta Muhammad</t>
  </si>
  <si>
    <t>NIK- Ref LOGO - M / white (x1), NIK- Ref LOGO - M / black (x1), ADI Multi Ref Stripes - M / White (x1), ADI Multi Ref Stripes - M / Black (x1)</t>
  </si>
  <si>
    <t>TR28095</t>
  </si>
  <si>
    <t>Doctor Najma Ghaffar Hospital Patel Road Quetta Balochistan Quetta</t>
  </si>
  <si>
    <t>TR28096</t>
  </si>
  <si>
    <t>Arslan Islam</t>
  </si>
  <si>
    <t>+923167820397</t>
  </si>
  <si>
    <t>Badar colony street no 1, Tehsil Pattoki District kasur Pattoki</t>
  </si>
  <si>
    <t>open to allo w  ma out of station hoo kal receive ker lo ga
 | 💰 COD Rec: 2026-01-13 | Ref: CPR-9DM8S625709 | Amt: 2963</t>
  </si>
  <si>
    <t>TR28097</t>
  </si>
  <si>
    <t>Waheed Jadoon</t>
  </si>
  <si>
    <t>Sher-e-Bangla A K Fazlul Huq Road, Islamabad Islamabad</t>
  </si>
  <si>
    <t>TR28098</t>
  </si>
  <si>
    <t>Touseef Ahmad</t>
  </si>
  <si>
    <t>+923325162539</t>
  </si>
  <si>
    <t>Shell filling station , Mulhal Mughlan, District  CHAKWAL Chakwal</t>
  </si>
  <si>
    <t>TR28099</t>
  </si>
  <si>
    <t>Ahmed Ahmed</t>
  </si>
  <si>
    <t>+923033866756</t>
  </si>
  <si>
    <t>Ahmed kiryana store    Near Abul wah Khuhra city Khuhra talka Gambat district KhairpurMirs Sindh Pakistan khuhra</t>
  </si>
  <si>
    <t>khuhra</t>
  </si>
  <si>
    <t>ADI Ref Stripes - 4XL / Black (x1)</t>
  </si>
  <si>
    <t>TR28100</t>
  </si>
  <si>
    <t>Faraz Madni</t>
  </si>
  <si>
    <t>Plot 13 C Flat 301 3rd Floor 3rd Street Khalid Commercial Phase 7 EXT DHA Karachi Karachi</t>
  </si>
  <si>
    <t>TR28101</t>
  </si>
  <si>
    <t>Sami Zayn</t>
  </si>
  <si>
    <t>+923232052649</t>
  </si>
  <si>
    <t>Karachi Abdullah goth Sha Sha rukh hotal Karachi</t>
  </si>
  <si>
    <t>ok +92 334 9918850    koi rabta nahi kiya
 | ↩️ Return Charged: 2026-01-20 | Fee: 227
 | ↩️ Return Charged: 2026-01-20 | Fee: 226.78</t>
  </si>
  <si>
    <t>TR28102</t>
  </si>
  <si>
    <t>Manan Butt</t>
  </si>
  <si>
    <t>Alsehat hospital ada 42000 near lashari petrol pump Chak no 110 Dnb yazman road t Ahmad pur east</t>
  </si>
  <si>
    <t>Ahmad pur east</t>
  </si>
  <si>
    <t>LE7523115596</t>
  </si>
  <si>
    <t>TR28103</t>
  </si>
  <si>
    <t>Mohsin Saleem</t>
  </si>
  <si>
    <t>F 64 Block F North nazimabad Karachi</t>
  </si>
  <si>
    <t>TR28104</t>
  </si>
  <si>
    <t>+923286351544</t>
  </si>
  <si>
    <t>Dubai Chowk street 4 cb 65 Bahawalpur</t>
  </si>
  <si>
    <t>FAKE ATTEMPTE HAI RETTEMPT KRNA HAI</t>
  </si>
  <si>
    <t>TR28105</t>
  </si>
  <si>
    <t>Muhammad Ayaz Khan</t>
  </si>
  <si>
    <t>Ring road Pishtkhara Chowk Madina CNG Peshawar</t>
  </si>
  <si>
    <t>TR28106</t>
  </si>
  <si>
    <t>Saqib Mehmood</t>
  </si>
  <si>
    <t>Dhaku Road Niazi Chowk Moh Feroz Abad Chakwal Chakwal</t>
  </si>
  <si>
    <t>TR28107</t>
  </si>
  <si>
    <t>Abdul Basit</t>
  </si>
  <si>
    <t>Mehrab Khan essa Khan road street no 18 Nawalane Lyari Karachi Karachi</t>
  </si>
  <si>
    <t>TR28108</t>
  </si>
  <si>
    <t>Meer Sahab</t>
  </si>
  <si>
    <t>3rd folor polt no B69 stret 6 Bolck H near UBL bank  hyderi market northnazimabad Karachi</t>
  </si>
  <si>
    <t>TR28109</t>
  </si>
  <si>
    <t>Shahroz Shoukat</t>
  </si>
  <si>
    <t>House #21-c, ST #2, Madina Block, Hassan Town, Multan Road Lahore</t>
  </si>
  <si>
    <t>TR28110</t>
  </si>
  <si>
    <t>Osama Inam</t>
  </si>
  <si>
    <t>House 87, cornice avenue, bahria town phase 1, rawalpindi Rawalpindi</t>
  </si>
  <si>
    <t>Basic Branded Adi Trouser - L / Black (x1), Nik panel Tracksuit - L / Black (x1)</t>
  </si>
  <si>
    <t>TR28111</t>
  </si>
  <si>
    <t>House At19 alitown Mansehra Mansehra</t>
  </si>
  <si>
    <t>TR28112</t>
  </si>
  <si>
    <t>Muzammil Ahmed</t>
  </si>
  <si>
    <t>In side sarki gate peshawar Peshawar</t>
  </si>
  <si>
    <t>order ka suntahi call kutt ker di ab pick nahi ker raha</t>
  </si>
  <si>
    <t>TR28113</t>
  </si>
  <si>
    <t>Rais Aqib</t>
  </si>
  <si>
    <t>rahim yar khan Abu Zabe Palace Chak 55 P</t>
  </si>
  <si>
    <t>Abu Zabe Palace Chak 55 P</t>
  </si>
  <si>
    <t>cancel ker dien nahi lena</t>
  </si>
  <si>
    <t>TR28114</t>
  </si>
  <si>
    <t>Jampur Jampur</t>
  </si>
  <si>
    <t>TR28115</t>
  </si>
  <si>
    <t>Muhammad Hafeez</t>
  </si>
  <si>
    <t>+923336842055</t>
  </si>
  <si>
    <t>Adda Jehan Khan near pso chaudhry filling station   jhang road Bhakkar</t>
  </si>
  <si>
    <t>TR28116</t>
  </si>
  <si>
    <t>Subhan Ali</t>
  </si>
  <si>
    <t>+923237092822</t>
  </si>
  <si>
    <t>Village maral post office chawinda tehsil pasture district sialkot Sialkot</t>
  </si>
  <si>
    <t>confirm consignee want open parcel
 | ↩️ Return Charged: 2026-01-16 | Fee: 200</t>
  </si>
  <si>
    <t>TR28117</t>
  </si>
  <si>
    <t>+923161758060</t>
  </si>
  <si>
    <t>dajal by pass ranjan pur road  near Government Girls Primary School Mehray Wala Jampur Jampur</t>
  </si>
  <si>
    <t>TR28118</t>
  </si>
  <si>
    <t>Sabir Khan</t>
  </si>
  <si>
    <t>+923000037694</t>
  </si>
  <si>
    <t>Pak watan chowk  shahi lal kila resturnant Sahiwal</t>
  </si>
  <si>
    <t>ok  cancel size chota haa
 | ↩️ Return Charged: 2026-01-16 | Fee: 200</t>
  </si>
  <si>
    <t>TR28119</t>
  </si>
  <si>
    <t>Muhammad Yousuf</t>
  </si>
  <si>
    <t>Dha Phase 4 Road 5 Hamna House Near Sunset Club Karachi</t>
  </si>
  <si>
    <t>TR28120</t>
  </si>
  <si>
    <t>Ali Haider Shaikh</t>
  </si>
  <si>
    <t>+923275759364</t>
  </si>
  <si>
    <t>Taj mehal Hall  main Jandiala  road   Baba g paan shop Sheikhupura</t>
  </si>
  <si>
    <t>number busy
 | ↩️ Return Charged: 2026-01-16 | Fee: 200</t>
  </si>
  <si>
    <t>TR28121</t>
  </si>
  <si>
    <t>Taj mehal Hal Sheikhupura</t>
  </si>
  <si>
    <t>TR28122</t>
  </si>
  <si>
    <t>House number 211 d housing coloney near jinnha by pass hafizabad Hafizabad</t>
  </si>
  <si>
    <t>TR28123</t>
  </si>
  <si>
    <t>Mudassar Mudassar</t>
  </si>
  <si>
    <t>+923365126317</t>
  </si>
  <si>
    <t>Shell pump odarwal chuk chakwal  Odarwal chuk Tala gang road chakwal</t>
  </si>
  <si>
    <t>chakwal</t>
  </si>
  <si>
    <t>mana order nahi kiya jis na kiya tha wo nahi haa
 | ↩️ Return Charged: 2026-01-20 | Fee: 200
 | ↩️ Return Charged: 2026-01-20 | Fee: 200.1</t>
  </si>
  <si>
    <t>Multi ref PUM-A - M / White (x1), NIK- Ref LOGO - M / white (x1), NIK- Ref LOGO - M / black (x1)</t>
  </si>
  <si>
    <t>TR28124</t>
  </si>
  <si>
    <t>muhammad rustam</t>
  </si>
  <si>
    <t>+923187057219</t>
  </si>
  <si>
    <t>jhulana  Mandi bahuddin    leopard Mandi Bahauddin</t>
  </si>
  <si>
    <t>LE7523223400</t>
  </si>
  <si>
    <t>TR28125</t>
  </si>
  <si>
    <t>Adil Mehndi</t>
  </si>
  <si>
    <t>+923257411310</t>
  </si>
  <si>
    <t>grand  city kharian stret no 11  house no 147 Block A2 Kharian</t>
  </si>
  <si>
    <t>TR28126</t>
  </si>
  <si>
    <t>Latif Latif</t>
  </si>
  <si>
    <t>+92 309 4042416</t>
  </si>
  <si>
    <t>Lahore general hospita, back side, Ayoub road Near to primary middle school lahore</t>
  </si>
  <si>
    <t>Multi ref PUM-A - 2xl / White (x1), NIK- Ref LOGO - 2XL / white (x1), NIK- Ref LOGO - 2XL / black (x1)</t>
  </si>
  <si>
    <t>TR28127</t>
  </si>
  <si>
    <t>Malik Umair</t>
  </si>
  <si>
    <t>Bahria town phase 2 street 47 house 806 Islamabad Rawalpandi</t>
  </si>
  <si>
    <t>Islamabad Rawalpandi</t>
  </si>
  <si>
    <t>ADI Multi Ref Stripes - XL / Navy Blue (x1)</t>
  </si>
  <si>
    <t>TR28128</t>
  </si>
  <si>
    <t>Mubashir Farooq</t>
  </si>
  <si>
    <t>+923283671299</t>
  </si>
  <si>
    <t>Hussaini road, bismillah masjid Nawabshah</t>
  </si>
  <si>
    <t>confirmed   cancel not satisfy quality is not good
 | ↩️ Return Charged: 2026-01-20 | Fee: 213
 | ↩️ Return Charged: 2026-01-20 | Fee: 213.44</t>
  </si>
  <si>
    <t>(Premium) Cotton lycra RL - 2XL / Cherry Red (x1)</t>
  </si>
  <si>
    <t>TR28129</t>
  </si>
  <si>
    <t>Syed Ahmed</t>
  </si>
  <si>
    <t>Mahajar kame baldiya town 9 number block 9f1 Karachi</t>
  </si>
  <si>
    <t xml:space="preserve">
 | ↩️ Return Charged: 23-Jan-2026 | Ref: CPR-ASUBQ198273 | Fee: 213</t>
  </si>
  <si>
    <t>TR28130</t>
  </si>
  <si>
    <t>Malik Shoaib</t>
  </si>
  <si>
    <t>Stenographer in the Court of Arslan Bin Aslam Civil Judge Shujabad district Multan Shujabad</t>
  </si>
  <si>
    <t>Shujabad</t>
  </si>
  <si>
    <t>LE7523133784</t>
  </si>
  <si>
    <t xml:space="preserve">
 | 💰 COD Rec: 2026-01-01 | Ref: INV-268857 | Amt: 2901</t>
  </si>
  <si>
    <t>TR28131</t>
  </si>
  <si>
    <t>Raheel Joya</t>
  </si>
  <si>
    <t>+9203345330333</t>
  </si>
  <si>
    <t>Iqbal Avanue , Joya Builders , Joya Arcade , Jinnah Gardens Phase 1 ,islamabad Islamabad</t>
  </si>
  <si>
    <t>TR28132</t>
  </si>
  <si>
    <t>Gohram Hameed</t>
  </si>
  <si>
    <t>+923208285503</t>
  </si>
  <si>
    <t>A1 city phase 2 Infront BMC hospital brewery road quetta Quetta</t>
  </si>
  <si>
    <t>TR28133</t>
  </si>
  <si>
    <t>Swabi bachai Swabi</t>
  </si>
  <si>
    <t>swabi  tcs
 | 💰 COD Rec: 2026-01-01 | Ref: INV-270735 | Amt: 3878.6</t>
  </si>
  <si>
    <t>TR28134</t>
  </si>
  <si>
    <t>Taswar Ali</t>
  </si>
  <si>
    <t>House No#404 sector 5E Orangi Town Karachi Karachi</t>
  </si>
  <si>
    <t>TR28135</t>
  </si>
  <si>
    <t>Raja Bilal Bilal</t>
  </si>
  <si>
    <t>Bhai Bhai oil 248 humma block Kali kothi stop Allama Iqbal town lahore Lahore</t>
  </si>
  <si>
    <t>TR28136</t>
  </si>
  <si>
    <t>test test</t>
  </si>
  <si>
    <t>test</t>
  </si>
  <si>
    <t>TR28137</t>
  </si>
  <si>
    <t>Abdul Anjum</t>
  </si>
  <si>
    <t>House 3018 Lahore</t>
  </si>
  <si>
    <t>TR28138</t>
  </si>
  <si>
    <t>Asad rasheed butt Butt</t>
  </si>
  <si>
    <t>Al raqaz Royal mandlie road Sahiwal</t>
  </si>
  <si>
    <t>cancel size nahi haa is kaa chest 27 haa</t>
  </si>
  <si>
    <t>TR28139</t>
  </si>
  <si>
    <t>Asad Butt</t>
  </si>
  <si>
    <t>Al raqaz royal mandlie road house 249 Sahiwal</t>
  </si>
  <si>
    <t>TR28140</t>
  </si>
  <si>
    <t>Kurtos Bistro Kurtos Bistro</t>
  </si>
  <si>
    <t>+923313819664</t>
  </si>
  <si>
    <t>PLOT C1 shop 8,9,10 main autobahn road latifabad unit 2 Hyderabad Hyderabad</t>
  </si>
  <si>
    <t>whatsup open to allow</t>
  </si>
  <si>
    <t>Adi- Hoodie - L / Black (x1), Adi- Hoodie - 2xl / White (x1)</t>
  </si>
  <si>
    <t>TR28141</t>
  </si>
  <si>
    <t>:Muhammad idrees :Muhammad idrees</t>
  </si>
  <si>
    <t>+923029401358</t>
  </si>
  <si>
    <t>:Near Afzal Petrolliam Dhool Khurd Dinga Road Gujrat  Phone number: 03029401358 :Gujrat</t>
  </si>
  <si>
    <t>:Gujrat</t>
  </si>
  <si>
    <t>TR28142</t>
  </si>
  <si>
    <t>TR28143</t>
  </si>
  <si>
    <t>Saeed ahmed Saeed ahmed</t>
  </si>
  <si>
    <t>+923171870899</t>
  </si>
  <si>
    <t>Mahajar kame baldiya town 9 number block 9f1 near Rahman medical store karachi karachi</t>
  </si>
  <si>
    <t>TR28144</t>
  </si>
  <si>
    <t>shahbaz shoukat shahbaz shoukat</t>
  </si>
  <si>
    <t>+92 334 4702838</t>
  </si>
  <si>
    <t>House No Ak-21-243-3 Street 12 Kalakot Durra Line Haji Pincher Road Lyari Karachi karachi</t>
  </si>
  <si>
    <t>ADI Multi Ref Stripes - L / White (x1), Multi ref PUM-A - L / Black (x1), NIK- Ref LOGO - L / black (x1)</t>
  </si>
  <si>
    <t>TR28145</t>
  </si>
  <si>
    <t>Shahid Khan Shahid Khan</t>
  </si>
  <si>
    <t>+923083831550</t>
  </si>
  <si>
    <t>Saleem medical complex Jinnah road qutta near agha khan lab quetta</t>
  </si>
  <si>
    <t>whatsup
 | ↩️ Return Charged: 2026-01-27 | Fee: 226.78
 | ↩️ Return Charged: 2026-01-27 | Fee: 227</t>
  </si>
  <si>
    <t>TR28146</t>
  </si>
  <si>
    <t>Khan House, Boobkanwala, near mor galotian National Bank Daska</t>
  </si>
  <si>
    <t>TR28147</t>
  </si>
  <si>
    <t>F8/3 Royal inn hostel kaghan road Islamabad</t>
  </si>
  <si>
    <t>TR28148</t>
  </si>
  <si>
    <t>Khalid Nadeem</t>
  </si>
  <si>
    <t>House # 10 Street # 3 Asakari Colony Near Mehr Ali Chwk Green Town Bahawalpur</t>
  </si>
  <si>
    <t xml:space="preserve">
 | 💰 COD Rec: 2026-01-20 | Ref: CPR-PET00266528 | Amt: 3099</t>
  </si>
  <si>
    <t>TR28149</t>
  </si>
  <si>
    <t>+923133583903</t>
  </si>
  <si>
    <t>not ans
 Al Fajr Lounge Ali Palace Qasimbad Hyderabad, Hyderabad
🔗 https://www.google.com/maps/search/?api=1&amp;query=25.3950777,68.3395428</t>
  </si>
  <si>
    <t>TR28150</t>
  </si>
  <si>
    <t>Saeed Ahmed</t>
  </si>
  <si>
    <t>Shaikh zaid colony larkana Larkana</t>
  </si>
  <si>
    <t>TR28151</t>
  </si>
  <si>
    <t>Abdul hannan Abdul Hannan</t>
  </si>
  <si>
    <t>Sialkoti Gate Near Kotwali Police Station Gujranwal</t>
  </si>
  <si>
    <t>Gujranwal</t>
  </si>
  <si>
    <t>TR28152</t>
  </si>
  <si>
    <t>Nasir Mehmood</t>
  </si>
  <si>
    <t>Village and post office Malal tehsil fateh jang attock Fateh jang</t>
  </si>
  <si>
    <t>Fateh jang</t>
  </si>
  <si>
    <t>LE7524250673</t>
  </si>
  <si>
    <t>Fateh Jang
lcs
 | 💰 COD Rec: 2026-01-01 | Ref: INV-274723 | Amt: 3739</t>
  </si>
  <si>
    <t>INV-274723</t>
  </si>
  <si>
    <t>TR28153</t>
  </si>
  <si>
    <t>Tahir Ghauri</t>
  </si>
  <si>
    <t>8-house No 11, Street 11, Club City, Bahria Town Phase Rawalpindi</t>
  </si>
  <si>
    <t>TR28154</t>
  </si>
  <si>
    <t>Usman Ali</t>
  </si>
  <si>
    <t>House No 7A, Harley Lane 4 Rawalpindi</t>
  </si>
  <si>
    <t>TR28155</t>
  </si>
  <si>
    <t>GOVERNMENT BOYS HIGHER SECONDARY SCHOOL SHIKARPUR ROAD JACOBABAD</t>
  </si>
  <si>
    <t xml:space="preserve">
 | 💰 COD Rec: 2026-01-16 | Ref:  CPR-ZFZUE952731  | Amt: 3739</t>
  </si>
  <si>
    <t>TR28156</t>
  </si>
  <si>
    <t>Farhaj Kazmi</t>
  </si>
  <si>
    <t>244 Ghani block, ittefaq town, Khayaban e Qaid Mansoorah Multan road Lahore</t>
  </si>
  <si>
    <t>TR28157</t>
  </si>
  <si>
    <t>Iftakhar Hussain</t>
  </si>
  <si>
    <t>7-7525D House Number Alamdar Road Nasir Abad Quetta Quetta</t>
  </si>
  <si>
    <t xml:space="preserve">
 | 💰 COD Rec: 2026-01-16 | Ref:  CPR-ZFZUE952731  | Amt: 1449</t>
  </si>
  <si>
    <t>TR28158</t>
  </si>
  <si>
    <t>Rais javaid</t>
  </si>
  <si>
    <t>Kehror paka melsi chok near by ASA microfinance bank Kehror paka</t>
  </si>
  <si>
    <t>Kehror paka</t>
  </si>
  <si>
    <t xml:space="preserve">
 | ↩️ Return Charged: 23-Jan-2026 | Ref: CPR-ASUBQ198273 | Fee: 200</t>
  </si>
  <si>
    <t>TR28159</t>
  </si>
  <si>
    <t>Olives by AMF Properties gm tower Bahria Town Karachi Karachi</t>
  </si>
  <si>
    <t>TR28160</t>
  </si>
  <si>
    <t>29816  already order cancel this one</t>
  </si>
  <si>
    <t>TR28161</t>
  </si>
  <si>
    <t>Asif Raja</t>
  </si>
  <si>
    <t>House No 67, Street No 1, Sector verseas 2, Bahria Town Phase 8, Rawalpindi Rawalpindi</t>
  </si>
  <si>
    <t>TR28162</t>
  </si>
  <si>
    <t>Muhammad Shakeel</t>
  </si>
  <si>
    <t>Elmec International 43c Imperial Block Paragon City Barki Road Lahore Lahore</t>
  </si>
  <si>
    <t>TR28163</t>
  </si>
  <si>
    <t>ahmed ullah</t>
  </si>
  <si>
    <t>gold city mall fly dubai office Quetta Quetta</t>
  </si>
  <si>
    <t xml:space="preserve">
 | 💰 COD Rec: 2026-01-16 | Ref:  CPR-ZFZUE952731  | Amt: 5400</t>
  </si>
  <si>
    <t>ADI Multi Ref Stripes - 2XL / White (x1), ADI Multi Ref Stripes - 2XL / Black (x1), Adi- Hoodie - 2xl / Black (x1)</t>
  </si>
  <si>
    <t>TR28164</t>
  </si>
  <si>
    <t>Rafay Johar</t>
  </si>
  <si>
    <t>33 national park kacha sanda road lahore Lahore</t>
  </si>
  <si>
    <t>TR28165</t>
  </si>
  <si>
    <t>Nawab Ali Mirani</t>
  </si>
  <si>
    <t>Rehmani nangar sita road Rehmani nangar sita road</t>
  </si>
  <si>
    <t>Rehmani nangar sita road</t>
  </si>
  <si>
    <t>not ans
 Rehmani nangar sita road Rehmani nangar sita road, Rehmani nangar sita road
🔗 https://www.google.com/maps/search/?api=1&amp;query=27.039723,67.848203</t>
  </si>
  <si>
    <t>TR28166</t>
  </si>
  <si>
    <t>Sonu manjiani</t>
  </si>
  <si>
    <t>+923312614207</t>
  </si>
  <si>
    <t>saba avenue badar Karachi</t>
  </si>
  <si>
    <t xml:space="preserve">
 | ↩️ Return Charged: 23-Jan-2026 | Ref: CPR-ASUBQ198273 | Fee: 227</t>
  </si>
  <si>
    <t>TR28167</t>
  </si>
  <si>
    <t>Armaghan Afzal</t>
  </si>
  <si>
    <t>Atta Mohammad road Street no 10 Shaheenabad Gujranwala</t>
  </si>
  <si>
    <t xml:space="preserve">
 | 💰 COD Rec: 2026-01-16 | Ref:  CPR-ZFZUE952731  | Amt: 3099</t>
  </si>
  <si>
    <t>TR28168</t>
  </si>
  <si>
    <t>+923337271097</t>
  </si>
  <si>
    <t>Suzuki Kashmore Motors N-55 Kashmore</t>
  </si>
  <si>
    <t>out of city tha kal receive ker lo gaa</t>
  </si>
  <si>
    <t>TR28169</t>
  </si>
  <si>
    <t>Jazib Ahmed</t>
  </si>
  <si>
    <t>Pump Wala Bazar Street No 7 House No 4 Rachna Town Shahdara Lahore Shahdara Lahore</t>
  </si>
  <si>
    <t>Shahdara Lahore</t>
  </si>
  <si>
    <t>TR28170</t>
  </si>
  <si>
    <t>10-N, model town extension, Lahore Lahore</t>
  </si>
  <si>
    <t>TR28171</t>
  </si>
  <si>
    <t>Abdullah Raja</t>
  </si>
  <si>
    <t>+923163555471</t>
  </si>
  <si>
    <t>Islamabad g73, qadria market near blue area Islamabad</t>
  </si>
  <si>
    <t>not ans
 Islamabad g73, qadria market near blue area Islamabad, Islamabad
🔗 https://www.google.com/maps/search/?api=1&amp;query=33.7111343,73.0738305</t>
  </si>
  <si>
    <t>TR28172</t>
  </si>
  <si>
    <t>Mustafa Kamal</t>
  </si>
  <si>
    <t>House No C5 Ground floor al hilal society opposite kashmir amusement park university road Karachi</t>
  </si>
  <si>
    <t>TR28173</t>
  </si>
  <si>
    <t>Ch Shehroz</t>
  </si>
  <si>
    <t>Abdul Hakeem colony Ward no one Rajan pur Dera Ghazi Khan</t>
  </si>
  <si>
    <t>ma out of city hoo 
 | ↩️ Return Charged: 2026-01-27 | Fee: 200.1</t>
  </si>
  <si>
    <t>TR28174</t>
  </si>
  <si>
    <t>umer farooq Umer Farooq</t>
  </si>
  <si>
    <t>Plot 935, Block E1, Johartown Lahore. Lahore</t>
  </si>
  <si>
    <t>TR28175</t>
  </si>
  <si>
    <t>M Zeeshan 03044143903</t>
  </si>
  <si>
    <t>+923044143903</t>
  </si>
  <si>
    <t>Kot Radha Kishan Thq Hospital Kot Radha Kishan</t>
  </si>
  <si>
    <t>Kot Radha Kishan</t>
  </si>
  <si>
    <t xml:space="preserve">
 | ↩️ Return Charged: 2026-01-20 | Fee: 220
 | ↩️ Return Charged: 2026-01-20 | Fee: 220.11</t>
  </si>
  <si>
    <t>TR28176</t>
  </si>
  <si>
    <t>Umer Rasheed</t>
  </si>
  <si>
    <t>Bissian balakot Balakot</t>
  </si>
  <si>
    <t>Balakot</t>
  </si>
  <si>
    <t>mana nahi lena ap cancel ker dein</t>
  </si>
  <si>
    <t>TR28177</t>
  </si>
  <si>
    <t>House no 89 B1 Alvi house Allama Iqbal road pattoki Pattoki</t>
  </si>
  <si>
    <t>TR28178</t>
  </si>
  <si>
    <t>Dr Saima Kiran</t>
  </si>
  <si>
    <t>+923215704651</t>
  </si>
  <si>
    <t>C/O Dr Saima Kiran, Khalid Saeed Hospital, Main Kamra Road Attock</t>
  </si>
  <si>
    <t>TR28179</t>
  </si>
  <si>
    <t>Usama Hanif</t>
  </si>
  <si>
    <t>Karachi shah faisal colony taj centre near al khidmat water plan front building 1st floor Karachi</t>
  </si>
  <si>
    <t>Call aya tha maine mana krdyaa cause of too much delay of parcel
 | ↩️ Return Charged: 2026-01-27 | Fee: 226.78
 | ↩️ Return Charged: 2026-01-27 | Fee: 227</t>
  </si>
  <si>
    <t>TR28180</t>
  </si>
  <si>
    <t>Muhammad Afzal</t>
  </si>
  <si>
    <t>+923414083844</t>
  </si>
  <si>
    <t>China scheme Jamil park khot JAMEL Lahore</t>
  </si>
  <si>
    <t>CONFIRMED</t>
  </si>
  <si>
    <t>Adi- Hoodie - XL / Black (x1), Basic Branded Adi Trouser - L / Black (x1)</t>
  </si>
  <si>
    <t>TR28181</t>
  </si>
  <si>
    <t>Fraz Abbas</t>
  </si>
  <si>
    <t>House No. 132 B Shadman Colony Okara Okara</t>
  </si>
  <si>
    <t>ma gher per nahi tha
 | ↩️ Return Charged: 2026-01-16 | Fee: 200</t>
  </si>
  <si>
    <t>TR28182</t>
  </si>
  <si>
    <t>China scheme Jamil park khot JAMEL, AFZAL ELECTRONICS KA SATH WALI GALI MA GHOSIA MILK SHOP KA PASS Lahore</t>
  </si>
  <si>
    <t>Multi-ref-ADI Trouser winter - Large / Navy (x1), Adi Winter Trouser - large / Black (x1), Adi Branded Zipper - XL / Black (x1)</t>
  </si>
  <si>
    <t>TR28183</t>
  </si>
  <si>
    <t>Zaroon Khan</t>
  </si>
  <si>
    <t>canal road Gulshan Iqbal colony near opal cadat school rajanpur Rajanpur</t>
  </si>
  <si>
    <t>Rajanpur</t>
  </si>
  <si>
    <t xml:space="preserve">
 | 💰 COD Rec: 2026-01-16 | Ref:  CPR-ZFZUE952731  | Amt: 7100</t>
  </si>
  <si>
    <t>(Premium) POLO RL - M / Mehroon (x1), (Premium) POLO RL - M / Blue (x1), (Premium) POLO RL - M / grey (x1), Tipping Crew - M / Black (x1)</t>
  </si>
  <si>
    <t>TR28184</t>
  </si>
  <si>
    <t>Mubshar Dildar</t>
  </si>
  <si>
    <t>Bhria Town lahoor wintar land Lahore</t>
  </si>
  <si>
    <t xml:space="preserve">
 | ↩️ Return Charged: 2026-01-20 | Fee: 120
 | ↩️ Return Charged: 2026-01-20 | Fee: 120.06</t>
  </si>
  <si>
    <t>TR28185</t>
  </si>
  <si>
    <t>Muhammad Farhan</t>
  </si>
  <si>
    <t>E 153 House 5 Street 3 New Super Town Lahore Cantt Lahore</t>
  </si>
  <si>
    <t>ADI - EMBOSSED LOGO (Cotton) - M / Olive( Commando Green) (x1)</t>
  </si>
  <si>
    <t>TR28186</t>
  </si>
  <si>
    <t>Muhammad Shahab</t>
  </si>
  <si>
    <t>+923464720054</t>
  </si>
  <si>
    <t>City mardan Tahsil Tahkhbai  Village shergarh Mardan</t>
  </si>
  <si>
    <t xml:space="preserve">
 | ↩️ Return Charged:  | Fee: 213
 | ↩️ Return Charged: 23-Jan-2026 | Ref: CPR-ASUBQ198273 | Fee: 213</t>
  </si>
  <si>
    <t>TR28187</t>
  </si>
  <si>
    <t>Mohsin Eshaalmishaem123</t>
  </si>
  <si>
    <t>Liaquat Qaluny near Pakistani bakri Habib center Hyderabad</t>
  </si>
  <si>
    <t xml:space="preserve">
 | 💰 COD Rec: 2026-01-16 | Ref:  CPR-ZFZUE952731  | Amt: 2749</t>
  </si>
  <si>
    <t>TR28188</t>
  </si>
  <si>
    <t>Ajmal Ramoka</t>
  </si>
  <si>
    <t>+923015361645</t>
  </si>
  <si>
    <t>Lahori food curner    near police station  luddan Luddan</t>
  </si>
  <si>
    <t>Luddan</t>
  </si>
  <si>
    <t>LE7524251425</t>
  </si>
  <si>
    <t>TR28189</t>
  </si>
  <si>
    <t>Al Rehmat electric wana road masood market Tank</t>
  </si>
  <si>
    <t xml:space="preserve">
 | 💰 COD Rec: 2026-01-20 | Ref: CPR-PET00266528 | Amt: 3739</t>
  </si>
  <si>
    <t>TR28190</t>
  </si>
  <si>
    <t>Mohsin Ali</t>
  </si>
  <si>
    <t>+923458590572</t>
  </si>
  <si>
    <t>chack no 139  chowk malia Chiniot</t>
  </si>
  <si>
    <t>LE7523223402</t>
  </si>
  <si>
    <t xml:space="preserve">  leopard cancel nahi lena no reason </t>
  </si>
  <si>
    <t>TR28191</t>
  </si>
  <si>
    <t>+923238539767</t>
  </si>
  <si>
    <t>replacement order of TR28110</t>
  </si>
  <si>
    <t>TR28192</t>
  </si>
  <si>
    <t>Faisal Nadeem</t>
  </si>
  <si>
    <t>3rd floor  Sangham residency north nazimabad Karachi</t>
  </si>
  <si>
    <t>TR28193</t>
  </si>
  <si>
    <t>Haider Hamza</t>
  </si>
  <si>
    <t>292 B,BLOCK GULSHAN E RAVI LAHORE Lahore</t>
  </si>
  <si>
    <t>TR28194</t>
  </si>
  <si>
    <t>Amir Yamin</t>
  </si>
  <si>
    <t>MDA coopertive socirt multan amir  yamin house 720 Multan</t>
  </si>
  <si>
    <t>TR28195</t>
  </si>
  <si>
    <t>Amjad Ali Ali</t>
  </si>
  <si>
    <t>+923339588399</t>
  </si>
  <si>
    <t>confirm
 | 💰 COD Rec: 2026-01-16 | Ref:  CPR-ZFZUE952731  | Amt: 5989</t>
  </si>
  <si>
    <t>Nik panel Tracksuit - L / Black (x1), Adi- Hoodie - L / Black (x1)</t>
  </si>
  <si>
    <t>TR28196</t>
  </si>
  <si>
    <t>TR28197</t>
  </si>
  <si>
    <t>Muhammad Bilal</t>
  </si>
  <si>
    <t>+923362850524</t>
  </si>
  <si>
    <t>Kohat Hangu Road Main Bazar rehman medical center  Kohat Kohat</t>
  </si>
  <si>
    <t>ok
 | 💰 COD Rec: 2026-01-16 | Ref:  CPR-ZFZUE952731  | Amt: 1499</t>
  </si>
  <si>
    <t>Basic RL Crew- Cotton - L / Mehroon (x1)</t>
  </si>
  <si>
    <t>TR28198</t>
  </si>
  <si>
    <t>Ali Baba</t>
  </si>
  <si>
    <t>Alamdar road mari abad quetta Quetta</t>
  </si>
  <si>
    <t>TR28199</t>
  </si>
  <si>
    <t>Takbeer Khan</t>
  </si>
  <si>
    <t>#A-600 F.B area block 12 gulberg karachi Karachi</t>
  </si>
  <si>
    <t>TR28200</t>
  </si>
  <si>
    <t>Din Badshah</t>
  </si>
  <si>
    <t>+923071759812</t>
  </si>
  <si>
    <t>Dera Ismail Khan    (bazzar  Fath Mod )shop name Din Badshah cloth house  Gomal University Dera Ismail Khan</t>
  </si>
  <si>
    <t>ok   rider late aya haa ma dubai nikal gaya hoo
 | ↩️ Return Charged: 2026-01-20 | Fee: 227
 | ↩️ Return Charged: 2026-01-20 | Fee: 226.78</t>
  </si>
  <si>
    <t>TR28201</t>
  </si>
  <si>
    <t>Muhammad yousaf Muhammad yousaf khan</t>
  </si>
  <si>
    <t>+923338697592</t>
  </si>
  <si>
    <t>kalat main bazar  tcs office Kalat</t>
  </si>
  <si>
    <t>Kalat</t>
  </si>
  <si>
    <t>tcs
 | 💰 COD Rec: 2026-01-01 | Ref: INV-279778 | Amt: 3099</t>
  </si>
  <si>
    <t>INV-279778</t>
  </si>
  <si>
    <t>TR28202</t>
  </si>
  <si>
    <t>Al Imdad Travels (Pvt) Ltd. Office . Main Rashid Minhas Road. BLOCK 5. Nipa Chowrangi. Gulshan Iqbal.Khi Karachi</t>
  </si>
  <si>
    <t>open to allow    fabric quality was too low
 | ↩️ Return Charged:  | Fee: 227
 | ↩️ Return Charged: 23-Jan-2026 | Ref: CPR-ASUBQ198273 | Fee: 227</t>
  </si>
  <si>
    <t>TR28203</t>
  </si>
  <si>
    <t>Najaf Ali Ansari</t>
  </si>
  <si>
    <t>Noor al shifa hospital Shahdara Lahore Lahore</t>
  </si>
  <si>
    <t>not ans
 | ↩️ Return Charged:  | Fee: 107
 | ↩️ Return Charged: 23-Jan-2026 | Ref: CPR-ASUBQ198273 | Fee: 107</t>
  </si>
  <si>
    <t>TR28204</t>
  </si>
  <si>
    <t>DANIYAL ASHRAF</t>
  </si>
  <si>
    <t>80-B Faisal Garden,Johartown Lahore</t>
  </si>
  <si>
    <t>Call aye the but ma ghar nae tha is lia parcel return hoa
 | 💰 COD Rec: 2026-01-16 | Ref:  CPR-ZFZUE952731  | Amt: 3739</t>
  </si>
  <si>
    <t>TR28205</t>
  </si>
  <si>
    <t>Zaheer Rana</t>
  </si>
  <si>
    <t>House no 1205/street Doctor Behari lal Dera Ismail Khan City Kpk</t>
  </si>
  <si>
    <t>Dera Ismail Khan City Kpk</t>
  </si>
  <si>
    <t xml:space="preserve">
 | ↩️ Return Charged: 2026-01-20 | Fee: 227
 | ↩️ Return Charged: 2026-01-20 | Fee: 226.78</t>
  </si>
  <si>
    <t>TR28206</t>
  </si>
  <si>
    <t>Muhammad waseem Ibrahim</t>
  </si>
  <si>
    <t>+923002872403</t>
  </si>
  <si>
    <t>Area 4c house.3.street 46 landhi6   Karachi Landhi Near Al Raheem Biryani" Karachi</t>
  </si>
  <si>
    <t>ok
 | 💰 COD Rec: 2026-01-16 | Ref:  CPR-ZFZUE952731  | Amt: 3739</t>
  </si>
  <si>
    <t>TR28207</t>
  </si>
  <si>
    <t>A wajid Basri</t>
  </si>
  <si>
    <t>East Ahmed pur sharqiya high school hathji Hatheji</t>
  </si>
  <si>
    <t>Hatheji</t>
  </si>
  <si>
    <t>cancel request on email
customer remarks " Order change krna hy islye... "</t>
  </si>
  <si>
    <t>TR28208</t>
  </si>
  <si>
    <t>Vicky Khan</t>
  </si>
  <si>
    <t>Mallah adah near mcb bank Attock</t>
  </si>
  <si>
    <t>not ans
 Mallah adah near mcb bank Attock, Attock
🔗 https://www.google.com/maps/search/?api=1&amp;query=33.7891513,72.3595445</t>
  </si>
  <si>
    <t>TR28209</t>
  </si>
  <si>
    <t>Asim Khan</t>
  </si>
  <si>
    <t>+923212487817</t>
  </si>
  <si>
    <t>C-45 Quetta town co housing society scheme 33 near Bismillah Chowk Karachi Karachi</t>
  </si>
  <si>
    <t>not ans
 | ↩️ Return Charged: 23-Jan-2026 | Ref: CPR-ASUBQ198273 | Fee: 227</t>
  </si>
  <si>
    <t>TR28210</t>
  </si>
  <si>
    <t>Imran Bhatti</t>
  </si>
  <si>
    <t>Ebraheem Motors 3/36, THCs, Khalid Bin Waleed Road Karachi</t>
  </si>
  <si>
    <t>cancel no need   ma advance nahi karo gaa</t>
  </si>
  <si>
    <t>TR28211</t>
  </si>
  <si>
    <t>subash kumar</t>
  </si>
  <si>
    <t>+923337300409</t>
  </si>
  <si>
    <t>SANWAL rice Near muni shop Kandhkot</t>
  </si>
  <si>
    <t>Kandhkot</t>
  </si>
  <si>
    <t>ok  singnal problem haa call kutt hoi ja rahi is ko reattemptr ker raha
 | ↩️ Return Charged: 2026-01-27 | Fee: 226.78
 | ↩️ Return Charged: 2026-01-27 | Fee: 227</t>
  </si>
  <si>
    <t>TR28212</t>
  </si>
  <si>
    <t>MOHAMMAD khawaja</t>
  </si>
  <si>
    <t>wasu road opposite main gate alhamad city mandi bahauddin</t>
  </si>
  <si>
    <t>mandi bahauddin</t>
  </si>
  <si>
    <t>mana call miss kerdi thi
 | ↩️ Return Charged: 2026-01-20 | Fee: 220
 | ↩️ Return Charged: 2026-01-20 | Fee: 220.11</t>
  </si>
  <si>
    <t>TR28213</t>
  </si>
  <si>
    <t>Faisal Iqbal</t>
  </si>
  <si>
    <t>Gulshan ravi lahore g block near zubaire masjid Lahore</t>
  </si>
  <si>
    <t xml:space="preserve">
 | ↩️ Return Charged: 2026-01-20 | Fee: 187
 | ↩️ Return Charged: 2026-01-20 | Fee: 186.76</t>
  </si>
  <si>
    <t>TR28214</t>
  </si>
  <si>
    <t>Ghulam Nabi</t>
  </si>
  <si>
    <t>Naya nazimaba near fazan hospital Karachi Karachi</t>
  </si>
  <si>
    <t>cancel to expensive</t>
  </si>
  <si>
    <t>TR28215</t>
  </si>
  <si>
    <t>Tufail Jamali</t>
  </si>
  <si>
    <t>12 Bhan city</t>
  </si>
  <si>
    <t>Bhan city</t>
  </si>
  <si>
    <t>address wp ker raha
 12 Bhan city, Bhan city
🔗 N/A</t>
  </si>
  <si>
    <t>TR28216</t>
  </si>
  <si>
    <t>Abdullah Abdullah</t>
  </si>
  <si>
    <t>House number 194 Street 222 sector g734 Islamabad Islamabad</t>
  </si>
  <si>
    <t xml:space="preserve">
 | ↩️ Return Charged: 2026-01-27 | Fee: 200.1</t>
  </si>
  <si>
    <t>TR28217</t>
  </si>
  <si>
    <t>Khayaban sir Syed dhok naju sector 4A house no 168B rawalpindi Rawalpindi</t>
  </si>
  <si>
    <t xml:space="preserve">
 | ↩️ Return Charged: 2026-01-27 | Fee: 220.11</t>
  </si>
  <si>
    <t>TR28218</t>
  </si>
  <si>
    <t>Village Khatana p/o karianawala district Gujrat Karianawala</t>
  </si>
  <si>
    <t>Karianawala</t>
  </si>
  <si>
    <t>LE7523223404</t>
  </si>
  <si>
    <t>karianawala  leopard
 | 💰 COD Rec: 2026-01-01 | Ref: INV-273441 | Amt: 2849</t>
  </si>
  <si>
    <t>INV-273441</t>
  </si>
  <si>
    <t>TR28219</t>
  </si>
  <si>
    <t>Abdul Rafay</t>
  </si>
  <si>
    <t>+923363766006</t>
  </si>
  <si>
    <t>A-75, Block-Q North Nazimabad Karachi</t>
  </si>
  <si>
    <t>TR28220</t>
  </si>
  <si>
    <t>Garrison MOQ quetta cantt Quetta</t>
  </si>
  <si>
    <t>tcs
 | 💰 COD Rec: 2026-01-01 | Ref: INV-273441 | Amt: 3739</t>
  </si>
  <si>
    <t>TR28221</t>
  </si>
  <si>
    <t>Syed Munawar</t>
  </si>
  <si>
    <t>A-138 , Block#3 , Gulistane Jauher Karachi</t>
  </si>
  <si>
    <t>TR28222</t>
  </si>
  <si>
    <t>Zeeshan sal man Zeeshan sal man</t>
  </si>
  <si>
    <t>+923077656946</t>
  </si>
  <si>
    <t>city Muzaffargarh railway station zahor kaloni 03077656946 Muzaffargarh</t>
  </si>
  <si>
    <t>whatsup  allow to open
 | 💰 COD Rec: 2026-01-16 | Ref:  CPR-ZFZUE952731  | Amt: 2000</t>
  </si>
  <si>
    <t>Embossed NIK-E - XL / White (x1), ADI Ref Stripes - XL / Black (x1)</t>
  </si>
  <si>
    <t>TR28223</t>
  </si>
  <si>
    <t>Rana Safdar Rana Safdar</t>
  </si>
  <si>
    <t>+923002728786</t>
  </si>
  <si>
    <t>Arcade Gali no 16 D Road Behar colony Karachi  03002728786 Karachi</t>
  </si>
  <si>
    <t>whatsup
 | 💰 COD Rec: 2026-01-16 | Ref:  CPR-ZFZUE952731  | Amt: 2449</t>
  </si>
  <si>
    <t>Multi ref PUM-A - M / White (x1), Multi ref PUM-A - 2xl / White (x1)</t>
  </si>
  <si>
    <t>TR28224</t>
  </si>
  <si>
    <t>Inaam Ul Wakeel</t>
  </si>
  <si>
    <t>+923159310210</t>
  </si>
  <si>
    <t>District attock tehsil jand jand leopard main Bazar jand Jand</t>
  </si>
  <si>
    <t>Jand</t>
  </si>
  <si>
    <t>LE7523223406</t>
  </si>
  <si>
    <t>LCS
 | 💰 COD Rec: 2026-01-01 | Ref: INV-273441 | Amt: 2699</t>
  </si>
  <si>
    <t>TR28225</t>
  </si>
  <si>
    <t>+923461107876</t>
  </si>
  <si>
    <t>7-76-9 alamdar road mari abad  City quetta quetta</t>
  </si>
  <si>
    <t>whatsup | error a rha ha 3100 ka parcel deliver howa
 | 💰 COD Rec: 2026-01-16 | Ref:  CPR-ZFZUE952731  | Amt: 3100</t>
  </si>
  <si>
    <t>Multi ref PUM-A - M / Black (x1), N_F Branded Dri-Fit  T-shirt - M / Gray (x1), ADI Multi Ref Stripes - M / White (x1)</t>
  </si>
  <si>
    <t>TR28226</t>
  </si>
  <si>
    <t>+923192929431</t>
  </si>
  <si>
    <t>Akiana house, abdullah street lilla town mandibhaudin Mandi Bahauddin</t>
  </si>
  <si>
    <t>28690exchnage</t>
  </si>
  <si>
    <t>Basic Branded Adi Trouser - 2XL / Black (x1), Adi- Hoodie - 2xl / Black (x1)</t>
  </si>
  <si>
    <t>TR28227</t>
  </si>
  <si>
    <t>Salahuddin Muhammad wazir</t>
  </si>
  <si>
    <t>Chukiatan Dir Upper Dir Upper</t>
  </si>
  <si>
    <t>Dir Upper</t>
  </si>
  <si>
    <t>Dir Upper  tcs / lcs
 | 💰 COD Rec: 2026-01-01 | Ref: INV-276139 | Amt: 3099</t>
  </si>
  <si>
    <t>INV-276139</t>
  </si>
  <si>
    <t>TR28228</t>
  </si>
  <si>
    <t>TR28229</t>
  </si>
  <si>
    <t>Ahmer mir</t>
  </si>
  <si>
    <t>House no 39 street no 2 new phagwari kashmiri colony rawalpindi Rawalpindi</t>
  </si>
  <si>
    <t>TR28230</t>
  </si>
  <si>
    <t>khurram Naqvi</t>
  </si>
  <si>
    <t>Faisal Abad Road Near Chungi No #14 Mohallaha Noor Pura. Jhang</t>
  </si>
  <si>
    <t xml:space="preserve">
 | ↩️ Return Charged:  | Fee: 220
 | ↩️ Return Charged: 23-Jan-2026 | Ref: CPR-ASUBQ198273 | Fee: 220</t>
  </si>
  <si>
    <t>TR28231</t>
  </si>
  <si>
    <t>Shujaat Khan</t>
  </si>
  <si>
    <t>House 135 B block st 4 park view city islamabad Islamabad</t>
  </si>
  <si>
    <t>size issue
 | ↩️ Return Charged: 2026-01-20 | Fee: 200
 | ↩️ Return Charged: 2026-01-20 | Fee: 200.1</t>
  </si>
  <si>
    <t>TR28232</t>
  </si>
  <si>
    <t>Irfan Mian</t>
  </si>
  <si>
    <t>+923217995095</t>
  </si>
  <si>
    <t>LESCO Wapda Office Township Lahore Punjab Pakistan Lahore</t>
  </si>
  <si>
    <t>confirm  rider na rabta kiya tha ma avail nahi tha mana rider ko bola ka 1 ghata intazar ker la mager ausna nahi kiya
 | ↩️ Return Charged: 2026-01-27 | Fee: 106.72
 | ↩️ Return Charged: 2026-01-27 | Fee: 107</t>
  </si>
  <si>
    <t>TR28233</t>
  </si>
  <si>
    <t>muhammad shahbaz</t>
  </si>
  <si>
    <t>gohar sharif mandi bahuddin</t>
  </si>
  <si>
    <t>mandi bahuddin</t>
  </si>
  <si>
    <t>TR28234</t>
  </si>
  <si>
    <t>+923096744420</t>
  </si>
  <si>
    <t>Laliya House, Dhok Laliyal opposite Bilal Masjid main KRL road near old Islamabad airport Punjab, Rawalpindi Rawalpindi</t>
  </si>
  <si>
    <t>+92 331 5395603</t>
  </si>
  <si>
    <t>TR28235</t>
  </si>
  <si>
    <t>Muhammad Saleem Ismail</t>
  </si>
  <si>
    <t>+923453281246</t>
  </si>
  <si>
    <t>Rathore Building Near Bhadala Hall KPT Ground Keamari Karachi</t>
  </si>
  <si>
    <t xml:space="preserve">
 | 💰 COD Rec:  | Ref:  | Amt: 2849</t>
  </si>
  <si>
    <t>TR28236</t>
  </si>
  <si>
    <t>Huraira Ali</t>
  </si>
  <si>
    <t>Jinnah garden phase 1 street 123c/H D1 Islamabad</t>
  </si>
  <si>
    <t>TR28237</t>
  </si>
  <si>
    <t>Asif Shah</t>
  </si>
  <si>
    <t>7b-askari 10 Apartments Sector F Block 30 House Lahore</t>
  </si>
  <si>
    <t>TR28238</t>
  </si>
  <si>
    <t>Umer Saleem</t>
  </si>
  <si>
    <t>+923046098800</t>
  </si>
  <si>
    <t>House no 23 Rose block the four seasons samundari road Faisalabad Faisalabad</t>
  </si>
  <si>
    <t>ok
 | 💰 COD Rec: 2026-01-20 | Ref: CPR-PET00266528 | Amt: 3739</t>
  </si>
  <si>
    <t>TR28239</t>
  </si>
  <si>
    <t>Rashid Hussain Hussain</t>
  </si>
  <si>
    <t>Shehroz grammar high school Rangers road Sialkot Sialkot</t>
  </si>
  <si>
    <t xml:space="preserve">
 | 💰 COD Rec: 2026-01-16 | Ref:  CPR-ZFZUE952731  | Amt: 2799</t>
  </si>
  <si>
    <t>TR28240</t>
  </si>
  <si>
    <t>Syed Muhammad Hussain Shah</t>
  </si>
  <si>
    <t>+923000990303</t>
  </si>
  <si>
    <t>Main khaizi chowk samungli road quetta Quetta</t>
  </si>
  <si>
    <t>Nhi sir me ne  kaha me pehle  check  karonga pir longa is ne kaha nhi me ne chor dia
 | ↩️ Return Charged: 2026-01-27 | Fee: 226.78
 | ↩️ Return Charged: 2026-01-27 | Fee: 227</t>
  </si>
  <si>
    <t>TR28241</t>
  </si>
  <si>
    <t>+923197564612</t>
  </si>
  <si>
    <t>TR28242</t>
  </si>
  <si>
    <t>Waleed Ahmed</t>
  </si>
  <si>
    <t>Mian Gee Qulfa Shop Main Bazar Lalamusa Lalamusa</t>
  </si>
  <si>
    <t>Lalamusa</t>
  </si>
  <si>
    <t>TR28243</t>
  </si>
  <si>
    <t>Abdul Khaliq</t>
  </si>
  <si>
    <t>Chak 47 passco warehouse near charch Sargodha</t>
  </si>
  <si>
    <t>consignee want open parcel
 | ↩️ Return Charged:  | Fee: 200
 | ↩️ Return Charged: 23-Jan-2026 | Ref: CPR-ASUBQ198273 | Fee: 200</t>
  </si>
  <si>
    <t>TR28244</t>
  </si>
  <si>
    <t>muhammad shafiq</t>
  </si>
  <si>
    <t>68 ravi block green fort 2 Lahore</t>
  </si>
  <si>
    <t>consignee want open parcel
 | ↩️ Return Charged: 2026-01-20 | Fee: 120
 | ↩️ Return Charged: 2026-01-20 | Fee: 120.06</t>
  </si>
  <si>
    <t>TR28245</t>
  </si>
  <si>
    <t>+923332867007</t>
  </si>
  <si>
    <t xml:space="preserve">
 | 💰 COD Rec: 2026-01-20 | Ref: CPR-PET00266528 | Amt: 2699</t>
  </si>
  <si>
    <t>ADI-3strips Full TrackSuit - XL / Navy (x1)</t>
  </si>
  <si>
    <t>TR28246</t>
  </si>
  <si>
    <t>Mohsin Khan</t>
  </si>
  <si>
    <t>Post Office Mian Mandi, Ghallanai , Tehsil Halimzai, District Mohmand Agency Tcs Ghallanai code= GNY Mohmand agency</t>
  </si>
  <si>
    <t>Mohmand agency</t>
  </si>
  <si>
    <t>TR28247</t>
  </si>
  <si>
    <t>Shafqat Ali</t>
  </si>
  <si>
    <t>9-house 9 Dara Street Islamia Park Chuborji Lahore</t>
  </si>
  <si>
    <t>TR28248</t>
  </si>
  <si>
    <t>Ali Ahamd</t>
  </si>
  <si>
    <t>+923164398575</t>
  </si>
  <si>
    <t>Mission colony Rahman pura near  imanat furniture wala ki dukan       ma a ker call ker la Raiwind</t>
  </si>
  <si>
    <t>mana order nahi kiya ap cancel ker dien
 | ↩️ Return Charged:  | Fee: 220
 | ↩️ Return Charged: 23-Jan-2026 | Ref: CPR-ASUBQ198273 | Fee: 220</t>
  </si>
  <si>
    <t>TR28249</t>
  </si>
  <si>
    <t>Huzaifa Hussain</t>
  </si>
  <si>
    <t>House No J-1 Kda Overseas Society Gulestan e jahour Block 16 A karachi Karachi</t>
  </si>
  <si>
    <t>ma out of city hoo ap cancel kerva dein
 | ↩️ Return Charged:  | Fee: 227
 | ↩️ Return Charged: 23-Jan-2026 | Ref: CPR-ASUBQ198273 | Fee: 227</t>
  </si>
  <si>
    <t>TR28250</t>
  </si>
  <si>
    <t>Ishfaq Ahmed</t>
  </si>
  <si>
    <t>BC scheme Mill colony, Saryab Road, Quetta. Quetta</t>
  </si>
  <si>
    <t xml:space="preserve">
 | ↩️ Return Charged: 2026-02-03 | Fee: 213</t>
  </si>
  <si>
    <t>TR28251</t>
  </si>
  <si>
    <t>Hamid Pasha</t>
  </si>
  <si>
    <t>نیاسویرا احمد راجو روڈ گولارچی ضلع بدین Golachi</t>
  </si>
  <si>
    <t>Golachi</t>
  </si>
  <si>
    <t>TR28252</t>
  </si>
  <si>
    <t xml:space="preserve">
 | 💰 COD Rec: 2026-01-16 | Ref:  CPR-ZFZUE952731  | Amt: 4248</t>
  </si>
  <si>
    <t>TR28253</t>
  </si>
  <si>
    <t>Jahangir Mustafa</t>
  </si>
  <si>
    <t>DHA Phase 2 house E-25 PNS Shifa Karachi</t>
  </si>
  <si>
    <t>TR28254</t>
  </si>
  <si>
    <t>+923147175339</t>
  </si>
  <si>
    <t>cancel order late is liya again order kiya haa</t>
  </si>
  <si>
    <t>TR28255</t>
  </si>
  <si>
    <t>Sikandar Ali</t>
  </si>
  <si>
    <t>House 987, Block G, Central Park Housing Society Lahore</t>
  </si>
  <si>
    <t>TR28256</t>
  </si>
  <si>
    <t>Salman ali</t>
  </si>
  <si>
    <t>House 102 Street 8, Sector C2, Zone 3 Regi Model Town Peshawar</t>
  </si>
  <si>
    <t xml:space="preserve">
 | 💰 COD Rec: 2026-01-20 | Ref: CPR-PET00266528 | Amt: 5400</t>
  </si>
  <si>
    <t>Adi- Hoodie - M / Black (x1), ADI Multi Ref Stripes - M / White (x1), ADI Multi Ref Stripes - M / Black (x1)</t>
  </si>
  <si>
    <t>TR28257</t>
  </si>
  <si>
    <t>Ali Asghar Ali Asghar</t>
  </si>
  <si>
    <t>2nd Floor, Jubilee Insurance House, I.I.Chundrigar karachi</t>
  </si>
  <si>
    <t>TR28258</t>
  </si>
  <si>
    <t>Raza ali</t>
  </si>
  <si>
    <t>Mohala rehmat pura nzad ganja phatak lalamusa Lalamusa</t>
  </si>
  <si>
    <t>Order has been shipped via PostEx with Tracking 20120050021304. 
 Mohala rehmat pura nzad ganja phatak lalamusa Lalamusa, Lalamusa
🔗 https://www.google.com/maps/search/?api=1&amp;query=32.6993347,73.9562011
 | 💰 COD Rec: 23-Jan-2026 | Ref: CPR-ASUBQ198273 | Amt: 4248</t>
  </si>
  <si>
    <t>CPR-ASUBQ198273</t>
  </si>
  <si>
    <t>TR28259</t>
  </si>
  <si>
    <t>Shiraz Shiraz</t>
  </si>
  <si>
    <t>Sunlight girls hostel Islamabad</t>
  </si>
  <si>
    <t>TR28260</t>
  </si>
  <si>
    <t>Hamid pasha Pasha</t>
  </si>
  <si>
    <t>+923003510606</t>
  </si>
  <si>
    <t>Naya savera  Ahmad rajo rode golrachi Golarchi</t>
  </si>
  <si>
    <t>Golarchi</t>
  </si>
  <si>
    <t>confirm
 | 💰 COD Rec:  | Ref:  | Amt: 6147</t>
  </si>
  <si>
    <t>Adi- Hoodie - M / Black (x1), Adi- Hoodie - M / White (x1), Multi-ref-ADI Trouser winter - Large / Navy (x1)</t>
  </si>
  <si>
    <t>TR28261</t>
  </si>
  <si>
    <t>Abdul ghaffar Hashmani</t>
  </si>
  <si>
    <t>Gulshan e Iqbal block 13 nair bolan saji cosy home block 13 Karachi</t>
  </si>
  <si>
    <t xml:space="preserve">
 | ↩️ Return Charged: 2026-01-27 | Fee: 213.44</t>
  </si>
  <si>
    <t>TR28262</t>
  </si>
  <si>
    <t>Hazza Bin Rashid</t>
  </si>
  <si>
    <t>Soni street, Malkay Kalan, near Masjid Ans Bin Maalik Sialkot</t>
  </si>
  <si>
    <t>not ans
 | ↩️ Return Charged: 2026-01-20 | Fee: 220
 | ↩️ Return Charged: 2026-01-20 | Fee: 220.11</t>
  </si>
  <si>
    <t>ADI Multi Ref Stripes - M / White (x1), ADI Multi Ref Stripes - M / Black (x1), Imported Scoba Executive Adi Tro - M / Black (x1)</t>
  </si>
  <si>
    <t>TR28263</t>
  </si>
  <si>
    <t>Bilawal Shaikh</t>
  </si>
  <si>
    <t>Falak Residency Flat # 504 , FT 10 , Mc Neil rd , Bathisland Clifton Karachi Karachi</t>
  </si>
  <si>
    <t xml:space="preserve">
 | 💰 COD Rec: 2026-01-20 | Ref: CPR-PET00266528 | Amt: 1799</t>
  </si>
  <si>
    <t>TR28264</t>
  </si>
  <si>
    <t>Rauf Khan</t>
  </si>
  <si>
    <t>Islamabad seri chawk Stret 10 spring vallya masjid anwar Islamabad</t>
  </si>
  <si>
    <t xml:space="preserve">
 | ↩️ Return Charged: 2026-01-20 | Fee: 200
 | ↩️ Return Charged: 2026-01-20 | Fee: 200.1</t>
  </si>
  <si>
    <t>TR28265</t>
  </si>
  <si>
    <t>Shahzad Ahmad</t>
  </si>
  <si>
    <t>+923004001026</t>
  </si>
  <si>
    <t>muhallah Nokhar new farooqabad dis sheikhupura Farooqabad</t>
  </si>
  <si>
    <t>Farooqabad</t>
  </si>
  <si>
    <t>cancel ap abhi isko hold karein</t>
  </si>
  <si>
    <t>TR28266</t>
  </si>
  <si>
    <t>Naeem Baloch</t>
  </si>
  <si>
    <t>+923416797900</t>
  </si>
  <si>
    <t>Chak#9nb tensil bhalwal district sargoda Bhalwal</t>
  </si>
  <si>
    <t>Bhalwal</t>
  </si>
  <si>
    <t>ok
 | 💰 COD Rec: 2026-01-16 | Ref:  CPR-ZFZUE952731  | Amt: 3099</t>
  </si>
  <si>
    <t>TR28267</t>
  </si>
  <si>
    <t>Adnan Dawar</t>
  </si>
  <si>
    <t>Al Haram Town Ring Road Peshawar House Number 134 Street 6 Black D Peshawar</t>
  </si>
  <si>
    <t>TR28268</t>
  </si>
  <si>
    <t>Wakeel Ahmad</t>
  </si>
  <si>
    <t>Rescue1122 Station Adjoined With Army Fort Dargai, District Malakand, Kpk Dargai</t>
  </si>
  <si>
    <t>consignee want open parcel
 | ↩️ Return Charged:  | Fee: 213
 | ↩️ Return Charged: 23-Jan-2026 | Ref: CPR-ASUBQ198273 | Fee: 213</t>
  </si>
  <si>
    <t>TR28269</t>
  </si>
  <si>
    <t>Ali Mirza</t>
  </si>
  <si>
    <t>House 134-E, Street 1, Sabzazar, Near CMH, Rawalpindi rawalpindi</t>
  </si>
  <si>
    <t xml:space="preserve">
 | 💰 COD Rec: 2026-01-16 | Ref:  CPR-ZFZUE952731  | Amt: 4598</t>
  </si>
  <si>
    <t>Multi ref PUM-A - L / White (x1), Multi ref PUM-A - L / Black (x1), Dry fit T-shirt sleeveless Jor-Dan - L / White (x1)</t>
  </si>
  <si>
    <t>TR28270</t>
  </si>
  <si>
    <t>Ahmad Khan</t>
  </si>
  <si>
    <t>Parri Gate, ARF Colony, PAC Kamra Cantt Attock</t>
  </si>
  <si>
    <t>cancel ker dien   Ek emergency ki waja se cancel kar raha houn.. Peso ki zarurat parh gayi hai.. InshaAllah next month order kardunga.</t>
  </si>
  <si>
    <t>TR28271</t>
  </si>
  <si>
    <t>bad ma again order ker do gaa combo pack wala
 | ↩️ Return Charged:  | Fee: 213
 | ↩️ Return Charged: 23-Jan-2026 | Ref: CPR-ASUBQ198273 | Fee: 213</t>
  </si>
  <si>
    <t>TR28272</t>
  </si>
  <si>
    <t>HUZAIFA REHMAN</t>
  </si>
  <si>
    <t>House no.SDH-376 street no.24 falcon complex new malir Karachi</t>
  </si>
  <si>
    <t xml:space="preserve">
 | 💰 COD Rec: 2026-01-20 | Ref: CPR-PET00266528 | Amt: 4248</t>
  </si>
  <si>
    <t>TR28273</t>
  </si>
  <si>
    <t>Noor Hussain</t>
  </si>
  <si>
    <t>15  Sehwan 4150603945553</t>
  </si>
  <si>
    <t>TR28274</t>
  </si>
  <si>
    <t>MUHAMMAD  AHSAN NADEEM</t>
  </si>
  <si>
    <t>+923291716235</t>
  </si>
  <si>
    <t>Adda Zakheera Qasim Qaryana Store teh:Dunyapur Dist: Lodhran Dunyapur</t>
  </si>
  <si>
    <t>Dunyapur</t>
  </si>
  <si>
    <t>ok
 | ↩️ Return Charged:  | Fee: 220
 | ↩️ Return Charged: 23-Jan-2026 | Ref: CPR-ASUBQ198273 | Fee: 220</t>
  </si>
  <si>
    <t>TR28275</t>
  </si>
  <si>
    <t>ملک رضوان سہیل</t>
  </si>
  <si>
    <t>+923009522005</t>
  </si>
  <si>
    <t>Saad  Enterprises Kabari Bazar kharian Kharian</t>
  </si>
  <si>
    <t>ok  quality achi nahi thi
 | ↩️ Return Charged: 2026-01-20 | Fee: 220
 | ↩️ Return Charged: 2026-01-20 | Fee: 220.11</t>
  </si>
  <si>
    <t>TR28276</t>
  </si>
  <si>
    <t>Muhammad Muhammad Waqas</t>
  </si>
  <si>
    <t>G07 The nest apartments Mustafa Town Lahore Lahore</t>
  </si>
  <si>
    <t>ADI Multi Ref Stripes - 3XL / White (x1), ADI Multi Ref Stripes - 2XL / Black (x1)</t>
  </si>
  <si>
    <t>TR28277</t>
  </si>
  <si>
    <t>Aqeel Kalmati</t>
  </si>
  <si>
    <t>+923322332088</t>
  </si>
  <si>
    <t>NBP Bank tld jiwani    main Jiwani Bazar, Jiwani, Pakistan Jiwani</t>
  </si>
  <si>
    <t>Jiwani</t>
  </si>
  <si>
    <t>LE7524251441</t>
  </si>
  <si>
    <t xml:space="preserve">  ok   cancel nahi lena </t>
  </si>
  <si>
    <t>TR28278</t>
  </si>
  <si>
    <t>Abdullah Shahbaz Abdullah Shahbaz</t>
  </si>
  <si>
    <t>C-13 Main Kohinoor Faisalabad</t>
  </si>
  <si>
    <t>OK
 | 💰 COD Rec: 2026-01-20 | Ref: CPR-PET00266528 | Amt: 4998</t>
  </si>
  <si>
    <t>ADI Multi Ref Stripes - M / White (x1), ADI Multi Ref Stripes - M / Black (x1), Basic Branded Adi Trouser - M / Black (x1)</t>
  </si>
  <si>
    <t>TR28279</t>
  </si>
  <si>
    <t>Sanaullah Mayo</t>
  </si>
  <si>
    <t>Near Gaga Village Lahore</t>
  </si>
  <si>
    <t>LE7523228088</t>
  </si>
  <si>
    <t>yahi address haa</t>
  </si>
  <si>
    <t>TR28280</t>
  </si>
  <si>
    <t>Muhammad Awais Tawakal ta Tawakal Hussain</t>
  </si>
  <si>
    <t>Plaza No 68 umer block basement Bahria Town Lahore Lahore</t>
  </si>
  <si>
    <t>LE7523223407</t>
  </si>
  <si>
    <t>lcs ker doo     j aya tha open to allow nahi tha</t>
  </si>
  <si>
    <t>TR28281</t>
  </si>
  <si>
    <t>Mandi bahuddin      lcs Mandi Bahauddin</t>
  </si>
  <si>
    <t>LE7523228743</t>
  </si>
  <si>
    <t xml:space="preserve"> open to allow    to late ma nahi hoo ab </t>
  </si>
  <si>
    <t>TR28282</t>
  </si>
  <si>
    <t>Muhammad Akber</t>
  </si>
  <si>
    <t>flat # F 8 Imtiaz Square Gulshan E Iqbal Block 6 Karachi</t>
  </si>
  <si>
    <t xml:space="preserve">
 | 💰 COD Rec: 2026-01-16 | Ref:  CPR-ZFZUE952731  | Amt: 2849</t>
  </si>
  <si>
    <t>TR28283</t>
  </si>
  <si>
    <t>Khuram Shahzad</t>
  </si>
  <si>
    <t>Raja Jewellers Humayun Bazar sheikhupura Sheikhupura</t>
  </si>
  <si>
    <t xml:space="preserve">
 | 💰 COD Rec: 2026-01-16 | Ref:  CPR-ZFZUE952731  | Amt: 1499</t>
  </si>
  <si>
    <t>TR28284</t>
  </si>
  <si>
    <t>Muhammad Sadam Hussain</t>
  </si>
  <si>
    <t>Gourmet food head office bhobtian chowk defence road Lahore Lahore</t>
  </si>
  <si>
    <t>OK
 | ↩️ Return Charged: 2026-01-20 | Fee: 107
 | ↩️ Return Charged: 2026-01-20 | Fee: 106.72</t>
  </si>
  <si>
    <t>TR28285</t>
  </si>
  <si>
    <t>Bahadur Lashari</t>
  </si>
  <si>
    <t>CDF hospital station Road hyderabad Hyderabad.</t>
  </si>
  <si>
    <t>Hyderabad.</t>
  </si>
  <si>
    <t>TR28286</t>
  </si>
  <si>
    <t>rana nabeel</t>
  </si>
  <si>
    <t>+923364654216</t>
  </si>
  <si>
    <t>Gondlanwala Rd ali pur chowk ka sath right side per village  Gondlanwala Gujranwala</t>
  </si>
  <si>
    <t>ok   rider aya tha ma avail nahi tha
 | ↩️ Return Charged:  | Fee: 220
 | ↩️ Return Charged: 23-Jan-2026 | Ref: CPR-ASUBQ198273 | Fee: 220</t>
  </si>
  <si>
    <t>TR28287</t>
  </si>
  <si>
    <t>Faheem Niazi</t>
  </si>
  <si>
    <t>Faizpur Interchange Al Rahman Garden In front of gate number 3 parkland city Lahoor</t>
  </si>
  <si>
    <t>Lahoor</t>
  </si>
  <si>
    <t>OK
 | 💰 COD Rec: 2026-01-20 | Ref: CPR-PET00266528 | Amt: 2799</t>
  </si>
  <si>
    <t>TR28288</t>
  </si>
  <si>
    <t>Mohammed Mithai</t>
  </si>
  <si>
    <t>+923312070652</t>
  </si>
  <si>
    <t>Floor 4th Karachi</t>
  </si>
  <si>
    <t>COMBINE CANCLE</t>
  </si>
  <si>
    <t>TR28289</t>
  </si>
  <si>
    <t>B4 Abdul Wahid Bldg 4th Floor Mir Karam Ali Talpur Road Saddar Karachi</t>
  </si>
  <si>
    <t>TR28290</t>
  </si>
  <si>
    <t>Umair Abbasi</t>
  </si>
  <si>
    <t>Shamshabad metro station Rawalpindi</t>
  </si>
  <si>
    <t>confirm
 | 💰 COD Rec: 2026-01-20 | Ref: CPR-PET00266528 | Amt: 3099</t>
  </si>
  <si>
    <t>TR28291</t>
  </si>
  <si>
    <t>MR Iqbal</t>
  </si>
  <si>
    <t>+923314211088</t>
  </si>
  <si>
    <t>Bahria town Lahore LAHORE</t>
  </si>
  <si>
    <t>not ans
 Bahria town Lahore LAHORE, LAHORE
🔗 https://www.google.com/maps/search/?api=1&amp;query=31.3674696,74.1861919</t>
  </si>
  <si>
    <t>TR28292</t>
  </si>
  <si>
    <t>Salman Awan</t>
  </si>
  <si>
    <t>Sindh beading store Nawabshah Nawabshah</t>
  </si>
  <si>
    <t>not ans
 | ↩️ Return Charged:  | Fee: 227
 | ↩️ Return Charged: 23-Jan-2026 | Ref: CPR-ASUBQ198273 | Fee: 227</t>
  </si>
  <si>
    <t>TR28293</t>
  </si>
  <si>
    <t>Kumar Kumar</t>
  </si>
  <si>
    <t>CNG petroleum pump umerkot samaro road Umerkot</t>
  </si>
  <si>
    <t>LE7523225079</t>
  </si>
  <si>
    <t xml:space="preserve">officee sa receive ker la ga </t>
  </si>
  <si>
    <t>TR28294</t>
  </si>
  <si>
    <t>29453replacement</t>
  </si>
  <si>
    <t>TR28295</t>
  </si>
  <si>
    <t>Mujtaba Ashraf</t>
  </si>
  <si>
    <t>A-290, Block D, North Nazimabad ,Karachi Karachi</t>
  </si>
  <si>
    <t xml:space="preserve">
 | 💰 COD Rec: 2026-01-20 | Ref: CPR-PET00266528 | Amt: 5898</t>
  </si>
  <si>
    <t>Adi Winter Trouser - Xl / Black (x1), Adi- Hoodie - XL / Black (x1), Adi- Hoodie - XL / White (x1)</t>
  </si>
  <si>
    <t>TR28296</t>
  </si>
  <si>
    <t>+923197267019</t>
  </si>
  <si>
    <t>Jalal pur jattan  Lakanwal khurd the exaa school Jalalpur Jattan</t>
  </si>
  <si>
    <t>koi call nahi ai rider ki
 | ↩️ Return Charged:  | Fee: 200
 | ↩️ Return Charged: 23-Jan-2026 | Ref: CPR-ASUBQ198273 | Fee: 200</t>
  </si>
  <si>
    <t>TR28297</t>
  </si>
  <si>
    <t>Zila malakand bat kheela   thana rahaman super stor Thana</t>
  </si>
  <si>
    <t>Thana</t>
  </si>
  <si>
    <t>TR28298</t>
  </si>
  <si>
    <t>Mubashir Khan</t>
  </si>
  <si>
    <t>+923005604255</t>
  </si>
  <si>
    <t>CEO Health Office Muzaffargarh</t>
  </si>
  <si>
    <t>Order has been shipped via PostEx with Tracking 29120050021303. OK
 CEO Health Office Muzaffargarh, Muzaffargarh
🔗 https://www.google.com/maps/search/?api=1&amp;query=30.0691456,71.1898147
 | 💰 COD Rec: 23-Jan-2026 | Ref: CPR-ASUBQ198273 | Amt: 4248</t>
  </si>
  <si>
    <t>TR28299</t>
  </si>
  <si>
    <t>+923489782289</t>
  </si>
  <si>
    <t>muhammad agency road TCS office Mair gul market ghalanay bazar    Ghalanai, Pakistannear mcb bank Other</t>
  </si>
  <si>
    <t>cancel ho gaya  reamarks by umair</t>
  </si>
  <si>
    <t>TR28300</t>
  </si>
  <si>
    <t>Ihsan Ali</t>
  </si>
  <si>
    <t>M tariq pasticide shop matta swat kpk Matta</t>
  </si>
  <si>
    <t>Matta</t>
  </si>
  <si>
    <t>TR28301</t>
  </si>
  <si>
    <t>Zeeshan Sikander &amp; Company Zeeshan Khalid</t>
  </si>
  <si>
    <t>Rehman Gali No.2, Brandreth Road, Lahore Lahore</t>
  </si>
  <si>
    <t xml:space="preserve">
 | 💰 COD Rec: 2026-01-16 | Ref:  CPR-ZFZUE952731  | Amt: 2148</t>
  </si>
  <si>
    <t>TR28302</t>
  </si>
  <si>
    <t>Kumail Abbas</t>
  </si>
  <si>
    <t>Karakorum university Gilgit</t>
  </si>
  <si>
    <t>TR28303</t>
  </si>
  <si>
    <t>+923555458053</t>
  </si>
  <si>
    <t>Karakorum university main gate  near    zaheer mobile shop   ma a ker call ker la Gilgit</t>
  </si>
  <si>
    <t>confirm
 | 💰 COD Rec:  | Ref:  | Amt: 4698</t>
  </si>
  <si>
    <t>Basic Branded Adi Trouser - M / Black (x1), ADI Multi Ref Stripes - M / White (x1), ADI Multi Ref Stripes - M / Black (x1)</t>
  </si>
  <si>
    <t>TR28304</t>
  </si>
  <si>
    <t>Malik Noman hayat Noman</t>
  </si>
  <si>
    <t>Village kech tehsil &amp; dist dera ismail khan Dera Ismail Khan</t>
  </si>
  <si>
    <t>tcs per open to allow chaiya</t>
  </si>
  <si>
    <t>TR28305</t>
  </si>
  <si>
    <t>Kamran Maqbool</t>
  </si>
  <si>
    <t>202-rb-bhai Wala Phatak Jhumra Road Faisalabad Faisalabad</t>
  </si>
  <si>
    <t xml:space="preserve">ok
</t>
  </si>
  <si>
    <t>TR28306</t>
  </si>
  <si>
    <t>Salman Zakria</t>
  </si>
  <si>
    <t>+923140193674</t>
  </si>
  <si>
    <t>Ahmad G Gulberg Town Klaskay House Number 50 Gujranwala</t>
  </si>
  <si>
    <t>confirm
 | 💰 COD Rec: 2026-01-20 | Ref: CPR-PET00266528 | Amt: 10089</t>
  </si>
  <si>
    <t>Adi- Hoodie - XL / Black (x1), Adi- Hoodie - XL / White (x1), Nik panel Tracksuit - XL / Black (x1), Embossed NIK-E - XL / Black (x1), Embossed NIK-E - XL / White (x1)</t>
  </si>
  <si>
    <t>TR28307</t>
  </si>
  <si>
    <t>Khayaban E Mohsin Ghilzai Street House No 8-a Near Mps Road Model Town Multan Multan</t>
  </si>
  <si>
    <t>replacement
 | 💰 COD Rec: 2026-01-16 | Ref:  CPR-ZFZUE952731  | Amt: 3099</t>
  </si>
  <si>
    <t>TR28308</t>
  </si>
  <si>
    <t>Sohail Abbasi</t>
  </si>
  <si>
    <t>SF -2, Block 43, Sea View Appartments Karachi</t>
  </si>
  <si>
    <t xml:space="preserve">
 | ↩️ Return Charged: 2026-01-27 | Fee: 226.78
 | ↩️ Return Charged: 2026-01-27 | Fee: 227</t>
  </si>
  <si>
    <t>TR28309</t>
  </si>
  <si>
    <t>+923156555447</t>
  </si>
  <si>
    <t>Order has been shipped via PostEx with Tracking 22120050021469. confirm    hamra haa net ka issue haa ma parcel receive ker lo gaa 
 | ↩️ Return Charged: 2026-02-03 | Fee: 220</t>
  </si>
  <si>
    <t>TR28310</t>
  </si>
  <si>
    <t>TR28311</t>
  </si>
  <si>
    <t>Muhammad Atif Siddiqui</t>
  </si>
  <si>
    <t>B-71, G2, Block 3A, Gulistan-e-Johar Karachi</t>
  </si>
  <si>
    <t xml:space="preserve">
 | 💰 COD Rec: 2026-01-20 | Ref: CPR-PET00266528 | Amt: 4647</t>
  </si>
  <si>
    <t>(Premium) BRANDED TH - M / Olive (x1), (Premium) BRANDED TH - M / Navy Blue (x1)</t>
  </si>
  <si>
    <t>TR28312</t>
  </si>
  <si>
    <t>Umer Hafeez</t>
  </si>
  <si>
    <t>E 83 sui gass society defence lahohe Naya Lahore</t>
  </si>
  <si>
    <t>Naya Lahore</t>
  </si>
  <si>
    <t xml:space="preserve">
 | ↩️ Return Charged:  | Fee: 107
 | ↩️ Return Charged: 23-Jan-2026 | Ref: CPR-ASUBQ198273 | Fee: 107</t>
  </si>
  <si>
    <t>TR28313</t>
  </si>
  <si>
    <t>Hassam sajid Hassam sajid</t>
  </si>
  <si>
    <t>2-office B-01 Saadat Silk Centre Pakistan Town Phase Islamabad</t>
  </si>
  <si>
    <t>TR28314</t>
  </si>
  <si>
    <t>Ghulam Murtaza</t>
  </si>
  <si>
    <t>Alpha Electronic Near Bus Stand Allah Bad Road Sibi Sibi</t>
  </si>
  <si>
    <t>LE7523223411</t>
  </si>
  <si>
    <t>TR28315</t>
  </si>
  <si>
    <t>Taha Arain</t>
  </si>
  <si>
    <t>Post x courier office latifabad unit no 5 Hyderabad Hyderabad</t>
  </si>
  <si>
    <t>TR28316</t>
  </si>
  <si>
    <t>Ehsan Ulhaq</t>
  </si>
  <si>
    <t>House 25 G street 4 block G Ali park extension bedian road Lahore cantt. Lahore</t>
  </si>
  <si>
    <t>Order has been shipped via PostEx with Tracking 26120050021301. 
 | ↩️ Return Charged: 2026-01-27 | Fee: 120.06</t>
  </si>
  <si>
    <t>TR28317</t>
  </si>
  <si>
    <t>Muhammad Arbakan Shah</t>
  </si>
  <si>
    <t>202-203 2nd floor taufiq waqar plaza shahra e liaquat near crown hall homeolinks Karachi</t>
  </si>
  <si>
    <t>TR28318</t>
  </si>
  <si>
    <t>sohail yousaf</t>
  </si>
  <si>
    <t>Raja Jung, Tehsil Kasur Kasur</t>
  </si>
  <si>
    <t>TR28319</t>
  </si>
  <si>
    <t>+923014593111</t>
  </si>
  <si>
    <t>Village jonyki,  (Sultani Mobil Shop) near Haji Sharif Home Kasur, Pakistan Kasur</t>
  </si>
  <si>
    <t>ok
 | 💰 COD Rec: 2026-01-20 | Ref: CPR-PET00266528 | Amt: 1749</t>
  </si>
  <si>
    <t>Tipping Crew - XL / White (x1), Tipping Crew - XL / Black (x1)</t>
  </si>
  <si>
    <t>TR28320</t>
  </si>
  <si>
    <t>Shah colony bijli ghar moh tarkhan baba, Mardan Mardan</t>
  </si>
  <si>
    <t>LE7523223409</t>
  </si>
  <si>
    <t xml:space="preserve">
 | 💰 COD Rec: 2026-01-01 | Ref: INV-273441 | Amt: 3099</t>
  </si>
  <si>
    <t>TR28321</t>
  </si>
  <si>
    <t>talat mehmood</t>
  </si>
  <si>
    <t>Sajid Garden House No 1 Street No1 Lahore Medical Dental College Lahore Lahore</t>
  </si>
  <si>
    <t>confirm not ans
 | ↩️ Return Charged:  | Fee: 107
 | ↩️ Return Charged: 23-Jan-2026 | Ref: CPR-ASUBQ198273 | Fee: 107</t>
  </si>
  <si>
    <t>TR28322</t>
  </si>
  <si>
    <t>syed Amir Mujtaba</t>
  </si>
  <si>
    <t>House No 825 Street No 1 Near Agri Office Haroonabad Bahawalnagar</t>
  </si>
  <si>
    <t>G sir rider ayia ta mery pas  MANA  RECEIVE Ni kiya   Pasy nai ty
 | ↩️ Return Charged: 2026-01-27 | Fee: 200.1</t>
  </si>
  <si>
    <t>TR28323</t>
  </si>
  <si>
    <t>M Asad Ali</t>
  </si>
  <si>
    <t>202 RB Bhaiwala Faisalabad Faisalabad</t>
  </si>
  <si>
    <t>confirm
 | 💰 COD Rec: 2026-01-16 | Ref:  CPR-ZFZUE952731  | Amt: 3099</t>
  </si>
  <si>
    <t>TR28324</t>
  </si>
  <si>
    <t>Musharaf Ahmed</t>
  </si>
  <si>
    <t>174 Abu Bakar Block New Garden Town lahore Lahore</t>
  </si>
  <si>
    <t>TR28325</t>
  </si>
  <si>
    <t>Shawkat ali Ali</t>
  </si>
  <si>
    <t>+923378650283</t>
  </si>
  <si>
    <t>Askari Iv Apt 57 A Street 25 Karachi Karachi</t>
  </si>
  <si>
    <t>confirm
 | 💰 COD Rec: 2026-01-20 | Ref: CPR-PET00266528 | Amt: 8100</t>
  </si>
  <si>
    <t>TEXTURE LIGHT SKY - 17.5 (x1), (Premium) Popcorn Polo - XL / White (x1), (Premium) Popcorn Polo - L / White (x2)</t>
  </si>
  <si>
    <t>TR28326</t>
  </si>
  <si>
    <t>+923275848772</t>
  </si>
  <si>
    <t>Leopard office battagram Battagram</t>
  </si>
  <si>
    <t>LE7524250930</t>
  </si>
  <si>
    <t>lcs open to alow
 | 💰 COD Rec: 2026-01-01 | Ref: INV-274723 | Amt: 2799</t>
  </si>
  <si>
    <t>TR28327</t>
  </si>
  <si>
    <t>Hassan Khan Hassan Khan</t>
  </si>
  <si>
    <t>+92 300 4250314</t>
  </si>
  <si>
    <t>Tehsil kabirwala zela khanewal  jhang Road Koat Islam  Near mcb Bank tayab Foto sdtu Koat isalm   3004250314 --3069287135 koat islam</t>
  </si>
  <si>
    <t>koat islam</t>
  </si>
  <si>
    <t>LE7523225075</t>
  </si>
  <si>
    <t>whatsup tcs / lcs koat islam</t>
  </si>
  <si>
    <t>TR28328</t>
  </si>
  <si>
    <t>TR28329</t>
  </si>
  <si>
    <t>Adeel ur rehman Ahmad</t>
  </si>
  <si>
    <t>PAF Airmen Academy korangi creek karachi</t>
  </si>
  <si>
    <t>TR28330</t>
  </si>
  <si>
    <t>asfand arain</t>
  </si>
  <si>
    <t>Asfand Shahid medical store near lucky shoes bhiria road district naushehro feroze Bhiria Road</t>
  </si>
  <si>
    <t xml:space="preserve">
 | 💰 COD Rec: 2026-01-01 | Ref: INV-274723 | Amt: 3099</t>
  </si>
  <si>
    <t>TR28331</t>
  </si>
  <si>
    <t>Gul Zaib imtiaz</t>
  </si>
  <si>
    <t>Shop No21 Sadaf Plaza Qissakhawani Bazar Peshawar City Peshawar</t>
  </si>
  <si>
    <t xml:space="preserve">
 | 💰 COD Rec: 2026-01-20 | Ref: CPR-PET00266528 | Amt: 2799</t>
  </si>
  <si>
    <t>TR28332</t>
  </si>
  <si>
    <t>Rizwan Kakar</t>
  </si>
  <si>
    <t>TR28333</t>
  </si>
  <si>
    <t>Arman Khan</t>
  </si>
  <si>
    <t>R 575 sector 15a2 near kiran tower bufferzon karachi Karachi</t>
  </si>
  <si>
    <t xml:space="preserve">
 | 💰 COD Rec: 2026-01-20 | Ref: CPR-PET00266528 | Amt: 2749</t>
  </si>
  <si>
    <t>TR28334</t>
  </si>
  <si>
    <t>Azam Arain</t>
  </si>
  <si>
    <t>+923423249916</t>
  </si>
  <si>
    <t>Disstic Khair Pur Mira's ..  Tehsil Thari Mir wah        city "Tando Mir Ali Other</t>
  </si>
  <si>
    <t>LE7524250837</t>
  </si>
  <si>
    <t>Mehrabpur
leopard open to allow</t>
  </si>
  <si>
    <t>TR28335</t>
  </si>
  <si>
    <t>Arslan butt</t>
  </si>
  <si>
    <t>+923277405212</t>
  </si>
  <si>
    <t>Muhalla chah budhe Wala khu street #12 badshahi road Gujrat Gujrat</t>
  </si>
  <si>
    <t>TR28336</t>
  </si>
  <si>
    <t>A one city brewery road qta face 1 Quetta</t>
  </si>
  <si>
    <t>TR28337</t>
  </si>
  <si>
    <t>Yasir Jabbar</t>
  </si>
  <si>
    <t>Chak no 289 Umar pur Bangla burewala Burewala</t>
  </si>
  <si>
    <t xml:space="preserve">
 | ↩️ Return Charged: 23-Jan-2026 | Ref: CPR-ASUBQ198273 | Fee: 220</t>
  </si>
  <si>
    <t>TR28338</t>
  </si>
  <si>
    <t>AMIR RAZA</t>
  </si>
  <si>
    <t>Line No 327 Millat Town Mohallah Survey 208 Malir Karachi Karachi</t>
  </si>
  <si>
    <t>g rider aya tha  mn ne return kiya hai  ACCORDING TO PRICE QUALITY ACHI NHI LAGI
 | ↩️ Return Charged: 2026-01-27 | Fee: 213.44</t>
  </si>
  <si>
    <t>TR28339</t>
  </si>
  <si>
    <t>Waqas khan</t>
  </si>
  <si>
    <t>+923000318173</t>
  </si>
  <si>
    <t>Hosing sakeem a block Jahaina 58200 Jahanian</t>
  </si>
  <si>
    <t>Jahanian</t>
  </si>
  <si>
    <t>allow to open
 | 💰 COD Rec:  | Ref:  | Amt: 3099</t>
  </si>
  <si>
    <t>TR28340</t>
  </si>
  <si>
    <t>3rd folor polt no B 69 stret 6 Bolck H near UBL bank hyderi market northnazimabad Karachi</t>
  </si>
  <si>
    <t>not ans
 3rd folor polt no B 69 stret 6 Bolck H near UBL bank hyderi market northnazimabad Karachi, Karachi
🔗 https://www.google.com/maps/search/?api=1&amp;query=24.9380265,67.0479484</t>
  </si>
  <si>
    <t>TR28341</t>
  </si>
  <si>
    <t>Arslan Shabeer</t>
  </si>
  <si>
    <t>+923207637038</t>
  </si>
  <si>
    <t>Cantonment plaza  ka abhir a ker call ker la rider Sialkot</t>
  </si>
  <si>
    <t>not ans
 | 💰 COD Rec: 2026-01-20 | Ref: CPR-PET00266528 | Amt: 2749</t>
  </si>
  <si>
    <t>TR28342</t>
  </si>
  <si>
    <t>Tariq Mahmood</t>
  </si>
  <si>
    <t>House # 367N, Block N Pohnch Road Samanabad Lahore Lahore</t>
  </si>
  <si>
    <t>TR28343</t>
  </si>
  <si>
    <t>Mujahid ali Mujahid ali</t>
  </si>
  <si>
    <t>+923033705789</t>
  </si>
  <si>
    <t>Back side of civil hospital labour colony district khairpur mirus city khairpur khairpur</t>
  </si>
  <si>
    <t>khairpur</t>
  </si>
  <si>
    <t>whatsup
 | 💰 COD Rec: 2026-01-20 | Ref: CPR-PET00266528 | Amt: 2450</t>
  </si>
  <si>
    <t>ADI Multi Ref Stripes - L / White (x1), Embossed NIK-E - L / Black (x1)</t>
  </si>
  <si>
    <t>TR28344</t>
  </si>
  <si>
    <t>29557 exchange</t>
  </si>
  <si>
    <t>TR28345</t>
  </si>
  <si>
    <t>Irfan Rana</t>
  </si>
  <si>
    <t>+923015979600</t>
  </si>
  <si>
    <t>Near city school Thull Hamza Tehsil Liaqat dist Rahim Yar khan Other</t>
  </si>
  <si>
    <t>LE7524250676</t>
  </si>
  <si>
    <t xml:space="preserve">
 | 💰 COD Rec: 2026-01-01 | Ref: INV-274723 | Amt: 2749</t>
  </si>
  <si>
    <t>TR28346</t>
  </si>
  <si>
    <t>Muhammad Haider</t>
  </si>
  <si>
    <t>Ward No:10 Talpur Muhalla Mehrabpur</t>
  </si>
  <si>
    <t>sir banda sa rabta nhi hoya abhi tak jis na oder diya tha   mai rabta kr ka ap ko batata hun
 | ↩️ Return Charged: 2026-01-27 | Fee: 213.44</t>
  </si>
  <si>
    <t>TR28347</t>
  </si>
  <si>
    <t>kousra abad pir mahal</t>
  </si>
  <si>
    <t>pir mahal</t>
  </si>
  <si>
    <t>cancel nahi lena 
 kousra abad pir mahal, pir mahal
🔗 https://www.google.com/maps/search/?api=1&amp;query=30.7660615,72.43180579999999</t>
  </si>
  <si>
    <t>TR28348</t>
  </si>
  <si>
    <t>intzar ali</t>
  </si>
  <si>
    <t>ٹھٹھی غلام حسین اڈریس ہے آڈامگٹاوالا</t>
  </si>
  <si>
    <t>آڈامگٹاوالا</t>
  </si>
  <si>
    <t>cancel ya mera order nahi haa</t>
  </si>
  <si>
    <t>TR28349</t>
  </si>
  <si>
    <t>Muaaz Arshad Chohan</t>
  </si>
  <si>
    <t>+923165825264</t>
  </si>
  <si>
    <t>Tehsil And District Chakwal , Village and Post office Thanil Fatohi Chakwal</t>
  </si>
  <si>
    <t xml:space="preserve">
 | 💰 COD Rec: 2026-01-20 | Ref: CPR-PET00266528 | Amt: 3751</t>
  </si>
  <si>
    <t>TR28350</t>
  </si>
  <si>
    <t>Abdullah Habib</t>
  </si>
  <si>
    <t>house 134-E. sabzazar, near cmh, rawalpindi Rawalpindi</t>
  </si>
  <si>
    <t xml:space="preserve">
 | 💰 COD Rec: 2026-01-20 | Ref: CPR-PET00266528 | Amt: 1748</t>
  </si>
  <si>
    <t>Dry fit T-shirt sleeveless Jor-Dan - M / Gray (x1)</t>
  </si>
  <si>
    <t>TR28351</t>
  </si>
  <si>
    <t>TR28352</t>
  </si>
  <si>
    <t>Akram 15A1</t>
  </si>
  <si>
    <t>+923102477091</t>
  </si>
  <si>
    <t>DHA Karachi Phase 6 5 number gali Karachi</t>
  </si>
  <si>
    <t>ok
 | 💰 COD Rec: 2026-01-27 | Ref: CPR-JDDYU556799 | Amt: 1999</t>
  </si>
  <si>
    <t>(Premium) Cotton lycra RL - M / Beige (x1)</t>
  </si>
  <si>
    <t>TR28353</t>
  </si>
  <si>
    <t>Atizaz Ahsan</t>
  </si>
  <si>
    <t>Gohar Institute Of Medical Sciences Havelian Abbottabad</t>
  </si>
  <si>
    <t>ok
 | 💰 COD Rec: 2026-01-20 | Ref: CPR-PET00266528 | Amt: 3099</t>
  </si>
  <si>
    <t>TR28354</t>
  </si>
  <si>
    <t>Shaza nasir</t>
  </si>
  <si>
    <t>house 14, street 37, off kh e muhafiz, Phase 6 dha karachi</t>
  </si>
  <si>
    <t xml:space="preserve">
 | ↩️ Return Charged: 2026-02-03 | Fee: 414</t>
  </si>
  <si>
    <t>TR28355</t>
  </si>
  <si>
    <t>Abdullah Shinwari</t>
  </si>
  <si>
    <t>Shop no 83 royal plaza bijli gali karkhano peshawar Peshawar</t>
  </si>
  <si>
    <t xml:space="preserve">
 | 💰 COD Rec: 2026-01-20 | Ref: CPR-PET00266528 | Amt: 2199</t>
  </si>
  <si>
    <t>N_F Branded Dri-Fit  T-shirt - M / White (x1)</t>
  </si>
  <si>
    <t>TR28356</t>
  </si>
  <si>
    <t>NABEEL NAQVI</t>
  </si>
  <si>
    <t>Sunarya Wala pull Ali town Follow 14 medical store Sialkot Sialkot</t>
  </si>
  <si>
    <t>ok
 | ↩️ Return Charged: 2026-01-27 | Fee: 200.1</t>
  </si>
  <si>
    <t>TR28357</t>
  </si>
  <si>
    <t>Waqas Sadiq</t>
  </si>
  <si>
    <t>203 . Street 1 . Block A . Nfc society phase 1 Lahore</t>
  </si>
  <si>
    <t>TR28358</t>
  </si>
  <si>
    <t xml:space="preserve">
 | 💰 COD Rec:  | Ref:  | Amt: 3099</t>
  </si>
  <si>
    <t>ADI Multi Ref Stripes - M / White (x1), ADI Multi Ref Stripes - 4XL / Black (x1)</t>
  </si>
  <si>
    <t>TR28359</t>
  </si>
  <si>
    <t xml:space="preserve">cancel advance nahi ker raha </t>
  </si>
  <si>
    <t>TR28360</t>
  </si>
  <si>
    <t>Canal road Wapda hospital Faisalabad Admin office room number 30 Faislabad</t>
  </si>
  <si>
    <t>TR28361</t>
  </si>
  <si>
    <t>cancel order late tha is liya order kiya haa</t>
  </si>
  <si>
    <t>TR28362</t>
  </si>
  <si>
    <t>Ghazanfar Aftab</t>
  </si>
  <si>
    <t>House # A163, KBACHS, Sector 24-A, Gulzar e Hijri, Scheme 33, Opposite Sachal Petrol Pump Karachi</t>
  </si>
  <si>
    <t>Order has been shipped via PostEx with Tracking 25120050021285. ok
 | 💰 COD Rec: 2026-01-20 | Ref: CPR-PET00266528 | Amt: 3099</t>
  </si>
  <si>
    <t>TR28363</t>
  </si>
  <si>
    <t>Zargham Haider</t>
  </si>
  <si>
    <t>+923098508441</t>
  </si>
  <si>
    <t>Toba take sing  tcs office Toba Tek Singh</t>
  </si>
  <si>
    <t>TR28364</t>
  </si>
  <si>
    <t>Mozammal Sahi</t>
  </si>
  <si>
    <t>police khidnat markaz jaranwala. jaranwala</t>
  </si>
  <si>
    <t>jaranwala</t>
  </si>
  <si>
    <t>ok cancel   order confirm kiya tha not color
 | ↩️ Return Charged: 2026-01-27 | Fee: 220.11</t>
  </si>
  <si>
    <t>TR28365</t>
  </si>
  <si>
    <t>Zeeshan Mazhar</t>
  </si>
  <si>
    <t>135/1 street 13th Khayaban e Muhafiz, Phase VI DHA Kaeachi Karachi</t>
  </si>
  <si>
    <t>TR28366</t>
  </si>
  <si>
    <t>Ahtisham Abbasi</t>
  </si>
  <si>
    <t>+923333520628</t>
  </si>
  <si>
    <t>Madina market street #21 f-8/2 Islamabad</t>
  </si>
  <si>
    <t>TR28367</t>
  </si>
  <si>
    <t>Amjad Shakeel Amjad Shakeel</t>
  </si>
  <si>
    <t>+923315305457</t>
  </si>
  <si>
    <t>house 44 street 5 chaklala scheme 2 Rawalpindi  City: Rawalpindi Rawalpindi</t>
  </si>
  <si>
    <t>whatsup allow to open
 | 💰 COD Rec: 2026-01-20 | Ref: CPR-PET00266528 | Amt: 3100</t>
  </si>
  <si>
    <t>Multi ref PUM-A - L / Black (x1), Multi ref PUM-A - XL / White (x1)</t>
  </si>
  <si>
    <t>TR28368</t>
  </si>
  <si>
    <t>Syed Waseem</t>
  </si>
  <si>
    <t>336/60 block nishter ext Lahore</t>
  </si>
  <si>
    <t>TR28369</t>
  </si>
  <si>
    <t>Zain Raza Zain Raza</t>
  </si>
  <si>
    <t>+923436861918</t>
  </si>
  <si>
    <t>Alkahaf boys hostel near Dream street UMT Johar Town, Lahore lahore</t>
  </si>
  <si>
    <t>ADI Multi Ref Stripes - L / White (x1), Multi ref PUM-A - L / White (x1)</t>
  </si>
  <si>
    <t>TR28370</t>
  </si>
  <si>
    <t>Harmain Khalid</t>
  </si>
  <si>
    <t>+923088313103</t>
  </si>
  <si>
    <t>Fatehpur ward number 4 Fatehpur</t>
  </si>
  <si>
    <t>Order has been shipped via PostEx with Tracking 20120050021284. confirm</t>
  </si>
  <si>
    <t>TR28371</t>
  </si>
  <si>
    <t>Order has been shipped via PostEx with Tracking 27120050021300. 
 | 💰 COD Rec: 2026-01-20 | Ref: CPR-PET00266528 | Amt: 2799</t>
  </si>
  <si>
    <t>TR28372</t>
  </si>
  <si>
    <t>Hammad Shaikh</t>
  </si>
  <si>
    <t>Flat 501 bnt tower block 13 f.b area near gulberg police station Karachi</t>
  </si>
  <si>
    <t>Order has been shipped via PostEx with Tracking 22120050021273. 
 | 💰 COD Rec:  | Ref:  | Amt: 3099</t>
  </si>
  <si>
    <t>TR28373</t>
  </si>
  <si>
    <t>Niaz Ur Rehman</t>
  </si>
  <si>
    <t>+923400943776</t>
  </si>
  <si>
    <t>Post office shabqadar charsadda Peshawar</t>
  </si>
  <si>
    <t>tcs shabqadar charssadda
 | 💰 COD Rec: 2026-01-01 | Ref: INV-276139 | Amt: 6448</t>
  </si>
  <si>
    <t>Adi- Hoodie - L / Black (x1), Adi- Hoodie - L / White (x1), NIK- Ref LOGO - L / white (x1), NIK- Ref LOGO - L / black (x1)</t>
  </si>
  <si>
    <t>TR28374</t>
  </si>
  <si>
    <t>Faisal Karim</t>
  </si>
  <si>
    <t>+923218246322</t>
  </si>
  <si>
    <t>V-23/1,16th east street phase 1 DHA Karachi</t>
  </si>
  <si>
    <t>Order has been shipped via PostEx with Tracking 22120050021272. 
 | 💰 COD Rec: 2026-01-20 | Ref: CPR-PET00266528 | Amt: 1449</t>
  </si>
  <si>
    <t>TR28375</t>
  </si>
  <si>
    <t>Post office shabqadar charssadda Peshawar</t>
  </si>
  <si>
    <t>TR28376</t>
  </si>
  <si>
    <t>Ismaeel Yousafzai</t>
  </si>
  <si>
    <t>Talash Timergara Dir lower Talash ,  Timergara</t>
  </si>
  <si>
    <t>Talash ,  Timergara</t>
  </si>
  <si>
    <t>talash tcs</t>
  </si>
  <si>
    <t>TR28377</t>
  </si>
  <si>
    <t>Altaf nizamani</t>
  </si>
  <si>
    <t>MCB bank kario ghanwer tehsil golarchi dist badin Kario Ghanwer</t>
  </si>
  <si>
    <t>Kario Ghanwer</t>
  </si>
  <si>
    <t xml:space="preserve">Order has been shipped via PostEx with Tracking 26120050021279. cancel size issue </t>
  </si>
  <si>
    <t>TR28378</t>
  </si>
  <si>
    <t>Usama Wahab</t>
  </si>
  <si>
    <t>1st floor Salaar center Barkat Market garden town Lahore</t>
  </si>
  <si>
    <t>Order has been shipped via PostEx with Tracking 24120050021271. 
 | 💰 COD Rec: 2026-01-20 | Ref: CPR-PET00266528 | Amt: 5900</t>
  </si>
  <si>
    <t>Imported Scoba Executive Nik Tro - XL / Silver Grey (x1), NIK- Ref LOGO - 2XL / white (x1), NIK- Ref LOGO - 2XL / black (x1)</t>
  </si>
  <si>
    <t>TR28379</t>
  </si>
  <si>
    <t>Order has been shipped via PostEx with Tracking 25120050021283. confirm
 | 💰 COD Rec: 2026-01-20 | Ref: CPR-PET00266528 | Amt: 2849</t>
  </si>
  <si>
    <t>TR28380</t>
  </si>
  <si>
    <t>Nasir Ahmad</t>
  </si>
  <si>
    <t>Village Jalala Main Road Thana</t>
  </si>
  <si>
    <t>cancel ager nahi ata toh cancel ker doo</t>
  </si>
  <si>
    <t>TR28381</t>
  </si>
  <si>
    <t>Jawad Hassan</t>
  </si>
  <si>
    <t>A-26 PIA HOUSING SOCIETY GATE NO 2 Karachi</t>
  </si>
  <si>
    <t>Order has been shipped via PostEx with Tracking 24120050021282. 
 | 💰 COD Rec: 2026-01-20 | Ref: CPR-PET00266528 | Amt: 4248
2-items return received on 31/01/2026</t>
  </si>
  <si>
    <t>TR28382</t>
  </si>
  <si>
    <t>Pappq sanira. Akhtar Rehmat Akhtar1234</t>
  </si>
  <si>
    <t>77 house no canal villas east canal road Fsd</t>
  </si>
  <si>
    <t>Fsd</t>
  </si>
  <si>
    <t>Order has been shipped via PostEx with Tracking 23120050021278. alow to open
 | ↩️ Return Charged: 2026-01-27 | Fee: 200.1</t>
  </si>
  <si>
    <t>TR28383</t>
  </si>
  <si>
    <t>Ch Saif</t>
  </si>
  <si>
    <t>+923011889900</t>
  </si>
  <si>
    <t>tcs office Fateh pur city, district layyah Fatehpur</t>
  </si>
  <si>
    <t>TR28384</t>
  </si>
  <si>
    <t>imran ray</t>
  </si>
  <si>
    <t>Shalimar smart city Sargodha Shinwari Khas Restaurant Sargodha</t>
  </si>
  <si>
    <t>TR28385</t>
  </si>
  <si>
    <t>+923498482751</t>
  </si>
  <si>
    <t>Order has been shipped via PostEx with Tracking 20120050021299. open to allow
 | ↩️ Return Charged: 2026-01-27 | Fee: 220.11</t>
  </si>
  <si>
    <t>TR28386</t>
  </si>
  <si>
    <t>Kamran Yousaf</t>
  </si>
  <si>
    <t>60 B Architect Society Near Shaukat Khanam Lahore</t>
  </si>
  <si>
    <t>Order has been shipped via PostEx with Tracking 24120050021270. 
 | 💰 COD Rec: 2026-01-20 | Ref: CPR-PET00266528 | Amt: 5049</t>
  </si>
  <si>
    <t>NIK- Ref LOGO - L / white (x1), NIK- Ref LOGO - L / black (x1), N_F Branded Dri-Fit  T-shirt - L / Gray (x1)</t>
  </si>
  <si>
    <t>TR28387</t>
  </si>
  <si>
    <t>ayan Afridi</t>
  </si>
  <si>
    <t>Pajaggi road faqir kaly chok Peshawar Peshawar</t>
  </si>
  <si>
    <t>Order has been shipped via PostEx with Tracking 24120050021281. ok
 | 💰 COD Rec:  | Ref:  | Amt: 3099</t>
  </si>
  <si>
    <t>TR28388</t>
  </si>
  <si>
    <t>Awami plaza near Almeer mart F17 society isalmabad Islamabad</t>
  </si>
  <si>
    <t>Order has been shipped via PostEx with Tracking 21120050021269. 
 | ↩️ Return Charged: 2026-01-27 | Fee: 200.1</t>
  </si>
  <si>
    <t>TR28389</t>
  </si>
  <si>
    <t>Javed Ashraf</t>
  </si>
  <si>
    <t>Bhutta street 2 gulnishan society raiwind road lhr Lahore</t>
  </si>
  <si>
    <t>Order has been shipped via PostEx with Tracking 24120050021268.   mujha koi call nahi ai 
 | ↩️ Return Charged: 2026-01-27 | Fee: 106.72
 | ↩️ Return Charged: 2026-01-27 | Fee: 107</t>
  </si>
  <si>
    <t>TR28390</t>
  </si>
  <si>
    <t>farrukh tanoli</t>
  </si>
  <si>
    <t>Banigala Street Num 8 Abbasi General Store Islamabad</t>
  </si>
  <si>
    <t>Order has been shipped via PostEx with Tracking 22120050021298. allow to open
 | 💰 COD Rec: 2026-01-20 | Ref: CPR-PET00266528 | Amt: 4248</t>
  </si>
  <si>
    <t>TR28391</t>
  </si>
  <si>
    <t>Wahaj Balaj</t>
  </si>
  <si>
    <t>+923032888015</t>
  </si>
  <si>
    <t>naval Residential Complex E-8 Islamabad</t>
  </si>
  <si>
    <t>Order has been shipped via PostEx with Tracking 26120050021277. allow to open
 | ↩️ Return Charged: 2026-01-27 | Fee: 313.49</t>
  </si>
  <si>
    <t>TR28392</t>
  </si>
  <si>
    <t>Rana Ammar</t>
  </si>
  <si>
    <t>Rana Industries Rafhan Ml Road Faisalabad Faisalabad</t>
  </si>
  <si>
    <t>LE7524269373</t>
  </si>
  <si>
    <t>lcs ya tcs ker do is ko
 Rana Industries Rafhan Ml Road Faisalabad Faisalabad, Faisalabad</t>
  </si>
  <si>
    <t>TR28393</t>
  </si>
  <si>
    <t>muhammad agency road TCS office Mair gul market ghalanay bazar    Ghalanai, Pakistannear mcb bank Mohmand agency kpk</t>
  </si>
  <si>
    <t>Mohmand agency kpk</t>
  </si>
  <si>
    <t>Adi- Hoodie - 2xl / Black (x1), Adi- Hoodie - 2xl / White (x1), N_F Branded Dri-Fit  T-shirt - XL / Gray (x1), Tipping Crew - XL / Black (x1), Tipping Crew - XL / White (x1), Multi-ref-ADI Trouser winter - XL / Navy (x1), Multi-ref-ADI Trouser winter - XL / Black (x1), Embossed NIK-E - XL / Black (x1), Embossed NIK-E - XL / White (x1), Imported Scoba Executive Nik Tro - XL / Black (x1), Nik panel Tracksuit - XL / Black (x1), ADI-3strips Full TrackSuit - XL / Grey (x1), ADI-3strips Full TrackSuit - XL / American blue (x1), Multi ref Jord-an - XL / Navy Blue (x1), Multi ref Jord-an - XL / Grey (x1)</t>
  </si>
  <si>
    <t>instaworld ( LCS )</t>
  </si>
  <si>
    <t>TR28394</t>
  </si>
  <si>
    <t>+923027112763</t>
  </si>
  <si>
    <t xml:space="preserve">Order has been shipped via PostEx with Tracking 28120050021297.   mera order cancel ker dien </t>
  </si>
  <si>
    <t>TR28395</t>
  </si>
  <si>
    <t>Ali Block New Garden Town 14 Lahore</t>
  </si>
  <si>
    <t>Order has been shipped via PostEx with Tracking 21120050021267. 
 | 💰 COD Rec: 2026-01-20 | Ref: CPR-PET00266528 | Amt: 2749</t>
  </si>
  <si>
    <t>TR28396</t>
  </si>
  <si>
    <t>Adil Chhippa</t>
  </si>
  <si>
    <t>F116 First Floor North Vista Apartments Block B North Nazimabad Karachi</t>
  </si>
  <si>
    <t>Order has been shipped via PostEx with Tracking 26120050021276. confirm
 | 💰 COD Rec:  | Ref:  | Amt: 5750</t>
  </si>
  <si>
    <t>A | X Embroidery LOGO - XL / Olive (x1), (Premium) Popcorn Polo - L / White (x1), ADI - EMBOSSED LOGO (Cotton) - XL / Black (x1), Tipping Crew - XL / Black (x1)</t>
  </si>
  <si>
    <t>TR28397</t>
  </si>
  <si>
    <t>Salman khan Shahid khan</t>
  </si>
  <si>
    <t>House no 1 cantonment board staf qutar Daigh Road Cantt Bazar near bilal masjid Karachi Karachi</t>
  </si>
  <si>
    <t xml:space="preserve">Order has been shipped via PostEx with Tracking 25120050021266. </t>
  </si>
  <si>
    <t>TR28398</t>
  </si>
  <si>
    <t>Mubashar Ali</t>
  </si>
  <si>
    <t>Sialkot.( siad pure road ‘pindi punjran) Sialkot</t>
  </si>
  <si>
    <t>Order has been shipped via PostEx with Tracking 24120050021275. postex
 | 💰 COD Rec: 2026-01-20 | Ref: CPR-PET00266528 | Amt: 2749</t>
  </si>
  <si>
    <t>TR28399</t>
  </si>
  <si>
    <t>Zeshan Babar</t>
  </si>
  <si>
    <t>Faisal shopping center, main Bazar, Fateh Pur, Layyah Fateh Pur</t>
  </si>
  <si>
    <t>Fateh Pur</t>
  </si>
  <si>
    <t>Order has been shipped via PostEx with Tracking 25120050021265. 
 | 💰 COD Rec: 2026-01-20 | Ref: CPR-PET00266528 | Amt: 2749</t>
  </si>
  <si>
    <t>TR28400</t>
  </si>
  <si>
    <t>Yasir Ashraf</t>
  </si>
  <si>
    <t>Outside kot azam khan kasur near bilal masjid kasur Kasur</t>
  </si>
  <si>
    <t>Order has been shipped via PostEx with Tracking 29120050021264. 
 | 💰 COD Rec: 2026-01-20 | Ref: CPR-PET00266528 | Amt: 6648</t>
  </si>
  <si>
    <t>Signature Adi-Trouser - M / Navy (x1), Adi Winter Trouser - M / Black (x1), ADI Multi Ref Stripes - M / White (x1), ADI Multi Ref Stripes - M / Black (x1)</t>
  </si>
  <si>
    <t>TR28401</t>
  </si>
  <si>
    <t>Zameer Hussain</t>
  </si>
  <si>
    <t>Karachi/defence Phase 6 Rahat Commercial Lane No3 Zh Men Saloon 03002074621</t>
  </si>
  <si>
    <t>Order has been shipped via PostEx with Tracking 22120050021263. 
 | 💰 COD Rec:  | Ref:  | Amt: 2749</t>
  </si>
  <si>
    <t>TR28402</t>
  </si>
  <si>
    <t>Bismillah Khan</t>
  </si>
  <si>
    <t>Street 2 house next to mosque, Saddat colony, Ali pur road Hafizabad</t>
  </si>
  <si>
    <t>Order has been shipped via PostEx with Tracking 20120050021262. 
 | 💰 COD Rec: 2026-01-20 | Ref: CPR-PET00266528 | Amt: 5450</t>
  </si>
  <si>
    <t>Embossed NIK-E - XL / Black (x1), Embossed NIK-E - XL / White (x1), ADI Multi Ref Stripes - 2XL / White (x1), ADI Multi Ref Stripes - 2XL / Black (x1)</t>
  </si>
  <si>
    <t>TR28403</t>
  </si>
  <si>
    <t>Awais Qarni Awais Qarni</t>
  </si>
  <si>
    <t>+923433761786</t>
  </si>
  <si>
    <t>Industry &amp; Commerce Section, PPMI Complex, street No.1, Sector H-8/1,Islamabad Islamabad</t>
  </si>
  <si>
    <t>Order has been shipped via PostEx with Tracking 23120050021261. whatsup
 | 💰 COD Rec: 2026-01-20 | Ref: CPR-PET00266528 | Amt: 3100</t>
  </si>
  <si>
    <t>ADI Multi Ref Stripes - L / White (x1), ADI Multi Ref Stripes - L / Maroon (x1)</t>
  </si>
  <si>
    <t>TR28404</t>
  </si>
  <si>
    <t>rizwan rizwan</t>
  </si>
  <si>
    <t>+92300957622</t>
  </si>
  <si>
    <t>Pakistan Punjab Dina Mangla Road Dina new jhang Al kousar bakery Dina</t>
  </si>
  <si>
    <t>Order has been shipped via PostEx with Tracking 25120050021260. whatsup
 | 💰 COD Rec: 2026-01-20 | Ref: CPR-PET00266528 | Amt: 2699</t>
  </si>
  <si>
    <t>Embossed NIK-E - L / White (x1), Embossed NIK-E - XL / Black (x1)</t>
  </si>
  <si>
    <t>TR28405</t>
  </si>
  <si>
    <t>SHOUKAT ALI GHURYANI GHURYANI</t>
  </si>
  <si>
    <t>H#b169 Malik Town Near Abdulah-d-baloch Primary School Kotry Distric Jamshoro Sindh. Kotri</t>
  </si>
  <si>
    <t>Kotri</t>
  </si>
  <si>
    <t>Order has been shipped via PostEx with Tracking 21120050021259. 
 | 💰 COD Rec: 2026-01-27 | Ref: CPR-JDDYU556799 | Amt: 3099</t>
  </si>
  <si>
    <t>TR28406</t>
  </si>
  <si>
    <t>Farman Shamsi</t>
  </si>
  <si>
    <t>7/31 street 3 DEHLI MARCANTILE SOCIETY Karachi</t>
  </si>
  <si>
    <t>ya exchnage ma a gaya haa 
 | 💰 COD Rec:  | Ref:  | Amt: 7450
2-items received puma white&amp; tipping black 
 | 💰 COD Rec: 23-Jan-2026 | Ref: CPR-ASUBQ198273 | Amt: 7450</t>
  </si>
  <si>
    <t>Imported Scoba Executive Nik Tro - XL / Silver Grey (x1), Multi ref PUM-A - M / Black (x1)</t>
  </si>
  <si>
    <t>TR28407</t>
  </si>
  <si>
    <t>Toba Tek Singh  adda 256 gb    rajhna sumandri road  Toba Tek Singh</t>
  </si>
  <si>
    <t xml:space="preserve">tcs </t>
  </si>
  <si>
    <t>TR28408</t>
  </si>
  <si>
    <t>Shiraz Alam</t>
  </si>
  <si>
    <t>Isi office jauhrabad near ameer medical complex city jahrbad distt khushab Jauhrabad</t>
  </si>
  <si>
    <t>Jauhrabad</t>
  </si>
  <si>
    <t>Order has been shipped via PostEx with Tracking 20120050021280. ok
 | 💰 COD Rec: 2026-01-20 | Ref: CPR-PET00266528 | Amt: 2749</t>
  </si>
  <si>
    <t>TR28409</t>
  </si>
  <si>
    <t>Umair Amir</t>
  </si>
  <si>
    <t>Tasty garden restaurant and marquee Multan</t>
  </si>
  <si>
    <t xml:space="preserve">Order has been shipped via PostEx with Tracking 29120050021296. </t>
  </si>
  <si>
    <t>TR28410</t>
  </si>
  <si>
    <t>Umair Afridi</t>
  </si>
  <si>
    <t>Kohat Dara Adam Khal   dara bazzar  near  js bank  Dara Adam Khal</t>
  </si>
  <si>
    <t>Dara Adam Khal</t>
  </si>
  <si>
    <t>TR28411</t>
  </si>
  <si>
    <t>Zic Rehman Petroleum Service. 1 Kilometer Chistian Road Hasilpur Bahawalpur</t>
  </si>
  <si>
    <t>Order has been shipped via PostEx with Tracking 27120050021295. 
 | 💰 COD Rec: 2026-01-27 | Ref: CPR-JDDYU556799 | Amt: 2749</t>
  </si>
  <si>
    <t>TR28412</t>
  </si>
  <si>
    <t>farid safvi</t>
  </si>
  <si>
    <t>House 643 block d phase 6 dha Lahore</t>
  </si>
  <si>
    <t>Order has been shipped via PostEx with Tracking 23120050021348. ok
 | 💰 COD Rec:  | Ref:  | Amt: 2799</t>
  </si>
  <si>
    <t>TR28413</t>
  </si>
  <si>
    <t>Ayaz Ur Rehman GB Ur rehman</t>
  </si>
  <si>
    <t>A1 colaction mirpur aj kashmir chok sahida Kashmir Mirpur</t>
  </si>
  <si>
    <t>Kashmir Mirpur</t>
  </si>
  <si>
    <t xml:space="preserve">cancel 2 order same kiya hain </t>
  </si>
  <si>
    <t>TR28414</t>
  </si>
  <si>
    <t>Mirza gulfam</t>
  </si>
  <si>
    <t>street no 8 canal parak muridke  Muridke</t>
  </si>
  <si>
    <t>Order has been shipped via PostEx with Tracking 29120050021347. ok
 | 💰 COD Rec: 2026-01-27 | Ref: CPR-JDDYU556799 | Amt: 3099</t>
  </si>
  <si>
    <t>TR28415</t>
  </si>
  <si>
    <t>ZEESHAN SHAKEEL</t>
  </si>
  <si>
    <t>Pmo, Taxila Taxila</t>
  </si>
  <si>
    <t xml:space="preserve">cancel request by coustomer </t>
  </si>
  <si>
    <t>TR28416</t>
  </si>
  <si>
    <t>Abid Khurshid</t>
  </si>
  <si>
    <t>Laker Mandi Sadiqabad Sadiqabad</t>
  </si>
  <si>
    <t>Order has been shipped via PostEx with Tracking 25120050021346. confirm yahi address haa</t>
  </si>
  <si>
    <t>TR28417</t>
  </si>
  <si>
    <t>Bilal Hussian</t>
  </si>
  <si>
    <t>New fruit market super high way karachi shop no 10 Karachi</t>
  </si>
  <si>
    <t>Order has been shipped via PostEx with Tracking 24120050021294. 
 | 💰 COD Rec:  | Ref:  | Amt: 3099</t>
  </si>
  <si>
    <t>ADI Multi Ref Stripes - 2XL / White (x1), ADI Multi Ref Stripes - 3XL / Black (x1)</t>
  </si>
  <si>
    <t>TR28418</t>
  </si>
  <si>
    <t>Tahir Butt</t>
  </si>
  <si>
    <t>main gt road  Bharia phase 8   gate per a ker rider call ker la  Rawalpindi</t>
  </si>
  <si>
    <t xml:space="preserve">Order has been shipped via PostEx with Tracking 24120050021345. ok    not ans </t>
  </si>
  <si>
    <t>TR28419</t>
  </si>
  <si>
    <t>Awais Saddique</t>
  </si>
  <si>
    <t>+923558014135</t>
  </si>
  <si>
    <t>Ahsan boot house bawli Bazar near Hbl bank Abbaspur city Hajira ajk Other</t>
  </si>
  <si>
    <t>cancel    no needed</t>
  </si>
  <si>
    <t>TR28420</t>
  </si>
  <si>
    <t>Yasir Shehzad</t>
  </si>
  <si>
    <t>Sigma shoes , Gondal road, Bharth Sialkot cantt Sialkot</t>
  </si>
  <si>
    <t>Order has been shipped via PostEx with Tracking 21120050021344. ok
 | 💰 COD Rec:  | Ref:  | Amt: 4248</t>
  </si>
  <si>
    <t>TR28421</t>
  </si>
  <si>
    <t>Aashir Abbas</t>
  </si>
  <si>
    <t>Pir mahal ghosia chock  near family maal  Pir mahal</t>
  </si>
  <si>
    <t>Pir mahal</t>
  </si>
  <si>
    <t>Order has been shipped via PostEx with Tracking 23120050021343. ok   rider nahi aya 
 | ↩️ Return Charged: 2026-01-27 | Fee: 200.1</t>
  </si>
  <si>
    <t>TR28422</t>
  </si>
  <si>
    <t>Awais Raza</t>
  </si>
  <si>
    <t>budhla sanat talab chock Multan</t>
  </si>
  <si>
    <t xml:space="preserve">not ans </t>
  </si>
  <si>
    <t>TR28423</t>
  </si>
  <si>
    <t>Usman ghani</t>
  </si>
  <si>
    <t>District Okara, basirpur road, Dharma wala solang stop( near Darbare alia Depalpur</t>
  </si>
  <si>
    <t>Order has been shipped via PostEx with Tracking 25120050021342. confirm 
 | 💰 COD Rec:  | Ref:  | Amt: 2849</t>
  </si>
  <si>
    <t>TR28424</t>
  </si>
  <si>
    <t>Faisal Saleem</t>
  </si>
  <si>
    <t>Latifabad Hyderabad</t>
  </si>
  <si>
    <t>wednesday  ko dispatch kerna 
 Latifabad Hyderabad, Hyderabad
🔗 https://www.google.com/maps/search/?api=1&amp;query=25.3669103,68.3518139</t>
  </si>
  <si>
    <t>TR28425</t>
  </si>
  <si>
    <t>Rana Abid Abid</t>
  </si>
  <si>
    <t>Saidpur road Kali Tanki nw 661 scheme no 1   Rawalpindi</t>
  </si>
  <si>
    <t>Order has been shipped via PostEx with Tracking 24120050021341. confirm 
 | 💰 COD Rec:  | Ref:  | Amt: 3099</t>
  </si>
  <si>
    <t>TR28426</t>
  </si>
  <si>
    <t>Ajaz Mir Mir</t>
  </si>
  <si>
    <t xml:space="preserve">ajaz avail nahi haa jab ay gaa toh confirm ker dein gain </t>
  </si>
  <si>
    <t>TR28427</t>
  </si>
  <si>
    <t>Haq nawaz BHATTI</t>
  </si>
  <si>
    <t>Decent rice mills kot naka road thata khero mutmal Pindi Bhattian</t>
  </si>
  <si>
    <t>Pindi Bhattian</t>
  </si>
  <si>
    <t>Order has been shipped via PostEx with Tracking 24120050021293.    not ans 
 | ↩️ Return Charged: 2026-01-30 | Fee: 200</t>
  </si>
  <si>
    <t>TR28428</t>
  </si>
  <si>
    <t>Abdul waqar Waqargujjar</t>
  </si>
  <si>
    <t>H1313 St15 Makkah Colony Gulberg 3lhr Lahore</t>
  </si>
  <si>
    <t xml:space="preserve">combine cancle </t>
  </si>
  <si>
    <t>TR28429</t>
  </si>
  <si>
    <t>+923334328881</t>
  </si>
  <si>
    <t>Order has been shipped via PostEx with Tracking 22120050021340. ok
 | 💰 COD Rec:  | Ref:  | Amt: 4249</t>
  </si>
  <si>
    <t>TR28430</t>
  </si>
  <si>
    <t>Zakir Khan</t>
  </si>
  <si>
    <t>Mama G general store near balala net shop Rabbani muhallah frontier colony frontier morh orangi town karachi Karachi</t>
  </si>
  <si>
    <t>Order has been shipped via PostEx with Tracking 26120050021292. 
 | ↩️ Return Charged: 2026-01-30 | Fee: 213</t>
  </si>
  <si>
    <t>TR28431</t>
  </si>
  <si>
    <t>Khurram Shahzad</t>
  </si>
  <si>
    <t>Banker street gulbarak no 2 peshawar cantt Peahawar</t>
  </si>
  <si>
    <t>Peahawar</t>
  </si>
  <si>
    <t>Order has been shipped via PostEx with Tracking 29120050021291. OPen         cancel ya mana order nahi kiya 
 | ↩️ Return Charged: 2026-01-27 | Fee: 226.78
 | ↩️ Return Charged: 2026-01-27 | Fee: 227</t>
  </si>
  <si>
    <t>TR28432</t>
  </si>
  <si>
    <t>Ahmed B</t>
  </si>
  <si>
    <t>+923223104390</t>
  </si>
  <si>
    <t>114/1 Street 3 Block U phase 2 DHA Lahore Lahore</t>
  </si>
  <si>
    <t>Order has been shipped via PostEx with Tracking 23120050021290. OPen
 | 💰 COD Rec:  | Ref:  | Amt: 2799</t>
  </si>
  <si>
    <t>TR28433</t>
  </si>
  <si>
    <t>Order has been shipped via PostEx with Tracking 20120050021289. whatsup</t>
  </si>
  <si>
    <t>ADI Ref Stripes - 3XL / Black (x1)</t>
  </si>
  <si>
    <t>TR28434</t>
  </si>
  <si>
    <t>shehzad ahmed</t>
  </si>
  <si>
    <t>Pindi gheb Pindi Gheb Attock</t>
  </si>
  <si>
    <t>Pindi Gheb Attock</t>
  </si>
  <si>
    <t>Order has been shipped via PostEx with Tracking 25120050021339. postex self collection 
 | 💰 COD Rec: 2026-01-27 | Ref: CPR-JDDYU556799 | Amt: 3099</t>
  </si>
  <si>
    <t>TR28435</t>
  </si>
  <si>
    <t>Punjab, shujaabad eid gah coliny outsida mirza chock waqas karyana stora Shujaabad</t>
  </si>
  <si>
    <t>Shujaabad</t>
  </si>
  <si>
    <t>Order has been shipped via PostEx with Tracking 22120050021338. confirm 
 | 💰 COD Rec: 2026-01-27 | Ref: CPR-JDDYU556799 | Amt: 2799</t>
  </si>
  <si>
    <t>TR28436</t>
  </si>
  <si>
    <t>Order has been shipped via PostEx with Tracking 26120050021306. 29477replacement</t>
  </si>
  <si>
    <t>Basic Branded Adi Trouser - XL / Black (x1), Adi- Hoodie - XL / Black (x1)</t>
  </si>
  <si>
    <t>TR28437</t>
  </si>
  <si>
    <t>Rehman Rehman</t>
  </si>
  <si>
    <t>Friends snooker club gosiya chok Sargodha</t>
  </si>
  <si>
    <t>Order has been shipped via PostEx with Tracking 27120050021401. confirm 
 | 💰 COD Rec: 2026-01-27 | Ref: CPR-JDDYU556799 | Amt: 1799</t>
  </si>
  <si>
    <t>TR28438</t>
  </si>
  <si>
    <t>faizan khan</t>
  </si>
  <si>
    <t>House No 788 ground floor street 25 block A faisal town islamabad Islamabad</t>
  </si>
  <si>
    <t>Order has been shipped via PostEx with Tracking 24120050021400. confirm 
 | 💰 COD Rec: 2026-01-27 | Ref: CPR-JDDYU556799 | Amt: 1799</t>
  </si>
  <si>
    <t>TR28439</t>
  </si>
  <si>
    <t>Kamran khan</t>
  </si>
  <si>
    <t xml:space="preserve"> Chinar hospital kala pull Abbottabad     (hospital ka reception per a ker cal ker la rider)  Abbottabad</t>
  </si>
  <si>
    <t>Order has been shipped via PostEx with Tracking 26120050021399. confirm 
 | 💰 COD Rec: 2026-01-27 | Ref: CPR-JDDYU556799 | Amt: 3099</t>
  </si>
  <si>
    <t>TR28440</t>
  </si>
  <si>
    <t>Muhammad Qasim</t>
  </si>
  <si>
    <t>+923332177173</t>
  </si>
  <si>
    <t>Mezan chock cutpiece street no 6 near toba musjid Quetta Quetta</t>
  </si>
  <si>
    <t>Order has been shipped via PostEx with Tracking 22120050021398. confirm   to late nahi lena 
 | ↩️ Return Charged: 2026-02-06 | Fee: 213</t>
  </si>
  <si>
    <t>TR28441</t>
  </si>
  <si>
    <t>DrHashim Dr Ghulam Hashim</t>
  </si>
  <si>
    <t>Pahar Pur Near Railway Crossing Layyah</t>
  </si>
  <si>
    <t>Order has been shipped via PostEx with Tracking 23120050021384. confirm  size issue 
 | ↩️ Return Charged: 2026-02-03 | Fee: 220</t>
  </si>
  <si>
    <t>TR28442</t>
  </si>
  <si>
    <t>DrHashim Ghulam</t>
  </si>
  <si>
    <t>Near railway crossing Pahar pur Layyah</t>
  </si>
  <si>
    <t>Order has been shipped via PostEx with Tracking 23120050021376. alow to open cancel size issue 
 | ↩️ Return Charged: 2026-01-30 | Fee: 220</t>
  </si>
  <si>
    <t>TR28443</t>
  </si>
  <si>
    <t>Order has been shipped via PostEx with Tracking 25120050021460. ok
 | 💰 COD Rec: 2026-01-30 | Ref: CPR-R4IZV745179 | Amt: 2849</t>
  </si>
  <si>
    <t>TR28444</t>
  </si>
  <si>
    <t>Muhammed Usman</t>
  </si>
  <si>
    <t>Leopard Office District Astore Astore</t>
  </si>
  <si>
    <t>Astore</t>
  </si>
  <si>
    <t>LE7524364297</t>
  </si>
  <si>
    <t xml:space="preserve">open to allow is ka 230 rs advance hain </t>
  </si>
  <si>
    <t>TR28445</t>
  </si>
  <si>
    <t>Muhammad Dawood</t>
  </si>
  <si>
    <t>House15, St 10, Sec E DHA-1 Islamabad</t>
  </si>
  <si>
    <t>Order has been shipped via PostEx with Tracking 29120050021375. confirm 
 | 💰 COD Rec:  | Ref:  | Amt: 5700</t>
  </si>
  <si>
    <t>ADI Multi Ref Stripes - 2XL / White (x2), ADI Multi Ref Stripes - 2XL / Black (x2)</t>
  </si>
  <si>
    <t>TR28446</t>
  </si>
  <si>
    <t>Shahbaz Ali</t>
  </si>
  <si>
    <t>House # 233 raja Tanveer Colony Sector 11 1/2 Orangi Town near mehmodia chowk Karachi</t>
  </si>
  <si>
    <t>Order has been shipped via PostEx with Tracking 25120050021374. confirm 
 | 💰 COD Rec: 2026-01-27 | Ref: CPR-JDDYU556799 | Amt: 3739</t>
  </si>
  <si>
    <t>TR28447</t>
  </si>
  <si>
    <t>Hafiz Farhat Ullah</t>
  </si>
  <si>
    <t>+9203184096976</t>
  </si>
  <si>
    <t>Feroz pur road Anum Road Buraf khana Chugtaee Road Plot ino 7 Limelight Lahore</t>
  </si>
  <si>
    <t>Order has been shipped via PostEx with Tracking 26120050021333.   not ans 
 | ↩️ Return Charged: 2026-01-30 | Fee: 107</t>
  </si>
  <si>
    <t>TR28448</t>
  </si>
  <si>
    <t>Abdul Hadi</t>
  </si>
  <si>
    <t>Chatha Bakhtawar  Islmabad line 8 house 20  Islamabad</t>
  </si>
  <si>
    <t>Order has been shipped via PostEx with Tracking 24120050021459. confirm 
 | ↩️ Return Charged: 2026-02-06 | Fee: 200</t>
  </si>
  <si>
    <t>TR28449</t>
  </si>
  <si>
    <t>saad saad</t>
  </si>
  <si>
    <t>Madrasa fatima tul zohra. main bazaar road,sana khel Topi swabi</t>
  </si>
  <si>
    <t>Topi swabi</t>
  </si>
  <si>
    <t>Order has been shipped via PostEx with Tracking 20120050021332. 
 | 💰 COD Rec: 2026-01-27 | Ref: CPR-JDDYU556799 | Amt: 3099</t>
  </si>
  <si>
    <t>TR28450</t>
  </si>
  <si>
    <t>H.N Rent A Car Muhammad Nadeem Khan</t>
  </si>
  <si>
    <t>HN Rent A Car And Tour's 76-B Commercial Banker's Housing Society Kamaha Near Makki Oil Store Lahore</t>
  </si>
  <si>
    <t>Order has been shipped via PostEx with Tracking 28120050021331. 
 | 💰 COD Rec:  | Ref:  | Amt: 3099</t>
  </si>
  <si>
    <t>TR28451</t>
  </si>
  <si>
    <t>Muhammad Saqib</t>
  </si>
  <si>
    <t xml:space="preserve">Soon Valley Nushera near Madni Medical Centre nushera </t>
  </si>
  <si>
    <t xml:space="preserve">nushera </t>
  </si>
  <si>
    <t>Order has been shipped via PostEx with Tracking 23120050021383. confirm 
 | ↩️ Return Charged: 2026-02-06 | Fee: 227</t>
  </si>
  <si>
    <t>TR28452</t>
  </si>
  <si>
    <t>Ch saad Ch saad</t>
  </si>
  <si>
    <t>+923066376669</t>
  </si>
  <si>
    <t>Jinnah Town  main road house no 5  Sadiqabad</t>
  </si>
  <si>
    <t>Order has been shipped via PostEx with Tracking 22120050021365. confirm 
 | ↩️ Return Charged: 2026-02-03 | Fee: 220</t>
  </si>
  <si>
    <t>TR28453</t>
  </si>
  <si>
    <t>Ahsan Ali Ali</t>
  </si>
  <si>
    <t>Awami computerized kanta   Shikarpur Road, Rato Dero, Pakistan Rato Dero</t>
  </si>
  <si>
    <t>Rato Dero</t>
  </si>
  <si>
    <t>Order has been shipped via PostEx with Tracking 26120050021397. confirm  consignee want open parcel 
 | ↩️ Return Charged: 2026-02-03 | Fee: 213</t>
  </si>
  <si>
    <t>TR28454</t>
  </si>
  <si>
    <t>Baloch Khan</t>
  </si>
  <si>
    <t>Shop no F-30, New Star Plus Market Near PTCL Office Turbat Turbat</t>
  </si>
  <si>
    <t>Order has been shipped via PostEx with Tracking 25120050021330. 
 | 💰 COD Rec: 2026-02-03 | Ref: CPR-ZZCET490688 | Amt: 2849</t>
  </si>
  <si>
    <t>TR28455</t>
  </si>
  <si>
    <t>Zahid Nasim</t>
  </si>
  <si>
    <t>SD67 DOHS MALIR CANTT KARACHI Karachi</t>
  </si>
  <si>
    <t>Order has been shipped via PostEx with Tracking 25120050021329. 
 | 💰 COD Rec:  | Ref:  | Amt: 3099</t>
  </si>
  <si>
    <t>TR28456</t>
  </si>
  <si>
    <t xml:space="preserve">cancel ma advance nahi doo ga </t>
  </si>
  <si>
    <t>TR28457</t>
  </si>
  <si>
    <t>Fawad khan Fawad khan</t>
  </si>
  <si>
    <t>D12/1 street 103 house 713 Islamabad Islamabad</t>
  </si>
  <si>
    <t xml:space="preserve">combine cancel </t>
  </si>
  <si>
    <t>TR28458</t>
  </si>
  <si>
    <t>Muhammad Akhtar Malik Akhtar Malik</t>
  </si>
  <si>
    <t>New Alina Eiman rice mill shama ghee 1km bahawal pur bypass bahawal pur road multan Multan</t>
  </si>
  <si>
    <t>Order has been shipped via PostEx with Tracking 21120050021328. not ans 
 | ↩️ Return Charged: 2026-01-30 | Fee: 220</t>
  </si>
  <si>
    <t>TR28459</t>
  </si>
  <si>
    <t>Syed Muhammad Ali Shah</t>
  </si>
  <si>
    <t>Studio Appartment 10, ASTOLA Block, PN Central Mess Islamabad</t>
  </si>
  <si>
    <t>Order has been shipped via PostEx with Tracking 21120050021327. 
 | 💰 COD Rec: 2026-01-27 | Ref: CPR-JDDYU556799 | Amt: 4998</t>
  </si>
  <si>
    <t>ADI Multi Ref Stripes - XL / White (x1), ADI Multi Ref Stripes - XL / Black (x1), Basic Branded Adi Trouser - L / Black (x1)</t>
  </si>
  <si>
    <t>TR28460</t>
  </si>
  <si>
    <t>Ahsan Tasneem</t>
  </si>
  <si>
    <t>+923218930081</t>
  </si>
  <si>
    <t>House # 190/D, Block 2, PECHS karachi opposite Pasha Clinic near PECHS girls school Karachi</t>
  </si>
  <si>
    <t>Order has been shipped via PostEx with Tracking 21120050021326. 
 | 💰 COD Rec: 2026-01-27 | Ref: CPR-JDDYU556799 | Amt: 2049</t>
  </si>
  <si>
    <t>TR28461</t>
  </si>
  <si>
    <t>Ali Gillani Ali Gillani</t>
  </si>
  <si>
    <t>Canal view housing society A bolak house no 105 Lahore</t>
  </si>
  <si>
    <t>Order has been shipped via PostEx with Tracking 21120050021325.    cancel size issue 
 | ↩️ Return Charged: 2026-01-27 | Fee: 106.72
 | ↩️ Return Charged: 2026-01-27 | Fee: 107</t>
  </si>
  <si>
    <t>TR28462</t>
  </si>
  <si>
    <t>Naveed Umranii</t>
  </si>
  <si>
    <t>+923333372436</t>
  </si>
  <si>
    <t>Jaffarbada Jaffarbada</t>
  </si>
  <si>
    <t>Jaffarbada</t>
  </si>
  <si>
    <t>order cancel ker dein ma city sa bohat door rehta hoo city sa pick nahi ker saktha 
 Jaffarbada Jaffarbada, Jaffarbada
🔗 N/A</t>
  </si>
  <si>
    <t>TR28463</t>
  </si>
  <si>
    <t>Order has been shipped via PostEx with Tracking 21120050021324. 
 | 💰 COD Rec: 2026-01-27 | Ref: CPR-JDDYU556799 | Amt: 2749</t>
  </si>
  <si>
    <t>TR28464</t>
  </si>
  <si>
    <t>Anees Ahmad</t>
  </si>
  <si>
    <t>+923218491400</t>
  </si>
  <si>
    <t>147 D, Muhafiz Town Phase 1, Mohlanwal Road Lahore</t>
  </si>
  <si>
    <t>Order has been shipped via PostEx with Tracking 24120050021323. 
 | 💰 COD Rec:  | Ref:  | Amt: 2849</t>
  </si>
  <si>
    <t>TR28465</t>
  </si>
  <si>
    <t>Zubair Rasheed</t>
  </si>
  <si>
    <t>Bahadurpur Chowk bosan road Multan Multan</t>
  </si>
  <si>
    <t>Order has been shipped via PostEx with Tracking 24120050021364. confirm  not ans
 | ↩️ Return Charged: 2026-01-30 | Fee: 200</t>
  </si>
  <si>
    <t>TR28466</t>
  </si>
  <si>
    <t>Muhammad Jamshaid</t>
  </si>
  <si>
    <t>House No 350 Street 09 Shalley Valley Range Road Rwp Rawalpindi</t>
  </si>
  <si>
    <t>Order has been shipped via PostEx with Tracking 21120050021322. 
 | 💰 COD Rec: 2026-01-27 | Ref: CPR-JDDYU556799 | Amt: 2799</t>
  </si>
  <si>
    <t>TR28467</t>
  </si>
  <si>
    <t>emaan ul haq</t>
  </si>
  <si>
    <t>shami road cantttenacious mess main gate  per a ker rider call ker la , lahore  Lahore</t>
  </si>
  <si>
    <t>Order has been shipped via PostEx with Tracking 29120050021363. confirm 
 | 💰 COD Rec:  | Ref:  | Amt: 2799</t>
  </si>
  <si>
    <t>TR28468</t>
  </si>
  <si>
    <t>Order has been shipped via PostEx with Tracking 28120050021362. confirm 
 | 💰 COD Rec:  | Ref:  | Amt: 5849</t>
  </si>
  <si>
    <t>Imported Scoba Executive Nik Tro - XL / Black (x1), Adi- Hoodie - XL / Black (x1)</t>
  </si>
  <si>
    <t>TR28469</t>
  </si>
  <si>
    <t>715 G.B Kamalia</t>
  </si>
  <si>
    <t>Order has been shipped via PostEx with Tracking 23120050021321.   not ans 
 | ↩️ Return Charged: 2026-01-30 | Fee: 200</t>
  </si>
  <si>
    <t>TR28470</t>
  </si>
  <si>
    <t>Kareem Khan</t>
  </si>
  <si>
    <t>Sadiqabad Rawalpindi satellite Town nearby Ahmed medical complex Rawalpindi</t>
  </si>
  <si>
    <t>Order has been shipped via PostEx with Tracking 29120050021320. 
 | 💰 COD Rec:  | Ref:  | Amt: 3099</t>
  </si>
  <si>
    <t>TR28471</t>
  </si>
  <si>
    <t>Syed sibtul hassan GILANI</t>
  </si>
  <si>
    <t>63-1, Block A, UET society, Lahore Lahore</t>
  </si>
  <si>
    <t>TR28472</t>
  </si>
  <si>
    <t>AOUN Muhammad</t>
  </si>
  <si>
    <t>Mohallah Noor Shah Bukhari Ahmedpur East Ahmedpur East</t>
  </si>
  <si>
    <t>Order has been shipped via PostEx with Tracking 25120050021319. 
 | 💰 COD Rec:  | Ref:  | Amt: 4248</t>
  </si>
  <si>
    <t>TR28473</t>
  </si>
  <si>
    <t>Touseef Hassan</t>
  </si>
  <si>
    <t>Allama iqbal international airport   ka under departure per a ker call ker la rider  Lahore</t>
  </si>
  <si>
    <t>Order has been shipped via PostEx with Tracking 21120050021373. open to allow not ans 
 | ↩️ Return Charged: 2026-01-30 | Fee: 120</t>
  </si>
  <si>
    <t>TR28474</t>
  </si>
  <si>
    <t>Mussa Jutt</t>
  </si>
  <si>
    <t xml:space="preserve"> China scheme, Bhogiwal Rd  takhana stop Lahore</t>
  </si>
  <si>
    <t>shop sy lyga Order has been shipped via PostEx with Tracking 26120050021361. confrm     ya chiina stuff nahi haa ya local haa
[21-Jan Reattempt]: open parcel allow
 | ↩️ Return Charged: 2026-01-27 | Fee: 120.06</t>
  </si>
  <si>
    <t>TR28475</t>
  </si>
  <si>
    <t>Kamran Arif</t>
  </si>
  <si>
    <t>R-119 Jahangir Town Scheme 33 Karachi</t>
  </si>
  <si>
    <t>Order has been shipped via PostEx with Tracking 28120050021318. 
 | ↩️ Return Charged: 2026-02-03 | Fee: 227</t>
  </si>
  <si>
    <t>TR28476</t>
  </si>
  <si>
    <t>Adil Mehraj</t>
  </si>
  <si>
    <t>Cmh gujranwala . Rahwali cantt Gujranwala</t>
  </si>
  <si>
    <t>Order has been shipped via PostEx with Tracking 27120050021317. 
 | 💰 COD Rec:  | Ref:  | Amt: 2799</t>
  </si>
  <si>
    <t>TR28477</t>
  </si>
  <si>
    <t>Ahmed Ansari</t>
  </si>
  <si>
    <t>Gulistan e johar18 Karachi johar square blk2 flat 2 Karachi</t>
  </si>
  <si>
    <t>Order has been shipped via PostEx with Tracking 21120050021316. fake attemp in wp 
 | ↩️ Return Charged: 2026-01-30 | Fee: 227</t>
  </si>
  <si>
    <t>TR28478</t>
  </si>
  <si>
    <t>Bakhtawar Shehzad</t>
  </si>
  <si>
    <t>House no 148 E block 2 pechs karachi Karachi</t>
  </si>
  <si>
    <t xml:space="preserve">cancel no reason </t>
  </si>
  <si>
    <t>TR28479</t>
  </si>
  <si>
    <t>Furqan Mohammad</t>
  </si>
  <si>
    <t>D49 block 2 opposite  bilawal house cliftown  Karachi Karachi</t>
  </si>
  <si>
    <t>Order has been shipped via PostEx with Tracking 28120050021337. confirm
 | 💰 COD Rec:  | Ref:  | Amt: 6250</t>
  </si>
  <si>
    <t>Basic RL Crew- Cotton - S / Royal Orange (x1), ADI - EMBOSSED LOGO (Cotton) - M / Black (x1), ADI - EMBOSSED LOGO (Cotton) - M / Bottle green (x1), Embossed NIK-E - M / Black (x1), Embossed NIK-E - M / White (x1)</t>
  </si>
  <si>
    <t>TR28480</t>
  </si>
  <si>
    <t>+923455448850</t>
  </si>
  <si>
    <t>Executive tower dolmen city block 4 Clifton Karachi Karachi</t>
  </si>
  <si>
    <t>Order has been shipped via PostEx with Tracking 23120050021315. 
 | 💰 COD Rec:  | Ref:  | Amt: 2749</t>
  </si>
  <si>
    <t>TR28481</t>
  </si>
  <si>
    <t>Yasir Mehmood</t>
  </si>
  <si>
    <t>C/O Muhammad Adeel, Block 3 , Room 201, Allama Iqbal Open university, Sector H8 Islamabad Islamabad</t>
  </si>
  <si>
    <t>Order has been shipped via PostEx with Tracking 28120050021314. 
 | 💰 COD Rec:  | Ref:  | Amt: 6100</t>
  </si>
  <si>
    <t>Imported Scoba Executive Nik Tro - XL / Silver Grey (x1), Imported Scoba Executive Nik Tro - XL / Black (x1)</t>
  </si>
  <si>
    <t>TR28482</t>
  </si>
  <si>
    <t>Muhammad Mithal Abbasi</t>
  </si>
  <si>
    <t>8th floor NICL building off Gora kabrustan Karachi Karachi</t>
  </si>
  <si>
    <t>Order has been shipped via PostEx with Tracking 24120050021313. lcs / tcs 
 | 💰 COD Rec: 2026-01-27 | Ref: CPR-JDDYU556799 | Amt: 1999</t>
  </si>
  <si>
    <t>(Premium) Popcorn Polo - M / White (x1)</t>
  </si>
  <si>
    <t>TR28483</t>
  </si>
  <si>
    <t>Awais Hussain</t>
  </si>
  <si>
    <t>Pakistan mint sue wala road nadia chowk  Lahore</t>
  </si>
  <si>
    <t>Order has been shipped via PostEx with Tracking 25120050021464. Order has been shipped via PostEx with Tracking 26120050021336. confirm 
 | 💰 COD Rec: 2026-01-27 | Ref: CPR-JDDYU556799 | Amt: 3099</t>
  </si>
  <si>
    <t>ADI Multi Ref Stripes - 3XL / Black (x1), ADI Multi Ref Stripes - 4XL / White (x1)</t>
  </si>
  <si>
    <t>TR28484</t>
  </si>
  <si>
    <t>Moosa Durrani</t>
  </si>
  <si>
    <t>R-15 Al-Muslim Society Phase 1 Sector 38/A Scheme 33 University Road Karachi Karachi</t>
  </si>
  <si>
    <t>Order has been shipped via PostEx with Tracking 28120050021312. confirm
 | 💰 COD Rec:  | Ref:  | Amt: 1499</t>
  </si>
  <si>
    <t>TR28485</t>
  </si>
  <si>
    <t>Waqas Ahmed</t>
  </si>
  <si>
    <t>lalsans treval enjancy near mcb bank jalalpur sobatin Gujrat</t>
  </si>
  <si>
    <t>LE7524311257</t>
  </si>
  <si>
    <t>tcs
 | 💰 COD Rec: 2026-01-01 | Ref: INV-278477 | Amt: 4248</t>
  </si>
  <si>
    <t>INV-278477</t>
  </si>
  <si>
    <t>TR28486</t>
  </si>
  <si>
    <t>Faisal Faisal</t>
  </si>
  <si>
    <t>jalal pur road near makki musjd gali   DOCTOR  nazir wali   maa    a ker rider call ker la  Hafizabad</t>
  </si>
  <si>
    <t>Order has been shipped via PostEx with Tracking 27120050021335. confirm 
 | 💰 COD Rec:  | Ref:  | Amt: 2799</t>
  </si>
  <si>
    <t>TR28487</t>
  </si>
  <si>
    <t>Aftab Bhullar</t>
  </si>
  <si>
    <t>House No.42 Al-razzaq Villas Madhali Road Sahiwal</t>
  </si>
  <si>
    <t>TR28488</t>
  </si>
  <si>
    <t>Dr Aftab Khan</t>
  </si>
  <si>
    <t>H#352, St#47, Margalla Town, Phase#2 Islamabad</t>
  </si>
  <si>
    <t>Order has been shipped via PostEx with Tracking 21120050021311. confirm
 | 💰 COD Rec: 2026-01-27 | Ref: CPR-JDDYU556799 | Amt: 3099</t>
  </si>
  <si>
    <t>TR28489</t>
  </si>
  <si>
    <t>+923128687786</t>
  </si>
  <si>
    <t>Order has been shipped via PostEx with Tracking 28120050021310. confirm 
 | 💰 COD Rec:  | Ref:  | Amt: 5699</t>
  </si>
  <si>
    <t>Embossed NIK-E - XL / Black (x1), Embossed NIK-E - XL / White (x1), NIK- Ref LOGO - XL / white (x1), NIK- Ref LOGO - XL / black (x1)</t>
  </si>
  <si>
    <t>TR28490</t>
  </si>
  <si>
    <t>+923459029283</t>
  </si>
  <si>
    <t>cancel ker doo ma advance nahi doo gaa 
 D12/1 street 103 house 713 Islamabad Islamabad, Islamabad
🔗 https://www.google.com/maps/search/?api=1&amp;query=33.7094974,73.0877252</t>
  </si>
  <si>
    <t>TR28491</t>
  </si>
  <si>
    <t>AWAIS Raza</t>
  </si>
  <si>
    <t>City 68Mori shop raja awais communication Nawab shah 68Mori</t>
  </si>
  <si>
    <t>Nawab shah 68Mori</t>
  </si>
  <si>
    <t xml:space="preserve">not ans no wp 
</t>
  </si>
  <si>
    <t>TR28492</t>
  </si>
  <si>
    <t>Ayaz ur rehman Ur rehman</t>
  </si>
  <si>
    <t>A1 collaction aj kashmir chok shahida Kashmir Mirpur</t>
  </si>
  <si>
    <t>Order has been shipped via PostEx with Tracking 25120050021309. confirm 
 | 💰 COD Rec:  | Ref:  | Amt: 2749</t>
  </si>
  <si>
    <t>TR28493</t>
  </si>
  <si>
    <t>Suhail Jakhro</t>
  </si>
  <si>
    <t>Shikarpur khan chendabad  near high school no 2  Shikarpur</t>
  </si>
  <si>
    <t>Order has been shipped via PostEx with Tracking 27120050021308. confirm 
 | 💰 COD Rec:  | Ref:  | Amt: 2749</t>
  </si>
  <si>
    <t>TR28494</t>
  </si>
  <si>
    <t>Rashid khan</t>
  </si>
  <si>
    <t>District court Quetta near quality Sweet manan Chowk Quetta ( time 10am to 3pm) Quetta</t>
  </si>
  <si>
    <t>Order has been shipped via PostEx with Tracking 26120050021307. confirm 
 | ↩️ Return Charged: 2026-02-06 | Fee: 213</t>
  </si>
  <si>
    <t>TR28495</t>
  </si>
  <si>
    <t>Order has been shipped via PostEx with Tracking 23120050021305. 250 lagana hain 29467 exchange 
 | 💰 COD Rec:  | Ref:  | Amt: 250
 | 💰 COD Rec: 23-Jan-2026 | Ref: CPR-ASUBQ198273 | Amt: 250</t>
  </si>
  <si>
    <t>TR28496</t>
  </si>
  <si>
    <t>Qasim Lodhi</t>
  </si>
  <si>
    <t>45-e216 Satellite Town Rawalpindi Rawalpindi</t>
  </si>
  <si>
    <t>Order has been shipped via PostEx with Tracking 28120050021380. confirm 
 | 💰 COD Rec: 2026-01-27 | Ref: CPR-JDDYU556799 | Amt: 3099</t>
  </si>
  <si>
    <t>TR28497</t>
  </si>
  <si>
    <t>Bilal Nadeem Rehmani</t>
  </si>
  <si>
    <t>Haider e Azam plaza GT road Kassowal Kassowal</t>
  </si>
  <si>
    <t>Kassowal</t>
  </si>
  <si>
    <t>Order has been shipped via PostEx with Tracking 28120050021334. confirm 
 | 💰 COD Rec: 2026-01-23 | Ref: CPR-ASUBQ198273 | Amt: 3099</t>
  </si>
  <si>
    <t>1/23/26,</t>
  </si>
  <si>
    <t>TR28498</t>
  </si>
  <si>
    <t>Malik Rizwan</t>
  </si>
  <si>
    <t>House 80 Riaz qurashi rod jawra rawalpindi Rawalpindi</t>
  </si>
  <si>
    <t>Order has been shipped via PostEx with Tracking 28120050021396. confirm  not an s
 | ↩️ Return Charged: 2026-02-13 | Fee: 200</t>
  </si>
  <si>
    <t>TR28499</t>
  </si>
  <si>
    <t>Tayyab Ijaz</t>
  </si>
  <si>
    <t>51/2L depalpure road okara near fasial bank Okara</t>
  </si>
  <si>
    <t>cancel ker dein ma again order karo gaaa</t>
  </si>
  <si>
    <t>TR28500</t>
  </si>
  <si>
    <t>iMran SaMeEr</t>
  </si>
  <si>
    <t>+923216124410</t>
  </si>
  <si>
    <t>Kot Radha Kishen Distt Kasur Tehsil Patoki Main Changa Manga Road Lakkr Mandi Masjid Ahlehadis Kasur</t>
  </si>
  <si>
    <t>Order has been shipped via PostEx with Tracking 21120050021379. confirm  ma out of city hoo kal receive ker lo gaa 
 | ↩️ Return Charged: 2026-01-30 | Fee: 220</t>
  </si>
  <si>
    <t>TR28501</t>
  </si>
  <si>
    <t>Waleed Hassan</t>
  </si>
  <si>
    <t>gulberg 3 nabi Pura sm general store house no 1 flat no 7 Lahore</t>
  </si>
  <si>
    <t>Order has been shipped via PostEx with Tracking 20120050021378. confirm
 | 💰 COD Rec:  | Ref:  | Amt: 3099</t>
  </si>
  <si>
    <t>TR28502</t>
  </si>
  <si>
    <t>Village harpalkey dha Lahore cant Pakistan dha 9 town Lahore</t>
  </si>
  <si>
    <t>Order has been shipped via PostEx with Tracking 21120050021377. confirm   rider aya tha hamari footgi ho gai thi 
 | 💰 COD Rec: 2026-01-27 | Ref: CPR-JDDYU556799 | Amt: 2849</t>
  </si>
  <si>
    <t>TR28503</t>
  </si>
  <si>
    <t>Ahmad Fouz Shahiryar</t>
  </si>
  <si>
    <t>House # M 42/1, Khayaban-e-Ittehad, Phase 7, DHA Karachi</t>
  </si>
  <si>
    <t>Order has been shipped via PostEx with Tracking 21120050021372. confirm 
 | 💰 COD Rec: 2026-01-27 | Ref: CPR-JDDYU556799 | Amt: 2849</t>
  </si>
  <si>
    <t>TR28504</t>
  </si>
  <si>
    <t>Abubakar Korotana</t>
  </si>
  <si>
    <t>A Assistant Director Wildlife Gujranwala  near circuit house gugranwala Gujranwala</t>
  </si>
  <si>
    <t>rider aya tha ma available nhai tha Order has been shipped via PostEx with Tracking 28120050021371. confirm   
 | ↩️ Return Charged: 2026-01-30 | Fee: 220</t>
  </si>
  <si>
    <t>TR28505</t>
  </si>
  <si>
    <t>Ammar Irshad</t>
  </si>
  <si>
    <t>F-064 king cottages gulistan-e-johar block 7 karachi Karachi</t>
  </si>
  <si>
    <t>Order has been shipped via PostEx with Tracking 28120050021423. confirm 
 | 💰 COD Rec: 2026-01-27 | Ref: CPR-JDDYU556799 | Amt: 4148</t>
  </si>
  <si>
    <t>TR28506</t>
  </si>
  <si>
    <t>Aasam Mughal</t>
  </si>
  <si>
    <t>korang town rawal pindi Rawal pindi</t>
  </si>
  <si>
    <t>Rawal pindi</t>
  </si>
  <si>
    <t xml:space="preserve">Cancel kro do  consignee ka remarks hain </t>
  </si>
  <si>
    <t>TR28507</t>
  </si>
  <si>
    <t>A.H Vlogs</t>
  </si>
  <si>
    <t>+923041072936</t>
  </si>
  <si>
    <t>Basti malook dunya pur road Faitma marriage hall Multan</t>
  </si>
  <si>
    <t>Order has been shipped via PostEx with Tracking 28120050021370. confirm  open to allow 
 | ↩️ Return Charged: 2026-02-06 | Fee: 200</t>
  </si>
  <si>
    <t>TR28508</t>
  </si>
  <si>
    <t>Order has been shipped via PostEx with Tracking 28120050021369. confirm 
 | 💰 COD Rec: 2026-01-27 | Ref: CPR-JDDYU556799 | Amt: 1449</t>
  </si>
  <si>
    <t>TR28509</t>
  </si>
  <si>
    <t>jabbar butt</t>
  </si>
  <si>
    <t>+923094123601</t>
  </si>
  <si>
    <t>17 fellming road jamia street no 34 house no 8 lahore hotel lahore Lahore</t>
  </si>
  <si>
    <t>CANCEL delivery  ni ker raha</t>
  </si>
  <si>
    <t>TR28510</t>
  </si>
  <si>
    <t>Amir Malak Malak Amir</t>
  </si>
  <si>
    <t>Nasar bagh road badezai stop rehan super store Peshawar</t>
  </si>
  <si>
    <t>Order has been shipped via PostEx with Tracking 25120050021368. confirm
 | 💰 COD Rec:  | Ref:  | Amt: 2849</t>
  </si>
  <si>
    <t>TR28511</t>
  </si>
  <si>
    <t>mehran mehran</t>
  </si>
  <si>
    <t>near dunya news or ptv station lahore lahore</t>
  </si>
  <si>
    <t>Order has been shipped via PostEx with Tracking 24120050021360. 
 | ↩️ Return Charged: 2026-01-30 | Fee: 120</t>
  </si>
  <si>
    <t>TR28512</t>
  </si>
  <si>
    <t>Order has been shipped via PostEx with Tracking 23120050021359. 
 | 💰 COD Rec: 2026-01-27 | Ref: CPR-JDDYU556799 | Amt: 2849</t>
  </si>
  <si>
    <t>TR28513</t>
  </si>
  <si>
    <t>Raja Kashif Nadeem</t>
  </si>
  <si>
    <t>Gojra Bi-pass Road, Mughal General Store near New Best Price Mart Muzaffarabad Ajk</t>
  </si>
  <si>
    <t>Muzaffarabad Ajk</t>
  </si>
  <si>
    <t>power off Order has been shipped via PostEx with Tracking 24120050021358. 
 | ↩️ Return Charged: 2026-01-30 | Fee: 227</t>
  </si>
  <si>
    <t>TR28514</t>
  </si>
  <si>
    <t>saif ul hussain Hussain</t>
  </si>
  <si>
    <t>gulshan E Mayamr Near By Town Hall Sector X8 A Karachi</t>
  </si>
  <si>
    <t>Order has been shipped via PostEx with Tracking 27120050021357. 
 | ↩️ Return Charged: 2026-02-06 | Fee: 213</t>
  </si>
  <si>
    <t>TR28515</t>
  </si>
  <si>
    <t>Mehboob Ali Lashari</t>
  </si>
  <si>
    <t>Near kala pul or cantt station  PNS shifa hospital Karachi Sindh Pakistan labotary blood bank room 8 Karachi</t>
  </si>
  <si>
    <t>Order has been shipped via PostEx with Tracking 22120050021356.   power off 
 | ↩️ Return Charged: 2026-02-06 | Fee: 227</t>
  </si>
  <si>
    <t>TR28516</t>
  </si>
  <si>
    <t xml:space="preserve">cancel thius one ya wala nike nahi kerna </t>
  </si>
  <si>
    <t>TR28517</t>
  </si>
  <si>
    <t>+923459192897</t>
  </si>
  <si>
    <t>Order has been shipped via PostEx with Tracking 28120050021395. confirm 
 | 💰 COD Rec: 2026-01-27 | Ref: CPR-JDDYU556799 | Amt: 3099</t>
  </si>
  <si>
    <t>TR28518</t>
  </si>
  <si>
    <t>Fawad Ali Mian</t>
  </si>
  <si>
    <t>Res: Damana, Madyan, Tehsil: Behrain, District: Swat Madyan</t>
  </si>
  <si>
    <t>Madyan</t>
  </si>
  <si>
    <t>Order has been shipped via PostEx with Tracking 24120050021367. open to allow confirm +92 349 3121700
 | ↩️ Return Charged: 2026-02-06 | Fee: 227</t>
  </si>
  <si>
    <t>TR28519</t>
  </si>
  <si>
    <t>Shahbaz Hashim</t>
  </si>
  <si>
    <t>House 10 , Street 12, Block T,  New Multan Multan</t>
  </si>
  <si>
    <t>Order has been shipped via PostEx with Tracking 27120050021355. 
 | 💰 COD Rec:  | Ref:  | Amt: 3099</t>
  </si>
  <si>
    <t>TR28520</t>
  </si>
  <si>
    <t>Maj Haseeb Maj Haseeb</t>
  </si>
  <si>
    <t>+923312194492</t>
  </si>
  <si>
    <t>Flat 2F MO Cobbe Lane  QASIM Road near QASIM Market  Rwp rawilpindi</t>
  </si>
  <si>
    <t>rawilpindi</t>
  </si>
  <si>
    <t xml:space="preserve">Order has been shipped via PostEx with Tracking 20120050021354. whatsup 3850 received </t>
  </si>
  <si>
    <t>TR28521</t>
  </si>
  <si>
    <t>Day to day shoping mart sialkot circulr road Sialkot</t>
  </si>
  <si>
    <t>Order has been shipped via PostEx with Tracking 26120050021353. 
 | 💰 COD Rec:  | Ref:  | Amt: 2849</t>
  </si>
  <si>
    <t>TR28522</t>
  </si>
  <si>
    <t>National bank of jiwani Jiwani</t>
  </si>
  <si>
    <t xml:space="preserve">CANCEL AGER JIWANI ATA HA TOH KER DO BUT DC ADVANCE NAHI DO GA </t>
  </si>
  <si>
    <t>TR28523</t>
  </si>
  <si>
    <t>Muhammad Firdous</t>
  </si>
  <si>
    <t>Palot No.63-C suit No.2 first Floor 27th street Touheed Commercial.phase.5 DHA.karachi Karachi</t>
  </si>
  <si>
    <t>Order has been shipped via PostEx with Tracking 26120050021352. confirm 
 | 💰 COD Rec: 2026-01-27 | Ref: CPR-JDDYU556799 | Amt: 3099</t>
  </si>
  <si>
    <t>TR28524</t>
  </si>
  <si>
    <t>Afzal Yousaf</t>
  </si>
  <si>
    <t>Roshan park house no 5 kilani masjid, bhola genral store, multan road lahore, cinema street under wadat road orange line station Lahore</t>
  </si>
  <si>
    <t>cancel shop sa a ker la jay ga</t>
  </si>
  <si>
    <t>TR28525</t>
  </si>
  <si>
    <t xml:space="preserve">Faizan ansari rider 3pm  ka abd ay </t>
  </si>
  <si>
    <t>Num 5-muhammadi Garnal Store Bihar Colony Liyari Karachi Street Karachi South</t>
  </si>
  <si>
    <t>Karachi South</t>
  </si>
  <si>
    <t>Order has been shipped via PostEx with Tracking 25120050021351. confirm 
 | ↩️ Return Charged: 2026-02-06 | Fee: 213</t>
  </si>
  <si>
    <t>TR28526</t>
  </si>
  <si>
    <t>Shazad Ibrahim Shazad Ibrahim</t>
  </si>
  <si>
    <t>+92 346 2736897</t>
  </si>
  <si>
    <t>Chitral in hotel jamuxia near pia chowk  Chitral town Chitral town</t>
  </si>
  <si>
    <t>Chitral town</t>
  </si>
  <si>
    <t>Order has been shipped via PostEx with Tracking 24120050021350. whatsup 
[Paid: 3250 | Ref: CPR-ASUBQ198273]</t>
  </si>
  <si>
    <t>ADI Ref Stripes - 2XL / Black (x1), NIK- Ref LOGO - 2XL / white (x1), NIK- Ref LOGO - 2XL / black (x1)</t>
  </si>
  <si>
    <t>TR28527</t>
  </si>
  <si>
    <t>gochh, Langrial Chowk, Kotla Arab Ali Khan Gujrat</t>
  </si>
  <si>
    <t>Order has been shipped via PostEx with Tracking 21120050021366. confirm  Kotla Arab Ali Khan
 rider aya tha ma jummah parhna gaya hua tha 
 | ↩️ Return Charged: 2026-01-30 | Fee: 200</t>
  </si>
  <si>
    <t>TR28528</t>
  </si>
  <si>
    <t>Waheed khan Waheed khan</t>
  </si>
  <si>
    <t>+923086369864</t>
  </si>
  <si>
    <t>House number 170 gujar street Makkah colony firdous market gulberg lahore lahore</t>
  </si>
  <si>
    <t>Order has been shipped via PostEx with Tracking 29120050021349. whatsup 
[Paid: 2749 | Ref: CPR-ASUBQ198273]</t>
  </si>
  <si>
    <t>TR28529</t>
  </si>
  <si>
    <t>Muhammad Muhammadfarooq</t>
  </si>
  <si>
    <t>+923421074861</t>
  </si>
  <si>
    <t>Rawalpindi adiola road Punjab society nazdeek Abdullah hospital street 10 Rawalpindi</t>
  </si>
  <si>
    <t>Order has been shipped via PostEx with Tracking 20120050021422. confirm 
 | 💰 COD Rec: 2026-01-27 | Ref: CPR-JDDYU556799 | Amt: 3099</t>
  </si>
  <si>
    <t>TR28530</t>
  </si>
  <si>
    <t>Ammar Saleem</t>
  </si>
  <si>
    <t>Lucky biryni talagang near GPO talagang Talagang</t>
  </si>
  <si>
    <t>Order has been shipped via PostEx with Tracking 20120050021382. 
 | 💰 COD Rec: 2026-01-27 | Ref: CPR-JDDYU556799 | Amt: 4248</t>
  </si>
  <si>
    <t>TR28531</t>
  </si>
  <si>
    <t xml:space="preserve">CANCEL MANA KOI ORDER NAHI KIYA </t>
  </si>
  <si>
    <t>TR28532</t>
  </si>
  <si>
    <t>Faran Khan</t>
  </si>
  <si>
    <t>Village pandheri postoffice bakhshali tehsil and District mardan Mardan</t>
  </si>
  <si>
    <t>TR28533</t>
  </si>
  <si>
    <t>khurram khurram</t>
  </si>
  <si>
    <t>jinnah colony house 419 faisalabad</t>
  </si>
  <si>
    <t>faisalabad</t>
  </si>
  <si>
    <t>Order has been shipped via PostEx with Tracking 28120050021408. confirm      ya nahi lena cancel ker diya tha 
 | ↩️ Return Charged: 2026-01-30 | Fee: 200</t>
  </si>
  <si>
    <t>TR28534</t>
  </si>
  <si>
    <t>Shareef pharmacy main bhimber road Kotla Arab Ali Khan Kotla Arab Ali Khan</t>
  </si>
  <si>
    <t>Order has been shipped via PostEx with Tracking 28120050021421. confirm    rider aya tha mana parcel receive nahi kiya 
 | ↩️ Return Charged: 2026-01-30 | Fee: 200</t>
  </si>
  <si>
    <t>TR28535</t>
  </si>
  <si>
    <t>Parshant Adwani</t>
  </si>
  <si>
    <t>Abid medical center chundko near by nara rangers shop kandvari road chundko district khairpur Choondko</t>
  </si>
  <si>
    <t>Choondko</t>
  </si>
  <si>
    <t>LE7524364300</t>
  </si>
  <si>
    <t xml:space="preserve">confrm  not ans </t>
  </si>
  <si>
    <t>TR28536</t>
  </si>
  <si>
    <t>Kashif Parwez</t>
  </si>
  <si>
    <t>Student Sports Canter Near Station Chowk Tando Adam District Sanghar Sindh Tando Adam District Sanghar Sindh Pakistan</t>
  </si>
  <si>
    <t>Tando Adam District Sanghar Sindh Pakistan</t>
  </si>
  <si>
    <t>Order has been shipped via PostEx with Tracking 28120050021381. 
 | 💰 COD Rec: 2026-01-27 | Ref: CPR-JDDYU556799 | Amt: 4248</t>
  </si>
  <si>
    <t>TR28537</t>
  </si>
  <si>
    <t>Police station kot abdul Malkin sheikhupura near polka chok Sheikhupura</t>
  </si>
  <si>
    <t>Order has been shipped via PostEx with Tracking 27120050021407. confirm  allow to open 
 | 💰 COD Rec: 2026-01-27 | Ref: CPR-JDDYU556799 | Amt: 2749</t>
  </si>
  <si>
    <t>TR28538</t>
  </si>
  <si>
    <t>Shahzaib Shahzaib</t>
  </si>
  <si>
    <t>Seadpur reod asgar mall chok alsheikh Tikka house Rawalpindi Rawalpindi</t>
  </si>
  <si>
    <t>not ans  no wp</t>
  </si>
  <si>
    <t>TR28539</t>
  </si>
  <si>
    <t>Muhammad Inam</t>
  </si>
  <si>
    <t>House no 934 Sec 33/E Korangi no 2/12, Karachi Karachi</t>
  </si>
  <si>
    <t>Order has been shipped via PostEx with Tracking 23120050021394. 
 | 💰 COD Rec: 2026-01-30 | Ref: CPR-R4IZV745179 | Amt: 3099</t>
  </si>
  <si>
    <t>TR28540</t>
  </si>
  <si>
    <t>Mohammed Ali</t>
  </si>
  <si>
    <t>+923465717251</t>
  </si>
  <si>
    <t>Gojra  357 JB JHANG ROAD  Gojra</t>
  </si>
  <si>
    <t>Order has been shipped via PostEx with Tracking 20120050021453. CONFIRM  not ans
 | ↩️ Return Charged: 2026-01-30 | Fee: 200</t>
  </si>
  <si>
    <t>TR28541</t>
  </si>
  <si>
    <t>Abdullah Memon</t>
  </si>
  <si>
    <t>C/O. Abdullah Memon, Wapda Rest House Bachelor hostel Room No.08 Near Fawarah Chowk Bahawalpur. Bahawalpur</t>
  </si>
  <si>
    <t>Order has been shipped via PostEx with Tracking 22120050021393. 
 | 💰 COD Rec: 2026-01-27 | Ref: CPR-JDDYU556799 | Amt: 2749</t>
  </si>
  <si>
    <t>TR28542</t>
  </si>
  <si>
    <t>Naeem Raj Put</t>
  </si>
  <si>
    <t>MCB bank Rod Tando jan Muhammad Tando Jan Muhammad</t>
  </si>
  <si>
    <t>Tando Jan Muhammad</t>
  </si>
  <si>
    <t>Order has been shipped via PostEx with Tracking 25120050021392. 
 | 💰 COD Rec: 2026-01-27 | Ref: CPR-JDDYU556799 | Amt: 3099</t>
  </si>
  <si>
    <t>TR28543</t>
  </si>
  <si>
    <t>Behria enclave, sector c, soneri bank 3rd floor, Islmabad islmabad</t>
  </si>
  <si>
    <t>islmabad</t>
  </si>
  <si>
    <t>Order has been shipped via PostEx with Tracking 21120050021391. confirm 
 | 💰 COD Rec: 2026-01-27 | Ref: CPR-JDDYU556799 | Amt: 3099</t>
  </si>
  <si>
    <t>TR28544</t>
  </si>
  <si>
    <t>Naveed Ul Aziz</t>
  </si>
  <si>
    <t>605 Block Rose st 04 ParkView City Lahore</t>
  </si>
  <si>
    <t>Azeem 29120050021406</t>
  </si>
  <si>
    <t>TR28545</t>
  </si>
  <si>
    <t>Farhan Safdar</t>
  </si>
  <si>
    <t>+923006123567</t>
  </si>
  <si>
    <t>Tehsil haroon Abad district bawal nager Chak no 103/6-R Faqirwali</t>
  </si>
  <si>
    <t>Faqirwali</t>
  </si>
  <si>
    <t>Order has been shipped via PostEx with Tracking 29120050021390. confirm call couier 
 | 💰 COD Rec: 2026-01-27 | Ref: CPR-JDDYU556799 | Amt: 3099</t>
  </si>
  <si>
    <t>TR28546</t>
  </si>
  <si>
    <t>Afzal Zafar</t>
  </si>
  <si>
    <t>Saleh Khana Rd, Saleh Khana, Nowshera, Khyber Pakhtunkhwa Nowshera</t>
  </si>
  <si>
    <t>Order has been shipped via PostEx with Tracking 25120050021405. confirm not an s
 | ↩️ Return Charged: 2026-02-03 | Fee: 213</t>
  </si>
  <si>
    <t>TR28547</t>
  </si>
  <si>
    <t>Muhammad Arshad Ali</t>
  </si>
  <si>
    <t>Combined Military Hospital Kharian Gujrat</t>
  </si>
  <si>
    <t>Order has been shipped via PostEx with Tracking 20120050021404. confirm  not ans
 | ↩️ Return Charged: 2026-01-30 | Fee: 200</t>
  </si>
  <si>
    <t>TR28548</t>
  </si>
  <si>
    <t>OPPOSITE STREET YAQOUB CLOTH HOUSE, TATY PUR ROAD, QADIR PUR RAWAN, MULTAN MULTAN</t>
  </si>
  <si>
    <t>MULTAN</t>
  </si>
  <si>
    <t>Order has been shipped via PostEx with Tracking 20120050021388. confirm 
 | 💰 COD Rec: 2026-01-27 | Ref: CPR-JDDYU556799 | Amt: 2849</t>
  </si>
  <si>
    <t>TR28549</t>
  </si>
  <si>
    <t>Muhammad Ahmed</t>
  </si>
  <si>
    <t>J1/2 jamhoriya colony Dha link road Awan Karachi</t>
  </si>
  <si>
    <t>Order has been shipped via PostEx with Tracking 24120050021387. confirm 
 | 💰 COD Rec: 2026-01-27 | Ref: CPR-JDDYU556799 | Amt: 3099</t>
  </si>
  <si>
    <t>TR28550</t>
  </si>
  <si>
    <t>Roshaan Afridi</t>
  </si>
  <si>
    <t>+923347133545</t>
  </si>
  <si>
    <t>C-jinnah Town Quetta House No 125 97 Quetta</t>
  </si>
  <si>
    <t>Order has been shipped via PostEx with Tracking 28120050021386. confirm
 | 💰 COD Rec: 2026-01-27 | Ref: CPR-JDDYU556799 | Amt: 2799</t>
  </si>
  <si>
    <t>TR28551</t>
  </si>
  <si>
    <t>Khayyam Wasi</t>
  </si>
  <si>
    <t>Street 4 house 70 near naeem electronics khannapul Rawalpindi</t>
  </si>
  <si>
    <t>Order has been shipped via PostEx with Tracking 21120050021385. 
 | ↩️ Return Charged: 2026-02-06 | Fee: 220</t>
  </si>
  <si>
    <t>TR28552</t>
  </si>
  <si>
    <t>Ayesha Khan</t>
  </si>
  <si>
    <t>New Shalimar colony, Street number 15 house number2061/33, multan Multan</t>
  </si>
  <si>
    <t>Order has been shipped via PostEx with Tracking 27120050021403. 
 | 💰 COD Rec: 2026-01-27 | Ref: CPR-JDDYU556799 | Amt: 2749</t>
  </si>
  <si>
    <t>TR28553</t>
  </si>
  <si>
    <t>Mudassir Nazeer</t>
  </si>
  <si>
    <t>+923007379437</t>
  </si>
  <si>
    <t>Umar Sweets Bakers/City Plaza Old Bus Stand Kabirwala Punjab Pakistan 58250 kabirwala</t>
  </si>
  <si>
    <t>kabirwala</t>
  </si>
  <si>
    <t>Order has been shipped via PostEx with Tracking 28120050021402. jis ka liya liya tha wo chala gaya 
 | ↩️ Return Charged: 2026-01-30 | Fee: 200</t>
  </si>
  <si>
    <t>TR28554</t>
  </si>
  <si>
    <t>Ghulam Abbas Mughal</t>
  </si>
  <si>
    <t>Barkhu New Abadi  near ayeshia musjid  Islamabad</t>
  </si>
  <si>
    <t>Order has been shipped via PostEx with Tracking 23120050021452. confirm 
 | 💰 COD Rec: 2026-01-30 | Ref: CPR-R4IZV745179 | Amt: 2849</t>
  </si>
  <si>
    <t>TR28555</t>
  </si>
  <si>
    <t>Jaloo pull sky land road manawa kabrastan tower wali gali lahore Lahore</t>
  </si>
  <si>
    <t>Order has been shipped via PostEx with Tracking 23120050021420. 
 | 💰 COD Rec: 2026-01-27 | Ref: CPR-JDDYU556799 | Amt: 3099</t>
  </si>
  <si>
    <t>TR28556</t>
  </si>
  <si>
    <t>Mian Ijaz Abdullah Joyia</t>
  </si>
  <si>
    <t>Dalawer Kot  near Kachery choak pakpattan road pso pump  Depal Pur</t>
  </si>
  <si>
    <t>Depal Pur</t>
  </si>
  <si>
    <t>Order has been shipped via PostEx with Tracking 22120050021451. confirm 
 | 💰 COD Rec: 2026-01-27 | Ref: CPR-JDDYU556799 | Amt: 1999</t>
  </si>
  <si>
    <t>TR28557</t>
  </si>
  <si>
    <t>Mansoor Siddiqui</t>
  </si>
  <si>
    <t>house#59, Shaheen Street Taj Bagh Lahore</t>
  </si>
  <si>
    <t>Order has been shipped via PostEx with Tracking 24120050021419. 
 | 💰 COD Rec: 2026-01-27 | Ref: CPR-JDDYU556799 | Amt: 3099</t>
  </si>
  <si>
    <t>TR28558</t>
  </si>
  <si>
    <t>Muhammad Kaleem</t>
  </si>
  <si>
    <t>Ajniawala  ubl bank   leopard ofice  Qila Shekhupura</t>
  </si>
  <si>
    <t>LE7524366904</t>
  </si>
  <si>
    <t xml:space="preserve">open to allow  lcs </t>
  </si>
  <si>
    <t>TR28559</t>
  </si>
  <si>
    <t>Saqib Saleem</t>
  </si>
  <si>
    <t>Muzaffar and brothers kamran chowk Kotli azad kashmir</t>
  </si>
  <si>
    <t>Kotli azad kashmir</t>
  </si>
  <si>
    <t>Order has been shipped via PostEx with Tracking 20120050021413. 
 | 💰 COD Rec: 2026-01-27 | Ref: CPR-JDDYU556799 | Amt: 4998</t>
  </si>
  <si>
    <t>Adi Winter Trouser - Xl / Grey (x1), ADI Multi Ref Stripes - XL / White (x1), ADI Multi Ref Stripes - XL / Black (x1)</t>
  </si>
  <si>
    <t>TR28560</t>
  </si>
  <si>
    <t>Muddasir Shah</t>
  </si>
  <si>
    <t>Satwa mill Sindhi cut's studio  sher shah road  Multan</t>
  </si>
  <si>
    <t>Order has been shipped via PostEx with Tracking 22120050021433. confirm   cancel mujha pasand nahi aya 
 | ↩️ Return Charged: 2026-02-03 | Fee: 200</t>
  </si>
  <si>
    <t>TR28561</t>
  </si>
  <si>
    <t>Obaid Ur Rehman</t>
  </si>
  <si>
    <t>House No.13, Street No.166, Sector G-13/3 Islamabad</t>
  </si>
  <si>
    <t>Order has been shipped via PostEx with Tracking 23120050021412. 
 | 💰 COD Rec: 2026-01-27 | Ref: CPR-JDDYU556799 | Amt: 4998</t>
  </si>
  <si>
    <t>Basic Branded Adi Trouser - XL / Black (x1), NIK- Ref LOGO - XL / white (x1), NIK- Ref LOGO - XL / black (x1)</t>
  </si>
  <si>
    <t>TR28562</t>
  </si>
  <si>
    <t>Sherali Sherali</t>
  </si>
  <si>
    <t>Plot no 37 general track stand Ravi link road Lahore</t>
  </si>
  <si>
    <t>Order has been shipped via PostEx with Tracking 24120050021411. 
 | 💰 COD Rec: 2026-01-27 | Ref: CPR-JDDYU556799 | Amt: 4248</t>
  </si>
  <si>
    <t>TR28563</t>
  </si>
  <si>
    <t>arslan chohan</t>
  </si>
  <si>
    <t>Kalma Chowk   leopard office  Ārifwāla</t>
  </si>
  <si>
    <t>Ārifwāla</t>
  </si>
  <si>
    <t>LE7524365026</t>
  </si>
  <si>
    <t xml:space="preserve">OPEN TO ALLOW (lcs confirm )
</t>
  </si>
  <si>
    <t>TR28564</t>
  </si>
  <si>
    <t>hello wali gali ok haa Karma chaukar Ārifwāla</t>
  </si>
  <si>
    <t>arifwala</t>
  </si>
  <si>
    <t xml:space="preserve">cancel nahi lena </t>
  </si>
  <si>
    <t>TR28565</t>
  </si>
  <si>
    <t>Sarah Khan</t>
  </si>
  <si>
    <t>Kalabaord near asma medical store street malir karachi sindh BANGLOW 319 Karachi</t>
  </si>
  <si>
    <t xml:space="preserve">hold issue in wp </t>
  </si>
  <si>
    <t>TR28566</t>
  </si>
  <si>
    <t>Salman Liaqat</t>
  </si>
  <si>
    <t>chowk begam kot Shahdra Lahore near Mubashar department store Lahore</t>
  </si>
  <si>
    <t>Order has been shipped via PostEx with Tracking 28120050021432. confirm 
 | 💰 COD Rec: 2026-01-27 | Ref: CPR-JDDYU556799 | Amt: 2948</t>
  </si>
  <si>
    <t>Dry fit T-shirt sleeveless Jor-Dan - L / White (x1), ADI - EMBOSSED LOGO (Cotton) - L / Dark Red(Maroon) (x1)</t>
  </si>
  <si>
    <t>TR28567</t>
  </si>
  <si>
    <t>Muhammad Ibrahim</t>
  </si>
  <si>
    <t>Chapal sun city block 2 street 2 house C-26 scheme 33 karachi Karachi</t>
  </si>
  <si>
    <t>Order has been shipped via PostEx with Tracking 25120050021430. not ans 
 | ↩️ Return Charged: 2026-02-03 | Fee: 213</t>
  </si>
  <si>
    <t>TR28568</t>
  </si>
  <si>
    <t>Nusrat Azam Muhammad Azam</t>
  </si>
  <si>
    <t>Peshawar road lane no 07 ch, riaz gujjer house no CB/192 Rawalpindi</t>
  </si>
  <si>
    <t>Order has been shipped via PostEx with Tracking 23120050021429. 
 | 💰 COD Rec: 2026-01-27 | Ref: CPR-JDDYU556799 | Amt: 3099</t>
  </si>
  <si>
    <t>TR28569</t>
  </si>
  <si>
    <t>Abdullah Kamran</t>
  </si>
  <si>
    <t>P-1125, Main Bazar No 1, Opposite St 6, Raza Abad, Faisalabad Faisalabad</t>
  </si>
  <si>
    <t>Order has been shipped via PostEx with Tracking 22120050021428. 
 | 💰 COD Rec: 2026-01-27 | Ref: CPR-JDDYU556799 | Amt: 5900</t>
  </si>
  <si>
    <t>Imported Scoba Executive Nik Tro - L / Black (x1), Multi ref PUM-A - L / White (x1), Multi ref PUM-A - L / Black (x1)</t>
  </si>
  <si>
    <t>TR28570</t>
  </si>
  <si>
    <t>Syed wajahat Hashmi</t>
  </si>
  <si>
    <t>1/G 6/1 nazimabad no 1 near azizya masjid Karachi</t>
  </si>
  <si>
    <t>Order has been shipped via PostEx with Tracking 21120050021427.   consignee want open parcel 
 | ↩️ Return Charged: 2026-02-03 | Fee: 227</t>
  </si>
  <si>
    <t>TR28571</t>
  </si>
  <si>
    <t>M bilal Khan</t>
  </si>
  <si>
    <t xml:space="preserve">   near  saad mart store  phase 3  Taj bag  Lahore</t>
  </si>
  <si>
    <t>Order has been shipped via PostEx with Tracking 26120050021495. confirm  consignee want open parcel 
 | ↩️ Return Charged: 2026-02-03 | Fee: 120</t>
  </si>
  <si>
    <t>TR28572</t>
  </si>
  <si>
    <t>Noor Hassan Chadhar</t>
  </si>
  <si>
    <t>+923137756889</t>
  </si>
  <si>
    <t>Moh Islam Pura kamalia Nazd chungi no 6 Toba Tek Singh</t>
  </si>
  <si>
    <t>Order has been shipped via PostEx with Tracking 26120050021426. CONFIRM 
 | 💰 COD Rec: 2026-01-30 | Ref: CPR-R4IZV745179 | Amt: 3099</t>
  </si>
  <si>
    <t>TR28573</t>
  </si>
  <si>
    <t>Umer Farooq</t>
  </si>
  <si>
    <t>Hujra chok near shah muqeem  near by pass  Hujra Shah Muqeem</t>
  </si>
  <si>
    <t>Hujra Shah Muqeem</t>
  </si>
  <si>
    <t>Order has been shipped via PostEx with Tracking 21120050021431. confirm  not ans 
 | ↩️ Return Charged: 2026-01-30 | Fee: 220</t>
  </si>
  <si>
    <t>TR28574</t>
  </si>
  <si>
    <t>Adeel Ishtiaq</t>
  </si>
  <si>
    <t>Street malkan wali Near Al Kuwait Mobile Via Jinnah Road Kacha Fatomand Sialkot Road Gujranwala Gujranwala</t>
  </si>
  <si>
    <t xml:space="preserve">cancel this one </t>
  </si>
  <si>
    <t>TR28575</t>
  </si>
  <si>
    <t>Order has been shipped via PostEx with Tracking 27120050021425. confirm not ans 
 | ↩️ Return Charged: 2026-02-03 | Fee: 200</t>
  </si>
  <si>
    <t>TR28576</t>
  </si>
  <si>
    <t>Zohaib Nazar</t>
  </si>
  <si>
    <t>Clifton Garden 1apartment Block 3 Flat Nob14 Ground Floor Clifton Karachi Karachi</t>
  </si>
  <si>
    <t>Order has been shipped via PostEx with Tracking 26120050021424. 
 | 💰 COD Rec: 2026-01-30 | Ref: CPR-R4IZV745179 | Amt: 2749</t>
  </si>
  <si>
    <t>TR28577</t>
  </si>
  <si>
    <t>Arifwala Ārifwāla</t>
  </si>
  <si>
    <t xml:space="preserve">hold until deliver previous parcel </t>
  </si>
  <si>
    <t>TR28578</t>
  </si>
  <si>
    <t>TR28579</t>
  </si>
  <si>
    <t>Hassaan Ahmed</t>
  </si>
  <si>
    <t>House no R3/1 street 18 Block 2 Gulistan e Johar Karachi</t>
  </si>
  <si>
    <t>Order has been shipped via PostEx with Tracking 24120050021410. confirm 
 | 💰 COD Rec: 2026-01-27 | Ref: CPR-JDDYU556799 | Amt: 4248</t>
  </si>
  <si>
    <t>TR28580</t>
  </si>
  <si>
    <t>aamir shehzad</t>
  </si>
  <si>
    <t>609 c city housing sialkot sialkot</t>
  </si>
  <si>
    <t>sialkot</t>
  </si>
  <si>
    <t>Order has been shipped via PostEx with Tracking 26120050021418. confirm 
 | 💰 COD Rec: 2026-01-27 | Ref: CPR-JDDYU556799 | Amt: 2849</t>
  </si>
  <si>
    <t>TR28581</t>
  </si>
  <si>
    <t>Sajid Khalid</t>
  </si>
  <si>
    <t>House no. G 8/9 Liaquat square Malir Colony Karachi</t>
  </si>
  <si>
    <t xml:space="preserve">.
.
cancel  nahi lena </t>
  </si>
  <si>
    <t>TR28582</t>
  </si>
  <si>
    <t xml:space="preserve">Karachi/defence Phase 6 Rahat Commercial Lane No3 Zh Men Saloon karachi </t>
  </si>
  <si>
    <t xml:space="preserve">karachi </t>
  </si>
  <si>
    <t>Order has been shipped via PostEx with Tracking 24120050021416. confirm 
 | 💰 COD Rec: 2026-01-30 | Ref: CPR-R4IZV745179 | Amt: 2749</t>
  </si>
  <si>
    <t>TR28583</t>
  </si>
  <si>
    <t>Shayan Khan</t>
  </si>
  <si>
    <t xml:space="preserve"> Rawalpindi Road, WAPDA Colony, Peshawar, Pakistan  near  PSO Petrol  Peshawar</t>
  </si>
  <si>
    <t>Order has been shipped via PostEx with Tracking 28120050021415. confirm
 | 💰 COD Rec: 2026-01-30 | Ref: CPR-R4IZV745179 | Amt: 3099</t>
  </si>
  <si>
    <t>TR28584</t>
  </si>
  <si>
    <t>Ahmad Nagar Ahmad Nagar</t>
  </si>
  <si>
    <t>+923074805258</t>
  </si>
  <si>
    <t>Main Adda Abbas ice cream shop near Jamia masjid  Tehsil Lalian District Chiniot  City Ahmad Nagar Ahmad Nagar</t>
  </si>
  <si>
    <t>Ahmad Nagar</t>
  </si>
  <si>
    <t>Order has been shipped via PostEx with Tracking 29120050021414. whatsup 
 | 💰 COD Rec: 2026-01-30 | Ref: CPR-R4IZV745179 | Amt: 3100</t>
  </si>
  <si>
    <t>TR28585</t>
  </si>
  <si>
    <t>Abubaker jaskani Jaskani</t>
  </si>
  <si>
    <t>+923368633004</t>
  </si>
  <si>
    <t>Pull datt changwani chowk, near Jampur Road DG.KHAN Dera ghazi khan</t>
  </si>
  <si>
    <t>Dera ghazi khan</t>
  </si>
  <si>
    <t>ma avil nahi tha ap reattempt kerva dein ma receive ker lo ga
 | ↩️ Return Charged: 2026-02-03 | Fee: 200</t>
  </si>
  <si>
    <t>TR28586</t>
  </si>
  <si>
    <t>Ibad Ur Rehman</t>
  </si>
  <si>
    <t>House No-1 Sector C-1 Zone-4 Regi Model Town Peshawar Peshawar</t>
  </si>
  <si>
    <t>Order has been shipped via PostEx with Tracking 27120050021450. 
 | 💰 COD Rec: 2026-01-27 | Ref: CPR-JDDYU556799 | Amt: 2699</t>
  </si>
  <si>
    <t>TR28587</t>
  </si>
  <si>
    <t>Shan Shani</t>
  </si>
  <si>
    <t>Chungi no 14 near rehmaina madrasa Multan</t>
  </si>
  <si>
    <t>Order has been shipped via PostEx with Tracking 24120050021449. 
 | 💰 COD Rec: 2026-01-27 | Ref: CPR-JDDYU556799 | Amt: 2749</t>
  </si>
  <si>
    <t>TR28588</t>
  </si>
  <si>
    <t>Nabeel Ahsan</t>
  </si>
  <si>
    <t>soan Garden G Block Street 8B Islamabad</t>
  </si>
  <si>
    <t>Order has been shipped via PostEx with Tracking 28120050021448. confirm cancel nahi lena maout of ciy hoo 
 | ↩️ Return Charged: 2026-02-03 | Fee: 200</t>
  </si>
  <si>
    <t>TR28589</t>
  </si>
  <si>
    <t>Tayyab Iqbal</t>
  </si>
  <si>
    <t>Noorstar office no 15 ali akbar market Dera Ismail khan</t>
  </si>
  <si>
    <t>Dera Ismail khan</t>
  </si>
  <si>
    <t>Order has been shipped via PostEx with Tracking 23120050021447. 
 | 💰 COD Rec: 2026-01-27 | Ref: CPR-JDDYU556799 | Amt: 2849</t>
  </si>
  <si>
    <t>TR28590</t>
  </si>
  <si>
    <t>Muhammad Zahid</t>
  </si>
  <si>
    <t>Order has been shipped via PostEx with Tracking 25120050021446. 
 | 💰 COD Rec: 2026-01-27 | Ref: CPR-JDDYU556799 | Amt: 3099</t>
  </si>
  <si>
    <t>TR28591</t>
  </si>
  <si>
    <t>Shuja Hasan</t>
  </si>
  <si>
    <t>+923352225855</t>
  </si>
  <si>
    <t>House B-127 Shadman Town Malir Karachi</t>
  </si>
  <si>
    <t>Order has been shipped via PostEx with Tracking 28120050021445. fdsahfdsajk
 | 💰 COD Rec: 2026-01-27 | Ref: CPR-JDDYU556799 | Amt: 3099</t>
  </si>
  <si>
    <t>TR28592</t>
  </si>
  <si>
    <t>Zafar Mahmood</t>
  </si>
  <si>
    <t>Hamza Foam Centre Shop No 1 Street No 9/d Dokh Seydan Road Kamalabad Rawalpindi Rawalpindi</t>
  </si>
  <si>
    <t>Order has been shipped via PostEx with Tracking 27120050021534. confirm 
 | 💰 COD Rec: 17-Feb-2026 | Ref: CPR-P18X9853080 | Amt: 3099</t>
  </si>
  <si>
    <t>CPR-P18X9853080</t>
  </si>
  <si>
    <t>TR28593</t>
  </si>
  <si>
    <t>Nasir Iftikhar</t>
  </si>
  <si>
    <t>S-1/269, Saudabad, Malir Karachi</t>
  </si>
  <si>
    <t>Order has been shipped via PostEx with Tracking 22120050021458. confirm
 | 💰 COD Rec: 2026-01-30 | Ref: CPR-R4IZV745179 | Amt: 2749</t>
  </si>
  <si>
    <t>A | X Embroidery LOGO - 2XL / Sky (x1), A | X Embroidery LOGO - 2XL / Olive (x1)</t>
  </si>
  <si>
    <t>TR28594</t>
  </si>
  <si>
    <t>Hafiz Shehzad Shehzad</t>
  </si>
  <si>
    <t>Progressive Textiles Malikpur Road Opposite Amin Town Faisalabad</t>
  </si>
  <si>
    <t>Order has been shipped via PostEx with Tracking 25120050021468. 
 | 💰 COD Rec: 2026-01-27 | Ref: CPR-JDDYU556799 | Amt: 4248</t>
  </si>
  <si>
    <t>TR28595</t>
  </si>
  <si>
    <t>huzaifa Meer</t>
  </si>
  <si>
    <t>+923016428206</t>
  </si>
  <si>
    <t>Nosharvirka zilla gujran  main bazzar near musjid sadiquea  Nowshera Virkan</t>
  </si>
  <si>
    <t>Nowshera Virkan</t>
  </si>
  <si>
    <t>Order has been shipped via PostEx with Tracking 20120050021489. Order has been shipped via PostEx with Tracking 25120050021483. open to allow not ans
 | ↩️ Return Charged: 2026-02-03 | Fee: 220</t>
  </si>
  <si>
    <t>TR28596</t>
  </si>
  <si>
    <t>Ans Malik</t>
  </si>
  <si>
    <t>House number 324 hussain block bahria town lahore Lahore</t>
  </si>
  <si>
    <t>Order has been shipped via PostEx with Tracking 24120050021443. 
 | 💰 COD Rec: 2026-01-27 | Ref: CPR-JDDYU556799 | Amt: 4248</t>
  </si>
  <si>
    <t>TR28597</t>
  </si>
  <si>
    <t>Sarfaraz colony Hajiyani Hospital ke Ander aakr Zainab square palaza hai oska first floor par pehla flat hai Hyderabad</t>
  </si>
  <si>
    <t>Order has been shipped via PostEx with Tracking 23120050021442. 
 | 💰 COD Rec: 2026-01-30 | Ref: CPR-R4IZV745179 | Amt: 2749</t>
  </si>
  <si>
    <t>TR28598</t>
  </si>
  <si>
    <t>Order has been shipped via PostEx with Tracking 27120050021482. not ans 
 | ↩️ Return Charged: 2026-02-03 | Fee: 120</t>
  </si>
  <si>
    <t>TR28599</t>
  </si>
  <si>
    <t>Nabeel Iqbal</t>
  </si>
  <si>
    <t>+923026121876</t>
  </si>
  <si>
    <t>KOTLi loharan east Sialkot Sialkot</t>
  </si>
  <si>
    <t>LE7524417614</t>
  </si>
  <si>
    <t xml:space="preserve">R; MA OUT OF CITY CHALA GAYA THA  
chat on wp order receive ker lo ga lcs / tcs confirm </t>
  </si>
  <si>
    <t>INV-285889</t>
  </si>
  <si>
    <t>TR28600</t>
  </si>
  <si>
    <t>Shumila Aleem</t>
  </si>
  <si>
    <t>Gritfit elite faysal town F18 Islamabad Islamabad</t>
  </si>
  <si>
    <t xml:space="preserve">cancel mana order nahi kiya </t>
  </si>
  <si>
    <t>TR28601</t>
  </si>
  <si>
    <t>SobanAbbasi Soban abbasi</t>
  </si>
  <si>
    <t>Rawalpindi sadikabad transform chok Rawalpindi</t>
  </si>
  <si>
    <t>Order has been shipped via PostEx with Tracking 22120050021457. confirm 
 | ↩️ Return Charged: 2026-02-10 | Fee: 200</t>
  </si>
  <si>
    <t>TR28602</t>
  </si>
  <si>
    <t>Zafar Hyder Hyder</t>
  </si>
  <si>
    <t>House No 6 , Street 13 , Sector-A, Bahria Enclave Islamabad</t>
  </si>
  <si>
    <t>Order has been shipped via PostEx with Tracking 26120050021441. 
 | 💰 COD Rec: 2026-01-27 | Ref: CPR-JDDYU556799 | Amt: 3099</t>
  </si>
  <si>
    <t>ADI Multi Ref Stripes - L / White (x1), ADI Multi Ref Stripes - XL / Black (x1)</t>
  </si>
  <si>
    <t>TR28603</t>
  </si>
  <si>
    <t>Asad Mughal</t>
  </si>
  <si>
    <t>+923049217876</t>
  </si>
  <si>
    <t>thokar niaz baig metro mrange line station ubl bank lahore lahore</t>
  </si>
  <si>
    <t>Order has been shipped via PostEx with Tracking 24120050021440. confrm 
 | 💰 COD Rec: 2026-01-27 | Ref: CPR-JDDYU556799 | Amt: 2849</t>
  </si>
  <si>
    <t>TR28604</t>
  </si>
  <si>
    <t>Tahir Mughal</t>
  </si>
  <si>
    <t>+923006898141</t>
  </si>
  <si>
    <t>Rehmat villas Jahanian Mandi Khanwal Jahanian Mandi Khanwal</t>
  </si>
  <si>
    <t>Jahanian Mandi Khanwal</t>
  </si>
  <si>
    <t>Order has been shipped via PostEx with Tracking 23120050021462. allow to open 
 | 💰 COD Rec: 2026-01-30 | Ref: CPR-R4IZV745179 | Amt: 3099</t>
  </si>
  <si>
    <t>TR28605</t>
  </si>
  <si>
    <t>Muhammad shoaib Asghar</t>
  </si>
  <si>
    <t>mazan bank  Ltd karor lal esan road fateh pur Fateh pur</t>
  </si>
  <si>
    <t>kisi 2nd number sa bhi order kiya hua tha wo received ho gaya haa phala is liya cancel nahi lena confirm 
 | ↩️ Return Charged: 20-Feb-2026 | Ref: CPR-245C7434461 | Fee: 200</t>
  </si>
  <si>
    <t>TR28606</t>
  </si>
  <si>
    <t>Faheem Saleem</t>
  </si>
  <si>
    <t>House No 107 Block E Mohlanwal Housing Scheme Lahore Lahore</t>
  </si>
  <si>
    <t>Order has been shipped via PostEx with Tracking 29120050021455. ok
 | 💰 COD Rec: 2026-01-27 | Ref: CPR-JDDYU556799 | Amt: 2849</t>
  </si>
  <si>
    <t>TR28607</t>
  </si>
  <si>
    <t>Sifat Jan</t>
  </si>
  <si>
    <t>Honda Express Pvt. Ltd. Main G.T. Road, Kala Gujran, District Jhelum, Punjab, Pakistan Jhelum</t>
  </si>
  <si>
    <t>Order has been shipped via PostEx with Tracking 29120050021488. Order has been shipped via PostEx with Tracking 24120050021481. 
 | 💰 COD Rec: 2026-01-27 | Ref: CPR-JDDYU556799 | Amt: 3099</t>
  </si>
  <si>
    <t>TR28608</t>
  </si>
  <si>
    <t>Shafqat qamar</t>
  </si>
  <si>
    <t>House No D1 Block-e-okaf Colony Dars Bary Mian Mughalpura Lahore Lahore</t>
  </si>
  <si>
    <t>Order has been shipped via PostEx with Tracking 27120050021439. confirm  not ans
 | ↩️ Return Charged: 2026-02-03 | Fee: 107</t>
  </si>
  <si>
    <t>TR28609</t>
  </si>
  <si>
    <t>Bahadar ali wattoo wattoo</t>
  </si>
  <si>
    <t>+923008644435</t>
  </si>
  <si>
    <t>613gb tandlianawala districts fsd faisalabad</t>
  </si>
  <si>
    <t>Order has been shipped via PostEx with Tracking 28120050021438. whatsup  not ans 
 | ↩️ Return Charged: 2026-02-03 | Fee: 200</t>
  </si>
  <si>
    <t>TR28610</t>
  </si>
  <si>
    <t xml:space="preserve"> is ka delivery lagani haa basss TR28307exchnage 
 | 💰 COD Rec: 2026-01-27 | Ref: CPR-JDDYU556799 | Amt: 249</t>
  </si>
  <si>
    <t>TR28611</t>
  </si>
  <si>
    <t>Bilal Hafeez</t>
  </si>
  <si>
    <t>Street #21 Mohallah Islamabad Gujranwala Gujranwala</t>
  </si>
  <si>
    <t>Order has been shipped via PostEx with Tracking 25120050021437. 
 | 💰 COD Rec: 2026-01-27 | Ref: CPR-JDDYU556799 | Amt: 3099</t>
  </si>
  <si>
    <t>TR28612</t>
  </si>
  <si>
    <t>ANIL PYAR ALI</t>
  </si>
  <si>
    <t>Hassan chamber office no.612, 6th floor bohri road near custom house Karachi Karachi</t>
  </si>
  <si>
    <t>Order has been shipped via PostEx with Tracking 27120050021436. confirm 
 | 💰 COD Rec: 2026-01-27 | Ref: CPR-JDDYU556799 | Amt: 3099</t>
  </si>
  <si>
    <t>TR28613</t>
  </si>
  <si>
    <t>Uzair Mumtaz</t>
  </si>
  <si>
    <t>Chak # 242 Rb Dasuha Samundri Road New Darbar Sufi Barkat Ali Faisalabad</t>
  </si>
  <si>
    <t>Order has been shipped via PostEx with Tracking 23120050021480. consignee want to open parcel 
 | ↩️ Return Charged: 2026-02-03 | Fee: 220</t>
  </si>
  <si>
    <t>TR28614</t>
  </si>
  <si>
    <t>Dildar Ali</t>
  </si>
  <si>
    <t>+923123000966</t>
  </si>
  <si>
    <t>Mir Mohllah Ward No # 02 Tando Bago District Badin Tando Bago District Badin</t>
  </si>
  <si>
    <t>Tando Bago District Badin</t>
  </si>
  <si>
    <t>Order has been shipped via PostEx with Tracking 28120050021435. 
 | 💰 COD Rec: 2026-01-30 | Ref: CPR-R4IZV745179 | Amt: 3099</t>
  </si>
  <si>
    <t>TR28615</t>
  </si>
  <si>
    <t>Hashir khan</t>
  </si>
  <si>
    <t>8/4-house#608h Street#111a Sector I- Islamabad</t>
  </si>
  <si>
    <t>Order has been shipped via PostEx with Tracking 21120050021434. 
 | 💰 COD Rec: 2026-01-27 | Ref: CPR-JDDYU556800 | Amt: 1000
 | 💰 COD Rec: 2026-01-27 | Ref: CPR-JDDYU556799 | Amt: 1799</t>
  </si>
  <si>
    <t>TR28616</t>
  </si>
  <si>
    <t>Asif Khan Muhammad</t>
  </si>
  <si>
    <t>+923178107582</t>
  </si>
  <si>
    <t>H#439, st#48  Margalla town  Islamabad Islamabad</t>
  </si>
  <si>
    <t>bhai cancel ker dein miujha pasand nahi ai 
 H#439, st#48  Margalla town  Islamabad Islamabad, Islamabad
🔗 https://www.google.com/maps/search/?api=1&amp;query=33.6683467,73.1095886</t>
  </si>
  <si>
    <t>TR28617</t>
  </si>
  <si>
    <t>Ch shahid Shahid</t>
  </si>
  <si>
    <t xml:space="preserve"> house 11 street 5 taj townDarbar Road Mian Channu  Mian channu</t>
  </si>
  <si>
    <t>Mian channu</t>
  </si>
  <si>
    <t>Order has been shipped via PostEx with Tracking 29120050021454. confirm 
 | 💰 COD Rec: 2026-01-30 | Ref: CPR-R4IZV745179 | Amt: 3099</t>
  </si>
  <si>
    <t>TR28618</t>
  </si>
  <si>
    <t>Kot shaha, Madeena town near majid Gujranwala</t>
  </si>
  <si>
    <t>Order has been shipped via PostEx with Tracking 23120050021479. 
 | 💰 COD Rec: 2026-01-30 | Ref: CPR-R4IZV745179 | Amt: 3899</t>
  </si>
  <si>
    <t>ADI - EMBOSSED LOGO (Cotton) - M / Dark Red(Maroon) (x1), ADI-3strips Full TrackSuit - M / Black (x1)</t>
  </si>
  <si>
    <t>TR28619</t>
  </si>
  <si>
    <t>Amir Siddiqui</t>
  </si>
  <si>
    <t>Lucky plastic industries ltd Pvt 3.5 km manga rawant road Lahore</t>
  </si>
  <si>
    <t>Order has been shipped via PostEx with Tracking 29120050021478. allow to open 
 | 💰 COD Rec: 2026-01-30 | Ref: CPR-R4IZV745179 | Amt: 3099</t>
  </si>
  <si>
    <t>TR28620</t>
  </si>
  <si>
    <t>Sajid Munir</t>
  </si>
  <si>
    <t>House # 107 , street 7 Ext-3 , Sector SW , NFC society Lahore</t>
  </si>
  <si>
    <t>cancel shop sa a ker la ga</t>
  </si>
  <si>
    <t>TR28621</t>
  </si>
  <si>
    <t>Fatima fashion Gujjar Khan Islam Pura Jaber" Gujar Khan Gujjar Khan Islam Pura Jaber</t>
  </si>
  <si>
    <t>Gujjar Khan Islam Pura Jaber</t>
  </si>
  <si>
    <t xml:space="preserve">cancel galti sa order ho gaya tha </t>
  </si>
  <si>
    <t>TR28622</t>
  </si>
  <si>
    <t>umair Ali</t>
  </si>
  <si>
    <t>Houses no15 D samugly housing scheme 5 footy chowk samugly road qta Quetta</t>
  </si>
  <si>
    <t>Order has been shipped via PostEx with Tracking 28120050021494. confirm 
 | ↩️ Return Charged: 2026-02-10 | Fee: 213</t>
  </si>
  <si>
    <t>TR28623</t>
  </si>
  <si>
    <t>BIG shot</t>
  </si>
  <si>
    <t>+923472207753</t>
  </si>
  <si>
    <t>comapny LLC karachi</t>
  </si>
  <si>
    <t>Adi- Hoodie - L / Black (x6), Adi- Hoodie - 2xl / Black (x8), Adi- Hoodie - XL / Black (x6)</t>
  </si>
  <si>
    <t>TR28624</t>
  </si>
  <si>
    <t>Order has been shipped via PostEx with Tracking 23120050021477. 
 | ↩️ Return Charged: 2026-02-06 | Fee: 213</t>
  </si>
  <si>
    <t>TR28625</t>
  </si>
  <si>
    <t>Arshad Ali</t>
  </si>
  <si>
    <t>Hakeem street mohllah kalymabad khasra no 1924 near basim pco westridge 2 rawalpindi. Islamabad</t>
  </si>
  <si>
    <t>cancel ya mera name nahi haa or na hi mera order haa</t>
  </si>
  <si>
    <t>TR28626</t>
  </si>
  <si>
    <t>Mujahid Gohar</t>
  </si>
  <si>
    <t>House no 19 street 1A Sector C quyyamabad korangi roard karach Karachi</t>
  </si>
  <si>
    <t>Order has been shipped via PostEx with Tracking 29120050021476. 
 | ↩️ Return Charged: 2026-02-06 | Fee: 227</t>
  </si>
  <si>
    <t>TR28627</t>
  </si>
  <si>
    <t>Nishat linen deen arcade civil line road jhelum Jhelum</t>
  </si>
  <si>
    <t>Order has been shipped via PostEx with Tracking 21120050021532. confirm   cancel size issue 
 | ↩️ Return Charged: 2026-02-03 | Fee: 220</t>
  </si>
  <si>
    <t>TR28628</t>
  </si>
  <si>
    <t>Order has been shipped via PostEx with Tracking 20120050021475. 
 | 💰 COD Rec: 2026-01-27 | Ref: CPR-JDDYU556799 | Amt: 2749</t>
  </si>
  <si>
    <t>TR28629</t>
  </si>
  <si>
    <t>Shaharyar Zafar</t>
  </si>
  <si>
    <t>House 5, Street 16, Sector H, DHA Phase 2 Islamabad</t>
  </si>
  <si>
    <t>Order has been shipped via PostEx with Tracking 21120050021587. confirm
 | 💰 COD Rec: 2026-02-03 | Ref: CPR-ZZCET490688 | Amt: 8347</t>
  </si>
  <si>
    <t>(Premium) BRANDED TH - M / Navy Blue (x1), (Premium) BRANDED TH - M / grey (x1), (Premium) POLO RL - M / Blue (x1), (Premium) POLO RL - M / grey (x1)</t>
  </si>
  <si>
    <t>TR28630</t>
  </si>
  <si>
    <t>Farhan Memon</t>
  </si>
  <si>
    <t>Shop No 2, Akber Manzil , Ghassmandi,karachi Karachi</t>
  </si>
  <si>
    <t>Order has been shipped via PostEx with Tracking 26120050021474. 
 | 💰 COD Rec: 2026-01-30 | Ref: CPR-R4IZV745179 | Amt: 3099</t>
  </si>
  <si>
    <t>TR28631</t>
  </si>
  <si>
    <t>Akmal Khan</t>
  </si>
  <si>
    <t>House #1045/2 Mohallah Afganan Mailsi Mailsi</t>
  </si>
  <si>
    <t>CANCEL REAMRKS   abhi    ya confirm nahi ha ap is ko cancel ker dein 
 House #1045/2 Mohallah Afganan Mailsi Mailsi, Mailsi
🔗 https://www.google.com/maps/search/?api=1&amp;query=29.7921021,72.1771541</t>
  </si>
  <si>
    <t>TR28632</t>
  </si>
  <si>
    <t>Zair Rehman</t>
  </si>
  <si>
    <t>Narajail site area zam zam hotel Hyderabad</t>
  </si>
  <si>
    <t>Order has been shipped via PostEx with Tracking 27120050021487. Order has been shipped via PostEx with Tracking 20120050021473. 
 | ↩️ Return Charged: 2026-02-06 | Fee: 213</t>
  </si>
  <si>
    <t>TR28633</t>
  </si>
  <si>
    <t>Saad Khan</t>
  </si>
  <si>
    <t>brahim Garments Commercial Market Road, Satellite Town, Near Old Al-Jannat Mall, Rawalpindi Rawalpindi</t>
  </si>
  <si>
    <t>Order has been shipped via PostEx with Tracking 24120050021486. confirm 
 | 💰 COD Rec: 2026-02-03 | Ref: CPR-ZZCET490688 | Amt: 3099</t>
  </si>
  <si>
    <t>TR28634</t>
  </si>
  <si>
    <t>Sameer Qurban</t>
  </si>
  <si>
    <t>Village Dulmi Tumma, Tehsil Gujar Khan, District Rawalpindi Gujar Khan</t>
  </si>
  <si>
    <t>LE7524439271</t>
  </si>
  <si>
    <t>confirm VILLAGE MA ORDER CHAIYA
 | 💰 COD Rec: No Date | Ref:  | Amt: 3099</t>
  </si>
  <si>
    <t>TR28635</t>
  </si>
  <si>
    <t>Village Raryala Jagdev, P.O. Kot Baseera, Tehsil &amp; District Jhelum Jelhum</t>
  </si>
  <si>
    <t>LE7524439276</t>
  </si>
  <si>
    <t xml:space="preserve"> confirm open to allow  
 | 💰 COD Rec: No Date | Ref:  | Amt: 3999</t>
  </si>
  <si>
    <t>TR28636</t>
  </si>
  <si>
    <t>Atta ur Rehman Bangash</t>
  </si>
  <si>
    <t>Salateen Hotel near Hala naka, Hyderabad, Pakistan Hyderabad</t>
  </si>
  <si>
    <t>Order has been shipped via PostEx with Tracking 23120050021485.  CONFIRM 
 | 💰 COD Rec: 2026-01-30 | Ref: CPR-R4IZV745179 | Amt: 4248</t>
  </si>
  <si>
    <t>TR28637</t>
  </si>
  <si>
    <t>Ahsan Bhatti</t>
  </si>
  <si>
    <t>+923114930062</t>
  </si>
  <si>
    <t>Second Floor Khayaban Plaza Near National bank Hanna Road Opposite Quetta Cantt Quetta</t>
  </si>
  <si>
    <t>Order has been shipped via PostEx with Tracking 26120050021531. 
 | 💰 COD Rec: 2026-02-03 | Ref: CPR-ZZCET490688 | Amt: 3099</t>
  </si>
  <si>
    <t>TR28638</t>
  </si>
  <si>
    <t>Raja Ahmed</t>
  </si>
  <si>
    <t>B mess malir cantt Karachi</t>
  </si>
  <si>
    <t>Order has been shipped via PostEx with Tracking 28120050021471. CONFIRM 
 | ↩️ Return Charged: 2026-02-06 | Fee: 213</t>
  </si>
  <si>
    <t>TR28639</t>
  </si>
  <si>
    <t>Husnain Ali</t>
  </si>
  <si>
    <t>Sialkot Kingra Road Bajragari tufail travels near Ashraf marriage hall Sialkot</t>
  </si>
  <si>
    <t>Order has been shipped via PostEx with Tracking 25120050021470. 
 | 💰 COD Rec:  | Ref: CPR-JDDYU556799 | Amt: 2749</t>
  </si>
  <si>
    <t>TR28640</t>
  </si>
  <si>
    <t>jawad Ph 03296961670</t>
  </si>
  <si>
    <t>+923296961670</t>
  </si>
  <si>
    <t>Harbhnspura haneef park nazdeek Allaid school masjid wali galiii lahore  Ph 03296961670 LAHORE</t>
  </si>
  <si>
    <t>Order has been shipped via PostEx with Tracking 24120050021493. WHATSUP confirm 
[TracePK Finance] Verified Payment: 3740 | Ref: CPR-JDDYU556799 | Date: 2026-01-27
 | 💰 COD Rec: 2026-01-27 | Ref: CPR-JDDYU556799 | Amt: 3740</t>
  </si>
  <si>
    <t>Nik panel Tracksuit - XL / Black (x1)</t>
  </si>
  <si>
    <t>TR28641</t>
  </si>
  <si>
    <t>Rahim Amir</t>
  </si>
  <si>
    <t>14-a-fidai Housing Society Garden East Karachi</t>
  </si>
  <si>
    <t>Order has been shipped via PostEx with Tracking 28120050021466. 
 | 💰 COD Rec: 2026-01-30 | Ref: CPR-R4IZV745179 | Amt: 5100</t>
  </si>
  <si>
    <t>Adi- Hoodie - 2xl / White (x1), Adi- Hoodie - 2xl / Black (x1)</t>
  </si>
  <si>
    <t>TR28642</t>
  </si>
  <si>
    <t>Aqsad Lak</t>
  </si>
  <si>
    <t>Phalia Phalia</t>
  </si>
  <si>
    <t>Phalia</t>
  </si>
  <si>
    <t>CANCEL JIS NA ORDER KIY THA WO PAKISTAN KA BAHIR CHALA GAYA 
 Phalia Phalia, Phalia
🔗 https://www.google.com/maps/search/?api=1&amp;query=32.4293513,73.5782186</t>
  </si>
  <si>
    <t>TR28643</t>
  </si>
  <si>
    <t>TR28644</t>
  </si>
  <si>
    <t>Hamid ali Mughal’ Hamid ali Mughal’</t>
  </si>
  <si>
    <t>+923426311908</t>
  </si>
  <si>
    <t>Ahmedabad rode hopy gahar Sialkot near sabaz mandi Sialkot</t>
  </si>
  <si>
    <t>Order has been shipped via PostEx with Tracking 20120050021465. whatsup confirm 
 | 💰 COD Rec: 2026-01-30 | Ref: CPR-R4IZV745179 | Amt: 3100</t>
  </si>
  <si>
    <t>TR28645</t>
  </si>
  <si>
    <t>+923035753613</t>
  </si>
  <si>
    <t>shami road cantttenacious mess main gate per a ker rider call ker la , lahore Lahore Lahore</t>
  </si>
  <si>
    <t>TRACEONSHOP0002</t>
  </si>
  <si>
    <t xml:space="preserve">previous item returned | customer exchange hoodie at shop </t>
  </si>
  <si>
    <t>TR28646</t>
  </si>
  <si>
    <t>Ali Murtaza</t>
  </si>
  <si>
    <t>Jamali Trust Building 1, Sector 11-B, plot no A981, up more, north Karachi Karachi</t>
  </si>
  <si>
    <t>Order has been shipped via PostEx with Tracking 21120050021514. not ans 
 Jamali Trust Building 1, Sector 11-B, plot no A981, up more, north Karachi Karachi, Karachi
 https://www.google.com/maps/search/?api=1andquery=24.9774165,67.06590419999999
 | ↩️ Return Charged: 2026-02-06 | Fee: 227</t>
  </si>
  <si>
    <t>TR28647</t>
  </si>
  <si>
    <t>Usama Anwar</t>
  </si>
  <si>
    <t>Al Shifa Herbal Clinic Thatha Khalil Road Taxila Rawalpindi</t>
  </si>
  <si>
    <t>[TracePK Finance] Verified Payment: 4248 | Ref: CPR-JDDYU556799 | Date: 2026-01-27
 | 💰 COD Rec: 2026-01-27 | Ref: CPR-JDDYU556799 | Amt: 4248</t>
  </si>
  <si>
    <t>TR28648</t>
  </si>
  <si>
    <t xml:space="preserve"> only dc lagani haa tr28159exchange        dc lagani thi but 2700 ka parcel bhej diya 
 | ↩️ Return Charged: 2026-02-10 | Fee: 213</t>
  </si>
  <si>
    <t>TR28649</t>
  </si>
  <si>
    <t>M Nazir</t>
  </si>
  <si>
    <t>Danyour Gilgit</t>
  </si>
  <si>
    <t>cancel mana shop sa la liya haa</t>
  </si>
  <si>
    <t>TR28650</t>
  </si>
  <si>
    <t>Raja Mehtab Mehtab</t>
  </si>
  <si>
    <t>Post office beor tehsil kahuta district  rawalpindi Kahuta</t>
  </si>
  <si>
    <t xml:space="preserve">27 ko chaiya werna cancel ker do </t>
  </si>
  <si>
    <t>TR28651</t>
  </si>
  <si>
    <t>Abdullah nusrat Nusrat bashir</t>
  </si>
  <si>
    <t>Misryal Road Madina Colony Street No 3 Rawalpindi Rawalpindi</t>
  </si>
  <si>
    <t>call after return kisi na rabta nhai kiya
  Order has been shipped via PostEx with Tracking 20120050021530. confirm   
 | ↩️ Return Charged: 2026-02-27 | Ref: CPR-YYTRB955152 | Fee: 200</t>
  </si>
  <si>
    <t>TR28652</t>
  </si>
  <si>
    <t>Waqar Ahmed</t>
  </si>
  <si>
    <t>Qtr 166/9 Rafiqui camp , paf base malir , malir cantt karachi Karachi</t>
  </si>
  <si>
    <t>Order has been shipped via PostEx with Tracking 24120050021512. Qtr 166/9 Rafiqui camp , paf base malir , malir cantt karachi Karachi, Karachi
 https://www.google.com/maps/search/?api=1andquery=24.94947,67.2102798
 | 💰 COD Rec: 2026-01-30 | Ref: CPR-R4IZV745179 | Amt: 4248</t>
  </si>
  <si>
    <t>TR28653</t>
  </si>
  <si>
    <t>Muhammad Amir</t>
  </si>
  <si>
    <t>call courier office KALMA CHOK, M Block Ārifwāla, Pakistan Arif Wala</t>
  </si>
  <si>
    <t>Order has been shipped via PostEx with Tracking 28120050021529. confirm call courier    not ans 
 | ↩️ Return Charged: 2026-02-03 | Fee: 200</t>
  </si>
  <si>
    <t>TR28654</t>
  </si>
  <si>
    <t>M. Arif M. Arif</t>
  </si>
  <si>
    <t>Awami. Kaloni naer qabristan ka gate ka pass a ker rider call ker laa mera gher pass hi haa Sadiq. Abad</t>
  </si>
  <si>
    <t>Sadiq. Abad</t>
  </si>
  <si>
    <t>Order has been shipped via PostEx with Tracking 29120050021528. confirm 
 | 💰 COD Rec: 2026-01-30 | Ref: CPR-R4IZV745179 | Amt: 3099</t>
  </si>
  <si>
    <t>TR28655</t>
  </si>
  <si>
    <t>Asif Ashraf</t>
  </si>
  <si>
    <t xml:space="preserve"> Sheikhum khas  near bashir sons  backery ka pass a ker rider call ker la   tehseel pattoki zila kasur Pattoki</t>
  </si>
  <si>
    <t>Order has been shipped via PostEx with Tracking 26120050021527. confirm 
 | 💰 COD Rec: 2026-01-30 | Ref: CPR-R4IZV745179 | Amt: 3099</t>
  </si>
  <si>
    <t>TR28656</t>
  </si>
  <si>
    <t>R Ali</t>
  </si>
  <si>
    <t>+923005539688</t>
  </si>
  <si>
    <t>07-house Number 24 Lane Number 01 Bahria Hill View Phase Rawalpindi</t>
  </si>
  <si>
    <t>Order has been shipped via PostEx with Tracking 28120050021511. 07-house Number 24 Lane Number 01 Bahria Hill View Phase Rawalpindi, Rawalpindi
 https://www.google.com/maps/search/?api=1andquery=33.492814,73.0700652
 | 💰 COD Rec: 2026-01-30 | Ref: CPR-R4IZV745179 | Amt: 4248</t>
  </si>
  <si>
    <t>TR28657</t>
  </si>
  <si>
    <t>Rameez Ali</t>
  </si>
  <si>
    <t>AKSA SDS, I9/3, Islamabad Islamabad</t>
  </si>
  <si>
    <t>Order has been shipped via PostEx with Tracking 24120050021510. AKSA SDS, I9/3, Islamabad Islamabad, Islamabad
 https://www.google.com/maps/search/?api=1andquery=33.659126,73.0572736
 | 💰 COD Rec: 2026-02-03 | Ref: CPR-ZZCET490688 | Amt: 3099</t>
  </si>
  <si>
    <t>TR28658</t>
  </si>
  <si>
    <t>Wahdat Zad</t>
  </si>
  <si>
    <t>+923053635577</t>
  </si>
  <si>
    <t>ameen colony Arabab landi peshawar</t>
  </si>
  <si>
    <t xml:space="preserve">cancel mera bhi na order kiya tha </t>
  </si>
  <si>
    <t>TR28659</t>
  </si>
  <si>
    <t>ameen colony arbab landi    peshawar  peshawar</t>
  </si>
  <si>
    <t>Order has been shipped via PostEx with Tracking 27120050021526. confirm 
 | 💰 COD Rec: 2026-01-30 | Ref: CPR-R4IZV745179 | Amt: 2799</t>
  </si>
  <si>
    <t>TR28660</t>
  </si>
  <si>
    <t>Shahzad Iqbal</t>
  </si>
  <si>
    <t>6A Ali Block New Garden Town Lahore</t>
  </si>
  <si>
    <t>Order has been shipped via PostEx with Tracking 25120050021509. 6A Ali Block New Garden Town Lahore, Lahore
 https://www.google.com/maps/search/?api=1andquery=31.5035237,74.3267185
 | 💰 COD Rec: 2026-01-30 | Ref: CPR-R4IZV745179 | Amt: 2799</t>
  </si>
  <si>
    <t>TR28661</t>
  </si>
  <si>
    <t>Salman Mughal</t>
  </si>
  <si>
    <t>State Bank of Pakistan, I.I.Chundrigar Road, Karachi Karachi</t>
  </si>
  <si>
    <t>Order has been shipped via PostEx with Tracking 22120050021525. 
 | 💰 COD Rec: 2026-01-30 | Ref: CPR-R4IZV745179 | Amt: 3099</t>
  </si>
  <si>
    <t>TR28662</t>
  </si>
  <si>
    <t>Akhtar Akhtar zaman</t>
  </si>
  <si>
    <t>+923076428509</t>
  </si>
  <si>
    <t>Paktan kamber road Chak Shafi kamber chok nazd itfaq petroleum service Minchinabad</t>
  </si>
  <si>
    <t>Minchinabad</t>
  </si>
  <si>
    <t xml:space="preserve">cancel zip wala order kerna tha </t>
  </si>
  <si>
    <t>TR28663</t>
  </si>
  <si>
    <t>Zeeshan Khan</t>
  </si>
  <si>
    <t>Zeeshan Khan Khattak House Near Pso Petrol Pump Opposite Dr Ramzan Sumra Clinic Layyah Layyah</t>
  </si>
  <si>
    <t>Order has been shipped via PostEx with Tracking 23120050021508. Zeeshan Khan Khattak House Near Pso Petrol Pump Opposite Dr Ramzan Sumra Clinic Layyah Layyah, Layyah
 https://www.google.com/maps/search/?api=1andquery=30.9674057,70.9683515
 | 💰 COD Rec: 2026-01-30 | Ref: CPR-R4IZV745179 | Amt: 3099</t>
  </si>
  <si>
    <t>TR28664</t>
  </si>
  <si>
    <t>Aizaz ul haq Siddiqui</t>
  </si>
  <si>
    <t>Imam Heights Basement Plot 151/s Block 2 Pechs Khalid Bin Waleed Road Karachi Near Imtiaz Super Store Karachi</t>
  </si>
  <si>
    <t>Order has been shipped via PostEx with Tracking 29120050021507. Imam Heights Basement Plot 151/s Block 2 Pechs Khalid Bin Waleed Road Karachi Near Imtiaz Super Store Karachi, Karachi
 https://www.google.com/maps/search/?api=1andquery=24.8719501,67.0554027
 | 💰 COD Rec: 2026-02-03 | Ref: CPR-ZZCET490688 | Amt: 2799</t>
  </si>
  <si>
    <t>TR28665</t>
  </si>
  <si>
    <t>Hasnain Ilyas Ilyas</t>
  </si>
  <si>
    <t>283-k Street 24/1 Dha Phase 5 Lahore</t>
  </si>
  <si>
    <t>Order has been shipped via PostEx with Tracking 23120050021506. 283-k Street 24/1 Dha Phase 5 Lahore, Lahore
 https://www.google.com/maps/search/?api=1andquery=31.4654275,74.3978846
 | 💰 COD Rec: 2026-01-30 | Ref: CPR-R4IZV745179 | Amt: 3049</t>
  </si>
  <si>
    <t>Tipping Crew - M / White (x1), Basic RL Crew- Cotton - M / Black (x1)</t>
  </si>
  <si>
    <t>TR28666</t>
  </si>
  <si>
    <t>Muhammad Waleed</t>
  </si>
  <si>
    <t>Chak no.343/w.b tehsil dunyapur district lodhran Dunyapur</t>
  </si>
  <si>
    <t>Order has been shipped via PostEx with Tracking 26120050021524. confirm dunyapur sa self pickup haa
 | 💰 COD Rec: 2026-01-30 | Ref: CPR-R4IZV745179 | Amt: 3099</t>
  </si>
  <si>
    <t>TR28667</t>
  </si>
  <si>
    <t>Mohammad Sajjad</t>
  </si>
  <si>
    <t>Crown motor company pvt ltd Sadik Abad</t>
  </si>
  <si>
    <t>Sadik Abad</t>
  </si>
  <si>
    <t>Order has been shipped via PostEx with Tracking 27120050021523. confirm 
 | 💰 COD Rec: 17-Feb-2026 | Ref: CPR-P18X9853080 | Amt: 3099</t>
  </si>
  <si>
    <t>TR28668</t>
  </si>
  <si>
    <t>Afzal Sindhu</t>
  </si>
  <si>
    <t>bank islami punjab kita house   CURCLER road     HARI PURR KPK Hari Purr Curculer Road Kpk</t>
  </si>
  <si>
    <t>Hari Purr Curculer Road Kpk</t>
  </si>
  <si>
    <t>Order has been shipped via PostEx with Tracking 21120050021586. confirm 
 | ↩️ Return Charged: 2026-02-10 | Fee: 213</t>
  </si>
  <si>
    <t>TR28669</t>
  </si>
  <si>
    <t>Tanveer Bhatti Bhatti</t>
  </si>
  <si>
    <t>568-d-canal View Society Lahore Lahore</t>
  </si>
  <si>
    <t>Order has been shipped via PostEx with Tracking 26120050021561. confirm 
 | ↩️ Return Charged: 2026-02-10 | Fee: 107</t>
  </si>
  <si>
    <t>TR28670</t>
  </si>
  <si>
    <t>+923343537825</t>
  </si>
  <si>
    <t>House 23D, CMH Road Bannu Cantonment Bannu</t>
  </si>
  <si>
    <t>Order has been shipped via PostEx with Tracking 24120050021505. House 23D, CMH Road Bannu Cantonment Bannu, Bannu
 https://www.google.com/maps/search/?api=1andquery=32.9909945,70.645473
 | 💰 COD Rec: 2026-01-30 | Ref: CPR-R4IZV745179 | Amt: 3099</t>
  </si>
  <si>
    <t>TR28671</t>
  </si>
  <si>
    <t>Shahab Usmani</t>
  </si>
  <si>
    <t>R68/1, Khayaban e Rizwan, Phase 7, DHA, Karachi, Pakistan Karachi</t>
  </si>
  <si>
    <t>Order has been shipped via PostEx with Tracking 22120050021504. R68/1, Khayaban e Rizwan, Phase 7, DHA, Karachi, Pakistan Karachi, Karachi
 https://www.google.com/maps/search/?api=1andquery=24.8171788,67.07719159999999
 | 💰 COD Rec: 2026-01-30 | Ref: CPR-R4IZV745179 | Amt: 4248</t>
  </si>
  <si>
    <t>TR28672</t>
  </si>
  <si>
    <t>Imran Atta</t>
  </si>
  <si>
    <t>House 563 b block   Ismail Valley Daewoo Road Faisalabad</t>
  </si>
  <si>
    <t>Order has been shipped via PostEx with Tracking 26120050021522. confirm 
 | 💰 COD Rec: 2026-01-30 | Ref: CPR-R4IZV745179 | Amt: 2049</t>
  </si>
  <si>
    <t>ADI Multi Ref Stripes - 3XL / Maroon (x1)</t>
  </si>
  <si>
    <t>TR28673</t>
  </si>
  <si>
    <t>Mudassar Khan</t>
  </si>
  <si>
    <t xml:space="preserve">  house b 56 upper chatter  Muzaffarabad Azad Kashmir   Muzaffarabad</t>
  </si>
  <si>
    <t>Order has been shipped via PostEx with Tracking 27120050021521. confirm   ma out of city hoo 
 | ↩️ Return Charged: 2026-02-06 | Fee: 213</t>
  </si>
  <si>
    <t>TR28674</t>
  </si>
  <si>
    <t>+923342612099</t>
  </si>
  <si>
    <t>Order has been shipped via PostEx with Tracking 21120050021503. Jamali Trust Building 1, Sector 11-B, plot no A981, up more, north Karachi Karachi, Karachi
 https://www.google.com/maps/search/?api=1andquery=24.9774165,67.06590419999999
 | 💰 COD Rec: 2026-01-30 | Ref: CPR-R4IZV745179 | Amt: 4248</t>
  </si>
  <si>
    <t>TR28675</t>
  </si>
  <si>
    <t>Haider Bajwa</t>
  </si>
  <si>
    <t>Maher Hayyat Road Shahdara Mor Lahore Street No 2 Gujjron Wali Gali. Lahore</t>
  </si>
  <si>
    <t>Order has been shipped via PostEx with Tracking 21120050021502. Maher Hayyat Road Shahdara Mor Lahore Street No 2 Gujjron Wali Gali. Lahore, Lahore
 https://www.google.com/maps/search/?api=1andquery=31.5414858,74.276964
 | 💰 COD Rec: 2026-01-30 | Ref: CPR-R4IZV745179 | Amt: 3099</t>
  </si>
  <si>
    <t>TR28676</t>
  </si>
  <si>
    <t>RAFAQAT ALI</t>
  </si>
  <si>
    <t>PAF BASE MASROOR KARACHI NEAR GUL BAHI KARACHI</t>
  </si>
  <si>
    <t>KARACHI</t>
  </si>
  <si>
    <t>TR28677</t>
  </si>
  <si>
    <t>+923115372452</t>
  </si>
  <si>
    <t>TR28678</t>
  </si>
  <si>
    <t>Bilal Ashraf</t>
  </si>
  <si>
    <t>P-125, pakistan national school, hala road karim town Faisalabad</t>
  </si>
  <si>
    <t>Order has been shipped via PostEx with Tracking 24120050021520. 
 | 💰 COD Rec: 2026-01-30 | Ref: CPR-R4IZV745179 | Amt: 2849</t>
  </si>
  <si>
    <t>TR28679</t>
  </si>
  <si>
    <t>+923214060544</t>
  </si>
  <si>
    <t>HBL regional headquarters (RHQ) Faisalabad</t>
  </si>
  <si>
    <t>Order has been shipped via PostEx with Tracking 27120050021519. 
 | 💰 COD Rec: 2026-01-30 | Ref: CPR-R4IZV745179 | Amt: 3099</t>
  </si>
  <si>
    <t>TR28680</t>
  </si>
  <si>
    <t>PAF BASE MASROOR KARACHI NEAR GUL BAHI Karachi</t>
  </si>
  <si>
    <t>Order has been shipped via PostEx with Tracking 26120050021552. confirm 
 | 💰 COD Rec: 2026-02-03 | Ref: CPR-ZZCET490688 | Amt: 4249</t>
  </si>
  <si>
    <t>TR28681</t>
  </si>
  <si>
    <t>muhammad Farooq</t>
  </si>
  <si>
    <t>Lahore roud khanpur stop main bazar nzd almadina store Shaikhupora</t>
  </si>
  <si>
    <t>Shaikhupora</t>
  </si>
  <si>
    <t>TR28682</t>
  </si>
  <si>
    <t>+923006798987</t>
  </si>
  <si>
    <t>Tariq Faiz (or Al-Faiz) Refrigeration Centre, Ghaus Pur Road, Zahir Pir, Tehsil: Khanpur Zahir pir</t>
  </si>
  <si>
    <t>Order has been shipped via PostEx with Tracking 28120050021501. out of city tha kal receive ker la gaa 
 | ↩️ Return Charged: 2026-02-06 | Fee: 220</t>
  </si>
  <si>
    <t>TR28683</t>
  </si>
  <si>
    <t>Azeem awan Awan</t>
  </si>
  <si>
    <t>Al.awan electric store near HBL challa bandi muzaffarabad Ajk Muzaffarabad Ajk</t>
  </si>
  <si>
    <t>Order has been shipped via PostEx with Tracking 21120050021551. 
 | 💰 COD Rec: 2026-01-30 | Ref: CPR-R4IZV745179 | Amt: 2799</t>
  </si>
  <si>
    <t>TR28684</t>
  </si>
  <si>
    <t>Muhammad Akram Khajjak</t>
  </si>
  <si>
    <t>C/o Muhammad Akram Khajjak Accountant Ssp Office Sibi Sibi</t>
  </si>
  <si>
    <t>Order has been shipped via PostEx with Tracking 23120050021500. ok
 | 💰 COD Rec: 2026-02-10 | Ref: CPR-EN98M126354 | Amt: 2849</t>
  </si>
  <si>
    <t>CPR-EN98M126354</t>
  </si>
  <si>
    <t>TR28685</t>
  </si>
  <si>
    <t>Ali ShAn</t>
  </si>
  <si>
    <t>Moza sahti near allied pump  post office hujra shah muqeem Hujra shah muqeem</t>
  </si>
  <si>
    <t>Hujra shah muqeem</t>
  </si>
  <si>
    <t>Order has been shipped via PostEx with Tracking 29120050021518. confirm 
 | 💰 COD Rec: 2026-01-30 | Ref: CPR-R4IZV745179 | Amt: 4248</t>
  </si>
  <si>
    <t>TR28686</t>
  </si>
  <si>
    <t>Tauqeer Abbas</t>
  </si>
  <si>
    <t>+923365574878</t>
  </si>
  <si>
    <t>house 41 street 2 blackk a ac colony  Nowshera Nowshera</t>
  </si>
  <si>
    <t>Order has been shipped via PostEx with Tracking 26120050021499. in wp advance ker raha 
 | ↩️ Return Charged: 2026-02-10 | Fee: 213</t>
  </si>
  <si>
    <t>TR28687</t>
  </si>
  <si>
    <t>Ahsaan Bukhari</t>
  </si>
  <si>
    <t>House no 157 street no 6 new shalimar colony muhallah nawa kot gulshane ravi Lahore</t>
  </si>
  <si>
    <t>Order has been shipped via PostEx with Tracking 28120050021498. 
 | ↩️ Return Charged: 2026-02-03 | Fee: 107</t>
  </si>
  <si>
    <t>TR28688</t>
  </si>
  <si>
    <t>Farooq Khan</t>
  </si>
  <si>
    <t>Hastal number #09, university of peshawar Peshawar</t>
  </si>
  <si>
    <t>confirm  
not ans 
 | ↩️ Return Charged: 20-Feb-2026 | Ref: CPR-245C7434461 | Fee: 213</t>
  </si>
  <si>
    <t>TR28689</t>
  </si>
  <si>
    <t>Asad Rasheed</t>
  </si>
  <si>
    <t>main head queater Fort Balahisar Pishawar City Peshawar</t>
  </si>
  <si>
    <t>Order has been shipped via PostEx with Tracking 20120050021496. confirm 
 | 💰 COD Rec: 2026-01-30 | Ref: CPR-R4IZV745179 | Amt: 1699</t>
  </si>
  <si>
    <t>TR28690</t>
  </si>
  <si>
    <t>Khatab Abbasi</t>
  </si>
  <si>
    <t>Sabzi Mandi Islamabad shop number 168 Islamabad</t>
  </si>
  <si>
    <t xml:space="preserve">cancel ker dein no reason nahi lena </t>
  </si>
  <si>
    <t>TR28691</t>
  </si>
  <si>
    <t>Sohail khan</t>
  </si>
  <si>
    <t>Village Macho Talash P.O Ziarat Talash Timgergara Dir Lower</t>
  </si>
  <si>
    <t>Timgergara Dir Lower</t>
  </si>
  <si>
    <t>LE7524653979</t>
  </si>
  <si>
    <t>Ziarat Talash leopard office jana haa 
consignee boll rahah ka adidass white hoodie received  ker li haa
 | 💰 COD Rec: No Date | Ref:  | Amt: 2799</t>
  </si>
  <si>
    <t>Adi- Hoodie - 2xl / White (x1)</t>
  </si>
  <si>
    <t>TR28692</t>
  </si>
  <si>
    <t>bilal hassan</t>
  </si>
  <si>
    <t>jaranwala road near rana sweet faisalabad Faisalabad</t>
  </si>
  <si>
    <t>Order has been shipped via PostEx with Tracking 21120050021515. allow to open 
 | 💰 COD Rec: 2026-01-30 | Ref: CPR-R4IZV745179 | Amt: 1999</t>
  </si>
  <si>
    <t>TR28693</t>
  </si>
  <si>
    <t>SS 16 Defense View Society Phace 2 Karachi</t>
  </si>
  <si>
    <t xml:space="preserve">cancel mujha laga ka short bhi sath hain </t>
  </si>
  <si>
    <t>TR28694</t>
  </si>
  <si>
    <t>waris Khan</t>
  </si>
  <si>
    <t>Ghulam ullah poultry office paimal road tehsil&amp; district battagram Battagram</t>
  </si>
  <si>
    <t>Order has been shipped via PostEx with Tracking 27120050021598. confirm 
 | ↩️ Return Charged: 2026-02-13 | Fee: 227</t>
  </si>
  <si>
    <t>TR28695</t>
  </si>
  <si>
    <t>Shah G near sub jail shah rah e resham road tehsil&amp; district battagram Battagram</t>
  </si>
  <si>
    <t>Order has been shipped via PostEx with Tracking 20120050021560. confirm 
 | ↩️ Return Charged: 2026-02-06 | Fee: 227</t>
  </si>
  <si>
    <t>TR28696</t>
  </si>
  <si>
    <t>Rana Sadaqat Ali</t>
  </si>
  <si>
    <t>+923214636400</t>
  </si>
  <si>
    <t>Office No 1,3rd Floor, Shan Plaza, 10-Commercial Zone, Karim Block Market, Allama Iqbal Town Lahore Lahore</t>
  </si>
  <si>
    <t>Order has been shipped via PostEx with Tracking 22120050021516. 
 | 💰 COD Rec: 2026-01-30 | Ref: CPR-R4IZV745179 | Amt: 3099</t>
  </si>
  <si>
    <t>TR28697</t>
  </si>
  <si>
    <t>Hamd Kamez</t>
  </si>
  <si>
    <t>R302 sector 8 north karachi Karachi</t>
  </si>
  <si>
    <t>Order has been shipped via PostEx with Tracking 27120050021550. 
 | 💰 COD Rec: 2026-02-03 | Ref: CPR-ZZCET490688 | Amt: 4248</t>
  </si>
  <si>
    <t>TR28698</t>
  </si>
  <si>
    <t>Muqam Khan</t>
  </si>
  <si>
    <t>New Afghan Daewoo Service Jablenoor Quetta Quetta</t>
  </si>
  <si>
    <t>return ana per call ki haa boll raha haa ka mana cancel ker diya tha confirm
 | ↩️ Return Charged: 20-Feb-2026 | Ref: CPR-245C7434461 | Fee: 213</t>
  </si>
  <si>
    <t>TR28699</t>
  </si>
  <si>
    <t>+923335555130</t>
  </si>
  <si>
    <t>Order has been shipped via PostEx with Tracking 29120050021535. confirm is ko siplit  ker a bhej do
 | 💰 COD Rec: 2026-01-30 | Ref: CPR-R4IZV745179 | Amt: 7349</t>
  </si>
  <si>
    <t>(Premium) POLO RL - M / olive (x1), (Premium) Popcorn Polo - M / Navy (x1), (Premium) Popcorn Polo - M / olive (x1), (Premium) Popcorn Polo - M / Black (x1)</t>
  </si>
  <si>
    <t>TR28700</t>
  </si>
  <si>
    <t>Kalsoom Maqbool</t>
  </si>
  <si>
    <t>Al-Madina Karyana Store (Wali Gali), Hussaini Road, Muzaffarpur, Tehsil &amp; District Sialkot Sialkot</t>
  </si>
  <si>
    <t>Order has been shipped via PostEx with Tracking 26120050021549. 
 | 💰 COD Rec: 2026-01-30 | Ref: CPR-R4IZV745179 | Amt: 1699</t>
  </si>
  <si>
    <t>A | X Embroidery LOGO - 3XL / Maroon (x1)</t>
  </si>
  <si>
    <t>TR28701</t>
  </si>
  <si>
    <t>Abdul islam</t>
  </si>
  <si>
    <t>Makkah Model School makki road  Dakkhana khas feroz watwa sheikhpura Shekhpura</t>
  </si>
  <si>
    <t>Shekhpura</t>
  </si>
  <si>
    <t>Order has been shipped via PostEx with Tracking 27120050021558. confrm not ans 
 | ↩️ Return Charged: 2026-02-03 | Fee: 200</t>
  </si>
  <si>
    <t>TR28702</t>
  </si>
  <si>
    <t>DANYAL Khan</t>
  </si>
  <si>
    <t>House No A229 Block 2 Gulistan E Johar Karachi</t>
  </si>
  <si>
    <t>Order has been shipped via PostEx with Tracking 23120050021548. 
 | 💰 COD Rec: 2026-02-03 | Ref: CPR-ZZCET490688 | Amt: 5450</t>
  </si>
  <si>
    <t>ADI Ref Stripes - 2XL / White (x1), ADI Ref Stripes - 2XL / Black (x1), NIK- Ref LOGO - 2XL / white (x1), NIK- Ref LOGO - 2XL / black (x1)</t>
  </si>
  <si>
    <t>TR28703</t>
  </si>
  <si>
    <t>Muhammad Ishtiaq siddiqui</t>
  </si>
  <si>
    <t>12th floor fortune towers main shahrah e faisal Karachi</t>
  </si>
  <si>
    <t>Order has been shipped via PostEx with Tracking 25120050021557. confirm
 | ↩️ Return Charged: 2026-02-13 | Fee: 213</t>
  </si>
  <si>
    <t>TR28704</t>
  </si>
  <si>
    <t>Fiaz Riaz</t>
  </si>
  <si>
    <t>Mandifaizabad     tcs office  Mandifaizabad</t>
  </si>
  <si>
    <t>Mandifaizabad</t>
  </si>
  <si>
    <t xml:space="preserve">R; MUJHA COURIER  KI TARAF SA KOI CALL NAHI AI 
tcs self pickup </t>
  </si>
  <si>
    <t>INV-289159</t>
  </si>
  <si>
    <t>TR28705</t>
  </si>
  <si>
    <t>Tamour Ali</t>
  </si>
  <si>
    <t>Mindbridge Egerton road opposite Shaheen complex lahore Lahore</t>
  </si>
  <si>
    <t>Order has been shipped via PostEx with Tracking 23120050021547. 
 | 💰 COD Rec: 2026-01-30 | Ref: CPR-R4IZV745179 | Amt: 2849</t>
  </si>
  <si>
    <t>TR28706</t>
  </si>
  <si>
    <t>M.waqas ali Waqas ali</t>
  </si>
  <si>
    <t>Sayyed Healthcare Limited Plot # 37 In Allama Iqbal Industrial Estate Shainwala Interchange Faisalabad Faisalabad</t>
  </si>
  <si>
    <t>Order has been shipped via PostEx with Tracking 21120050021546. 
 | 💰 COD Rec: 2026-01-30 | Ref: CPR-R4IZV745179 | Amt: 3099</t>
  </si>
  <si>
    <t>TR28707</t>
  </si>
  <si>
    <t>Khalil ahmad Khalil</t>
  </si>
  <si>
    <t>Faquir Restaurant, Mufti Baqir Chowk, near Wazir Khan Mosque, Dabbi Bazar, Walled City (Androon Lahore) Lahore</t>
  </si>
  <si>
    <t>Order has been shipped via PostEx with Tracking 25120050021545. 
 | 💰 COD Rec: 2026-01-30 | Ref: CPR-R4IZV745179 | Amt: 3099</t>
  </si>
  <si>
    <t>TR28708</t>
  </si>
  <si>
    <t>Rana Soohaib</t>
  </si>
  <si>
    <t>Mandi thro near Hbl bank Chawinda-Zafarwal Rd, Mandi Throo,  Chawinda</t>
  </si>
  <si>
    <t>Chawinda</t>
  </si>
  <si>
    <t>Order has been shipped via PostEx with Tracking 24120050021628. confirm 
 | 💰 COD Rec: 2026-02-03 | Ref: CPR-ZZCET490688 | Amt: 3099</t>
  </si>
  <si>
    <t>NIK- Ref LOGO - L / white (x1), NIK- Ref LOGO - XL / black (x1)</t>
  </si>
  <si>
    <t>TR28709</t>
  </si>
  <si>
    <t>IH-103, Street 17, PAF-Falcon Complex, Gulberg 3 Lahore</t>
  </si>
  <si>
    <t>Order has been shipped via PostEx with Tracking 24120050021556. confirm
 | 💰 COD Rec: 2026-01-30 | Ref: CPR-R4IZV745179 | Amt: 6849</t>
  </si>
  <si>
    <t>NIK- Ref LOGO - M / white (x1), NIK- Ref LOGO - M / black (x1), Adi- Hoodie - M / Black (x1), Adi- Hoodie - M / White (x1)</t>
  </si>
  <si>
    <t>TR28710</t>
  </si>
  <si>
    <t>Qayyum JuTt</t>
  </si>
  <si>
    <t>Qazi Kot Stop, Mughal Chak Kalan, Hafizabad Road, Tehsil &amp; District Gujranwala Gujranwala</t>
  </si>
  <si>
    <t>Order has been shipped via PostEx with Tracking 24120050021555. confirm
 | 💰 COD Rec: 2026-02-13 | Ref: CPR-JXDW9494704 | Amt: 3099</t>
  </si>
  <si>
    <t>CPR-JXDW9494704</t>
  </si>
  <si>
    <t>TR28711</t>
  </si>
  <si>
    <t>Moeez Virk</t>
  </si>
  <si>
    <t>Marh Bhanguwan Sharqpur Road Sheikhupura Qila Shekhupura</t>
  </si>
  <si>
    <t>LE7524439278</t>
  </si>
  <si>
    <t xml:space="preserve">LEOPARD </t>
  </si>
  <si>
    <t>TR28712</t>
  </si>
  <si>
    <t>Adnan Ahmed</t>
  </si>
  <si>
    <t>rufi shopping center opposite Al jadeed super market NEAR  (Maroof Sweets and Bakers)  university road mosmiyat Karachi   Karachi</t>
  </si>
  <si>
    <t>Order has been shipped via PostEx with Tracking 29120050021544. CONFIRM 
 | 💰 COD Rec: 2026-02-03 | Ref: CPR-ZZCET490688 | Amt: 2749</t>
  </si>
  <si>
    <t>TR28713</t>
  </si>
  <si>
    <t>F8/2 .House no.08 .Street 19 Islamabad</t>
  </si>
  <si>
    <t>Order has been shipped via PostEx with Tracking 25120050021543. 
 | 💰 COD Rec: 2026-01-30 | Ref: CPR-R4IZV745179 | Amt: 2799</t>
  </si>
  <si>
    <t>TR28714</t>
  </si>
  <si>
    <t>Waleed Hadi</t>
  </si>
  <si>
    <t>+923200797066</t>
  </si>
  <si>
    <t>Astana Aliya Mian Sahib Da Dera, Kidar Sharif, Kuthiala Sheikhan, Tehsil: Mandi Bahauddin Kuthiala shiehkan</t>
  </si>
  <si>
    <t>Kuthiala shiehkan</t>
  </si>
  <si>
    <t>Order has been shipped via PostEx with Tracking 28120050021542. POSTEX 
 | 💰 COD Rec: 2026-01-30 | Ref: CPR-R4IZV745179 | Amt: 2749</t>
  </si>
  <si>
    <t>Tipping Crew - M / White (x1), Tipping Crew - M / Black (x1)</t>
  </si>
  <si>
    <t>TR28715</t>
  </si>
  <si>
    <t>Kharian Kharian</t>
  </si>
  <si>
    <t xml:space="preserve">CANCEL MERA HO GAYA HAA CHALAN JIS PAISA SA HOODIE LENI THI AUS SA CHALAN BHAR DIYA HAA </t>
  </si>
  <si>
    <t>TR28716</t>
  </si>
  <si>
    <t>Muhammad Usman amjid</t>
  </si>
  <si>
    <t>Kotri SIDE AREA GUL PAPER   Hyderabad  Kotri</t>
  </si>
  <si>
    <t>Order has been shipped via PostEx with Tracking 22120050021541. OPEN TO ALLOW 
 | ↩️ Return Charged: 2026-02-10 | Fee: 227</t>
  </si>
  <si>
    <t>TR28717</t>
  </si>
  <si>
    <t>Arsalan Abbas</t>
  </si>
  <si>
    <t>House 172 block 1 street 2 Chichawatni</t>
  </si>
  <si>
    <t>Order has been shipped via PostEx with Tracking 28120050021540. CONFIRM 
 | 💰 COD Rec: 2026-02-13 | Ref: CPR-JXDW9494704 | Amt: 3099</t>
  </si>
  <si>
    <t>TR28718</t>
  </si>
  <si>
    <t>Jabran Adeel</t>
  </si>
  <si>
    <t>Shalimar town kamalia near. T. H. Q. Hospital Kamalia</t>
  </si>
  <si>
    <t xml:space="preserve">cancel ker dien </t>
  </si>
  <si>
    <t>TR28719</t>
  </si>
  <si>
    <t>Bassam M.Anwer</t>
  </si>
  <si>
    <t>Opp Molamadad Momin Masjid Nearby Salhe Mohd Sarhadi School Lyari Karachi Karachi</t>
  </si>
  <si>
    <t>Order has been shipped via PostEx with Tracking 24120050021539. confirm   cancel fabric acha nahi ha 
 | ↩️ Return Charged: 2026-02-06 | Fee: 227</t>
  </si>
  <si>
    <t>TR28720</t>
  </si>
  <si>
    <t>Mehboob Ali</t>
  </si>
  <si>
    <t>Nrsp Mircofinance Bank main bazar khaplu Khaplu</t>
  </si>
  <si>
    <t>Khaplu</t>
  </si>
  <si>
    <t>TCS 
 | 💰 COD Rec: No Date | Ref:  | Amt: 1699</t>
  </si>
  <si>
    <t>A | X Embroidery LOGO - XL / American Blue (x1)</t>
  </si>
  <si>
    <t>TR28721</t>
  </si>
  <si>
    <t>Adnan Yaseen</t>
  </si>
  <si>
    <t>25 Zulfiqar Street 1,DHA PHASE 8  karachi  Karachi</t>
  </si>
  <si>
    <t xml:space="preserve">  Order has been shipped via PostEx with Tracking 24120050021538.   rider aya tha ma avail nahi tha 
 | ↩️ Return Charged: 2026-02-10 | Fee: 213</t>
  </si>
  <si>
    <t>TR28722</t>
  </si>
  <si>
    <t>Malik Atta</t>
  </si>
  <si>
    <t>Marakiwal سیالکوٹ</t>
  </si>
  <si>
    <t>سیالکوٹ</t>
  </si>
  <si>
    <t>TR28723</t>
  </si>
  <si>
    <t>TR28724</t>
  </si>
  <si>
    <t>Order has been shipped via PostEx with Tracking 22120050021537. confirm 250 advance hain   rider issue 
 | ↩️ Return Charged: 2026-02-10 | Fee: 213</t>
  </si>
  <si>
    <t>TR28725</t>
  </si>
  <si>
    <t>Saifullah Saifullah</t>
  </si>
  <si>
    <t>+923236469942</t>
  </si>
  <si>
    <t>Hafiz Saifullah Pracha Karyana Store, Inside Sialkoti Gate, Walled City, Tehsil &amp; District Gujranwala 03236469942 Gujranwala</t>
  </si>
  <si>
    <t>Order has been shipped via PostEx with Tracking 29120050021597. ok
 | 💰 COD Rec: 2026-02-13 | Ref: CPR-JXDW9494704 | Amt: 3100</t>
  </si>
  <si>
    <t>TR28726</t>
  </si>
  <si>
    <t>Order has been shipped via PostEx with Tracking 28120050021536. only dc lagani haa tr28159exchange
 | 💰 COD Rec: 2026-02-03 | Ref: CPR-ZZCET490688 | Amt: 250</t>
  </si>
  <si>
    <t>TR28727</t>
  </si>
  <si>
    <t>Shahid Hussain</t>
  </si>
  <si>
    <t>dpo office Rajan pur Rajan Pur</t>
  </si>
  <si>
    <t>Rajan Pur</t>
  </si>
  <si>
    <t>Order has been shipped via PostEx with Tracking 20120050021585. confirm 
 | 💰 COD Rec: 2026-02-03 | Ref: CPR-ZZCET490688 | Amt: 2849</t>
  </si>
  <si>
    <t>TR28728</t>
  </si>
  <si>
    <t>57Cca dha phase 6 Lahore 3td floor Lahore</t>
  </si>
  <si>
    <t>Order has been shipped via PostEx with Tracking 22120050021554. cancel ma out of city hoo
 | ↩️ Return Charged: 2026-02-03 | Fee: 107</t>
  </si>
  <si>
    <t>TR28729</t>
  </si>
  <si>
    <t>Imad Khan Imad Khan</t>
  </si>
  <si>
    <t>+923441601623</t>
  </si>
  <si>
    <t>Malik boys Hostel (Rehman Pura) Opposite Decent Departmental Store Wahdat road.  Area: Muslim Town  City: Lahore lahore</t>
  </si>
  <si>
    <t>Order has been shipped via PostEx with Tracking 25120050021553. whatsup 
 | 💰 COD Rec: 2026-01-30 | Ref: CPR-R4IZV745179 | Amt: 2450</t>
  </si>
  <si>
    <t>Embossed NIK-E - M / White (x1), NIK- Ref LOGO - M / black (x1)</t>
  </si>
  <si>
    <t>TR28730</t>
  </si>
  <si>
    <t>Samiullah khan Khan</t>
  </si>
  <si>
    <t>+923175327791</t>
  </si>
  <si>
    <t>Nawansher Township Near Mir Bakery Abbottabad</t>
  </si>
  <si>
    <t>Order has been shipped via PostEx with Tracking 22120050021582. 
 | ↩️ Return Charged: 2026-02-10 | Fee: 213</t>
  </si>
  <si>
    <t>TR28731</t>
  </si>
  <si>
    <t>Obaid Khan</t>
  </si>
  <si>
    <t>House 84 B Lane 04 Lake View Lanes Korang Road Bani Gala Islamabad</t>
  </si>
  <si>
    <t>Order has been shipped via PostEx with Tracking 25120050021581. 
 | 💰 COD Rec: 2026-02-03 | Ref: CPR-ZZCET490688 | Amt: 2849</t>
  </si>
  <si>
    <t>TR28732</t>
  </si>
  <si>
    <t>Nazakat ali Nazakat Ali</t>
  </si>
  <si>
    <t>Lalazar colony gali no 5 Vehari</t>
  </si>
  <si>
    <t xml:space="preserve">cancel by umair </t>
  </si>
  <si>
    <t>TR28733</t>
  </si>
  <si>
    <t>Musa Masood</t>
  </si>
  <si>
    <t>Building no 71c 24th street tauheed commercial phase 5 DHA Karachi</t>
  </si>
  <si>
    <t>Order has been shipped via PostEx with Tracking 26120050021580. 
 | 💰 COD Rec: 2026-02-03 | Ref: CPR-ZZCET490688 | Amt: 3249</t>
  </si>
  <si>
    <t>(Premium) Popcorn Polo - L / White (x1), Basic RL Crew- Cotton - XL / Black (x1)</t>
  </si>
  <si>
    <t>TR28734</t>
  </si>
  <si>
    <t>Order has been shipped via PostEx with Tracking 27120050021579. 
 | 💰 COD Rec: 2026-02-03 | Ref: CPR-ZZCET490688 | Amt: 4248</t>
  </si>
  <si>
    <t>TR28735</t>
  </si>
  <si>
    <t>Tosif Ali</t>
  </si>
  <si>
    <t>Madina Corporation, Airport Chowk, Jhang Road, near Faisalabad International Airport, Faisalabad.</t>
  </si>
  <si>
    <t>Faisalabad.</t>
  </si>
  <si>
    <t>Order has been shipped via PostEx with Tracking 24120050021578. confirm 
 | 💰 COD Rec: 2026-01-30 | Ref: CPR-R4IZV745179 | Amt: 3099</t>
  </si>
  <si>
    <t>TR28736</t>
  </si>
  <si>
    <t>Umair Pirzada</t>
  </si>
  <si>
    <t>House no 4 dohs 2 malir cantt Karachi</t>
  </si>
  <si>
    <t>Order has been shipped via PostEx with Tracking 27120050021577. 
 | 💰 COD Rec: 2026-02-03 | Ref: CPR-ZZCET490688 | Amt: 3449</t>
  </si>
  <si>
    <t>A | X Embroidery LOGO - 3XL / Black (x1), (Premium) Cotton lycra RL - 2XL / Black (x1)</t>
  </si>
  <si>
    <t>TR28737</t>
  </si>
  <si>
    <t>Shahzad Rao</t>
  </si>
  <si>
    <t>House No 91/c Block D Unite No 7 Latifabad Hyderabad</t>
  </si>
  <si>
    <t>Order has been shipped via PostEx with Tracking 24120050021576. 
 | 💰 COD Rec: 2026-02-03 | Ref: CPR-ZZCET490688 | Amt: 3099</t>
  </si>
  <si>
    <t>TR28738</t>
  </si>
  <si>
    <t>Asfand Haral</t>
  </si>
  <si>
    <t>+923046763906</t>
  </si>
  <si>
    <t>Chanab Gate Rahwali cant gujranwla gujranwla</t>
  </si>
  <si>
    <t>gujranwla</t>
  </si>
  <si>
    <t xml:space="preserve">cancel size issue haa </t>
  </si>
  <si>
    <t>TR28739</t>
  </si>
  <si>
    <t>Muhammad Anwar</t>
  </si>
  <si>
    <t>Agha latif general store masjid road surab     Surab</t>
  </si>
  <si>
    <t>Surab</t>
  </si>
  <si>
    <t xml:space="preserve">confirm ( tcs / lcs phr booking nhi hori hai ) </t>
  </si>
  <si>
    <t>TR28740</t>
  </si>
  <si>
    <t>Muhammad Ashraf</t>
  </si>
  <si>
    <t>Lazeez Hotel, Phase 1 Bypass, Nawa Killi, Tehsil &amp; District Quetta, Balochistan, Quetta</t>
  </si>
  <si>
    <t>Order has been shipped via PostEx with Tracking 23120050021575.    not ans 
 | ↩️ Return Charged: 2026-02-13 | Fee: 213</t>
  </si>
  <si>
    <t>TR28741</t>
  </si>
  <si>
    <t>Usama Mushtaq</t>
  </si>
  <si>
    <t>New Karachi Hazara Goods, Near Railway Park,  Attock City, Attock city</t>
  </si>
  <si>
    <t>Attock city</t>
  </si>
  <si>
    <t>Order has been shipped via PostEx with Tracking 28120050021574. 
 | ↩️ Return Charged: 2026-02-06 | Fee: 220</t>
  </si>
  <si>
    <t>TR28742</t>
  </si>
  <si>
    <t>Jhon Khan</t>
  </si>
  <si>
    <t>house no 229 block e  Asc colony Nowshera Nowshera Kpk</t>
  </si>
  <si>
    <t>Nowshera Kpk</t>
  </si>
  <si>
    <t>confirm   not ans 
 | ↩️ Return Charged: 20-Feb-2026 | Ref: CPR-245C7434461 | Fee: 213</t>
  </si>
  <si>
    <t>TR28743</t>
  </si>
  <si>
    <t>Kiran Gujjar</t>
  </si>
  <si>
    <t>H/no 159 haq madina ice factory street Hussainabad Hyderabad</t>
  </si>
  <si>
    <t>Hussainabad Hyderabad</t>
  </si>
  <si>
    <t>Order has been shipped via PostEx with Tracking 25120050021604. CONFIRM 
 | 💰 COD Rec: 2026-02-03 | Ref: CPR-ZZCET490688 | Amt: 1799</t>
  </si>
  <si>
    <t>TR28744</t>
  </si>
  <si>
    <t>Sohaib Saleh Khan</t>
  </si>
  <si>
    <t>Nadra Office Sadiq Abad Disrt Raheem Yar Khan Sadiq Abad</t>
  </si>
  <si>
    <t>Sadiq Abad</t>
  </si>
  <si>
    <t xml:space="preserve">not ans 
WA MSG DONE BY UMAIR
no ans on WA cancel </t>
  </si>
  <si>
    <t>TR28745</t>
  </si>
  <si>
    <t>Order has been shipped via PostEx with Tracking 27120050021835.  250 dc advANCE HAA CONFIRM 
 | 💰 COD Rec: 17-Feb-2026 | Ref: CPR-P18X9853080 | Amt: 2850</t>
  </si>
  <si>
    <t>TR28746</t>
  </si>
  <si>
    <t>Shahid Muneer</t>
  </si>
  <si>
    <t>P 70 Ismaeel City Daewoo Road Faisala Abad Faisal Abad</t>
  </si>
  <si>
    <t>Faisal Abad</t>
  </si>
  <si>
    <t>Order has been shipped via PostEx with Tracking 22120050021572. 
 | 💰 COD Rec: 2026-01-30 | Ref: CPR-R4IZV745179 | Amt: 2799</t>
  </si>
  <si>
    <t>TR28747</t>
  </si>
  <si>
    <t>Muhammad hassan Hassan</t>
  </si>
  <si>
    <t>Sir syed college near joiya motors jauharabad Jauharabad</t>
  </si>
  <si>
    <t>Jauharabad</t>
  </si>
  <si>
    <t>Order has been shipped via PostEx with Tracking 21120050021571. confirm 
 | ↩️ Return Charged: 2026-02-10 | Fee: 200</t>
  </si>
  <si>
    <t>TR28748</t>
  </si>
  <si>
    <t>TR28749</t>
  </si>
  <si>
    <t>Dia Ali Ali</t>
  </si>
  <si>
    <t>Flat # 1001-tai, Roshan Residency,PECHS Block 2, Allama Iqbal Road,  Karachi  Karachi</t>
  </si>
  <si>
    <t>Order has been shipped via PostEx with Tracking 29120050021570. confirm 
 | 💰 COD Rec: 2026-02-03 | Ref: CPR-ZZCET490688 | Amt: 5199</t>
  </si>
  <si>
    <t>Signature Adi-Trouser - L / Navy (x1), Tipping Crew - L / White (x1), (Premium) Popcorn Polo - L / olive (x1)</t>
  </si>
  <si>
    <t>TR28750</t>
  </si>
  <si>
    <t>Sohail Aziz</t>
  </si>
  <si>
    <t>House 268. Street 19. Bahria Springs. Phase 7. Rawalpindi. Rawalpindi</t>
  </si>
  <si>
    <t>need puma shirts 
Order has been shipped via PostEx with Tracking 20120050021584. confirm 
 | ↩️ Return Charged: 2026-02-06 | Fee: 220</t>
  </si>
  <si>
    <t>TR28751</t>
  </si>
  <si>
    <t>Umar Wahid</t>
  </si>
  <si>
    <t>Kpk Malakand Dargi</t>
  </si>
  <si>
    <t>Dargi</t>
  </si>
  <si>
    <t xml:space="preserve">cancel 2 din ma chaiya 30 ko </t>
  </si>
  <si>
    <t>TR28752</t>
  </si>
  <si>
    <t>Muhammad Huzaifa</t>
  </si>
  <si>
    <t>House no 407 st no 02 muslim league colony landhi karachi no 34 near iqra khitabia academy Karachi</t>
  </si>
  <si>
    <t>Order has been shipped via PostEx with Tracking 22120050021569. confirm    not ans  
 | ↩️ Return Charged: 2026-02-13 | Fee: 227</t>
  </si>
  <si>
    <t>TR28753</t>
  </si>
  <si>
    <t>Matiullah Khan</t>
  </si>
  <si>
    <t>Near Al falah bank , Hazarganji , Quetta Quetta</t>
  </si>
  <si>
    <t>Order has been shipped via PostEx with Tracking 23120050021583. confirm 
 | 💰 COD Rec: 2026-02-06 | Ref: CPR-M3YPB657113 | Amt: 1999</t>
  </si>
  <si>
    <t>CPR-M3YPB657113</t>
  </si>
  <si>
    <t>TR28754</t>
  </si>
  <si>
    <t>Shawaiz Ali</t>
  </si>
  <si>
    <t>Baloch House, Near Mehran Marble Factory, Sukpul Road, Kirri Atta Muhammad, Tehsil &amp; District Shikarpur Shikarpur</t>
  </si>
  <si>
    <t>Order has been shipped via PostEx with Tracking 27120050021568. confirm 
 | 💰 COD Rec: 2026-02-03 | Ref: CPR-ZZCET490688 | Amt: 1449</t>
  </si>
  <si>
    <t>ADI - EMBOSSED LOGO (Cotton) - M / Zinc Blue (x1)</t>
  </si>
  <si>
    <t>TR28755</t>
  </si>
  <si>
    <t>cancel umair ki baat ho gai haa</t>
  </si>
  <si>
    <t>TR28756</t>
  </si>
  <si>
    <t>Zohaib Zahid</t>
  </si>
  <si>
    <t>Village Thather, Near Avicenna Hospital, Bedian Road, Lahore Cantt, Punjab, 54810, Pakistan Lahore cantt</t>
  </si>
  <si>
    <t>Lahore cantt</t>
  </si>
  <si>
    <t>Order has been shipped via PostEx with Tracking 25120050021567. confirm 
 | ↩️ Return Charged: 2026-02-06 | Fee: 107</t>
  </si>
  <si>
    <t>TR28757</t>
  </si>
  <si>
    <t>Mubbsher Abbas</t>
  </si>
  <si>
    <t>16-C Marghzar Colony Multan Road Lahore</t>
  </si>
  <si>
    <t>Order has been shipped via PostEx with Tracking 22120050021566. 
 | 💰 COD Rec: 2026-01-30 | Ref: CPR-R4IZV745179 | Amt: 4248</t>
  </si>
  <si>
    <t>TR28758</t>
  </si>
  <si>
    <t>Abdullah Sandhu Abdullah Sandhu</t>
  </si>
  <si>
    <t>Awais General Store, Village Fateh Garh, Ghakhar Mandi, Tehsil Wazirabad, District Gujranwala Gakhar Mandi</t>
  </si>
  <si>
    <t>Gakhar Mandi</t>
  </si>
  <si>
    <t>Order has been shipped via PostEx with Tracking 28120050021565. postex 
 | 💰 COD Rec: 2026-02-03 | Ref: CPR-ZZCET490688 | Amt: 1799</t>
  </si>
  <si>
    <t>TR28759</t>
  </si>
  <si>
    <t>Fahad Shah</t>
  </si>
  <si>
    <t>0322 2223074</t>
  </si>
  <si>
    <t xml:space="preserve">60 feet road H 27 st no 30 murra sharif darbar   lahore lahore </t>
  </si>
  <si>
    <t xml:space="preserve">lahore </t>
  </si>
  <si>
    <t>Order has been shipped via PostEx with Tracking 27120050021564. whatsup dc advance  a gay hain 
 | 💰 COD Rec: 2026-02-03 | Ref: CPR-ZZCET490688 | Amt: 2850</t>
  </si>
  <si>
    <t>TR28760</t>
  </si>
  <si>
    <t>Waqar Alamgir Waqar Alamgir</t>
  </si>
  <si>
    <t>+923234440285</t>
  </si>
  <si>
    <t>House 258 gol bagh shad bagh Lahore Lahore</t>
  </si>
  <si>
    <t>Order has been shipped via PostEx with Tracking 23120050021563. whatsup 
 | 💰 COD Rec: 2026-01-30 | Ref: CPR-R4IZV745179 | Amt: 4250</t>
  </si>
  <si>
    <t>Adi- Hoodie - L / White (x1), Adi- Hoodie - XL / White (x1)</t>
  </si>
  <si>
    <t>TR28761</t>
  </si>
  <si>
    <t>Azeem Ahmed</t>
  </si>
  <si>
    <t>Victoria Heights , Service Rd E, Islamabad, Pakistan  Islamabad</t>
  </si>
  <si>
    <t>Order has been shipped via PostEx with Tracking 24120050021627. 
 | 💰 COD Rec: 2026-02-06 | Ref: CPR-M3YPB657113 | Amt: 3099</t>
  </si>
  <si>
    <t>TR28762</t>
  </si>
  <si>
    <t>Rashid Hussain</t>
  </si>
  <si>
    <t>City dental medical supplies 4c8 shop5 mehrin view apartment nazimabad 4 Karachi</t>
  </si>
  <si>
    <t>Order has been shipped via PostEx with Tracking 25120050021626. confirm 
 | 💰 COD Rec: 2026-02-13 | Ref: CPR-JXDW9494704 | Amt: 3099</t>
  </si>
  <si>
    <t>TR28763</t>
  </si>
  <si>
    <t>+923704183440</t>
  </si>
  <si>
    <t>Sheikhum khas  near bashir sons  backery ka pass a ker rider call ker la   tehseel pattoki zila kasur Pattoki</t>
  </si>
  <si>
    <t>Order has been shipped via PostEx with Tracking 25120050021562. 
 | 💰 COD Rec: 2026-02-03 | Ref: CPR-ZZCET490688 | Amt: 2799</t>
  </si>
  <si>
    <t>TR28764</t>
  </si>
  <si>
    <t>Syed Obaid ALI</t>
  </si>
  <si>
    <t>Near Abasyn University, Taramri Chowk, Park Road, Islamabad Islamabad</t>
  </si>
  <si>
    <t>Order has been shipped via PostEx with Tracking 20120050021607. confirm 
 | 💰 COD Rec: 2026-02-03 | Ref: CPR-ZZCET490688 | Amt: 1699</t>
  </si>
  <si>
    <t>A | X Embroidery LOGO - L / Maroon (x1)</t>
  </si>
  <si>
    <t>TR28765</t>
  </si>
  <si>
    <t>Abdul Haseeb</t>
  </si>
  <si>
    <t>Risala road Old rahat cenima plaza ali heights in front of shabbir biryani floor 2 flat no 201  saddar hyderabad Hyderabad</t>
  </si>
  <si>
    <t>Order has been shipped via PostEx with Tracking 27120050021603. 
 | 💰 COD Rec: 2026-02-03 | Ref: CPR-ZZCET490688 | Amt: 1449</t>
  </si>
  <si>
    <t>TR28766</t>
  </si>
  <si>
    <t>Noor Ahmad</t>
  </si>
  <si>
    <t>Shahdra Chowk House no 2072/6B near muhammadi masjid street no 3 Bahawalpur</t>
  </si>
  <si>
    <t>Order has been shipped via PostEx with Tracking 24120050021602. confirm 
 | 💰 COD Rec: 2026-02-03 | Ref: CPR-ZZCET490688 | Amt: 3749</t>
  </si>
  <si>
    <t>(Premium) Popcorn Polo - M / olive (x1), (Premium) Popcorn Polo - M / White (x1)</t>
  </si>
  <si>
    <t>TR28767</t>
  </si>
  <si>
    <t>Abrar Azeem</t>
  </si>
  <si>
    <t>Room 105, Bin Qasim 1, Parco Housing Complex, Muzaffargarh Muzaffargarh</t>
  </si>
  <si>
    <t>Order has been shipped via PostEx with Tracking 27120050021629. all payment advance haa confirm 
 | 💰 COD Rec: 2026-02-03 | Ref: CPR-ZZCET490688 | Amt: 6150</t>
  </si>
  <si>
    <t>Imported Scoba Executive Nik Tro - L / Black (x1), Multi ref PUM-A - M / Black (x1), ADI Ref Stripes - M / Black (x1)</t>
  </si>
  <si>
    <t>TR28768</t>
  </si>
  <si>
    <t>Akhtar ali</t>
  </si>
  <si>
    <t>Hotel Travel Inn  2nd Floor  , I.J.P Road,Pindora, Rawalpindi, Pakistan Rawalpindi Ijp Double Road Travel In Hotel 2nd Floor</t>
  </si>
  <si>
    <t>Rawalpindi Ijp Double Road Travel In Hotel 2nd Floor</t>
  </si>
  <si>
    <t>Order has been shipped via PostEx with Tracking 24120050021601. confirm 
 | ↩️ Return Charged: 2026-02-13 | Fee: 200</t>
  </si>
  <si>
    <t>TR28769</t>
  </si>
  <si>
    <t>Shahjan Shahjan</t>
  </si>
  <si>
    <t>Leopard gwader Pakistan office Gwader</t>
  </si>
  <si>
    <t>Gwader</t>
  </si>
  <si>
    <t>LE7524489372</t>
  </si>
  <si>
    <t xml:space="preserve">250 received confirm  OFFICE SA RECEIVE KER LA GAA IN WP </t>
  </si>
  <si>
    <t>INV-287460</t>
  </si>
  <si>
    <t>TR28770</t>
  </si>
  <si>
    <t>umer Lodhi</t>
  </si>
  <si>
    <t>House no b18b sector x8 ghulshan e mayamr Karachi</t>
  </si>
  <si>
    <t>Order has been shipped via PostEx with Tracking 25120050021600. confirm 
 | 💰 COD Rec: 2026-02-03 | Ref: CPR-ZZCET490688 | Amt: 2849</t>
  </si>
  <si>
    <t>TR28771</t>
  </si>
  <si>
    <t>Hakeem Lohapar</t>
  </si>
  <si>
    <t>+923466344379</t>
  </si>
  <si>
    <t xml:space="preserve"> Marla 6 near   Zain Children Care Clinic Mianwali - Muzaffargarh Rd, Fatehpur, Pakistan Fatehpur</t>
  </si>
  <si>
    <t>Order has been shipped via PostEx with Tracking 27120050021606. confirm  not ans 
 | ↩️ Return Charged: 2026-02-13 | Fee: 200</t>
  </si>
  <si>
    <t>TR28772</t>
  </si>
  <si>
    <t>Wasim Abbas</t>
  </si>
  <si>
    <t>+923115120956</t>
  </si>
  <si>
    <t>Lasani hotel near chach interchange nartopa hazro Hazro</t>
  </si>
  <si>
    <t>Order has been shipped via PostEx with Tracking 28120050021625. 
 | 💰 COD Rec: 2026-02-03 | Ref: CPR-ZZCET490688 | Amt: 4549</t>
  </si>
  <si>
    <t>A | X Embroidery LOGO - XL / American Blue (x1), NIK- Ref LOGO - XL / white (x1), NIK- Ref LOGO - XL / black (x1)</t>
  </si>
  <si>
    <t>TR28773</t>
  </si>
  <si>
    <t>Zeeshan Butt Butt</t>
  </si>
  <si>
    <t>Samundari road total paump near grid station great station Faisalabad</t>
  </si>
  <si>
    <t>TR28774</t>
  </si>
  <si>
    <t>Mustansir Shaherwala</t>
  </si>
  <si>
    <t>107/1,  commercial avenue, phase 4, dha Karachi</t>
  </si>
  <si>
    <t>Order has been shipped via PostEx with Tracking 25120050021599. 
 | 💰 COD Rec: 2026-02-03 | Ref: CPR-ZZCET490688 | Amt: 4549</t>
  </si>
  <si>
    <t>(Premium) Popcorn Polo - XL / White (x1), Adi- Hoodie - XL / Black (x1)</t>
  </si>
  <si>
    <t>TR28775</t>
  </si>
  <si>
    <t>saad sheikh saad sheikh</t>
  </si>
  <si>
    <t>H356-F norani muhalla sadar bazar lahore cantt lahore</t>
  </si>
  <si>
    <t>Order has been shipped via PostEx with Tracking 27120050021624. 
 | 💰 COD Rec: 2026-02-13 | Ref: CPR-JXDW9494704 | Amt: 3099</t>
  </si>
  <si>
    <t>TR28776</t>
  </si>
  <si>
    <t>Bilawal Khokhar</t>
  </si>
  <si>
    <t>House 31 muzam lane military accounts society Lahore</t>
  </si>
  <si>
    <t>CONFIRM 
 | ↩️ Return Charged: 20-Feb-2026 | Ref: CPR-245C7434461 | Fee: 120</t>
  </si>
  <si>
    <t>TR28777</t>
  </si>
  <si>
    <t>House 31 muzam lane military accounts soeity Lahore</t>
  </si>
  <si>
    <t>COMBINECANCEL</t>
  </si>
  <si>
    <t>TR28778</t>
  </si>
  <si>
    <t>Bilal Satti</t>
  </si>
  <si>
    <t>Street 6f house 135 ghori town VIP Islamabad Islamabad</t>
  </si>
  <si>
    <t>Order has been shipped via PostEx with Tracking 22120050021595. confirm 
 | 💰 COD Rec: 2026-02-03 | Ref: CPR-ZZCET490688 | Amt: 11300</t>
  </si>
  <si>
    <t>Imported Scoba Executive Nik Tro - M / Black (x1), Adi- Hoodie - M / Black (x1), N_F Branded Dri-Fit  T-shirt - M / Navy (x1), Embossed NIK-E - M / Black (x1), ADI Ref Stripes - M / Black (x1), Embossed NIK-E - M / White (x1)</t>
  </si>
  <si>
    <t>TR28779</t>
  </si>
  <si>
    <t>Kashif ali Ali</t>
  </si>
  <si>
    <t>54p-saeed Colony Fasialabad</t>
  </si>
  <si>
    <t>Fasialabad</t>
  </si>
  <si>
    <t>Order has been shipped via PostEx with Tracking 25120050021594. 
 | 💰 COD Rec: 2026-02-13 | Ref: CPR-JXDW9494704 | Amt: 2749</t>
  </si>
  <si>
    <t>TR28780</t>
  </si>
  <si>
    <t>A. Raza</t>
  </si>
  <si>
    <t>House No.200, Block-D, Fazaia Housing Society-1 Lahore</t>
  </si>
  <si>
    <t>Order has been shipped via PostEx with Tracking 24120050021605. CONFIRM 
 | ↩️ Return Charged: 2026-02-06 | Fee: 107</t>
  </si>
  <si>
    <t>TR28781</t>
  </si>
  <si>
    <t>Hussain Abbas</t>
  </si>
  <si>
    <t>+923282234113</t>
  </si>
  <si>
    <t>SUH 467 ASKARI 5 STREET 6 MALIR CANTT Karachi</t>
  </si>
  <si>
    <t>Order has been shipped via PostEx with Tracking 24120050021593. 
 | 💰 COD Rec: 2026-02-06 | Ref: CPR-M3YPB657113 | Amt: 2849</t>
  </si>
  <si>
    <t>TR28782</t>
  </si>
  <si>
    <t>M Tanvir Khan</t>
  </si>
  <si>
    <t>Laperds office Ali pur</t>
  </si>
  <si>
    <t>Ali pur</t>
  </si>
  <si>
    <t>LE7524469650</t>
  </si>
  <si>
    <t xml:space="preserve">call after return   not  ans 
lcs on wp  not ans wp ker diya haa </t>
  </si>
  <si>
    <t>TR28783</t>
  </si>
  <si>
    <t>+923191080706</t>
  </si>
  <si>
    <t>gol bagh chowk  baghat pora shadbagh Kashmir road  lahore Lahore</t>
  </si>
  <si>
    <t>Order has been shipped via PostEx with Tracking 25120050021592. confirm 
 | ↩️ Return Charged: 2026-02-06 | Fee: 107</t>
  </si>
  <si>
    <t>TR28784</t>
  </si>
  <si>
    <t>bashir ahmad</t>
  </si>
  <si>
    <t>+923007308080</t>
  </si>
  <si>
    <t>white pearl rice mills Jalalpur Bhatian  Dist. Hafizabad</t>
  </si>
  <si>
    <t>Jalalpur Bhatian  Dist. Hafizabad</t>
  </si>
  <si>
    <t>Order has been shipped via PostEx with Tracking 22120050021591. whatsup 
 | 💰 COD Rec: 2026-01-30 | Ref: CPR-R4IZV745179 | Amt: 2049</t>
  </si>
  <si>
    <t>ADI Multi Ref Stripes - 2XL / Black (x1)</t>
  </si>
  <si>
    <t>TR28785</t>
  </si>
  <si>
    <t>Sarmad Nisar</t>
  </si>
  <si>
    <t xml:space="preserve"> main stop kotranjet Gujranwala Rd, kot ranjit, Sheikhupura, 39350, Pakistan Sheikhupura</t>
  </si>
  <si>
    <t>Order has been shipped via PostEx with Tracking 20120050021590. confirm 
 | 💰 COD Rec: 2026-02-03 | Ref: CPR-ZZCET490688 | Amt: 4248</t>
  </si>
  <si>
    <t>TR28786</t>
  </si>
  <si>
    <t>Junaid Ali</t>
  </si>
  <si>
    <t>(JNM Leather Safety Gloves factory ) Airport Road, near Chand Bagh Society, Sialkot,, Pakistan Sialkot</t>
  </si>
  <si>
    <t>Order has been shipped via PostEx with Tracking 24120050021589. CONFIRM 
 | 💰 COD Rec: 2026-02-03 | Ref: CPR-ZZCET490688 | Amt: 2849</t>
  </si>
  <si>
    <t>TR28787</t>
  </si>
  <si>
    <t>Mubeen Fazal</t>
  </si>
  <si>
    <t>near Khan Bakery Noor Ali chowk   - Bewal Rd,Gujar Khan Pakistan Gujarkhan</t>
  </si>
  <si>
    <t>Order has been shipped via PostEx with Tracking 29120050021588. confirm 
 | 💰 COD Rec: 2026-02-03 | Ref: CPR-ZZCET490688 | Amt: 1449</t>
  </si>
  <si>
    <t>TR28788</t>
  </si>
  <si>
    <t>Nauman Afzal</t>
  </si>
  <si>
    <t>Education Board Faisalabad (Computer Branch) Printing Section Faisalabad</t>
  </si>
  <si>
    <t xml:space="preserve">cancel ma avail nahi ho </t>
  </si>
  <si>
    <t>TR28789</t>
  </si>
  <si>
    <t>own style</t>
  </si>
  <si>
    <t>+923231407162</t>
  </si>
  <si>
    <t>wholesale lahore</t>
  </si>
  <si>
    <t>WHOLESALE@Shop01</t>
  </si>
  <si>
    <t xml:space="preserve">wholesale order hai </t>
  </si>
  <si>
    <t>NIK- Ref LOGO - M / white (x2), NIK- Ref LOGO - M / black (x1), NIK- Ref LOGO - L / white (x4), NIK- Ref LOGO - L / black (x3), NIK- Ref LOGO - XL / white (x3), NIK- Ref LOGO - XL / black (x2), NIK- Ref LOGO - 2XL / white (x3), NIK- Ref LOGO - 2XL / black (x3), NIK- Ref LOGO - 3XL / white (x3), NIK- Ref LOGO - 3XL / black (x3), NIK- Ref LOGO - 4XL / white (x3), NIK- Ref LOGO - 4XL / black (x3), ADI Multi Ref Stripes - M / Maroon (x3), ADI Multi Ref Stripes - XL / Navy Blue (x2), ADI Multi Ref Stripes - M / Navy Blue (x2), ADI Multi Ref Stripes - XL / Black (x5), ADI Multi Ref Stripes - L / Black (x7), ADI Multi Ref Stripes - M / Black (x16), ADI Multi Ref Stripes - L / Maroon (x1), ADI Multi Ref Stripes - M / White (x23), ADI Multi Ref Stripes - L / Navy Blue (x2), ADI Multi Ref Stripes - XL / Maroon (x3), ADI Multi Ref Stripes - L / White (x16), ADI Multi Ref Stripes - XL / White (x4), ADI Ref Stripes - XL / Black (x2), ADI Ref Stripes - L / Black (x1), Embossed NIK-E - L / White (x16), Embossed NIK-E - M / White (x42), Embossed NIK-E - M / Black (x17), Embossed NIK-E - L / Black (x42), Embossed NIK-E - XL / White (x4), Embossed NIK-E - XL / Black (x3), (Premium) Cotton lycra RL - M / Beige (x1), (Premium) Cotton lycra RL - M / Blue (x1), (Premium) Cotton lycra RL - M / zinc blue (x1), (Premium) Cotton lycra RL - M / Charcoal Grey (x1), (Premium) Cotton lycra RL - M / Cherry Red (x1), (Premium) Cotton lycra RL - M / Black (x1), (Premium) Cotton lycra RL - M / Heather Grey (x1), Cotton lycra RL - 2XL / Charcoal Grey (x1), Cotton lycra RL - 2XL / pista (x1), Cotton lycra RL - 2XL / Black (x1), Cotton lycra RL - 2XL / zinc blue (x1), Multi ref PUM-A - M / Black (x4), Multi ref PUM-A - XL / White (x4), Multi ref PUM-A - 2XL / White (x4), Multi ref PUM-A - L / Black (x4), Multi ref PUM-A - M / White (x4), Multi ref PUM-A - 2XL / Black (x4), Multi ref PUM-A - XL / Black (x4), Multi ref PUM-A - L / White (x4), ADI Multi Ref Stripes - 2XL / Black (x5), ADI Multi Ref Stripes - 3XL / White (x3), ADI Multi Ref Stripes - 2XL / White (x6), ADI Multi Ref Stripes - 4XL / White (x1), ADI Multi Ref Stripes - 3XL / Black (x6), ADI Multi Ref Stripes - 4XL / Black (x1), A | X Embroidery LOGO - M / Sky (x2), A | X Embroidery LOGO - L / Bottle Green (x3), A | X Embroidery LOGO - L / Pista (x3), A | X Embroidery LOGO - L / Navy (x3), A | X Embroidery LOGO - XL / Maroon (x2), A | X Embroidery LOGO - L / Biscuit (x3), A | X Embroidery LOGO - M / American Blue (x2), A | X Embroidery LOGO - XL / Black (x2), A | X Embroidery LOGO - M / White (x2), A | X Embroidery LOGO - M / Pista (x2), A | X Embroidery LOGO - L / Black (x3), A | X Embroidery LOGO - XL / Pista (x2), A | X Embroidery LOGO - L / Maroon (x3), A | X Embroidery LOGO - L / American Blue (x3), A | X Embroidery LOGO - M / Navy (x3), A | X Embroidery LOGO - XL / Bottle Green (x2), A | X Embroidery LOGO - XL / Biscuit (x2), A | X Embroidery LOGO - XL / White (x2), A | X Embroidery LOGO - XL / American Blue (x2), A | X Embroidery LOGO - M / Bottle Green (x2), A | X Embroidery LOGO - M / Maroon (x3), A | X Embroidery LOGO - L / White (x3), A | X Embroidery LOGO - M / Black (x2), A | X Embroidery LOGO - XL / Navy (x2), A | X Embroidery LOGO - M / Biscuit (x2), Basic RL Crew- Cotton - XL / Mehroon (x1), Basic RL Crew- Cotton - XL / Beige (x1), Basic RL Crew- Cotton - XL / Zinc Blue (x1)</t>
  </si>
  <si>
    <t>TR28790</t>
  </si>
  <si>
    <t>Ali Mehar Mehar</t>
  </si>
  <si>
    <t>Alama Iqbal town lahore Lahore</t>
  </si>
  <si>
    <t>cancel no need  03049222207</t>
  </si>
  <si>
    <t>TR28791</t>
  </si>
  <si>
    <t>+923329260213</t>
  </si>
  <si>
    <t>Shoes mart near shaheen cloth main bazar Havelion</t>
  </si>
  <si>
    <t>Havelion</t>
  </si>
  <si>
    <t>Order has been shipped via PostEx with Tracking 27120050021623. 
 | ↩️ Return Charged: 2026-02-10 | Fee: 213</t>
  </si>
  <si>
    <t>TR28792</t>
  </si>
  <si>
    <t>Alifarman Unar</t>
  </si>
  <si>
    <t>+923337552634</t>
  </si>
  <si>
    <t>House No 18.c Wakeel Colony Larkana Larkana</t>
  </si>
  <si>
    <t>Order has been shipped via PostEx with Tracking 24120050021622. confirm 
 | 💰 COD Rec: 2026-02-13 | Ref: CPR-JXDW9494704 | Amt: 2749</t>
  </si>
  <si>
    <t>TR28793</t>
  </si>
  <si>
    <t>Malik Taimoor</t>
  </si>
  <si>
    <t>House No. 14 Gulshan E Batool, Chishtian Chishtian</t>
  </si>
  <si>
    <t>Chishtian</t>
  </si>
  <si>
    <t xml:space="preserve"> confirm 
KISI NO KOI RABTA NAHI KIYA 
 | ↩️ Return Charged: 20-Feb-2026 | Ref: CPR-245C7434461 | Fee: 200</t>
  </si>
  <si>
    <t>TR28794</t>
  </si>
  <si>
    <t>Naich house near assistant commissioner office mirpur mathelo district ghotki Mirpur Mathelo</t>
  </si>
  <si>
    <t>TR28795</t>
  </si>
  <si>
    <t>Order has been shipped via PostEx with Tracking 24120050021620. confirm   ap reattempt ker dein 
 | ↩️ Return Charged: 2026-02-13 | Fee: 213</t>
  </si>
  <si>
    <t>TR28796</t>
  </si>
  <si>
    <t xml:space="preserve">cancel no need next time order ker la ga </t>
  </si>
  <si>
    <t>TR28797</t>
  </si>
  <si>
    <t>Imran Ali Imran Ali</t>
  </si>
  <si>
    <t>+923004765892</t>
  </si>
  <si>
    <t>Shell Petrol Pump  Narowal-Zafarwal Rd, Zafarwal, Punjab, Zafarwal, Pakistan .</t>
  </si>
  <si>
    <t>Order has been shipped via PostEx with Tracking 28120050021619. whatsup    ma avail nahi tha  
 | ↩️ Return Charged: 2026-02-13 | Fee: 200</t>
  </si>
  <si>
    <t>TR28798</t>
  </si>
  <si>
    <t>Adnan Shamas</t>
  </si>
  <si>
    <t>Bhucho ki Mahja P/O same Teh. Raiwind Dist. Lahore CNIC No. Lahore</t>
  </si>
  <si>
    <t>call after return  not ans     sconfirm by umair</t>
  </si>
  <si>
    <t>TR28799</t>
  </si>
  <si>
    <t>Omer Ishrat</t>
  </si>
  <si>
    <t>Pallandri azad kashmir sami ullah photo state Pallandri</t>
  </si>
  <si>
    <t>Pallandri</t>
  </si>
  <si>
    <t>TR28800</t>
  </si>
  <si>
    <t>+923169021655</t>
  </si>
  <si>
    <t>Order has been shipped via PostEx with Tracking 26120050021618. confirm 
 | 💰 COD Rec: 2026-02-06 | Ref: CPR-M3YPB657113 | Amt: 7098</t>
  </si>
  <si>
    <t>Adi- Hoodie - L / Black (x1), Adi- Hoodie - L / White (x1), Embossed NIK-E - M / Black (x1), Embossed NIK-E - M / White (x1)</t>
  </si>
  <si>
    <t>TR28801</t>
  </si>
  <si>
    <t>Muhammad Younis Jani Abro</t>
  </si>
  <si>
    <t>Sachal colony near 1 ahsan colony near  mulana ayaz qami Larkana</t>
  </si>
  <si>
    <t>call after retun nogt ans 
rider parcel la ker aya tha maa available nahi tha Order has been shipped via PostEx with Tracking 24120050021617. confirm yahi address haa   rabta nahi kiya 
 | ↩️ Return Charged: 2026-02-27 | Ref: CPR-YYTRB955152 | Fee: 213</t>
  </si>
  <si>
    <t>TR28802</t>
  </si>
  <si>
    <t>Muhammad  Adnan khan</t>
  </si>
  <si>
    <t>ubl bank  near quetta chinar hotal   , Gulbarg Green.  Islamabad  Islamabad</t>
  </si>
  <si>
    <t>Order has been shipped via PostEx with Tracking 25120050021616. confirm 
 | 💰 COD Rec: 2026-02-03 | Ref: CPR-ZZCET490688 | Amt: 2849</t>
  </si>
  <si>
    <t>TR28803</t>
  </si>
  <si>
    <t>taha juzar</t>
  </si>
  <si>
    <t>GIKI University ka ander mechanical ka service center per a ker call ker la rider  Topi, swabi Topi (gik University Area Only)</t>
  </si>
  <si>
    <t>Topi (gik University Area Only)</t>
  </si>
  <si>
    <t>Order has been shipped via PostEx with Tracking 28120050021615. confirm 
 | 💰 COD Rec: 17-Feb-2026 | Ref: CPR-P18X9853080 | Amt: 2148</t>
  </si>
  <si>
    <t>TR28804</t>
  </si>
  <si>
    <t>Mudassar maroof</t>
  </si>
  <si>
    <t>+923015846658</t>
  </si>
  <si>
    <t>Village Chak Jamal Near Ubl Bank Jhelum Jhelum</t>
  </si>
  <si>
    <t>Order has been shipped via PostEx with Tracking 20120050021614. confirm 
 | ↩️ Return Charged: 2026-02-13 | Fee: 220</t>
  </si>
  <si>
    <t>TR28805</t>
  </si>
  <si>
    <t>TR28806</t>
  </si>
  <si>
    <t>Jawad Gul</t>
  </si>
  <si>
    <t>Dr pir gul memorial hospital near zafar park Batkhela Kpk Batkhela malakand</t>
  </si>
  <si>
    <t>Batkhela malakand</t>
  </si>
  <si>
    <t>Order has been shipped via PostEx with Tracking 22120050021613. confirm 
 | 💰 COD Rec: 2026-02-03 | Ref: CPR-ZZCET490688 | Amt: 3099</t>
  </si>
  <si>
    <t>TR28807</t>
  </si>
  <si>
    <t>Hassnain Ali</t>
  </si>
  <si>
    <t xml:space="preserve"> near goverment girl high school  Qazian    Gujarkhan city  Gujar Khan</t>
  </si>
  <si>
    <t>Order has been shipped via PostEx with Tracking 29120050021612. confirm 
 | 💰 COD Rec: 2026-02-03 | Ref: CPR-ZZCET490688 | Amt: 3099</t>
  </si>
  <si>
    <t>TR28808</t>
  </si>
  <si>
    <t>aaliyan baba</t>
  </si>
  <si>
    <t>+923332221712</t>
  </si>
  <si>
    <t>House#1231 tando mir noor Mohammed latifabad unit 4 Hyderabad sindh Hyderabad</t>
  </si>
  <si>
    <t>Order has been shipped via PostEx with Tracking 22120050021611. open to allow
 | ↩️ Return Charged: 2026-02-13 | Fee: 213</t>
  </si>
  <si>
    <t>TR28809</t>
  </si>
  <si>
    <t>Tahir Babar</t>
  </si>
  <si>
    <t>Zila hafizbad tasil pindi bhattian gol chowk azan traders Pindi Bhattian</t>
  </si>
  <si>
    <t>Order has been shipped via PostEx with Tracking 22120050021610. confirm 
 | 💰 COD Rec: 2026-02-13 | Ref: CPR-JXDW9494704 | Amt: 3099</t>
  </si>
  <si>
    <t>ADI Multi Ref Stripes - XL / White (x1), ADI Multi Ref Stripes - 2XL / Black (x1)</t>
  </si>
  <si>
    <t>TR28810</t>
  </si>
  <si>
    <t>Anaam ullah Saqib Anaam ullah Saqib</t>
  </si>
  <si>
    <t>+923009624580</t>
  </si>
  <si>
    <t>Hayat medical store near mogowal chock kolian road Gujrat Dinga Dinga</t>
  </si>
  <si>
    <t>Dinga</t>
  </si>
  <si>
    <t>Order has been shipped via PostEx with Tracking 23120050021609. whatsup 
 | 💰 COD Rec: 2026-02-06 | Ref: CPR-M3YPB657113 | Amt: 3099</t>
  </si>
  <si>
    <t>TR28811</t>
  </si>
  <si>
    <t>Muhammad Ameen</t>
  </si>
  <si>
    <t>+923169931805</t>
  </si>
  <si>
    <t>P/O Garhi habibullah tehsil balakot district mansehra Garhi Habibullah</t>
  </si>
  <si>
    <t>Garhi Habibullah</t>
  </si>
  <si>
    <t>Order has been shipped via PostEx with Tracking 27120050021608. confirm 
 | ↩️ Return Charged: 2026-02-13 | Fee: 213</t>
  </si>
  <si>
    <t>TR28812</t>
  </si>
  <si>
    <t xml:space="preserve">cancel black kerni haa </t>
  </si>
  <si>
    <t>TR28813</t>
  </si>
  <si>
    <t>Clifton garden 1apartment block 3 flat noB14 ground floor Clifton karachi Karachi</t>
  </si>
  <si>
    <t>Order has been shipped via PostEx with Tracking 28120050021647. confirm 
 | ↩️ Return Charged: 2026-02-13 | Fee: 213</t>
  </si>
  <si>
    <t>TR28814</t>
  </si>
  <si>
    <t>saddam Hussain</t>
  </si>
  <si>
    <t>+923300000364</t>
  </si>
  <si>
    <t>Siemens signia hearing center fazle haq road khyber plaza blue area Islamabad</t>
  </si>
  <si>
    <t>Order has been shipped via PostEx with Tracking 28120050021631. confirm 
 | 💰 COD Rec: 2026-02-13 | Ref: CPR-JXDW9494704 | Amt: 3099</t>
  </si>
  <si>
    <t>TR28815</t>
  </si>
  <si>
    <t>+923305546607</t>
  </si>
  <si>
    <t>Order has been shipped via PostEx with Tracking 28120050021630. confirm 
 | 💰 COD Rec: 2026-02-03 | Ref: CPR-ZZCET490688 | Amt: 4248</t>
  </si>
  <si>
    <t>TR28816</t>
  </si>
  <si>
    <t>Shoaib Akhtar</t>
  </si>
  <si>
    <t>Alsadaat photostate and printing point opposite post office Nar Kotli</t>
  </si>
  <si>
    <t>Order has been shipped via PostEx with Tracking 24120050021646. confirm 
 | 💰 COD Rec: 2026-02-13 | Ref: CPR-JXDW9494704 | Amt: 3099</t>
  </si>
  <si>
    <t>TR28817</t>
  </si>
  <si>
    <t>Zaryab Saifullah Saif Ullah</t>
  </si>
  <si>
    <t>Gharbi Mandi main road near hifi computer Kalaske village  Gujranwala Gujranwala</t>
  </si>
  <si>
    <t>Order has been shipped via PostEx with Tracking 28120050021645. confirm 
 | 💰 COD Rec: 2026-02-06 | Ref: CPR-M3YPB657113 | Amt: 3099</t>
  </si>
  <si>
    <t>TR28818</t>
  </si>
  <si>
    <t>Po pirmahal chak 673/14 GB Harisabad tehsil pirmahal district Toba Tek Singh Pirmahal</t>
  </si>
  <si>
    <t>Pirmahal</t>
  </si>
  <si>
    <t>LE7524506439</t>
  </si>
  <si>
    <t>lcs 
 | 💰 COD Rec: No Date | Ref:  | Amt: 1999</t>
  </si>
  <si>
    <t>TR28819</t>
  </si>
  <si>
    <t>Junaid Mumtaz</t>
  </si>
  <si>
    <t>near King Hall school, main road ,New Model town DGKhan DGKhan</t>
  </si>
  <si>
    <t>DGKhan</t>
  </si>
  <si>
    <t>open to allow 
to late 
ma out of city hoo 
 | ↩️ Return Charged: 17-Feb-2026 | Ref: CPR-P18X9853080 | Fee: 220</t>
  </si>
  <si>
    <t>TR28820</t>
  </si>
  <si>
    <t>abdul quddoos</t>
  </si>
  <si>
    <t>The stone pizza Old Gujrat Road Phalia Phalia</t>
  </si>
  <si>
    <t>powerr offf haa 
 | ↩️ Return Charged: 20-Feb-2026 | Ref: CPR-245C7434461 | Fee: 200</t>
  </si>
  <si>
    <t>TR28821</t>
  </si>
  <si>
    <t>Husain Ahmad</t>
  </si>
  <si>
    <t>E11 street 15 apolo tower Islamabad</t>
  </si>
  <si>
    <t>Order has been shipped via PostEx with Tracking 28120050021642. 
 | ↩️ Return Charged: 2026-02-13 | Fee: 200</t>
  </si>
  <si>
    <t>TR28822</t>
  </si>
  <si>
    <t>Zeeshan Naveed</t>
  </si>
  <si>
    <t>38-s-176 Gill Street Bahar Colony #2 Backside Itfaq Hospital Model Town Lahore Lahore</t>
  </si>
  <si>
    <t>Order has been shipped via PostEx with Tracking 20120050021641. confirm 
 | 💰 COD Rec: 2026-02-13 | Ref: CPR-JXDW9494704 | Amt: 2749</t>
  </si>
  <si>
    <t>TR28823</t>
  </si>
  <si>
    <t>Hassan Sajjad</t>
  </si>
  <si>
    <t>Office # 4, 1st Floor, Mir Plaza 3rd Road, G-10/4, Islamabad Islamabad</t>
  </si>
  <si>
    <t>Order has been shipped via PostEx with Tracking 27120050021640. confirm 
 | 💰 COD Rec: 2026-02-03 | Ref: CPR-ZZCET490688 | Amt: 2749</t>
  </si>
  <si>
    <t>Basic RL Crew- Cotton - L / Black (x1), Basic RL Crew- Cotton - L / Rest Orange (x1)</t>
  </si>
  <si>
    <t>TR28824</t>
  </si>
  <si>
    <t>call after retun no need alredy to late 
Order has been shipped via PostEx with Tracking 24120050021639. confirm  not ans 
 | ↩️ Return Charged: 2026-02-27 | Ref: CPR-YYTRB955152 | Fee: 213</t>
  </si>
  <si>
    <t>TR28825</t>
  </si>
  <si>
    <t>Abdul Rehman Paracha</t>
  </si>
  <si>
    <t>+923332128369</t>
  </si>
  <si>
    <t>280 Street 18 Sharfabad PECHS Block 3 Karachi</t>
  </si>
  <si>
    <t>Order has been shipped via PostEx with Tracking 28120050021638. confirm 
 | 💰 COD Rec: 17-Feb-2026 | Ref: CPR-P18X9853080 | Amt: 3099</t>
  </si>
  <si>
    <t>TR28826</t>
  </si>
  <si>
    <t>Usman Aslam</t>
  </si>
  <si>
    <t>Zahoor balti hotel g-7/1 bank colony Islamabad ISLAMABAD</t>
  </si>
  <si>
    <t>ISLAMABAD</t>
  </si>
  <si>
    <t>confirm 
 | ↩️ Return Charged: 20-Feb-2026 | Ref: CPR-245C7434461 | Fee: 200</t>
  </si>
  <si>
    <t>TR28827</t>
  </si>
  <si>
    <t>Malik Khalid</t>
  </si>
  <si>
    <t>H#.123A/10B old bwp road lala zar colony nawan sher. Multan</t>
  </si>
  <si>
    <t>Order has been shipped via PostEx with Tracking 22120050021636. confirm    not ans 
 | ↩️ Return Charged: 2026-02-10 | Fee: 200</t>
  </si>
  <si>
    <t>TR28828</t>
  </si>
  <si>
    <t>Samrina Yasir</t>
  </si>
  <si>
    <t>Ward No 13 Mohalla Sheikhan Wala Near Masjid Rehana Wali District Layyah Layyah</t>
  </si>
  <si>
    <t>Order has been shipped via PostEx with Tracking 25120050021635. confirm
 | 💰 COD Rec: 2026-02-03 | Ref: CPR-ZZCET490688 | Amt: 2849</t>
  </si>
  <si>
    <t>TR28829</t>
  </si>
  <si>
    <t>Sadiq Bacha</t>
  </si>
  <si>
    <t>+923487603438</t>
  </si>
  <si>
    <t xml:space="preserve">near Al-Farabi Public School Bhai Kalay   Siyar Khan Rd, Bhai Kalay Pakistan  Bhai Kalay </t>
  </si>
  <si>
    <t xml:space="preserve"> Bhai Kalay </t>
  </si>
  <si>
    <t>Order has been shipped via PostEx with Tracking 28120050021693. confirm 
 | ↩️ Return Charged: 2026-02-13 | Fee: 213</t>
  </si>
  <si>
    <t>TR28830</t>
  </si>
  <si>
    <t>Ali Naqvi</t>
  </si>
  <si>
    <t>NCR ATM PAKISTAN State Life Building 1B ground floor I i Chundrigar Road Karachi</t>
  </si>
  <si>
    <t>Order has been shipped via PostEx with Tracking 21120050021634. confirm 
 | 💰 COD Rec: 2026-02-06 | Ref: CPR-M3YPB657113 | Amt: 7850</t>
  </si>
  <si>
    <t>A | X Embroidery LOGO - 3XL / Maroon (x1), A | X Embroidery LOGO - 3XL / White (x1), A | X Embroidery LOGO - 3XL / Sky (x1), (Premium) Cotton lycra RL - 2XL / pista (x1), (Premium) Cotton lycra RL - 2XL / zinc blue (x1)</t>
  </si>
  <si>
    <t>TR28831</t>
  </si>
  <si>
    <t>Order has been shipped via PostEx with Tracking 29120050021652. 250 charges lagana hain
EXCHANGE PARCEL HAI PREVIOUS PARCEL RECEIVED 
TR28406
 | 💰 COD Rec: 2026-02-06 | Ref: CPR-M3YPB657113 | Amt: 250</t>
  </si>
  <si>
    <t>Multi ref PUM-A - XL / White (x1), Tipping Crew - XL / Black (x1)</t>
  </si>
  <si>
    <t>TR28832</t>
  </si>
  <si>
    <t>fake attempt rider na contact nahi kiya 
 250 dc lagani ha bass
EXCHANGE PARCEL HAI PREVIOUS PARCEL RECEIVED 
TR28317
 | 💰 COD Rec: 17-Feb-2026 | Ref: CPR-P18X9853080 | Amt: 250</t>
  </si>
  <si>
    <t>TR28833</t>
  </si>
  <si>
    <t>0321 7135228</t>
  </si>
  <si>
    <t>Near Sheikh Cloth House, Village Marakiwal, Gondal Road, Tehsil &amp; District Sialkot Sialkot</t>
  </si>
  <si>
    <t>Order has been shipped via PostEx with Tracking 22120050021633. whatsup confirm
 | 💰 COD Rec: 2026-02-03 | Ref: CPR-ZZCET490688 | Amt: 3099</t>
  </si>
  <si>
    <t>ADI Multi Ref Stripes - 4XL / White (x1), ADI Multi Ref Stripes - 4XL / Navy Blue (x1)</t>
  </si>
  <si>
    <t>TR28834</t>
  </si>
  <si>
    <t>Rehan Shah Rehan Shah</t>
  </si>
  <si>
    <t>+923163768663</t>
  </si>
  <si>
    <t>Syed Mohalla Near hashmi mosque. Matli City district badin. Postal code: 72010. Matli</t>
  </si>
  <si>
    <t>Order has been shipped via PostEx with Tracking 22120050021632. whatsup
 | 💰 COD Rec: 2026-02-10 | Ref: CPR-EN98M126354 | Amt: 2750</t>
  </si>
  <si>
    <t>Tipping Crew - M / Black (x1), Tipping Crew - XL / White (x1)</t>
  </si>
  <si>
    <t>TR28835</t>
  </si>
  <si>
    <t>Zulfqar Malik Zulfqar Malik</t>
  </si>
  <si>
    <t>+923140413687</t>
  </si>
  <si>
    <t>Rind petrol pump - Jampur Rd,choki kappar  Rajanpur tehsil jampur Rajanpur</t>
  </si>
  <si>
    <t>Order has been shipped via PostEx with Tracking 28120050021650. 106 advance hain whatsup 
 | 💰 COD Rec: 2026-02-10 | Ref: CPR-EN98M126354 | Amt: 2093</t>
  </si>
  <si>
    <t>Embossed NIK-E - M / White (x1)</t>
  </si>
  <si>
    <t>TR28836</t>
  </si>
  <si>
    <t>Order has been shipped via PostEx with Tracking 20120050021649. only dc lagani haa
EXCHANGE PARCEL HAI PREVIOUS PARCEL RECEIVED 
TR28381
 | 💰 COD Rec: 2026-02-06 | Ref: CPR-M3YPB657113 | Amt: 250</t>
  </si>
  <si>
    <t>TR28837</t>
  </si>
  <si>
    <t>zain khan zain khan</t>
  </si>
  <si>
    <t>+923193034969</t>
  </si>
  <si>
    <t>house opposite to faraz school in housing society Nawabshah sindh Nawabshah sindh</t>
  </si>
  <si>
    <t>Nawabshah sindh</t>
  </si>
  <si>
    <t>Order has been shipped via PostEx with Tracking 26120050021648. whatsup
 | 💰 COD Rec: 2026-02-06 | Ref: CPR-M3YPB657113 | Amt: 3099</t>
  </si>
  <si>
    <t>ADI Ref Stripes - M / Black (x1), NIK- Ref LOGO - M / black (x1)</t>
  </si>
  <si>
    <t>TR28838</t>
  </si>
  <si>
    <t>Usman Siddiqui</t>
  </si>
  <si>
    <t>Yunus Textile H23/1 Landhi Industrial Area Karachi</t>
  </si>
  <si>
    <t>Order has been shipped via PostEx with Tracking 28120050021692. 
 | 💰 COD Rec: 2026-02-10 | Ref: CPR-EN98M126354 | Amt: 3099</t>
  </si>
  <si>
    <t>TR28839</t>
  </si>
  <si>
    <t>Cb#144, 21-d, Rashid Minhas Road, Model-town-a Bahawalpur</t>
  </si>
  <si>
    <t>Order has been shipped via PostEx with Tracking 29120050021691. 
 | 💰 COD Rec: 2026-02-06 | Ref: CPR-M3YPB657113 | Amt: 2849</t>
  </si>
  <si>
    <t>TR28840</t>
  </si>
  <si>
    <t>Iqra Saleem</t>
  </si>
  <si>
    <t>1373-block 3 Siddiquabad F.b Area Karachi Karachi</t>
  </si>
  <si>
    <t>Order has been shipped via PostEx with Tracking 25120050021690. 
 | 💰 COD Rec: 2026-02-10 | Ref: CPR-EN98M126354 | Amt: 1999</t>
  </si>
  <si>
    <t>(Premium) Cotton lycra RL - XL / Heather Grey (x1)</t>
  </si>
  <si>
    <t>TR28841</t>
  </si>
  <si>
    <t>Arham Baig</t>
  </si>
  <si>
    <t>House A-376, Block 3, Gulshan-e-Iqbal, Karachi, Karachi</t>
  </si>
  <si>
    <t>Order has been shipped via PostEx with Tracking 27120050021689. 
 | 💰 COD Rec: 2026-02-10 | Ref: CPR-EN98M126354 | Amt: 1699</t>
  </si>
  <si>
    <t>TR28842</t>
  </si>
  <si>
    <t>daniyal shah</t>
  </si>
  <si>
    <t>c-464,lane#10,wah cantt WAH CANTT</t>
  </si>
  <si>
    <t>WAH CANTT</t>
  </si>
  <si>
    <t>TR28843</t>
  </si>
  <si>
    <t>c-464,lane#10,qabristan road lala rukh basti wah cantt,tehsil taxila district rawalpindi WAH CANTT</t>
  </si>
  <si>
    <t>Order has been shipped via PostEx with Tracking 23120050021688. confirm 
 | 💰 COD Rec: 2026-02-06 | Ref: CPR-M3YPB657113 | Amt: 2799</t>
  </si>
  <si>
    <t>TR28844</t>
  </si>
  <si>
    <t>Satya Nand</t>
  </si>
  <si>
    <t>Uttham Chand Road Krishna Traders Sibi Sibi Balochistan</t>
  </si>
  <si>
    <t>Sibi Balochistan</t>
  </si>
  <si>
    <t>Order has been shipped via PostEx with Tracking 27120050021687. confirm 
 | 💰 COD Rec: 20-Feb-2026 | Ref: CPR-245C7434461 | Amt: 3099</t>
  </si>
  <si>
    <t>CPR-245C7434461</t>
  </si>
  <si>
    <t>TR28845</t>
  </si>
  <si>
    <t>Sohaib Akhtar</t>
  </si>
  <si>
    <t>+923019694488</t>
  </si>
  <si>
    <t>Wapda colony Changa Manga road Chunian District Kasur chunian</t>
  </si>
  <si>
    <t>chunian</t>
  </si>
  <si>
    <t>Order has been shipped via PostEx with Tracking 26120050021686. 
 | 💰 COD Rec: 2026-02-06 | Ref: CPR-M3YPB657113 | Amt: 2799</t>
  </si>
  <si>
    <t>TR28846</t>
  </si>
  <si>
    <t>Dr Ahmad Majeed</t>
  </si>
  <si>
    <t>Canal View Colony Hirn Minar Phatak (abida Majeed Clinic) Qila Shekhupura</t>
  </si>
  <si>
    <t>Order has been shipped via PostEx with Tracking 27120050021716. confirm 
 | 💰 COD Rec: 2026-02-13 | Ref: CPR-JXDW9494704 | Amt: 3099</t>
  </si>
  <si>
    <t>TR28847</t>
  </si>
  <si>
    <t>Sadaqat Ali</t>
  </si>
  <si>
    <t>HBL Banks daily wali head marala Sialkot Sialkot</t>
  </si>
  <si>
    <t>confirm  
out of city hoo 
 | ↩️ Return Charged: 20-Feb-2026 | Ref: CPR-245C7434461 | Fee: 200</t>
  </si>
  <si>
    <t>TR28848</t>
  </si>
  <si>
    <t>Muhammad Naveed</t>
  </si>
  <si>
    <t>Foji karyna store Multan road chung near Honda show room Lahore</t>
  </si>
  <si>
    <t xml:space="preserve"> | ↩️ Return Charged: 2026-02-13 | Fee: 107</t>
  </si>
  <si>
    <t>TR28849</t>
  </si>
  <si>
    <t>Najam Nohri</t>
  </si>
  <si>
    <t>Ali plus pakora stop qasimabad Hyderabad Hyderabad</t>
  </si>
  <si>
    <t xml:space="preserve"> | ↩️ Return Charged: 2026-02-13 | Fee: 213</t>
  </si>
  <si>
    <t>TR28850</t>
  </si>
  <si>
    <t>ashraf Basharti</t>
  </si>
  <si>
    <t>Hafiz book depot darya Khan Bhakkar</t>
  </si>
  <si>
    <t>call after return nahi mana purchae ker li hain fir khabhi order ker do ga 
confirm allow to open  rider  parcel open kerna nahi da raha tha 
 | ↩️ Return Charged: 2026-03-03 | Ref: CPR-UGST0244500 | Fee: 200</t>
  </si>
  <si>
    <t>TR28851</t>
  </si>
  <si>
    <t>Aslam Khan</t>
  </si>
  <si>
    <t>Abass plaza Timergara District Dir Lower Timergara</t>
  </si>
  <si>
    <t>confirm  tcs 
 | 💰 COD Rec: No Date | Ref:  | Amt: 2049</t>
  </si>
  <si>
    <t>ADI Multi Ref Stripes - L / Maroon (x1)</t>
  </si>
  <si>
    <t>TR28852</t>
  </si>
  <si>
    <t>+923401917468</t>
  </si>
  <si>
    <t>Timergara Timergara</t>
  </si>
  <si>
    <t xml:space="preserve">TR28851 cancel alreay order kiya hua ha </t>
  </si>
  <si>
    <t>TR28853</t>
  </si>
  <si>
    <t>Mian Muhammad Irfan</t>
  </si>
  <si>
    <t>Miana Mohalla Dina Near Jnazgah Masjid Quba Street Dina Dst Jhelum Dina</t>
  </si>
  <si>
    <t>Order has been shipped via PostEx with Tracking 27120050021683. 
 | 💰 COD Rec: 2026-02-06 | Ref: CPR-M3YPB657113 | Amt: 2849</t>
  </si>
  <si>
    <t>TR28854</t>
  </si>
  <si>
    <t>Saif ur Rehman Abbas</t>
  </si>
  <si>
    <t>Street No 6 shahinabad gujranwala near porana qabrastan gali tower wali Gujranwala</t>
  </si>
  <si>
    <t>Order has been shipped via PostEx with Tracking 29120050021682. 
 | 💰 COD Rec: 2026-02-06 | Ref: CPR-M3YPB657113 | Amt: 2849</t>
  </si>
  <si>
    <t>TR28855</t>
  </si>
  <si>
    <t>Kirri Atta Muhammad Sukpul Road Near Mehran Marble Factory Baloch House Shikarpur</t>
  </si>
  <si>
    <t>Order has been shipped via PostEx with Tracking 24120050021681. 
 | 💰 COD Rec: 2026-02-06 | Ref: CPR-M3YPB657113 | Amt: 2749</t>
  </si>
  <si>
    <t>TR28856</t>
  </si>
  <si>
    <t>talha zubair</t>
  </si>
  <si>
    <t>+923285242329</t>
  </si>
  <si>
    <t>Street no 8 kuree rode dhok Ali akber sadiqabad amina masjid Rawalpindi</t>
  </si>
  <si>
    <t>Order has been shipped via PostEx with Tracking 21120050021680. 
 | 💰 COD Rec: 2026-02-06 | Ref: CPR-M3YPB657113 | Amt: 2749</t>
  </si>
  <si>
    <t>TR28857</t>
  </si>
  <si>
    <t>Sheharyar Ali Ali</t>
  </si>
  <si>
    <t>DHA phase 4 gg street number 28 home number 641 Lahore</t>
  </si>
  <si>
    <t>sim par msg kr diya|  no whatsapp | ↩️ Return Charged: 2026-02-13 | Fee: 107</t>
  </si>
  <si>
    <t>TR28858</t>
  </si>
  <si>
    <t>Khalid Mahmood</t>
  </si>
  <si>
    <t>20 Gaznavi extension Bahria town Lahore</t>
  </si>
  <si>
    <t>Order has been shipped via PostEx with Tracking 27120050021678. 
 | 💰 COD Rec: 2026-02-06 | Ref: CPR-M3YPB657113 | Amt: 3099</t>
  </si>
  <si>
    <t>TR28859</t>
  </si>
  <si>
    <t>NASIR QURESHI</t>
  </si>
  <si>
    <t>House 10,  Street 4,  Block-G  Soan Garden, Islamabad Highway Islamabad</t>
  </si>
  <si>
    <t>Order has been shipped via PostEx with Tracking 20120050021677. 
 | 💰 COD Rec: 2026-02-06 | Ref: CPR-M3YPB657113 | Amt: 2799</t>
  </si>
  <si>
    <t>TR28860</t>
  </si>
  <si>
    <t>Irfan Ullah</t>
  </si>
  <si>
    <t>House No. 1173, Street 47, F-17/2 Islamabad</t>
  </si>
  <si>
    <t>Order has been shipped via PostEx with Tracking 27120050021676. 
 | 💰 COD Rec: 2026-02-06 | Ref: CPR-M3YPB657113 | Amt: 8700</t>
  </si>
  <si>
    <t>Embossed NIK-E - M / Black (x1), Embossed NIK-E - M / White (x1), Imported Scoba Executive Nik Tro - M / Gray (x1), Imported Scoba Executive Nik Tro - M / Black (x1)</t>
  </si>
  <si>
    <t>TR28861</t>
  </si>
  <si>
    <t>Ayaz Ali Baloch</t>
  </si>
  <si>
    <t>House No B282B Kaka Shabir Memon Near Dubai Super Store Makli Thatta Thatta</t>
  </si>
  <si>
    <t>Order has been shipped via PostEx with Tracking 21120050021675. 
 | 💰 COD Rec: 2026-02-06 | Ref: CPR-M3YPB657113 | Amt: 1999</t>
  </si>
  <si>
    <t>(Premium) Popcorn Polo - XL / Beige (x1)</t>
  </si>
  <si>
    <t>TR28862</t>
  </si>
  <si>
    <t>Ali mobile shop near Serena hotel sherullah baig road Gilgit</t>
  </si>
  <si>
    <t>Order has been shipped via PostEx with Tracking 21120050021674. 
 | 💰 COD Rec: 2026-02-10 | Ref: CPR-EN98M126354 | Amt: 3299</t>
  </si>
  <si>
    <t>TR28863</t>
  </si>
  <si>
    <t>Tariq moosa Memon</t>
  </si>
  <si>
    <t>117-A block Dha Eme Society Lahore</t>
  </si>
  <si>
    <t>Order has been shipped via PostEx with Tracking 28120050021673. 
 | 💰 COD Rec: 2026-02-13 | Ref: CPR-JXDW9494704 | Amt: 3099</t>
  </si>
  <si>
    <t>TR28864</t>
  </si>
  <si>
    <t>Mohammad Usama</t>
  </si>
  <si>
    <t>Zafar Ali Road, PAS Campus, Gate 2, Upper Mall, Lahore Lahore</t>
  </si>
  <si>
    <t>Order has been shipped via PostEx with Tracking 21120050021672. full payment received 3749/-  confirm 
 | 💰 COD Rec: 2026-02-06 | Ref: CPR-M3YPB657113 | Amt: 3749</t>
  </si>
  <si>
    <t>(Premium) Popcorn Polo - M / Black (x1), (Premium) Popcorn Polo - M / White (x1)</t>
  </si>
  <si>
    <t>TR28865</t>
  </si>
  <si>
    <t>Zeeshan Khalid</t>
  </si>
  <si>
    <t>Rehman colony street no 1 house no 7 GT road okara Okara</t>
  </si>
  <si>
    <t>r: no ans open to allow mera bhi na order kiya tha abhi wo nahi ha 
 | ↩️ Return Charged: 2026-02-10 | Fee: 200</t>
  </si>
  <si>
    <t>TR28866</t>
  </si>
  <si>
    <t>Dr Nisar Anjum</t>
  </si>
  <si>
    <t>Sheikh Khalifah Bin Zayyad Medical complex Mastung Road Quetta Quetta</t>
  </si>
  <si>
    <t>r ; call pick ki haa but ans nahi ker raha 
Order has been shipped via PostEx with Tracking 29120050021670. confirm  fake attempt is ko delive kerva dein 
 | ↩️ Return Charged: 2026-03-06 | Ref: CPR-OO04K926870 | Fee: 213</t>
  </si>
  <si>
    <t>TR28867</t>
  </si>
  <si>
    <t>Farhan Farhan</t>
  </si>
  <si>
    <t>bosan road mooltan street house number A9 near beacon House school bahadurpoor multan multan</t>
  </si>
  <si>
    <t>Order has been shipped via PostEx with Tracking 22120050021669. 
 | 💰 COD Rec: 2026-02-06 | Ref: CPR-M3YPB657113 | Amt: 2749</t>
  </si>
  <si>
    <t>TR28868</t>
  </si>
  <si>
    <t>Junaid Mahar</t>
  </si>
  <si>
    <t>Al Faiz Travel Near Mcb Bank Gela Wal Tehsil &amp; Dist Lodhran Lodhran</t>
  </si>
  <si>
    <t>Lodhran</t>
  </si>
  <si>
    <t>confirm  
not ans
 | ↩️ Return Charged: 20-Feb-2026 | Ref: CPR-245C7434461 | Fee: 200</t>
  </si>
  <si>
    <t>TR28869</t>
  </si>
  <si>
    <t>Faisal azhar</t>
  </si>
  <si>
    <t xml:space="preserve">House no 59/111 street no 32 khayabane hilal phase 5 DHA karachi  karachi </t>
  </si>
  <si>
    <t>Order has been shipped via PostEx with Tracking 25120050021668. confirm
 | 💰 COD Rec: 2026-02-06 | Ref: CPR-M3YPB657113 | Amt: 1999</t>
  </si>
  <si>
    <t>(Premium) Cotton lycra RL - 2XL / zinc blue (x1)</t>
  </si>
  <si>
    <t>TR28870</t>
  </si>
  <si>
    <t>Fahad Hassan</t>
  </si>
  <si>
    <t>St 2 House 35 Usman Block Bahria Town Phase 8 Rawalpindi</t>
  </si>
  <si>
    <t>r; not ans on both 
 | ↩️ Return Charged: 2026-02-13 | Fee: 313</t>
  </si>
  <si>
    <t>TR28871</t>
  </si>
  <si>
    <t>Riaz Baigoo</t>
  </si>
  <si>
    <t>City Rawalpindi Pakistan sadiq Abad near Bilal hospital Rawalpindi</t>
  </si>
  <si>
    <t>Order has been shipped via PostEx with Tracking 29120050021713. ok
 | 💰 COD Rec: 2026-02-06 | Ref: CPR-M3YPB657113 | Amt: 2148</t>
  </si>
  <si>
    <t>Adi Winter Trouser - M / Grey (x1)</t>
  </si>
  <si>
    <t>TR28872</t>
  </si>
  <si>
    <t>Waseem Abbas</t>
  </si>
  <si>
    <t>Library department, FAST national university of Computer and Emerging Sciences Islamabad</t>
  </si>
  <si>
    <t>Order has been shipped via PostEx with Tracking 29120050021666. 
 | 💰 COD Rec: 2026-02-13 | Ref: CPR-JXDW9494704 | Amt: 2749</t>
  </si>
  <si>
    <t>TR28873</t>
  </si>
  <si>
    <t>Naeem Akbar</t>
  </si>
  <si>
    <t>Pak Arab Refinery Limited, Corporate Headquarters, Korangi Creek Road Karachi</t>
  </si>
  <si>
    <t>Order has been shipped via PostEx with Tracking 28120050021665. 
 | 💰 COD Rec: 2026-02-13 | Ref: CPR-JXDW9494704 | Amt: 2849</t>
  </si>
  <si>
    <t>TR28874</t>
  </si>
  <si>
    <t>Khalid Hussain</t>
  </si>
  <si>
    <t>+923093922535</t>
  </si>
  <si>
    <t>C1 Liquatabad near Ubaid fast food, Karachi Karachi</t>
  </si>
  <si>
    <t>Order has been shipped via PostEx with Tracking 21120050021664. 
 | 💰 COD Rec: 17-Feb-2026 | Ref: CPR-P18X9853080 | Amt: 2749</t>
  </si>
  <si>
    <t>TR28875</t>
  </si>
  <si>
    <t>ayan  allow to open aziz</t>
  </si>
  <si>
    <t>+923416550779</t>
  </si>
  <si>
    <t>Ghuinke Near Government Girls High School Opposite Iqra Book Sialkot</t>
  </si>
  <si>
    <t>Order has been shipped via PostEx with Tracking 23120050021663. open to allow 
 | 💰 COD Rec: 2026-02-13 | Ref: CPR-JXDW9494704 | Amt: 2749</t>
  </si>
  <si>
    <t>TR28876</t>
  </si>
  <si>
    <t>Saleem Khan</t>
  </si>
  <si>
    <t>MPR colony near albadar masjid near dr salam medical store Karachi</t>
  </si>
  <si>
    <t xml:space="preserve">cancel </t>
  </si>
  <si>
    <t>TR28877</t>
  </si>
  <si>
    <t>MPR colony near albadar masjid Dr salam medical store Karachi</t>
  </si>
  <si>
    <t>confirm 
 | ↩️ Return Charged: 20-Feb-2026 | Ref: CPR-245C7434461 | Fee: 213</t>
  </si>
  <si>
    <t>TR28878</t>
  </si>
  <si>
    <t>Abdullah Ijaz</t>
  </si>
  <si>
    <t>Sheraz gardan face 3 nearby Muslim kabristan street number 9 Sheikhupura</t>
  </si>
  <si>
    <t>Order has been shipped via PostEx with Tracking 23120050021661. 
 | 💰 COD Rec: 2026-02-06 | Ref: CPR-M3YPB657113 | Amt: 1999</t>
  </si>
  <si>
    <t>TR28879</t>
  </si>
  <si>
    <t>Shehzad Ahmad</t>
  </si>
  <si>
    <t>Sharjah tower first floor office no 26 Shoba bazar Peshawar Peshawar</t>
  </si>
  <si>
    <t>confirm   number bund haa 
 | ↩️ Return Charged: 20-Feb-2026 | Ref: CPR-245C7434461 | Fee: 213</t>
  </si>
  <si>
    <t>TR28880</t>
  </si>
  <si>
    <t>Sarfraz Ahmad Sarfraz</t>
  </si>
  <si>
    <t>Smander wala rod railway pathk choinit police lain Choinit</t>
  </si>
  <si>
    <t>Choinit</t>
  </si>
  <si>
    <t xml:space="preserve">cancel ha nahi lena </t>
  </si>
  <si>
    <t>TR28881</t>
  </si>
  <si>
    <t>ali baba</t>
  </si>
  <si>
    <t>+923243371577</t>
  </si>
  <si>
    <t>House Number 13-hussain Block Bismillah Housing Society Lahore</t>
  </si>
  <si>
    <t>Order has been shipped via PostEx with Tracking 20120050021659. confirm
 | 💰 COD Rec: 2026-02-06 | Ref: CPR-M3YPB657113 | Amt: 4599</t>
  </si>
  <si>
    <t>A | X Embroidery LOGO - 2XL / Maroon (x1), A | X Embroidery LOGO - 2XL / Black (x1), A | X Embroidery LOGO - 2XL / White (x1)</t>
  </si>
  <si>
    <t>TR28882</t>
  </si>
  <si>
    <t>Aftab Hussain</t>
  </si>
  <si>
    <t>+923337393865</t>
  </si>
  <si>
    <t>Rijib kalwer  Shaban shop near channa shadi hall  Kashmore Kashmore</t>
  </si>
  <si>
    <t>Order has been shipped via PostEx with Tracking 27120050021658. confirm 
 | 💰 COD Rec: 17-Feb-2026 | Ref: CPR-P18X9853080 | Amt: 3099</t>
  </si>
  <si>
    <t>TR28883</t>
  </si>
  <si>
    <t>Ahmad Ahmad Shabbir</t>
  </si>
  <si>
    <t>Ahmad mobiles cometti bazar  baldiya road Hasilpur Hasilpur</t>
  </si>
  <si>
    <t>Hasilpur</t>
  </si>
  <si>
    <t>Order has been shipped via PostEx with Tracking 20120050021657. confirm 
 | 💰 COD Rec: 2026-02-06 | Ref: CPR-M3YPB657113 | Amt: 3099</t>
  </si>
  <si>
    <t>TR28884</t>
  </si>
  <si>
    <t>Fakhar Ali</t>
  </si>
  <si>
    <t>+923222800051</t>
  </si>
  <si>
    <t>Flat GC, Building 85, Askari V, Malir Cantt Karachi</t>
  </si>
  <si>
    <t xml:space="preserve"> | ↩️ Return Charged: 17-Feb-2026 | Ref: CPR-P18X9853080 | Fee: 213</t>
  </si>
  <si>
    <t>TR28885</t>
  </si>
  <si>
    <t>Atif Jamil</t>
  </si>
  <si>
    <t>Chak no 215 rb nathery Faisalabad</t>
  </si>
  <si>
    <t xml:space="preserve">cancel nai lena </t>
  </si>
  <si>
    <t>TR28886</t>
  </si>
  <si>
    <t>M Khalil</t>
  </si>
  <si>
    <t>CNG Haskol pump, steel town mor Karachi</t>
  </si>
  <si>
    <t>Order has been shipped via PostEx with Tracking 28120050021656. confirm 
 | 💰 COD Rec: 2026-02-10 | Ref: CPR-EN98M126354 | Amt: 3099</t>
  </si>
  <si>
    <t>TR28887</t>
  </si>
  <si>
    <t>Irfan Saeed</t>
  </si>
  <si>
    <t>P.34 New P.A.E.C  Colony Chashma Kundian Mianwali</t>
  </si>
  <si>
    <t>Order has been shipped via PostEx with Tracking 26120050021655. confirm    
 | 💰 COD Rec: 2026-02-13 | Ref: CPR-JXDW9494704 | Amt: 4899</t>
  </si>
  <si>
    <t>ADI Multi Ref Stripes - L / Maroon (x1), Multi ref PUM-A - L / White (x1), Multi ref PUM-A - L / Black (x1)</t>
  </si>
  <si>
    <t>TR28888</t>
  </si>
  <si>
    <t>sajid Saleem</t>
  </si>
  <si>
    <t>Flat 19, Al Baseer Apartment, Gulbai Street, Garden East Karachi</t>
  </si>
  <si>
    <t xml:space="preserve">full payment advance 8451/- confirm </t>
  </si>
  <si>
    <t>Imported Scoba Executive Nik Tro - L / Black (x1), Multi ref PUM-A - L / White (x1), Multi ref PUM-A - L / Black (x1), Nik panel Tracksuit - L / Black (x1)</t>
  </si>
  <si>
    <t>TR28889</t>
  </si>
  <si>
    <t>Muhammad Umer</t>
  </si>
  <si>
    <t>417-model Town Muradia Road Sialkot Pakistan Sialkot</t>
  </si>
  <si>
    <t>Order has been shipped via PostEx with Tracking 26120050021700. 
 | 💰 COD Rec: 2026-02-10 | Ref: CPR-EN98M126354 | Amt: 2849</t>
  </si>
  <si>
    <t>TR28890</t>
  </si>
  <si>
    <t>Hassan Messi</t>
  </si>
  <si>
    <t>Air pod Rod Shahi bazarshop name peshwaer zam zam ghost center  kanju Swat Mingawara</t>
  </si>
  <si>
    <t>Mingawara</t>
  </si>
  <si>
    <t>Order has been shipped via PostEx with Tracking 22120050021654. confirm 
 | 💰 COD Rec: 2026-02-06 | Ref: CPR-M3YPB657113 | Amt: 4248</t>
  </si>
  <si>
    <t>TR28891</t>
  </si>
  <si>
    <t>Bilal Satti, Street 6f house 135 ghori town VIP Islamabad, Islamabad, Pakistan, 3128496961 Islamabad</t>
  </si>
  <si>
    <t>Order has been shipped via PostEx with Tracking 28120050021653. whatsup 
 | 💰 COD Rec: 2026-02-06 | Ref: CPR-M3YPB657113 | Amt: 4525</t>
  </si>
  <si>
    <t>ADI Multi Ref Stripes - L / White (x1), ADI Multi Ref Stripes - L / Maroon (x1), Embossed NIK-E - L / Black (x1)</t>
  </si>
  <si>
    <t>TR28892</t>
  </si>
  <si>
    <t>Saleem Amin</t>
  </si>
  <si>
    <t>+923040452123</t>
  </si>
  <si>
    <t>National Bank madina town Minchinabad Minchinabad</t>
  </si>
  <si>
    <t xml:space="preserve"> open to allow 
 | ↩️ Return Charged: 2026-02-13 | Fee: 200</t>
  </si>
  <si>
    <t>TR28893</t>
  </si>
  <si>
    <t>Zeeshan khan Khan</t>
  </si>
  <si>
    <t>3 Marla scheme gujjar chowck Khanewal</t>
  </si>
  <si>
    <t>TR28894</t>
  </si>
  <si>
    <t>Zeeshan Ishaq</t>
  </si>
  <si>
    <t>Waseem General Store Main Baniyan Bazar P/o Panjera Teh And Distt Kotli Ajk Panjera Kotli Ajk</t>
  </si>
  <si>
    <t>Panjera Kotli Ajk</t>
  </si>
  <si>
    <t>TR28895</t>
  </si>
  <si>
    <t>LE7524657055</t>
  </si>
  <si>
    <t>confirm 
 | 💰 COD Rec: No Date | Ref:  | Amt: 3099</t>
  </si>
  <si>
    <t>TR28896</t>
  </si>
  <si>
    <t>Nabeel Afridi</t>
  </si>
  <si>
    <t>Koragh Flour Mills, Bypass Road, Tehsil &amp; District Mardan Mardan</t>
  </si>
  <si>
    <t>Order has been shipped via PostEx with Tracking 20120050021706. 
 | 💰 COD Rec: 2026-02-13 | Ref: CPR-JXDW9494704 | Amt: 2749</t>
  </si>
  <si>
    <t>TR28897</t>
  </si>
  <si>
    <t>Basit Ajmal</t>
  </si>
  <si>
    <t>Fath pur punjabia dilawar traders Rahim Yar Khan</t>
  </si>
  <si>
    <t>allow to open 
 | ↩️ Return Charged: 2026-02-13 | Fee: 200</t>
  </si>
  <si>
    <t>TR28898</t>
  </si>
  <si>
    <t>Muhammad Rehan Majid</t>
  </si>
  <si>
    <t>House # 1902-B/22 Chowk Rasheedabad Near wahadat colony Multan Multan</t>
  </si>
  <si>
    <t>rider na koi rabta nahi 
 | ↩️ Return Charged: 2026-02-13 | Fee: 200</t>
  </si>
  <si>
    <t>TR28899</t>
  </si>
  <si>
    <t>Ahmad Yar</t>
  </si>
  <si>
    <t>Thatha Bage Dak Khana Khas Tehseel Tandlianwala Distric Faisalabad Tandlianwala</t>
  </si>
  <si>
    <t>Tandlianwala</t>
  </si>
  <si>
    <t xml:space="preserve">R ; POWER OFF 
Tandlianwala tcs / lcs  number off ha is ko wp ker diya haa </t>
  </si>
  <si>
    <t>TR28900</t>
  </si>
  <si>
    <t>Saleh Raza</t>
  </si>
  <si>
    <t>Villa 271 Road 5 Bahri Town Karachi Karachi</t>
  </si>
  <si>
    <t>Order has been shipped via PostEx with Tracking 21120050021705. 
 | 💰 COD Rec: 2026-02-10 | Ref: CPR-EN98M126354 | Amt: 6499</t>
  </si>
  <si>
    <t>ADI Ref Stripes - M / White (x1), ADI Ref Stripes - M / Black (x1), ADI - TriStrip-Tracksuit Winter - M / Black (x1)</t>
  </si>
  <si>
    <t>TR28901</t>
  </si>
  <si>
    <t>Bilal khurshid Muhammad khurshid Ahmed</t>
  </si>
  <si>
    <t>Mohallah Mughallah street old hospital kunjah GuJrat Kunjah Gujrat</t>
  </si>
  <si>
    <t>Kunjah Gujrat</t>
  </si>
  <si>
    <t xml:space="preserve">cancel to late 
</t>
  </si>
  <si>
    <t>TR28902</t>
  </si>
  <si>
    <t>Hamza Lakhan</t>
  </si>
  <si>
    <t>Lakhan House, Mohallah Islampura, Zia Market Samundri Faisalabad</t>
  </si>
  <si>
    <t xml:space="preserve">cancel no needed </t>
  </si>
  <si>
    <t>TR28903</t>
  </si>
  <si>
    <t>Altaf Aziz Aziz</t>
  </si>
  <si>
    <t>A-3/9 Block III Nazimabad Near Eidgah Karachi</t>
  </si>
  <si>
    <t>Order has been shipped via PostEx with Tracking 26120050021698. 
 | 💰 COD Rec: 2026-02-10 | Ref: CPR-EN98M126354 | Amt: 1699</t>
  </si>
  <si>
    <t>A | X Embroidery LOGO - L / American Blue (x1)</t>
  </si>
  <si>
    <t>TR28904</t>
  </si>
  <si>
    <t>Nawab Ali Mirani Nawab ali mirani</t>
  </si>
  <si>
    <t>Rehmani nanger sita road distrct dado Rehmani Nanger Sita Road</t>
  </si>
  <si>
    <t>Rehmani Nanger Sita Road</t>
  </si>
  <si>
    <t>LE7524657057</t>
  </si>
  <si>
    <t>confirm 
 | 💰 COD Rec: No Date | Ref:  | Amt: 4248</t>
  </si>
  <si>
    <t>TR28905</t>
  </si>
  <si>
    <t>Abdul Momin</t>
  </si>
  <si>
    <t>+923135908315</t>
  </si>
  <si>
    <t>St 2 hostal city chak shahzad near Khan plaza Islamabad</t>
  </si>
  <si>
    <t>Order has been shipped via PostEx with Tracking 26120050021697. 
 | 💰 COD Rec: 2026-02-06 | Ref: CPR-M3YPB657113 | Amt: 3099</t>
  </si>
  <si>
    <t>TR28906</t>
  </si>
  <si>
    <t>Nadeem Muhammad</t>
  </si>
  <si>
    <t>+9203239050500</t>
  </si>
  <si>
    <t>264-p-model Town Extension Lahore , Pakistan Lahore</t>
  </si>
  <si>
    <t>Order has been shipped via PostEx with Tracking 21120050021696. 
 | 💰 COD Rec: 2026-02-06 | Ref: CPR-M3YPB657113 | Amt: 5450</t>
  </si>
  <si>
    <t>ADI Multi Ref Stripes - M / White (x1), ADI Multi Ref Stripes - M / Black (x1), Embossed NIK-E - L / Black (x1), Embossed NIK-E - L / White (x1)</t>
  </si>
  <si>
    <t>TR28907</t>
  </si>
  <si>
    <t>M Usama Zahid</t>
  </si>
  <si>
    <t>Medicine Department CMH Bahawalpur. Bahawalpur</t>
  </si>
  <si>
    <t>Order has been shipped via PostEx with Tracking 25120050021695. 
 | 💰 COD Rec: 2026-02-10 | Ref: CPR-EN98M126354 | Amt: 3099</t>
  </si>
  <si>
    <t>TR28908</t>
  </si>
  <si>
    <t>Khan Manzar</t>
  </si>
  <si>
    <t xml:space="preserve">New Mubeen paint industry 8 km khushab road near dharema  City sargodha Sargodha </t>
  </si>
  <si>
    <t xml:space="preserve">Sargodha </t>
  </si>
  <si>
    <t>allow to open  not ans 
 | ↩️ Return Charged: 20-Feb-2026 | Ref: CPR-245C7434461 | Fee: 200</t>
  </si>
  <si>
    <t>TR28909</t>
  </si>
  <si>
    <t>Ahsan imtiaz</t>
  </si>
  <si>
    <t>A1/148, Sehba Aktar Road, Block 13d2, Gulshan E Iqbal, Karachi Karachi</t>
  </si>
  <si>
    <t>Order has been shipped via PostEx with Tracking 27120050021694. 
 | 💰 COD Rec: 2026-02-10 | Ref: CPR-EN98M126354 | Amt: 3099</t>
  </si>
  <si>
    <t>TR28910</t>
  </si>
  <si>
    <t>H11 police line head quarter Islamabad Islamabad</t>
  </si>
  <si>
    <t>Order has been shipped via PostEx with Tracking 28120050021709. open to allow 
 | 💰 COD Rec: 2026-02-06 | Ref: CPR-M3YPB657113 | Amt: 3099</t>
  </si>
  <si>
    <t>TR28911</t>
  </si>
  <si>
    <t>Akhtar Hussain</t>
  </si>
  <si>
    <t>TCS OFFICE banhora chock pindi gheb Pindi Gheb</t>
  </si>
  <si>
    <t>Pindi Gheb</t>
  </si>
  <si>
    <t>tcs 
 | 💰 COD Rec: No Date | Ref:  | Amt: 2799</t>
  </si>
  <si>
    <t>TR28912</t>
  </si>
  <si>
    <t>Asif Ameen .</t>
  </si>
  <si>
    <t>+923226666574</t>
  </si>
  <si>
    <t>15-sarfaraz market goolkalath bazar Faisalabad   ( shop name : Naeem fabrics ) Faisalabad</t>
  </si>
  <si>
    <t>Order has been shipped via PostEx with Tracking 24120050021704. whatsup 
 | 💰 COD Rec: 2026-02-10 | Ref: CPR-EN98M126354 | Amt: 3100</t>
  </si>
  <si>
    <t>Multi ref PUM-A - L / White (x1), ADI Ref Stripes - L / White (x1)</t>
  </si>
  <si>
    <t>TR28913</t>
  </si>
  <si>
    <t>Muzammil Hussain</t>
  </si>
  <si>
    <t>+923171528515</t>
  </si>
  <si>
    <t>H# 1-M, Street 72, Block E, Gulshan E Sehat E-18 Islamabad near Neelum Plaza islamabad</t>
  </si>
  <si>
    <t>islamabad</t>
  </si>
  <si>
    <t>Order has been shipped via PostEx with Tracking 21120050021703. whatsup 
 | 💰 COD Rec: 2026-02-06 | Ref: CPR-M3YPB657113 | Amt: 4250</t>
  </si>
  <si>
    <t>TR28914</t>
  </si>
  <si>
    <t>MANOJ KUMAr</t>
  </si>
  <si>
    <t>Qasimabad Men Road, Abdullah Sports Town Hyderabad</t>
  </si>
  <si>
    <t>Order has been shipped via PostEx with Tracking 22120050021708. confirm 
 | 💰 COD Rec: 17-Feb-2026 | Ref: CPR-P18X9853080 | Amt: 5400</t>
  </si>
  <si>
    <t>Adi- Hoodie - L / Black (x1), Multi ref PUM-A - L / White (x1), Multi ref PUM-A - L / Black (x1)</t>
  </si>
  <si>
    <t>TR28915</t>
  </si>
  <si>
    <t>Syed Maqbool Hussain</t>
  </si>
  <si>
    <t>+923412120740</t>
  </si>
  <si>
    <t>Billys Paradise phs 1 flat#306/3 Gulistan e Johar Block#18 Karachi</t>
  </si>
  <si>
    <t>Order has been shipped via PostEx with Tracking 26120050021797. confirm 
 | 💰 COD Rec: 2026-02-13 | Ref: CPR-JXDW9494704 | Amt: 5650</t>
  </si>
  <si>
    <t>Imported Scoba Executive Nik Tro - L / Gray (x1), ADI Ref Stripes - L / White (x1), ADI Ref Stripes - L / Black (x1)</t>
  </si>
  <si>
    <t>TR28916</t>
  </si>
  <si>
    <t>Fahad Ahmad</t>
  </si>
  <si>
    <t>University Town Danishabad Street C  House 40 Peshawar</t>
  </si>
  <si>
    <t>Order has been shipped via PostEx with Tracking 29120050021707. confirm 
 | 💰 COD Rec: 2026-02-06 | Ref: CPR-M3YPB657113 | Amt: 3099</t>
  </si>
  <si>
    <t>TR28917</t>
  </si>
  <si>
    <t>aqib shakeel</t>
  </si>
  <si>
    <t>+923481346085</t>
  </si>
  <si>
    <t>bloch Town iqbal bun street kachi paind Khan new bannu chungi dera Ismail khan dera Ismail khan</t>
  </si>
  <si>
    <t>dera Ismail khan</t>
  </si>
  <si>
    <t>Order has been shipped via PostEx with Tracking 26120050021796.  full payment a gai haa whatsup | full payment adv thi but parcel cod ma gya tha esi liya adv. refunded krdiya hai
 | 💰 COD Rec: 2026-02-13 | Ref: CPR-JXDW9494704 | Amt: 2750</t>
  </si>
  <si>
    <t>TR28918</t>
  </si>
  <si>
    <t>Nauman Malik</t>
  </si>
  <si>
    <t>Gomal institute bannu adda near al ghazi plaza Dera ismail khan</t>
  </si>
  <si>
    <t>Dera ismail khan</t>
  </si>
  <si>
    <t>TR28919</t>
  </si>
  <si>
    <t>Irfan khan M IRFAN</t>
  </si>
  <si>
    <t>Hagi Nazir zaree farm amli moti Depalpur</t>
  </si>
  <si>
    <t>TR28920</t>
  </si>
  <si>
    <t>Irfan khan khan</t>
  </si>
  <si>
    <t>Hagi nazir zaree farm amli moti Depalpur</t>
  </si>
  <si>
    <t>TR28921</t>
  </si>
  <si>
    <t>Asim Mahmood</t>
  </si>
  <si>
    <t>2nd floor, 4-5 commercial area, cavalry ground Lahore</t>
  </si>
  <si>
    <t>Order has been shipped via PostEx with Tracking 25120050021821. confirm 
 | 💰 COD Rec: 2026-02-13 | Ref: CPR-JXDW9494704 | Amt: 3749</t>
  </si>
  <si>
    <t>(Premium) Popcorn Polo - L / olive (x1), (Premium) Popcorn Polo - L / White (x1)</t>
  </si>
  <si>
    <t>TR28922</t>
  </si>
  <si>
    <t>Nadeem Khan</t>
  </si>
  <si>
    <t>Aviation flates, Multan cantonment Multan</t>
  </si>
  <si>
    <t xml:space="preserve">cancel again order  ker do gaa </t>
  </si>
  <si>
    <t>TR28923</t>
  </si>
  <si>
    <t>The Stone pizza Phalia, old Gujrat Road Phalia Phalia</t>
  </si>
  <si>
    <t>Order has been shipped via PostEx with Tracking 20120050021795. confirm 
 | 💰 COD Rec: 2026-02-13 | Ref: CPR-JXDW9494704 | Amt: 3099</t>
  </si>
  <si>
    <t>TR28924</t>
  </si>
  <si>
    <t>zahid ghanchi</t>
  </si>
  <si>
    <t>garden west gulam hussain qasim road near sukkur bekri karachi</t>
  </si>
  <si>
    <t>Order has been shipped via PostEx with Tracking 22120050021818. 
 | 💰 COD Rec: 2026-02-13 | Ref: CPR-JXDW9494704 | Amt: 3099</t>
  </si>
  <si>
    <t>TR28925</t>
  </si>
  <si>
    <t>House NO R3/1 st 18 Block 2 Gulistan e Johar Karachi</t>
  </si>
  <si>
    <t>Order has been shipped via PostEx with Tracking 26120050021794. 
 | 💰 COD Rec: 2026-02-13 | Ref: CPR-JXDW9494704 | Amt: 4248</t>
  </si>
  <si>
    <t>TR28926</t>
  </si>
  <si>
    <t>186-officer Colony Phase 5 House A Wah Cantt.</t>
  </si>
  <si>
    <t>Wah Cantt.</t>
  </si>
  <si>
    <t>Order has been shipped via PostEx with Tracking 26120050021793. 
 | 💰 COD Rec: 2026-02-13 | Ref: CPR-JXDW9494704 | Amt: 6800</t>
  </si>
  <si>
    <t>ADI-3strips Full TrackSuit - L / Black (x1), (Premium) Popcorn Polo - L / White (x1), Embossed NIK-E - L / Black (x1), Embossed NIK-E - L / White (x1)</t>
  </si>
  <si>
    <t>TR28927</t>
  </si>
  <si>
    <t>Shafiq jutt</t>
  </si>
  <si>
    <t>+923026864753</t>
  </si>
  <si>
    <t>Khnor taxtaili psawarrord Rawalpindi</t>
  </si>
  <si>
    <t xml:space="preserve">cancel hum available nahi hain </t>
  </si>
  <si>
    <t>TR28928</t>
  </si>
  <si>
    <t>Ashir Muneeb</t>
  </si>
  <si>
    <t>A-513 Block H North Nazimabad Karachi</t>
  </si>
  <si>
    <t>Order has been shipped via PostEx with Tracking 24120050021792. 
 | 💰 COD Rec: 2026-02-13 | Ref: CPR-JXDW9494704 | Amt: 3099</t>
  </si>
  <si>
    <t>TR28929</t>
  </si>
  <si>
    <t>Arif Mehmood</t>
  </si>
  <si>
    <t>Time office avari hotel mall road Lahore</t>
  </si>
  <si>
    <t xml:space="preserve">call after return not ans 
azeem ko dena haa ya parcel wo la ker agy gaa by umair  not ans </t>
  </si>
  <si>
    <t>TR28930</t>
  </si>
  <si>
    <t>Mrs Basit Khan</t>
  </si>
  <si>
    <t>233 F ph 6 street 8 dha lhr Lahore</t>
  </si>
  <si>
    <t>Order has been shipped via PostEx with Tracking 29120050021785. 
 | 💰 COD Rec: 2026-02-13 | Ref: CPR-JXDW9494704 | Amt: 3849</t>
  </si>
  <si>
    <t>ADI Multi Ref Stripes - L / Black (x2)</t>
  </si>
  <si>
    <t>TR28931</t>
  </si>
  <si>
    <t>Azher Gill</t>
  </si>
  <si>
    <t>144-A-II, Sandi Ford Road, Burt Colony, Near Garhi Shahu Bridge, Lahore Lahore</t>
  </si>
  <si>
    <t>Order has been shipped via PostEx with Tracking 27120050021784. 
 | 💰 COD Rec: 2026-02-13 | Ref: CPR-JXDW9494704 | Amt: 3099</t>
  </si>
  <si>
    <t>TR28932</t>
  </si>
  <si>
    <t>Arman Khattak</t>
  </si>
  <si>
    <t>Okara cantt Okara</t>
  </si>
  <si>
    <t>TR28933</t>
  </si>
  <si>
    <t>Ashok Kumar Chimnani</t>
  </si>
  <si>
    <t>Shop Kashmore</t>
  </si>
  <si>
    <t xml:space="preserve">not ans both </t>
  </si>
  <si>
    <t>TR28934</t>
  </si>
  <si>
    <t>Hafeez BROHI Hafeez</t>
  </si>
  <si>
    <t>Tecnical collage junego chok hydrebad qasimabad Hydrebad</t>
  </si>
  <si>
    <t>Hydrebad</t>
  </si>
  <si>
    <t>return per call ki haa boll raha ka ma out of city tha wapis a ker again order ker do ga Order has been shipped via PostEx with Tracking 23120050021783. power off haa mana cancel kerva diya tha 
 | ↩️ Return Charged: No Date | Ref: CPR-P6TCD381940 | Fee: 227</t>
  </si>
  <si>
    <t>TR28935</t>
  </si>
  <si>
    <t>Village and post office Mandani tangi charsadda Tangi</t>
  </si>
  <si>
    <t>Tangi</t>
  </si>
  <si>
    <t>call after retun mujha village ma chaiya rider nahi aya 
Order has been shipped via PostEx with Tracking 23120050021834. ager village nahai ata toh cancel ker doo 
 | ↩️ Return Charged: No Date | Ref: CPR-P6TCD381940 | Fee: 213</t>
  </si>
  <si>
    <t>TR28936</t>
  </si>
  <si>
    <t>+923426575561</t>
  </si>
  <si>
    <t>Old Gujrat Road Phalia, The Stone Pizza phalia</t>
  </si>
  <si>
    <t>phalia</t>
  </si>
  <si>
    <t xml:space="preserve">order late tha isliya again order kiya haa </t>
  </si>
  <si>
    <t>TR28937</t>
  </si>
  <si>
    <t>Hamza Khan</t>
  </si>
  <si>
    <t>+923125046420</t>
  </si>
  <si>
    <t>New Abadi Mohallah Abdul Tehsil Hazro District Attock Attock</t>
  </si>
  <si>
    <t>Order has been shipped via PostEx with Tracking 25120050021782. confirm 
 | 💰 COD Rec: 2026-02-13 | Ref: CPR-JXDW9494704 | Amt: 4248</t>
  </si>
  <si>
    <t>TR28938</t>
  </si>
  <si>
    <t>+923163063293</t>
  </si>
  <si>
    <t>Family line chuk lajpal shop Jacobabad</t>
  </si>
  <si>
    <t>ap ki quality achi nahi thi trouser ka kapra phala wala sa change tha is liya nahi liya open to allow     trouser ki quality achi nahi haa 
 | ↩️ Return Charged: No Date | Ref: CPR-P6TCD381940 | Fee: 320</t>
  </si>
  <si>
    <t>TR28939</t>
  </si>
  <si>
    <t>M Tahir Shah</t>
  </si>
  <si>
    <t>House Number 197-ghalla Mandi Basirpur District Okara Okara</t>
  </si>
  <si>
    <t>Order has been shipped via PostEx with Tracking 27120050021781. 
 | 💰 COD Rec: 2026-02-13 | Ref: CPR-JXDW9494704 | Amt: 5250</t>
  </si>
  <si>
    <t>(Premium) Popcorn Polo - XL / Biscuit (x1), (Premium) Popcorn Polo - XL / Beige (x1), (Premium) Popcorn Polo - XL / White (x1)</t>
  </si>
  <si>
    <t>TR28940</t>
  </si>
  <si>
    <t>Ali Gilani</t>
  </si>
  <si>
    <t>ARAZI YAQOOB ALI TOWN STREET1 HOUSE NO 1 SIALKOT Sialkot</t>
  </si>
  <si>
    <t>Order has been shipped via PostEx with Tracking 24120050021780. 
 | 💰 COD Rec: 2026-02-13 | Ref: CPR-JXDW9494704 | Amt: 2749</t>
  </si>
  <si>
    <t>IMPORTED POPCORN DRYFIT Adi - Xl / Black (x1)</t>
  </si>
  <si>
    <t>TR28941</t>
  </si>
  <si>
    <t>Ali Jahanzab</t>
  </si>
  <si>
    <t>Sindh khairpur mis luqman markazi imambaga Khairpur Mirs</t>
  </si>
  <si>
    <t xml:space="preserve">
 | ↩️ Return Charged: 20-Feb-2026 | Ref: CPR-245C7434461 | Fee: 213</t>
  </si>
  <si>
    <t>TR28942</t>
  </si>
  <si>
    <t>Athar Javed</t>
  </si>
  <si>
    <t>Allah Wala General Store House No.320, Block-c, Main Road Unit No.7, Latifabad Hyderabad</t>
  </si>
  <si>
    <t>Order has been shipped via PostEx with Tracking 28120050021778. 
 | 💰 COD Rec: 2026-02-13 | Ref: CPR-JXDW9494704 | Amt: 2849</t>
  </si>
  <si>
    <t>TR28943</t>
  </si>
  <si>
    <t>sajjad ali</t>
  </si>
  <si>
    <t>+9203182375653</t>
  </si>
  <si>
    <t>Odero Lal Station P.o.box Odero Lal Station Near Mcb Bank Hyderabad</t>
  </si>
  <si>
    <t>return per call ker ha boll raha ka advance nahi do ga call pick nahi ker raha 
 | ↩️ Return Charged: No Date | Ref: CPR-P6TCD381940 | Fee: 213</t>
  </si>
  <si>
    <t>TR28944</t>
  </si>
  <si>
    <t>Abbass Haider</t>
  </si>
  <si>
    <t>House No P/78 Lane5 Lala Rukh Wah Cant Wah Cantt.</t>
  </si>
  <si>
    <t>Order has been shipped via PostEx with Tracking 21120050021776. 
 | 💰 COD Rec: 2026-02-13 | Ref: CPR-JXDW9494704 | Amt: 2749</t>
  </si>
  <si>
    <t>TR28945</t>
  </si>
  <si>
    <t>Aizaz Elahi</t>
  </si>
  <si>
    <t>R-300 sector 7d2 north karachi Karachi</t>
  </si>
  <si>
    <t>Order has been shipped via PostEx with Tracking 24120050021775. 
 | 💰 COD Rec: 2026-02-13 | Ref: CPR-JXDW9494704 | Amt: 2799</t>
  </si>
  <si>
    <t>TR28946</t>
  </si>
  <si>
    <t>Sohail Malick</t>
  </si>
  <si>
    <t>Sarban school system jogan nawanshehr abbottabad Abbottabad</t>
  </si>
  <si>
    <t>Order has been shipped via PostEx with Tracking 29120050021770. 
 | 💰 COD Rec: 2026-02-13 | Ref: CPR-JXDW9494704 | Amt: 2849</t>
  </si>
  <si>
    <t>TR28947</t>
  </si>
  <si>
    <t>Imtiaz Ali</t>
  </si>
  <si>
    <t>175 CCA, Sector C, DHA Phase 6, Lahore, Punjab Lahore</t>
  </si>
  <si>
    <t>Order has been shipped via PostEx with Tracking 21120050021769. 
 | 💰 COD Rec: 2026-02-13 | Ref: CPR-JXDW9494704 | Amt: 2749</t>
  </si>
  <si>
    <t>TR28948</t>
  </si>
  <si>
    <t>Gate#2 near Bundu Khan Imperial Markeet Paragon City Lahore Lahore</t>
  </si>
  <si>
    <t xml:space="preserve"> mana order nahi kiya ma tahmoor 
 | ↩️ Return Charged: 17-Feb-2026 | Ref: CPR-P18X9853080 | Fee: 107</t>
  </si>
  <si>
    <t>TR28949</t>
  </si>
  <si>
    <t>Mohsin Bajwa</t>
  </si>
  <si>
    <t>Mean shekhupura rod arif wala stop zee garden house no 15 street no 2 fasialabad Fasialabad</t>
  </si>
  <si>
    <t>Order has been shipped via PostEx with Tracking 25120050021767. 
 | 💰 COD Rec: 2026-02-13 | Ref: CPR-JXDW9494704 | Amt: 3099</t>
  </si>
  <si>
    <t>TR28950</t>
  </si>
  <si>
    <t>Shuja Uddin</t>
  </si>
  <si>
    <t>+3212442444</t>
  </si>
  <si>
    <t>House no 86/2 ,Street 16 ,Muslimabad Society off Ayesha Aziz Road Karachi Karachi</t>
  </si>
  <si>
    <t>Order has been shipped via PostEx with Tracking 21120050021766. 
 | 💰 COD Rec: 2026-02-13 | Ref: CPR-JXDW9494704 | Amt: 1799</t>
  </si>
  <si>
    <t>TR28951</t>
  </si>
  <si>
    <t>Asad Ameer</t>
  </si>
  <si>
    <t>+923009405485</t>
  </si>
  <si>
    <t>Bilal Hospital College Road Pattoki Kasur</t>
  </si>
  <si>
    <t>Order has been shipped via PostEx with Tracking 27120050021765. 
 | 💰 COD Rec: 2026-02-13 | Ref: CPR-JXDW9494704 | Amt: 1999</t>
  </si>
  <si>
    <t>(Premium) Popcorn Polo - L / White (x1)</t>
  </si>
  <si>
    <t>TR28952</t>
  </si>
  <si>
    <t>Khushal Khan</t>
  </si>
  <si>
    <t>Jamal Brothers enterprises, B-1, Malik Plaza, Jinnah road Quetta. Quetta</t>
  </si>
  <si>
    <t xml:space="preserve">ya mera number nahi haa </t>
  </si>
  <si>
    <t>TR28953</t>
  </si>
  <si>
    <t>Bilal Hospital college road pattoki Pattoki</t>
  </si>
  <si>
    <t>confirm 
 | 💰 COD Rec: No Date | Ref:  | Amt: 1699</t>
  </si>
  <si>
    <t>TR28954</t>
  </si>
  <si>
    <t>Zahid Mahmood</t>
  </si>
  <si>
    <t>Sa Lahore</t>
  </si>
  <si>
    <t>Order has been shipped via PostEx with Tracking 22120050021790. confirm 
 | 💰 COD Rec: 2026-02-13 | Ref: CPR-JXDW9494704 | Amt: 2849</t>
  </si>
  <si>
    <t>TR28955</t>
  </si>
  <si>
    <t>Ayaz khan Khan</t>
  </si>
  <si>
    <t>+923405223550</t>
  </si>
  <si>
    <t>Sahang, gujarkhan Gujar Khan</t>
  </si>
  <si>
    <t>TR28956</t>
  </si>
  <si>
    <t>Haider Ali</t>
  </si>
  <si>
    <t>Phase 7 sector E5 street 28 house 983 Peshawar hayatabad</t>
  </si>
  <si>
    <t>Peshawar hayatabad</t>
  </si>
  <si>
    <t>Order has been shipped via PostEx with Tracking 24120050021764. 
 | 💰 COD Rec: 2026-02-13 | Ref: CPR-JXDW9494704 | Amt: 2749</t>
  </si>
  <si>
    <t>TR28957</t>
  </si>
  <si>
    <t>Ayaz Khan</t>
  </si>
  <si>
    <t>Sahang Gujar Khan</t>
  </si>
  <si>
    <t>TR28958</t>
  </si>
  <si>
    <t>Rao Bilall Rajput</t>
  </si>
  <si>
    <t>+923041306813</t>
  </si>
  <si>
    <t>Bughai mahola bhit shah Bhit Shah</t>
  </si>
  <si>
    <t>Bhit Shah</t>
  </si>
  <si>
    <t xml:space="preserve">no need </t>
  </si>
  <si>
    <t>TR28959</t>
  </si>
  <si>
    <t>Shoaib Muhammad</t>
  </si>
  <si>
    <t>Damaan House Near Alsafa Beakers, Dalazak Road Pesgawar Prshawar</t>
  </si>
  <si>
    <t>Prshawar</t>
  </si>
  <si>
    <t>Order has been shipped via PostEx with Tracking 26120050021763. confrm
 | 💰 COD Rec: 2026-02-13 | Ref: CPR-JXDW9494704 | Amt: 3099</t>
  </si>
  <si>
    <t>TR28960</t>
  </si>
  <si>
    <t>Muhammad Waqar Hamid</t>
  </si>
  <si>
    <t>House 1099, Road A. PHASE 4, Bahria Town Islamabad</t>
  </si>
  <si>
    <t>Order has been shipped via PostEx with Tracking 20120050021762. confirm 
 | 💰 COD Rec: 2026-02-13 | Ref: CPR-JXDW9494704 | Amt: 3099</t>
  </si>
  <si>
    <t>TR28961</t>
  </si>
  <si>
    <t>BILAL BUTT</t>
  </si>
  <si>
    <t>House#704 muhallah main Bazar Iqbal park badami Bagh lahore Lahore</t>
  </si>
  <si>
    <t xml:space="preserve">cancel no need </t>
  </si>
  <si>
    <t>TR28962</t>
  </si>
  <si>
    <t>Arslan Dero</t>
  </si>
  <si>
    <t>Near rabi center, bahria town phase 7, rawalpindi Rawalpindi</t>
  </si>
  <si>
    <t>Order has been shipped via PostEx with Tracking 28120050021761. 
 | 💰 COD Rec: 2026-02-13 | Ref: CPR-JXDW9494704 | Amt: 3099</t>
  </si>
  <si>
    <t>TR28963</t>
  </si>
  <si>
    <t>Naveed Mahmood</t>
  </si>
  <si>
    <t>100 Grain Market General Bus Stand Badami Bagh Lahore Lahore</t>
  </si>
  <si>
    <t>Order has been shipped via PostEx with Tracking 28120050021760. 
 | 💰 COD Rec: 2026-02-13 | Ref: CPR-JXDW9494704 | Amt: 5700</t>
  </si>
  <si>
    <t>ADI Multi Ref Stripes - 4XL / White (x2), ADI Multi Ref Stripes - 4XL / Black (x2)</t>
  </si>
  <si>
    <t>TR28964</t>
  </si>
  <si>
    <t>Samiullah Sami</t>
  </si>
  <si>
    <t>Post office kamar mushani tehsil Isa khel Disstt Mianwali Kamar mushani</t>
  </si>
  <si>
    <t>Kamar mushani</t>
  </si>
  <si>
    <t xml:space="preserve">call after return ma out of city hoo rider open kerna nahi da raha tha 
allow to open   ma office sa receive ker la ga </t>
  </si>
  <si>
    <t>TR28965</t>
  </si>
  <si>
    <t>Masjid Road Ariya Samaj Mandir Quetta Quetta</t>
  </si>
  <si>
    <t>Order has been shipped via PostEx with Tracking 24120050021809. confirm 
 | 💰 COD Rec: 17-Feb-2026 | Ref: CPR-P18X9853080 | Amt: 5389</t>
  </si>
  <si>
    <t>Basic Branded Adi Trouser - XL / Black (x1), Nik panel Tracksuit - XL / Black (x1)</t>
  </si>
  <si>
    <t>TR28966</t>
  </si>
  <si>
    <t>Zia Ullah</t>
  </si>
  <si>
    <t>PAF Base Minhas Kamra</t>
  </si>
  <si>
    <t>Kamra</t>
  </si>
  <si>
    <t>Order has been shipped via PostEx with Tracking 20120050021789. confirm 
 | 💰 COD Rec: 2026-02-13 | Ref: CPR-JXDW9494704 | Amt: 3099</t>
  </si>
  <si>
    <t>TR28967</t>
  </si>
  <si>
    <t>Ihsan Khan</t>
  </si>
  <si>
    <t>House # 67, Bmchs, Block 7&amp;8 Ameer Khusro Road, Bahader Abad Karachi</t>
  </si>
  <si>
    <t>Order has been shipped via PostEx with Tracking 22120050021759. 
 | 💰 COD Rec: 17-Feb-2026 | Ref: CPR-P18X9853080 | Amt: 3099</t>
  </si>
  <si>
    <t>TR28968</t>
  </si>
  <si>
    <t>Saif Ali</t>
  </si>
  <si>
    <t>Mumtaz city rawalpindi islamabad Rawalpindi</t>
  </si>
  <si>
    <t>Order has been shipped via PostEx with Tracking 20120050021808. confirm 
 | 💰 COD Rec: 2026-02-13 | Ref: CPR-JXDW9494704 | Amt: 3099</t>
  </si>
  <si>
    <t>TR28969</t>
  </si>
  <si>
    <t>Arham Nadeem</t>
  </si>
  <si>
    <t>Aqeela Arcade 4th Floor flat number 403, near Jamia Masjid Saira P&amp;T Colony khyaban e Jami road Karachi Karachi</t>
  </si>
  <si>
    <t>Order has been shipped via PostEx with Tracking 29120050021751. 
 | 💰 COD Rec: 2026-02-13 | Ref: CPR-JXDW9494704 | Amt: 2749</t>
  </si>
  <si>
    <t>TR28970</t>
  </si>
  <si>
    <t>Zaryab Ali</t>
  </si>
  <si>
    <t>+923054342317</t>
  </si>
  <si>
    <t>Flat H Block E4 Jabbar Flats Qasim Base Rawalpindi Rawalpindi</t>
  </si>
  <si>
    <t>Order has been shipped via PostEx with Tracking 20120050021750. 
 | 💰 COD Rec: 2026-02-13 | Ref: CPR-JXDW9494704 | Amt: 2849</t>
  </si>
  <si>
    <t>TR28971</t>
  </si>
  <si>
    <t>Saad Ullah</t>
  </si>
  <si>
    <t>Khan General Store Sadar Bazar Fazil Pur Fazil pur</t>
  </si>
  <si>
    <t>Fazil pur</t>
  </si>
  <si>
    <t>Order has been shipped via PostEx with Tracking 23120050021788. confrm 
 | 💰 COD Rec: 2026-02-13 | Ref: CPR-JXDW9494704 | Amt: 3099</t>
  </si>
  <si>
    <t>TR28972</t>
  </si>
  <si>
    <t>Imran Shamim</t>
  </si>
  <si>
    <t>G-301, Saima Square One Towers Gulshan e Iqbal 10A K</t>
  </si>
  <si>
    <t>K</t>
  </si>
  <si>
    <t>Order has been shipped via PostEx with Tracking 25120050021749. 
 | 💰 COD Rec: 2026-02-13 | Ref: CPR-JXDW9494704 | Amt: 3099</t>
  </si>
  <si>
    <t>TR28973</t>
  </si>
  <si>
    <t>House no 2,hamza street, lalazar colony , peshawar university campus Peshawar</t>
  </si>
  <si>
    <t>Order has been shipped via PostEx with Tracking 25120050021774. iska discount krna ha
Manual Price Adjustment: New Total Rs. 2999. Reason: yr discount mang rha tha 
 | 💰 COD Rec: 2026-02-13 | Ref: CPR-JXDW9494704 | Amt: 3149</t>
  </si>
  <si>
    <t>A | X Embroidery LOGO - M / Maroon (x1), A | X Embroidery LOGO - M / Sky (x1)</t>
  </si>
  <si>
    <t>TR28974</t>
  </si>
  <si>
    <t>abuzar abuza</t>
  </si>
  <si>
    <t>Clifton colony near shami mosque lahore</t>
  </si>
  <si>
    <t>Order has been shipped via PostEx with Tracking 22120050021787. confirm
 | 💰 COD Rec: 2026-02-13 | Ref: CPR-JXDW9494704 | Amt: 1999</t>
  </si>
  <si>
    <t>TR28975</t>
  </si>
  <si>
    <t>Karam Khan</t>
  </si>
  <si>
    <t>House No R-20 Bawan Shah Society Malir Karachi Karachi</t>
  </si>
  <si>
    <t>Order has been shipped via PostEx with Tracking 20120050021724. confirm 
 | 💰 COD Rec: 2026-02-13 | Ref: CPR-JXDW9494704 | Amt: 3099</t>
  </si>
  <si>
    <t>TR28976</t>
  </si>
  <si>
    <t>Yasir Arfat</t>
  </si>
  <si>
    <t>F11 Markaz  sardar Plaza  g. Floor  Shop no. 5 Islamabad</t>
  </si>
  <si>
    <t xml:space="preserve">
 | ↩️ Return Charged: 20-Feb-2026 | Ref: CPR-245C7434461 | Fee: 200</t>
  </si>
  <si>
    <t>TR28977</t>
  </si>
  <si>
    <t>Wajahat Qazi</t>
  </si>
  <si>
    <t>C 159 clifton block 2 Karachi</t>
  </si>
  <si>
    <t>Order has been shipped via PostEx with Tracking 20120050021758. 
 | 💰 COD Rec: 2026-02-13 | Ref: CPR-JXDW9494704 | Amt: 3099</t>
  </si>
  <si>
    <t>TR28978</t>
  </si>
  <si>
    <t>Afzal Joyia</t>
  </si>
  <si>
    <t>District vehari tahsil burewala chak no 251\ eb Gaggo mandi</t>
  </si>
  <si>
    <t>Order has been shipped via PostEx with Tracking 21120050021723. confirm 
 | 💰 COD Rec: 2026-02-13 | Ref: CPR-JXDW9494704 | Amt: 1748</t>
  </si>
  <si>
    <t>Dry fit T-shirt sleeveless Jor-Dan - L / Navy (x1)</t>
  </si>
  <si>
    <t>TR28979</t>
  </si>
  <si>
    <t>Rizwan Bhatti</t>
  </si>
  <si>
    <t>631-D jubliee housing scheme Lahore</t>
  </si>
  <si>
    <t>Order has been shipped via PostEx with Tracking 29120050021747. 
 | 💰 COD Rec: 2026-02-13 | Ref: CPR-JXDW9494704 | Amt: 3099</t>
  </si>
  <si>
    <t>TR28980</t>
  </si>
  <si>
    <t>Bhai khan near AA CNG GT Road Gujarkhan Gujarkhan</t>
  </si>
  <si>
    <t xml:space="preserve"> not ans   
 | ↩️ Return Charged: 17-Feb-2026 | Ref: CPR-P18X9853080 | Fee: 200</t>
  </si>
  <si>
    <t>TR28981</t>
  </si>
  <si>
    <t>IZHAR JAMIL</t>
  </si>
  <si>
    <t>Madina town Kasur</t>
  </si>
  <si>
    <t>cancel nahi lena +92 341 0572879</t>
  </si>
  <si>
    <t>TR28982</t>
  </si>
  <si>
    <t>Ovais Farooq Farooq</t>
  </si>
  <si>
    <t>303,JM 70, ZOHRA CASTLE BUILDING, PARSI COLONY, NEAR HUSSAINI BLOOD BANK, NUMAISH KARACHI</t>
  </si>
  <si>
    <t xml:space="preserve">confirm  payment received in Meezan Umair 11475/-  paid order </t>
  </si>
  <si>
    <t>ADI Ref Stripes - 3XL / White (x1), ADI Ref Stripes - 3XL / Black (x1), TEXTURE WHITE - 16 (x1), TEXTURE BLACK - 16 (x1), Basic Branded Adi Trouser - 2XL / Black (x1), Adi- Hoodie - 2xl / Black (x1)</t>
  </si>
  <si>
    <t>TR28983</t>
  </si>
  <si>
    <t>Salajik Masud</t>
  </si>
  <si>
    <t>Saad BOQs, zrc gate 8, Malir cantt Karachi</t>
  </si>
  <si>
    <t>Order has been shipped via PostEx with Tracking 29120050021757. 
 | 💰 COD Rec: 2026-02-13 | Ref: CPR-JXDW9494704 | Amt: 2849</t>
  </si>
  <si>
    <t>TR28984</t>
  </si>
  <si>
    <t>+923454114747</t>
  </si>
  <si>
    <t>Order has been shipped via PostEx with Tracking 23120050021745. 
 | 💰 COD Rec: 2026-02-13 | Ref: CPR-JXDW9494704 | Amt: 2749</t>
  </si>
  <si>
    <t>TR28985</t>
  </si>
  <si>
    <t>Ala Din</t>
  </si>
  <si>
    <t>Main market gulberg II lahore steet no 18 nasir khan building flat no 8 Lahore</t>
  </si>
  <si>
    <t>Order has been shipped via PostEx with Tracking 23120050021744. 
 | 💰 COD Rec: 2026-02-13 | Ref: CPR-JXDW9494704 | Amt: 2749</t>
  </si>
  <si>
    <t>TR28986</t>
  </si>
  <si>
    <t>Order has been shipped via PostEx with Tracking 25120050021743. 
 | 💰 COD Rec: 2026-02-13 | Ref: CPR-JXDW9494704 | Amt: 3749</t>
  </si>
  <si>
    <t>(Premium) Popcorn Polo - XL / Beige (x1), (Premium) Popcorn Polo - XL / White (x1)</t>
  </si>
  <si>
    <t>TR28987</t>
  </si>
  <si>
    <t>Mawra Nasir</t>
  </si>
  <si>
    <t>Hassan square H-13, Islamabad Islamabad</t>
  </si>
  <si>
    <t>Order has been shipped via PostEx with Tracking 24120050021722. confirm 
 | 💰 COD Rec: 2026-02-13 | Ref: CPR-JXDW9494704 | Amt: 1799</t>
  </si>
  <si>
    <t>TR28988</t>
  </si>
  <si>
    <t>Abdul Qadir</t>
  </si>
  <si>
    <t>601b, mehar apartments, H13, Islamabad</t>
  </si>
  <si>
    <t>Order has been shipped via PostEx with Tracking 20120050021742. 
 | 💰 COD Rec: 2026-02-13 | Ref: CPR-JXDW9494704 | Amt: 3099</t>
  </si>
  <si>
    <t>TR28989</t>
  </si>
  <si>
    <t>Zaheer Ahmed</t>
  </si>
  <si>
    <t>Office No.209, Second Floor, Oriental Plaza, Jinnah Road Quetta</t>
  </si>
  <si>
    <t>Order has been shipped via PostEx with Tracking 20120050021807. ok
 | 💰 COD Rec: 17-Feb-2026 | Ref: CPR-P18X9853080 | Amt: 3849</t>
  </si>
  <si>
    <t>ADI Multi Ref Stripes - 4XL / Maroon (x1), ADI Multi Ref Stripes - 4XL / Navy Blue (x1)</t>
  </si>
  <si>
    <t>TR28990</t>
  </si>
  <si>
    <t>Order has been shipped via PostEx with Tracking 23120050021855. ok   phone azeem laker gaya ha wp per contact kiya not ans 
 | 💰 COD Rec: No Date | Ref: CPR-P6TCD381940 | Amt: 3099</t>
  </si>
  <si>
    <t>CPR-P6TCD381940</t>
  </si>
  <si>
    <t>TR28991</t>
  </si>
  <si>
    <t>Bilal Abbas</t>
  </si>
  <si>
    <t>+923332576037</t>
  </si>
  <si>
    <t>house No S-42 Khayaban E Abdaali Opposite Creek Vista Dha Phase 8 Karachi</t>
  </si>
  <si>
    <t>TR28992</t>
  </si>
  <si>
    <t>combine cancle 
cancel kro yr
cancel kro yr</t>
  </si>
  <si>
    <t>TR28993</t>
  </si>
  <si>
    <t>Street No 20 House No 31 Dholanwal Near Hafiz Hotel Band Road Lahore Lahore</t>
  </si>
  <si>
    <t>TRACEONSHOP0001</t>
  </si>
  <si>
    <t xml:space="preserve">ON SHOP PURCHASED KI HAI 5700/- paid </t>
  </si>
  <si>
    <t>ADI Multi Ref Stripes - 3XL / Black (x1), ADI Multi Ref Stripes - 3XL / White (x1), ADI Multi Ref Stripes - 3XL / Maroon (x1), ADI Multi Ref Stripes - 3XL / Navy Blue (x1)</t>
  </si>
  <si>
    <t>TR28994</t>
  </si>
  <si>
    <t>Sagar Samejo</t>
  </si>
  <si>
    <t>House #5, Street #5, Sector C, Bahria Enclave, Islamabad Islamabad</t>
  </si>
  <si>
    <t>Order has been shipped via PostEx with Tracking 24120050021740. 
 | 💰 COD Rec: 2026-02-13 | Ref: CPR-JXDW9494704 | Amt: 2749</t>
  </si>
  <si>
    <t>TR28995</t>
  </si>
  <si>
    <t>GA Awan</t>
  </si>
  <si>
    <t>PCTVI university main Gates Gwadar</t>
  </si>
  <si>
    <t>Gwadar</t>
  </si>
  <si>
    <t>only advance for Gwadar by umair 
not ans</t>
  </si>
  <si>
    <t>TR28996</t>
  </si>
  <si>
    <t>ans bhatti</t>
  </si>
  <si>
    <t>Wali Oil Mills Near Haji Park Phase 2 Changa Manga Road Kot radha kishen</t>
  </si>
  <si>
    <t>Kot radha kishen</t>
  </si>
  <si>
    <t>Order has been shipped via PostEx with Tracking 21120050021739. 
 | 💰 COD Rec: 2026-02-13 | Ref: CPR-JXDW9494704 | Amt: 3099</t>
  </si>
  <si>
    <t>TR28997</t>
  </si>
  <si>
    <t>Momin square Gulshan iqbal block 6 Karachi</t>
  </si>
  <si>
    <t>TR28998</t>
  </si>
  <si>
    <t>Soleha Rehan</t>
  </si>
  <si>
    <t>84/2 15th lane main kh e seher phase 7 dha karachi Karachi</t>
  </si>
  <si>
    <t>return per call ki ha again not ans on both Order has been shipped via PostEx with Tracking 24120050021738.  not ans power off ha 
 | ↩️ Return Charged: No Date | Ref: CPR-P6TCD381940 | Fee: 213</t>
  </si>
  <si>
    <t>TR28999</t>
  </si>
  <si>
    <t>Ahsan Akhtar</t>
  </si>
  <si>
    <t>112-A, Block B, Architect Society, Lahore</t>
  </si>
  <si>
    <t>Order has been shipped via PostEx with Tracking 22120050021737. 
 | 💰 COD Rec: 2026-02-13 | Ref: CPR-JXDW9494704 | Amt: 1799</t>
  </si>
  <si>
    <t>TR29000</t>
  </si>
  <si>
    <t>Zubair Aslam</t>
  </si>
  <si>
    <t>MCB Bank DHA Phase 5 commercial area Lahore Lahore</t>
  </si>
  <si>
    <t>confirm 
consignee want allow to open 
rider dubara nahi gaya 
 | ↩️ Return Charged: 17-Feb-2026 | Ref: CPR-P18X9853080 | Fee: 120</t>
  </si>
  <si>
    <t>TR29001</t>
  </si>
  <si>
    <t>Syed Sabihuddin</t>
  </si>
  <si>
    <t>C49, Rafiqui Camp, PAF Base Malir, Malir Cantt. Karachi Karachi</t>
  </si>
  <si>
    <t>Order has been shipped via PostEx with Tracking 23120050021736. 
 | 💰 COD Rec: 2026-02-13 | Ref: CPR-JXDW9494704 | Amt: 2749</t>
  </si>
  <si>
    <t>TR29002</t>
  </si>
  <si>
    <t>Adnan Akbar</t>
  </si>
  <si>
    <t>F6/2 street no 19house no 1 Islamabad Islamabad</t>
  </si>
  <si>
    <t>Order has been shipped via PostEx with Tracking 20120050021720. confirm 
 | 💰 COD Rec: 2026-02-13 | Ref: CPR-JXDW9494704 | Amt: 2749</t>
  </si>
  <si>
    <t>TR29003</t>
  </si>
  <si>
    <t>Rabi boutique allkram market Hassan road AJK Kotli</t>
  </si>
  <si>
    <t>Order has been shipped via PostEx with Tracking 28120050021735. 
 | 💰 COD Rec: 2026-02-13 | Ref: CPR-JXDW9494704 | Amt: 3299</t>
  </si>
  <si>
    <t>TR29004</t>
  </si>
  <si>
    <t>Shuja Ali Akbar</t>
  </si>
  <si>
    <t>Near DC office Dera Allah Yar Jaffarabad Balochistan Jalalpur pirwala</t>
  </si>
  <si>
    <t>Jalalpur pirwala</t>
  </si>
  <si>
    <t>cancel already order TR29005</t>
  </si>
  <si>
    <t>TR29005</t>
  </si>
  <si>
    <t>Shuja Akbar</t>
  </si>
  <si>
    <t>Near Tayyba marriage Hall old lodhran road Jalalpur pirwala Multan Jalalpur Pirwala</t>
  </si>
  <si>
    <t>Jalalpur Pirwala</t>
  </si>
  <si>
    <t>Order has been shipped via PostEx with Tracking 21120050021734. 
 | 💰 COD Rec: 2026-02-13 | Ref: CPR-JXDW9494704 | Amt: 1699</t>
  </si>
  <si>
    <t>TR29006</t>
  </si>
  <si>
    <t>Tayyeba Ramzan</t>
  </si>
  <si>
    <t>8E2mansoorah Multan Road Lahore Lahore</t>
  </si>
  <si>
    <t>Order has been shipped via PostEx with Tracking 23120050021733. 
 | 💰 COD Rec: 2026-02-13 | Ref: CPR-JXDW9494704 | Amt: 2849</t>
  </si>
  <si>
    <t>TR29007</t>
  </si>
  <si>
    <t>muhammad saleem</t>
  </si>
  <si>
    <t>+923305476882</t>
  </si>
  <si>
    <t>F828 bhabra bazar telli mohalla Rawalpindi</t>
  </si>
  <si>
    <t>TR29008</t>
  </si>
  <si>
    <t>Fahad Iqbal</t>
  </si>
  <si>
    <t>Islamabad heliport Garden Avenue Road Shakrparian Islamabad Islamabad</t>
  </si>
  <si>
    <t>TR29009</t>
  </si>
  <si>
    <t>Islamabad Heliport Garden Avenue road Shakrparian Islamabad Islamabad</t>
  </si>
  <si>
    <t>Order has been shipped via PostEx with Tracking 24120050021773. confirm 
 | 💰 COD Rec: 2026-02-13 | Ref: CPR-JXDW9494704 | Amt: 4649</t>
  </si>
  <si>
    <t>TR29010</t>
  </si>
  <si>
    <t>Muhammad Aqeel</t>
  </si>
  <si>
    <t>B43, Capital Society,  Sector 35A,  Scheme 33 Karachi</t>
  </si>
  <si>
    <t>Order has been shipped via PostEx with Tracking 20120050021732. 
 | 💰 COD Rec: 2026-02-13 | Ref: CPR-JXDW9494704 | Amt: 4998</t>
  </si>
  <si>
    <t>Basic Branded Adi Trouser - L / Black (x1), ADI Multi Ref Stripes - L / White (x1), ADI Multi Ref Stripes - L / Black (x1)</t>
  </si>
  <si>
    <t>TR29011</t>
  </si>
  <si>
    <t>Meer Ali</t>
  </si>
  <si>
    <t>+9203558356214</t>
  </si>
  <si>
    <t>Moil Azad Kashmir Tashel Barnala Zillaha Bhimber Dakh Khana Moil Near Hbl Bank Moil</t>
  </si>
  <si>
    <t>Moil</t>
  </si>
  <si>
    <t xml:space="preserve">ma bussy ho bad ma call kerta 
confirm 
rejected by umair </t>
  </si>
  <si>
    <t>TR29012</t>
  </si>
  <si>
    <t>Saqib Bhatti</t>
  </si>
  <si>
    <t>House No 153 Block C Dream Gardens Lahore Lahore</t>
  </si>
  <si>
    <t>Order has been shipped via PostEx with Tracking 27120050021719. confirm open to allow 
 | 💰 COD Rec: 2026-02-13 | Ref: CPR-JXDW9494704 | Amt: 2849</t>
  </si>
  <si>
    <t>TR29013</t>
  </si>
  <si>
    <t>153-C block C Dream Gardens Lahore Lahore</t>
  </si>
  <si>
    <t>TR29014</t>
  </si>
  <si>
    <t>Irfan khan Irfan khan</t>
  </si>
  <si>
    <t>Order has been shipped via PostEx with Tracking 23120050021772. confirm 
 | 💰 COD Rec: 2026-02-13 | Ref: CPR-JXDW9494704 | Amt: 5299</t>
  </si>
  <si>
    <t>A | X Embroidery LOGO - 3XL / Sky (x1), ADI Multi Ref Stripes - 3XL / Maroon (x1), ADI Multi Ref Stripes - 3XL / Navy Blue (x1)</t>
  </si>
  <si>
    <t>TR29015</t>
  </si>
  <si>
    <t>MAZHAR Ahmad</t>
  </si>
  <si>
    <t>House no E53/2 Alvi street Mianwali</t>
  </si>
  <si>
    <t>Order has been shipped via PostEx with Tracking 23120050021731. 
 | 💰 COD Rec: 2026-02-13 | Ref: CPR-JXDW9494704 | Amt: 3099</t>
  </si>
  <si>
    <t>TR29016</t>
  </si>
  <si>
    <t>Ali Muhammad</t>
  </si>
  <si>
    <t>8-house 2264 Road B Abubakar Block Bahria Town Phase8 Rawalpindi</t>
  </si>
  <si>
    <t>Order has been shipped via PostEx with Tracking 28120050021730.  open ker ka deliver kerva dein  
 | 💰 COD Rec: 17-Feb-2026 | Ref: CPR-P18X9853080 | Amt: 2849</t>
  </si>
  <si>
    <t>TR29017</t>
  </si>
  <si>
    <t>Syed Taha Hassan</t>
  </si>
  <si>
    <t>A-106 first floor block 10A near madina blessing apartment Gulshan e Iqbal Karachi Karachi</t>
  </si>
  <si>
    <t>Order has been shipped via PostEx with Tracking 23120050021729. 
HELLO
 | 💰 COD Rec: 2026-02-13 | Ref: CPR-JXDW9494704 | Amt: 4599</t>
  </si>
  <si>
    <t>A | X Embroidery LOGO - 3XL / Maroon (x1), A | X Embroidery LOGO - 3XL / Biscuit (x1), A | X Embroidery LOGO - 3XL / Navy (x1)</t>
  </si>
  <si>
    <t>TR29018</t>
  </si>
  <si>
    <t>Mōcciani Shoes Store Chen One Road Faisalabad Faisalabad</t>
  </si>
  <si>
    <t>Order has been shipped via PostEx with Tracking 20120050021728. 
 | 💰 COD Rec: 2026-02-13 | Ref: CPR-JXDW9494704 | Amt: 3099</t>
  </si>
  <si>
    <t>TR29019</t>
  </si>
  <si>
    <t>Aziz Shaheed Road Cantt Armi Public School Junior Campus Sialkot</t>
  </si>
  <si>
    <t>Order has been shipped via PostEx with Tracking 22120050021820. confirm  open to allow 
 | 💰 COD Rec: 2026-02-13 | Ref: CPR-JXDW9494704 | Amt: 1999</t>
  </si>
  <si>
    <t>TR29020</t>
  </si>
  <si>
    <t>Mustafa Noor</t>
  </si>
  <si>
    <t>Kohat road sceem chock Peshawar Peshawar</t>
  </si>
  <si>
    <t xml:space="preserve">cancel pasand nahi aya </t>
  </si>
  <si>
    <t>TR29021</t>
  </si>
  <si>
    <t>Dilawar Sher</t>
  </si>
  <si>
    <t>Shadiwal Road dharowal vilaage  near Bilal Masjid Gujrat</t>
  </si>
  <si>
    <t>Order has been shipped via PostEx with Tracking 20120050021771. confirm 
 | 💰 COD Rec: 2026-02-13 | Ref: CPR-JXDW9494704 | Amt: 5450</t>
  </si>
  <si>
    <t>Multi ref PUM-A - XL / White (x1), Multi ref PUM-A - XL / Black (x1), ADI Ref Stripes - L / White (x1), ADI Ref Stripes - L / Black (x1)</t>
  </si>
  <si>
    <t>TR29022</t>
  </si>
  <si>
    <t>rider issue mujha koi need nahi abhi bad ma again order ker do ga rider na rabta nahi kiya 
 | ↩️ Return Charged: No Date | Ref: CPR-P6TCD381940 | Fee: 200</t>
  </si>
  <si>
    <t>TR29023</t>
  </si>
  <si>
    <t>+923234927003</t>
  </si>
  <si>
    <t>Main ghat stop zaman pan shop Tehsil sharaqpur sharif district sheikhpura Qila Shekhupura</t>
  </si>
  <si>
    <t>confirm  mana order cancel ker diya tha 
 | ↩️ Return Charged: 20-Feb-2026 | Ref: CPR-245C7434461 | Fee: 200</t>
  </si>
  <si>
    <t>TR29024</t>
  </si>
  <si>
    <t>Shahbaz faryad</t>
  </si>
  <si>
    <t>+923293738195</t>
  </si>
  <si>
    <t>Gujjar atouz ffc chowk sadiqabad sadiqabad</t>
  </si>
  <si>
    <t>sadiqabad</t>
  </si>
  <si>
    <t>Order has been shipped via PostEx with Tracking 26120050021718. whatsup 
 | 💰 COD Rec: 2026-02-13 | Ref: CPR-JXDW9494704 | Amt: 1700</t>
  </si>
  <si>
    <t>TR29025</t>
  </si>
  <si>
    <t>Shahzaib khan Shahzaib khan</t>
  </si>
  <si>
    <t>H no B 26 metrovil site area Fatma masjid ki back saide wali street Karachi</t>
  </si>
  <si>
    <t>Order has been shipped via PostEx with Tracking 22120050021726. 
 | 💰 COD Rec: 2026-02-13 | Ref: CPR-JXDW9494704 | Amt: 2899</t>
  </si>
  <si>
    <t>ADI - EMBOSSED LOGO (Cotton) - L / Zinc Blue (x1), A | X Embroidery LOGO - L / Black (x1)</t>
  </si>
  <si>
    <t>TR29026</t>
  </si>
  <si>
    <t>Talal (ALLOW TO OPEN) Shah</t>
  </si>
  <si>
    <t>Model Town Street 6 naer albader musjid  Taxila</t>
  </si>
  <si>
    <t xml:space="preserve"> allow to open not ans ,   parcel aya tha but size bohat bara tha 
 | ↩️ Return Charged: 17-Feb-2026 | Ref: CPR-P18X9853080 | Fee: 200</t>
  </si>
  <si>
    <t>TR29027</t>
  </si>
  <si>
    <t>Hussnain Tariq</t>
  </si>
  <si>
    <t xml:space="preserve">Mohulla Chatti Gali  city  Dinga teshil kharian zilla gujrat  dinga </t>
  </si>
  <si>
    <t xml:space="preserve">dinga </t>
  </si>
  <si>
    <t>Order has been shipped via PostEx with Tracking 26120050021755. confirm 
 | 💰 COD Rec: 2026-02-13 | Ref: CPR-JXDW9494704 | Amt: 2199</t>
  </si>
  <si>
    <t>N_F Branded Dri-Fit  T-shirt - XL / Gray (x1)</t>
  </si>
  <si>
    <t>TR29028</t>
  </si>
  <si>
    <t>MAZHAR AHMED</t>
  </si>
  <si>
    <t>+923087200918</t>
  </si>
  <si>
    <t>House no E53/2 Alve street wandhi ghund wali  Near Mianwali public schools Mianwali</t>
  </si>
  <si>
    <t>whatsup mujha receive ho gaya haaa
 | ↩️ Return Charged: 20-Feb-2026 | Ref: CPR-245C7434461 | Fee: 200</t>
  </si>
  <si>
    <t>TR29029</t>
  </si>
  <si>
    <t>Muhammad Mateen</t>
  </si>
  <si>
    <t>+923006303171</t>
  </si>
  <si>
    <t>New Jalandhar heard wear store cantt MULTAN MULTAN</t>
  </si>
  <si>
    <t>Order has been shipped via PostEx with Tracking 20120050021754. whatsup 
 | 💰 COD Rec: 2026-02-13 | Ref: CPR-JXDW9494704 | Amt: 3149</t>
  </si>
  <si>
    <t>A | X Embroidery LOGO - 3XL / Grey (x1), A | X Embroidery LOGO - 3XL / Navy (x1)</t>
  </si>
  <si>
    <t>TR29030</t>
  </si>
  <si>
    <t>fareeha fareeha</t>
  </si>
  <si>
    <t>+923317976494</t>
  </si>
  <si>
    <t>house E-126 street 17 divine gardens lahore. City: lahore lahore</t>
  </si>
  <si>
    <t xml:space="preserve">whatsup 2860 received    paid jana haa </t>
  </si>
  <si>
    <t>A | X Embroidery LOGO - L / Pista (x1), A | X Embroidery LOGO - XL / Bottle Green (x1)</t>
  </si>
  <si>
    <t>TR29031</t>
  </si>
  <si>
    <t>Ahmed Ali shaikh Ahmed Ali shaikh</t>
  </si>
  <si>
    <t>+923063485800</t>
  </si>
  <si>
    <t>Mir Ali bazaar shaikh muhalla near khalifa masjid khairpur mirus khairpur mirus</t>
  </si>
  <si>
    <t>khairpur mirus</t>
  </si>
  <si>
    <t>whatsup   
not ans 
 | ↩️ Return Charged: 20-Feb-2026 | Ref: CPR-245C7434461 | Fee: 213</t>
  </si>
  <si>
    <t>TR29032</t>
  </si>
  <si>
    <t>aleeha basharat</t>
  </si>
  <si>
    <t>+923711709659</t>
  </si>
  <si>
    <t>kinnaird college jail road lahore lahore</t>
  </si>
  <si>
    <t xml:space="preserve">cancel advance nahi ker rahi </t>
  </si>
  <si>
    <t>TR29033</t>
  </si>
  <si>
    <t>Shahid Mughal</t>
  </si>
  <si>
    <t>New prince shose main bazar shahkhalid colony rawalpindi Rawalpindi</t>
  </si>
  <si>
    <t>Order has been shipped via PostEx with Tracking 23120050021786. 
 | 💰 COD Rec: 2026-02-13 | Ref: CPR-JXDW9494704 | Amt: 2749</t>
  </si>
  <si>
    <t>TR29034</t>
  </si>
  <si>
    <t>Muhammad Azaz</t>
  </si>
  <si>
    <t>House no: A:55 Falcon complex nearby bread chef opposite of army stadium   Peshawar</t>
  </si>
  <si>
    <t>Order has been shipped via PostEx with Tracking 24120050021806. confirm 
 | 💰 COD Rec: 2026-02-13 | Ref: CPR-JXDW9494704 | Amt: 1999</t>
  </si>
  <si>
    <t>(Premium) Popcorn Polo - M / Beige (x1)</t>
  </si>
  <si>
    <t>TR29035</t>
  </si>
  <si>
    <t>Bisma Malik</t>
  </si>
  <si>
    <t>House# 165 block f1, johar town Lahore</t>
  </si>
  <si>
    <t>Order has been shipped via PostEx with Tracking 23120050021816. 
 | 💰 COD Rec: 2026-02-13 | Ref: CPR-JXDW9494704 | Amt: 1699</t>
  </si>
  <si>
    <t>A | X Embroidery LOGO - 2XL / Sky (x1)</t>
  </si>
  <si>
    <t>TR29036</t>
  </si>
  <si>
    <t>Arslan Ahsan</t>
  </si>
  <si>
    <t>Houses no 1 Street no 1 main road Canada colony Nankana Sahib</t>
  </si>
  <si>
    <t>Nankana Sahib</t>
  </si>
  <si>
    <t>Order has been shipped via PostEx with Tracking 26120050021805. confir,m 
 | 💰 COD Rec: 2026-02-13 | Ref: CPR-JXDW9494704 | Amt: 1799</t>
  </si>
  <si>
    <t>TR29037</t>
  </si>
  <si>
    <t>Nazim Ali Sajid</t>
  </si>
  <si>
    <t>Police Station Mandi Ahmed Abad Tehsil Depalpur District Okara Mandi Ahmed Abad</t>
  </si>
  <si>
    <t>Mandi Ahmed Abad</t>
  </si>
  <si>
    <t xml:space="preserve">cancel mujha laga ka sah trouser bhi hain </t>
  </si>
  <si>
    <t>TR29038</t>
  </si>
  <si>
    <t>Dr.Mumtaz Shafi Shafi</t>
  </si>
  <si>
    <t>Mumtaz Skin And Laser Clinic Stadium Road Burewala</t>
  </si>
  <si>
    <t>Order has been shipped via PostEx with Tracking 27120050021815. 
 | 💰 COD Rec: No Date | Ref:  | Amt: 3099</t>
  </si>
  <si>
    <t>TEXTURE MAROON - 16.5 (x1)</t>
  </si>
  <si>
    <t>TR29039</t>
  </si>
  <si>
    <t>Muhammad Anees</t>
  </si>
  <si>
    <t>Haroon BAHRIA TCS Office Karachi</t>
  </si>
  <si>
    <t>TR29040</t>
  </si>
  <si>
    <t>Zeeshan Manzoor</t>
  </si>
  <si>
    <t>+923347774636</t>
  </si>
  <si>
    <t>House 140 near aziz fatima hospital gulistan colony Faisalabad</t>
  </si>
  <si>
    <t>TR29041</t>
  </si>
  <si>
    <t>Uzair Khan</t>
  </si>
  <si>
    <t>Flat 2B Plot 7C Street 1, Badar Commercial DHA Phase V, 2nd Floor Karachi</t>
  </si>
  <si>
    <t>Order has been shipped via PostEx with Tracking 24120050021804. confirm 
 | 💰 COD Rec: 2026-02-13 | Ref: CPR-JXDW9494704 | Amt: 8300</t>
  </si>
  <si>
    <t>ADI - EMBOSSED LOGO (Cotton) - L / Olive( Commando Green) (x1), Imported Scoba Executive Nik Tro - L / Gray (x1), Multi ref PUM-A - L / White (x1), Multi ref PUM-A - L / Black (x1), ADI - EMBOSSED LOGO (Cotton) - L / Sky (x1)</t>
  </si>
  <si>
    <t>TR29042</t>
  </si>
  <si>
    <t>Adil Ali</t>
  </si>
  <si>
    <t>+923353799443</t>
  </si>
  <si>
    <t>1882-sec 11e North Karachi Karachi</t>
  </si>
  <si>
    <t>Order has been shipped via PostEx with Tracking 27120050021819. open to allow 
 | 💰 COD Rec: 2026-02-13 | Ref: CPR-JXDW9494704 | Amt: 2049</t>
  </si>
  <si>
    <t>ADI Multi Ref Stripes - M / White (x1)</t>
  </si>
  <si>
    <t>TR29043</t>
  </si>
  <si>
    <t>Anas Hoth</t>
  </si>
  <si>
    <t>Gwadar Gwadar</t>
  </si>
  <si>
    <t>(not answering) umair bhai ka whatsapp par ha, new products ki pics send ki hain (bara chwl ha)</t>
  </si>
  <si>
    <t>TR29044</t>
  </si>
  <si>
    <t>Masood Shaikh</t>
  </si>
  <si>
    <t>+923133434440</t>
  </si>
  <si>
    <t>Near. Sabzi market therhi district Khairpur mirs Sindh Pakistan Therhi</t>
  </si>
  <si>
    <t>Therhi</t>
  </si>
  <si>
    <t xml:space="preserve">cancel TR29045
alredy order kiya hua haa </t>
  </si>
  <si>
    <t>TR29045</t>
  </si>
  <si>
    <t>Order has been shipped via PostEx with Tracking 22120050021803. confirm 
 | 💰 COD Rec: 2026-02-13 | Ref: CPR-JXDW9494704 | Amt: 3149</t>
  </si>
  <si>
    <t>TR29046</t>
  </si>
  <si>
    <t>Farasali Memon</t>
  </si>
  <si>
    <t>House no 249d f11/1 st 76 Islamabad Islamabad</t>
  </si>
  <si>
    <t>Order has been shipped via PostEx with Tracking 22120050021802. confirm
 | 💰 COD Rec: 2026-02-13 | Ref: CPR-JXDW9494704 | Amt: 2849</t>
  </si>
  <si>
    <t>TR29047</t>
  </si>
  <si>
    <t>Basit Ali Khan</t>
  </si>
  <si>
    <t>+923324547652</t>
  </si>
  <si>
    <t>House no 5 Street no 21 Swami nagar gt road lahore (wali house) Lahore</t>
  </si>
  <si>
    <t>Order has been shipped via PostEx with Tracking 26120050021801. confirm 
 | 💰 COD Rec: 2026-02-13 | Ref: CPR-JXDW9494704 | Amt: 2799</t>
  </si>
  <si>
    <t>TR29048</t>
  </si>
  <si>
    <t>Rahib Abbasi</t>
  </si>
  <si>
    <t>Lal bux kalhora goth kanch mil latifabad Hyderabad</t>
  </si>
  <si>
    <t>factory bhi call kr li aisa koi banda nai - email ki hai- possible ha k cancel kr do isko after 10 march</t>
  </si>
  <si>
    <t>TR29049</t>
  </si>
  <si>
    <t>Rizwan Sarwar</t>
  </si>
  <si>
    <t>House Number 114-gulberg Avenue, Airport Road Bahawalpur</t>
  </si>
  <si>
    <t>Order has been shipped via PostEx with Tracking 23120050021800. confirm 
 | 💰 COD Rec: 2026-02-13 | Ref: CPR-JXDW9494704 | Amt: 5049</t>
  </si>
  <si>
    <t>NIK- Ref LOGO - 2XL / white (x1), Multi ref PUM-A - 2XL / White (x1), Multi ref PUM-A - 2XL / Black (x1)</t>
  </si>
  <si>
    <t>TR29050</t>
  </si>
  <si>
    <t>+923366763941</t>
  </si>
  <si>
    <t>Parus clinic near Income tax office jiyal shah muhalla jacobabad Jacobabad</t>
  </si>
  <si>
    <t>Order has been shipped via PostEx with Tracking 21120050021799. confirm 
 | 💰 COD Rec: 2026-02-13 | Ref: CPR-JXDW9494704 | Amt: 6200</t>
  </si>
  <si>
    <t>ADI Ref Stripes - 3XL / White (x1), ADI Ref Stripes - 3XL / Black (x1), ADI Multi Ref Stripes - 3XL / Maroon (x1), ADI Multi Ref Stripes - 3XL / Navy Blue (x1)</t>
  </si>
  <si>
    <t>TR29051</t>
  </si>
  <si>
    <t>, kishor kumar.</t>
  </si>
  <si>
    <t>+923313084211</t>
  </si>
  <si>
    <t>pak super store, masjid road, City, Mastung.03313084211.  03352755274 Mastung</t>
  </si>
  <si>
    <t>Mastung</t>
  </si>
  <si>
    <t>LE7524657060</t>
  </si>
  <si>
    <t>R; NOT ANS
whatsup open to allow baris ho rahi haa aj rider boll raha ka deliver ker ker da gaa</t>
  </si>
  <si>
    <t>TR29052</t>
  </si>
  <si>
    <t>Ch Tariq Ch Tariq</t>
  </si>
  <si>
    <t>+923005574752</t>
  </si>
  <si>
    <t>HOUSE NO 110 C NEAR DR. ARSHAD MANAN CLINIC SATELLITE TOWN BAHAWALPUR</t>
  </si>
  <si>
    <t>BAHAWALPUR</t>
  </si>
  <si>
    <t>Order has been shipped via PostEx with Tracking 28120050021798. whatsup 
 | 💰 COD Rec: 2026-02-13 | Ref: CPR-JXDW9494704 | Amt: 3100</t>
  </si>
  <si>
    <t>TR29053</t>
  </si>
  <si>
    <t>Sonia Arman</t>
  </si>
  <si>
    <t>Muhammad ali society kda scheme 1 Karachi</t>
  </si>
  <si>
    <t>call after return not ans  
cancel on wp after conformation 
 | ↩️ Return Charged: 2026-02-27 | Ref: CPR-YYTRB955152 | Fee: 213</t>
  </si>
  <si>
    <t>TR29054</t>
  </si>
  <si>
    <t>+923319694328</t>
  </si>
  <si>
    <t>Peshwar hayatabad feaz 1 shamli market Peshwar</t>
  </si>
  <si>
    <t>return per again call ki ha but still not ans  not ans 
 | ↩️ Return Charged: No Date | Ref: CPR-P6TCD381940 | Fee: 213</t>
  </si>
  <si>
    <t>TR29055</t>
  </si>
  <si>
    <t>Sheraz Khalid</t>
  </si>
  <si>
    <t>Markz Noor, Street Masjid Hashim, Sharif Colony, Sargodha Road Sheikhupura</t>
  </si>
  <si>
    <t>Order has been shipped via PostEx with Tracking 25120050021810. 
 | 💰 COD Rec: 2026-02-13 | Ref: CPR-JXDW9494704 | Amt: 3099</t>
  </si>
  <si>
    <t>TR29056</t>
  </si>
  <si>
    <t>Huraira Khizar</t>
  </si>
  <si>
    <t>Mohallah Faisal town Imran colony manawala Manawala</t>
  </si>
  <si>
    <t>cancel huraira gher nahi haa</t>
  </si>
  <si>
    <t>TR29057</t>
  </si>
  <si>
    <t xml:space="preserve">cancel mal ker di ha cal per bhi cancel </t>
  </si>
  <si>
    <t>TR29058</t>
  </si>
  <si>
    <t>Waseem Butt Butt</t>
  </si>
  <si>
    <t>+923222222310</t>
  </si>
  <si>
    <t>Mouhlla depti yaar mouhammad near khajou walli masjid gujrat Gujrat</t>
  </si>
  <si>
    <t>Order has been shipped via PostEx with Tracking 23120050021833. confirm 
 | 💰 COD Rec: 17-Feb-2026 | Ref: CPR-P18X9853080 | Amt: 3099</t>
  </si>
  <si>
    <t>TR29059</t>
  </si>
  <si>
    <t>Qadeer khan Khan</t>
  </si>
  <si>
    <t>Taj Pura Butt Chok Lahore</t>
  </si>
  <si>
    <t>combine cancel TR29061 is</t>
  </si>
  <si>
    <t>TR29060</t>
  </si>
  <si>
    <t>DC LAG NHI HAI |TR28485 exchage 
 | 💰 COD Rec: No Date | Ref:  | Amt: 250</t>
  </si>
  <si>
    <t>TR29061</t>
  </si>
  <si>
    <t>Qadeer Khan</t>
  </si>
  <si>
    <t>Taj pura butt chok Lahore</t>
  </si>
  <si>
    <t>Order has been shipped via PostEx with Tracking 27120050021832. confirm 
 | 💰 COD Rec: 2026-02-13 | Ref: CPR-JXDW9494704 | Amt: 3099</t>
  </si>
  <si>
    <t>ADI Multi Ref Stripes - XL / Maroon (x1), ADI Multi Ref Stripes - L / White (x1)</t>
  </si>
  <si>
    <t>TR29062</t>
  </si>
  <si>
    <t>Fahad Raza</t>
  </si>
  <si>
    <t>PAF Base Masroor (Mauripur) Karachi</t>
  </si>
  <si>
    <t>Order has been shipped via PostEx with Tracking 29120050021831. confirm 
 | 💰 COD Rec: 17-Feb-2026 | Ref: CPR-P18X9853080 | Amt: 3099</t>
  </si>
  <si>
    <t>TR29063</t>
  </si>
  <si>
    <t>Haroon Uppal</t>
  </si>
  <si>
    <t>+923231900004</t>
  </si>
  <si>
    <t>87-muslim Road Shop Gujranwala</t>
  </si>
  <si>
    <t>bahi size issue tha nahi lena ap jab kerna ho ga toh ap ko update ker do gaa   allow to open  size issue 
 | ↩️ Return Charged: 20-Feb-2026 | Ref: CPR-245C7434461 | Fee: 200</t>
  </si>
  <si>
    <t>TR29064</t>
  </si>
  <si>
    <t>Sheikh Rab Nawaz</t>
  </si>
  <si>
    <t>Bashir Sons Pharmacy Main Market Peoples Colony Gujranwala</t>
  </si>
  <si>
    <t>Order has been shipped via PostEx with Tracking 26120050021854. confirm 
 | 💰 COD Rec: 17-Feb-2026 | Ref: CPR-P18X9853080 | Amt: 3449</t>
  </si>
  <si>
    <t>(Premium) Cotton lycra RL - 2XL / Charcoal Grey (x1), A | X Embroidery LOGO - 2XL / Biscuit (x1)</t>
  </si>
  <si>
    <t>TR29065</t>
  </si>
  <si>
    <t>Abdur Rehman Gujjar Advocate</t>
  </si>
  <si>
    <t>+923361000034</t>
  </si>
  <si>
    <t>UMAR ABDULLAH INTERNATIONAL OEP, Office 200-201 , 1st Floor Mumtaz Market Near Storm Fiber GUJRANWALA</t>
  </si>
  <si>
    <t>GUJRANWALA</t>
  </si>
  <si>
    <t>TR27683exchnage 
 | 💰 COD Rec: No Date | Ref:  | Amt: 3099</t>
  </si>
  <si>
    <t>ADI Multi Ref Stripes - 2XL / Black (x1), Adi- Hoodie - XL / Black (x1)</t>
  </si>
  <si>
    <t>TR29066</t>
  </si>
  <si>
    <t>Abdul Wahid</t>
  </si>
  <si>
    <t>H#337,st#19, bharia intellectual village,, ph 7, bharia town, Rawalpindi. Rawalpindi</t>
  </si>
  <si>
    <t>Order has been shipped via PostEx with Tracking 26120050021830. confimr 
 | 💰 COD Rec: 17-Feb-2026 | Ref: CPR-P18X9853080 | Amt: 1999</t>
  </si>
  <si>
    <t>TR29067</t>
  </si>
  <si>
    <t>Zaid Ali Baloch</t>
  </si>
  <si>
    <t>House#GA-4 Rbb Colony Jamshoro Sindh Hyderabad</t>
  </si>
  <si>
    <t>Order has been shipped via PostEx with Tracking 27120050021829. confirm 
 | 💰 COD Rec: 17-Feb-2026 | Ref: CPR-P18X9853080 | Amt: 5999</t>
  </si>
  <si>
    <t>Multi ref PUM-A - M / White (x1), Multi ref PUM-A - M / Black (x1), Adi Winter Trouser - M / Black (x1), Basic RL Crew- Cotton - M / Sea green (x1)</t>
  </si>
  <si>
    <t>TR29068</t>
  </si>
  <si>
    <t>Nadeem shah</t>
  </si>
  <si>
    <t>Friends photo studio main bazar paniola tehseil Rawalakot District poonch Azad Kashmir Rawalakot (ajk)</t>
  </si>
  <si>
    <t>Rawalakot (ajk)</t>
  </si>
  <si>
    <t>Order has been shipped via PostEx with Tracking 20120050021828. confirm 
 | 💰 COD Rec: 17-Feb-2026 | Ref: CPR-P18X9853080 | Amt: 2049</t>
  </si>
  <si>
    <t>ADI Multi Ref Stripes - XL / White (x1)</t>
  </si>
  <si>
    <t>TR29069</t>
  </si>
  <si>
    <t>NASIRJAVEED@gmail.com Javed</t>
  </si>
  <si>
    <t>. Zila bahawalpur tahsil Mandi yazman chak no 35DNB Bahawalpur</t>
  </si>
  <si>
    <t xml:space="preserve">call after return jis na order kiya tha wo nahi haa mera order nahi tha   confirm </t>
  </si>
  <si>
    <t>TR29070</t>
  </si>
  <si>
    <t>Aysha Almas</t>
  </si>
  <si>
    <t>THQ hospital ka bahir a ker call ker la  jahanian   Jahanian</t>
  </si>
  <si>
    <t>Order has been shipped via PostEx with Tracking 25120050021827. confirm 
 | 💰 COD Rec: 17-Feb-2026 | Ref: CPR-P18X9853080 | Amt: 2749</t>
  </si>
  <si>
    <t>TR29071</t>
  </si>
  <si>
    <t>DSP Farooq Khan</t>
  </si>
  <si>
    <t>office of the DSP/SDPO khairpur tamaywali Khairpur Tamaywali, District Bahawalpur</t>
  </si>
  <si>
    <t>Khairpur Tamaywali, District Bahawalpur</t>
  </si>
  <si>
    <t>Order has been shipped via PostEx with Tracking 26120050021826. 
 | 💰 COD Rec: 17-Feb-2026 | Ref: CPR-P18X9853080 | Amt: 3099</t>
  </si>
  <si>
    <t>TR29072</t>
  </si>
  <si>
    <t>Order has been shipped via PostEx with Tracking 28120050021825. confirm 
 | 💰 COD Rec: 17-Feb-2026 | Ref: CPR-P18X9853080 | Amt: 5699</t>
  </si>
  <si>
    <t>Embossed NIK-E - L / Black (x1), Embossed NIK-E - L / White (x1), Multi ref PUM-A - L / White (x1), Multi ref PUM-A - L / Black (x1)</t>
  </si>
  <si>
    <t>TR29073</t>
  </si>
  <si>
    <t>TR29074</t>
  </si>
  <si>
    <t>ma vail nahi tha 
150 lagana hain 
TR27933exchange 
 | 💰 COD Rec: No Date | Ref: CPR-P6TCD381940 | Amt: 150</t>
  </si>
  <si>
    <t>TR29075</t>
  </si>
  <si>
    <t>Muhammad Numan</t>
  </si>
  <si>
    <t>165-b-pak Arab Housing Scheme Lahore</t>
  </si>
  <si>
    <t xml:space="preserve">is number kharab haa </t>
  </si>
  <si>
    <t>TR29076</t>
  </si>
  <si>
    <t>M.imran M.imran</t>
  </si>
  <si>
    <t>+923111715035</t>
  </si>
  <si>
    <t>Ward.no.8. Shreen Choak Near Habib Bank. House no 260,Street 6.CityJhang Jhang</t>
  </si>
  <si>
    <t>Order has been shipped via PostEx with Tracking 26120050021823. whatsup allow to open 
 | 💰 COD Rec: 20-Feb-2026 | Ref: CPR-245C7434461 | Amt: 3150</t>
  </si>
  <si>
    <t>A | X Embroidery LOGO - 2XL / Biscuit (x1), A | X Embroidery LOGO - 2XL / American Blue (x1)</t>
  </si>
  <si>
    <t>TR29077</t>
  </si>
  <si>
    <t>60/17 B1 College Road Lahore Lahore</t>
  </si>
  <si>
    <t>Order has been shipped via PostEx with Tracking 26120050021859. confirm 
 | 💰 COD Rec: 17-Feb-2026 | Ref: CPR-P18X9853080 | Amt: 3099</t>
  </si>
  <si>
    <t>TR29078</t>
  </si>
  <si>
    <t>Haris Supra</t>
  </si>
  <si>
    <t>Kids club grammar school ugoki Sialkot</t>
  </si>
  <si>
    <t>Order has been shipped via PostEx with Tracking 28120050021858. confirm 
 | 💰 COD Rec: 17-Feb-2026 | Ref: CPR-P18X9853080 | Amt: 1449</t>
  </si>
  <si>
    <t>TR29079</t>
  </si>
  <si>
    <t>Shahabaz Ali</t>
  </si>
  <si>
    <t>+923433878055</t>
  </si>
  <si>
    <t>IBA Boys Hostel KU Circular Road , Karachi Karachi</t>
  </si>
  <si>
    <t>Order has been shipped via PostEx with Tracking 20120050021853. 
 | 💰 COD Rec: 17-Feb-2026 | Ref: CPR-P18X9853080 | Amt: 1499</t>
  </si>
  <si>
    <t>Basic RL Crew- Cotton - S / light chocolate (x1)</t>
  </si>
  <si>
    <t>TR29080</t>
  </si>
  <si>
    <t>Sajjad Akhtar</t>
  </si>
  <si>
    <t>Khwajja Auto Exchange Jhanger Market Seatpur Chowk Tehsil Alipur Muzaffargarh</t>
  </si>
  <si>
    <t>confirm  shirt achi nahi thi nahi lena 
 | ↩️ Return Charged: No Date | Ref: CPR-P6TCD381940 | Fee: 220</t>
  </si>
  <si>
    <t>TR29081</t>
  </si>
  <si>
    <t>Awais Ahmed</t>
  </si>
  <si>
    <t>C/O Waseem book centre Chak Chatha Tehsil &amp; District Hafizabad Hafizabad</t>
  </si>
  <si>
    <t>Order has been shipped via PostEx with Tracking 25120050021851. confirm 
 | 💰 COD Rec: 17-Feb-2026 | Ref: CPR-P18X9853080 | Amt: 3099</t>
  </si>
  <si>
    <t>TR29082</t>
  </si>
  <si>
    <t>Rehan Aslam</t>
  </si>
  <si>
    <t>Othain Daska</t>
  </si>
  <si>
    <t>200 advance a gay hain daska tcs office 
 | 💰 COD Rec: No Date | Ref:  | Amt: 3850</t>
  </si>
  <si>
    <t>ADI - EMBOSSED LOGO (Cotton) - L / Dark Red(Maroon) (x1), Embossed NIK-E - L / Black (x1), Embossed NIK-E - L / White (x1)</t>
  </si>
  <si>
    <t>TR29083</t>
  </si>
  <si>
    <t>Daniyal Ilyas</t>
  </si>
  <si>
    <t>Narowal near ranger headquarters rain dallapur house no1 Narowal</t>
  </si>
  <si>
    <t>Order has been shipped via PostEx with Tracking 22120050021850. confirm
 | 💰 COD Rec: 17-Feb-2026 | Ref: CPR-P18X9853080 | Amt: 3099</t>
  </si>
  <si>
    <t>TR29084</t>
  </si>
  <si>
    <t>House Number 197-ghalla Mandi Basirpur District Okara Basirpur</t>
  </si>
  <si>
    <t>Basirpur</t>
  </si>
  <si>
    <t>Order has been shipped via PostEx with Tracking 28120050021849. 
 | 💰 COD Rec: 17-Feb-2026 | Ref: CPR-P18X9853080 | Amt: 4599</t>
  </si>
  <si>
    <t>A | X Embroidery LOGO - XL / Navy (x1), A | X Embroidery LOGO - XL / Maroon (x1), A | X Embroidery LOGO - XL / American Blue (x1)</t>
  </si>
  <si>
    <t>TR29085</t>
  </si>
  <si>
    <t>Wafa Muhammad Khan</t>
  </si>
  <si>
    <t>+923030908782</t>
  </si>
  <si>
    <t>DHA Phase 4 GG Block Street no 23 house 703 LAHORE</t>
  </si>
  <si>
    <t>Order has been shipped via PostEx with Tracking 29120050021848. 
 | 💰 COD Rec: 17-Feb-2026 | Ref: CPR-P18X9853080 | Amt: 2849</t>
  </si>
  <si>
    <t>TR29086</t>
  </si>
  <si>
    <t>Order has been shipped via PostEx with Tracking 26120050021847. confrm 
 | 💰 COD Rec: 20-Feb-2026 | Ref: CPR-245C7434461 | Amt: 3099</t>
  </si>
  <si>
    <t>TR29087</t>
  </si>
  <si>
    <t>Kh Bilal</t>
  </si>
  <si>
    <t>Ajwa city 335/B Gujranwala</t>
  </si>
  <si>
    <t>Order has been shipped via PostEx with Tracking 21120050021846. confirm 
 | 💰 COD Rec: 17-Feb-2026 | Ref: CPR-P18X9853080 | Amt: 2049</t>
  </si>
  <si>
    <t>ADI Multi Ref Stripes - 4XL / Navy Blue (x1)</t>
  </si>
  <si>
    <t>TR29088</t>
  </si>
  <si>
    <t>Rafay Shah</t>
  </si>
  <si>
    <t>Kumharan wala Chock, khanewal road, new munirabd colony, house no 19 , street no 1, Multan Multan</t>
  </si>
  <si>
    <t>cancel bhai na orde kiya tha 
Call 1: No Answer</t>
  </si>
  <si>
    <t>TR29089</t>
  </si>
  <si>
    <t>Pameer Khan</t>
  </si>
  <si>
    <t>+923458109424</t>
  </si>
  <si>
    <t>Azmeer Villa,Street no 4 Opposite Bazai Killa near Metro guest house,Airport Road Quetta. Quetta</t>
  </si>
  <si>
    <t>Order has been shipped via PostEx with Tracking 24120050021845. 
 | 💰 COD Rec: 17-Feb-2026 | Ref: CPR-P18X9853080 | Amt: 3099</t>
  </si>
  <si>
    <t>TR29090</t>
  </si>
  <si>
    <t>Muhammad Umar</t>
  </si>
  <si>
    <t>House No 16 Street No 8 Ahmad Munir Shaheed Road Ichra Lahore Pakistan Lahore</t>
  </si>
  <si>
    <t>return ana per call ki ha not ans )ma avil nahi tha ap rettamept ker dein 
 | ↩️ Return Charged: 20-Feb-2026 | Ref: CPR-245C7434461 | Fee: 107</t>
  </si>
  <si>
    <t>TR29091</t>
  </si>
  <si>
    <t>Bilal Amjad</t>
  </si>
  <si>
    <t>1250 A dha phase 9 town Lahore</t>
  </si>
  <si>
    <t>Order has been shipped via PostEx with Tracking 26120050021843. confirm 
 | 💰 COD Rec: 17-Feb-2026 | Ref: CPR-P18X9853080 | Amt: 3099</t>
  </si>
  <si>
    <t>TR29092</t>
  </si>
  <si>
    <t>162 C UET society near NFC society Lahore Lahore</t>
  </si>
  <si>
    <t>Order has been shipped via PostEx with Tracking 29120050021842. confrm 
 | 💰 COD Rec: 17-Feb-2026 | Ref: CPR-P18X9853080 | Amt: 2849</t>
  </si>
  <si>
    <t>TR29093</t>
  </si>
  <si>
    <t>Kamran Malik</t>
  </si>
  <si>
    <t>392-D, Aslam Shaheed road, lalazar Rawalpindi</t>
  </si>
  <si>
    <t>Order has been shipped via PostEx with Tracking 22120050021841. confirm 
 | 💰 COD Rec: 17-Feb-2026 | Ref: CPR-P18X9853080 | Amt: 5700</t>
  </si>
  <si>
    <t>A | X Embroidery LOGO - 2XL / Bottle Green (x1), Tipping Crew - XL / Black (x1), Tipping Crew - XL / White (x1), (Premium) Cotton lycra RL - 2XL / zinc blue (x1)</t>
  </si>
  <si>
    <t>TR29094</t>
  </si>
  <si>
    <t>Ehtasham Mazhar</t>
  </si>
  <si>
    <t>119 L block sabzazar Lahore</t>
  </si>
  <si>
    <t>Order has been shipped via PostEx with Tracking 20120050021840. confirm 
 | 💰 COD Rec: 17-Feb-2026 | Ref: CPR-P18X9853080 | Amt: 2849</t>
  </si>
  <si>
    <t>TR29095</t>
  </si>
  <si>
    <t>+923455976342</t>
  </si>
  <si>
    <t>Fazal e Rabbi Furniture house ikhlas chOck Tehsil pindi gheb pindi gheb Pindi Gheb</t>
  </si>
  <si>
    <t>call after retun mana cancel ker diya tha nahi lena 
order was to late 
 | ↩️ Return Charged: 2026-03-03 | Ref: CPR-UGST0244500 | Fee: 200</t>
  </si>
  <si>
    <t>TR29096</t>
  </si>
  <si>
    <t>Abdullah Jutt</t>
  </si>
  <si>
    <t>chak no 493 batiwala 493 batiwala Tehsil shorkot district Jhang</t>
  </si>
  <si>
    <t>493 batiwala Tehsil shorkot district Jhang</t>
  </si>
  <si>
    <t>Order has been shipped via PostEx with Tracking 20120050021838. 
 | 💰 COD Rec: 17-Feb-2026 | Ref: CPR-P18X9853080 | Amt: 2749</t>
  </si>
  <si>
    <t>TR29097</t>
  </si>
  <si>
    <t xml:space="preserve">cancel mujha laga ka full traksuit haa </t>
  </si>
  <si>
    <t>TR29098</t>
  </si>
  <si>
    <t>Adv Ishtiaq Bhatti</t>
  </si>
  <si>
    <t>Admin Block, Social Security Hospital, Near Modal Town Courts, Ferozpur Road Lahore Lahore</t>
  </si>
  <si>
    <t xml:space="preserve">cancel size issue haa shop sa a ker purchase kara gaa </t>
  </si>
  <si>
    <t>TR29099</t>
  </si>
  <si>
    <t>Moosa Masood</t>
  </si>
  <si>
    <t>+923238433074</t>
  </si>
  <si>
    <t>Order has been shipped via PostEx with Tracking 26120050021857. confirm
 | 💰 COD Rec: 17-Feb-2026 | Ref: CPR-P18X9853080 | Amt: 4999</t>
  </si>
  <si>
    <t>A | X Embroidery LOGO - M / White (x1), A | X Embroidery LOGO - M / Sky (x1), (Premium) POLO RL - M / Blue (x1)</t>
  </si>
  <si>
    <t>TR29100</t>
  </si>
  <si>
    <t>Nasir Ali</t>
  </si>
  <si>
    <t>Abdullah Fabrics Waleed Plaza Kaghan Road Balakot BALAKOT</t>
  </si>
  <si>
    <t>BALAKOT</t>
  </si>
  <si>
    <t>Order has been shipped via PostEx with Tracking 22120050021856. 
 | 💰 COD Rec: 17-Feb-2026 | Ref: CPR-P18X9853080 | Amt: 3099</t>
  </si>
  <si>
    <t>TR29101</t>
  </si>
  <si>
    <t>House no 274-275 Block B Gulshan E Zealpak society hyderabad Hyderabad</t>
  </si>
  <si>
    <t>Order has been shipped via PostEx with Tracking 29120050021875. confirm 
 | 💰 COD Rec: 17-Feb-2026 | Ref: CPR-P18X9853080 | Amt: 2849</t>
  </si>
  <si>
    <t>TR29102</t>
  </si>
  <si>
    <t>Samiullah Khan</t>
  </si>
  <si>
    <t>House no 964 ilyas cly misrial RD RWP Rawalpindi</t>
  </si>
  <si>
    <t>Order has been shipped via PostEx with Tracking 21120050021874. 
 | 💰 COD Rec: 20-Feb-2026 | Ref: CPR-245C7434461 | Amt: 2749</t>
  </si>
  <si>
    <t>TR29103</t>
  </si>
  <si>
    <t>Agha Shahzaman Khan</t>
  </si>
  <si>
    <t>House Number 33(ii)-street Number 33-a, Khayaban-e-shamsheer Karachi</t>
  </si>
  <si>
    <t>Order has been shipped via PostEx with Tracking 28120050021873. 
 | 💰 COD Rec: 17-Feb-2026 | Ref: CPR-P18X9853080 | Amt: 3099</t>
  </si>
  <si>
    <t>TR29104</t>
  </si>
  <si>
    <t>Mojiz Abbas</t>
  </si>
  <si>
    <t>182 aurangzaib block new garden town Lahore</t>
  </si>
  <si>
    <t xml:space="preserve">2475 received paid parcel haa </t>
  </si>
  <si>
    <t>TR29105</t>
  </si>
  <si>
    <t>Zahid Nadeem</t>
  </si>
  <si>
    <t>Near nadra office haroon textile Gujranwala</t>
  </si>
  <si>
    <t>Order has been shipped via PostEx with Tracking 22120050021871. confirm 
 | 💰 COD Rec: 17-Feb-2026 | Ref: CPR-P18X9853080 | Amt: 1799</t>
  </si>
  <si>
    <t>TR29106</t>
  </si>
  <si>
    <t>Waqar Zafar</t>
  </si>
  <si>
    <t>+923282777760</t>
  </si>
  <si>
    <t>Plot number 20 streat number 17 A block, citi housing jehlum Jehlum</t>
  </si>
  <si>
    <t>Jehlum</t>
  </si>
  <si>
    <t>Order has been shipped via PostEx with Tracking 28120050021870. 
 | 💰 COD Rec: 17-Feb-2026 | Ref: CPR-P18X9853080 | Amt: 6100</t>
  </si>
  <si>
    <t>A | X Embroidery LOGO - XL / Maroon (x1), (Premium) Popcorn Polo - XL / White (x1), A | X Embroidery LOGO - XL / Navy (x1), A | X Embroidery LOGO - XL / Black (x1)</t>
  </si>
  <si>
    <t>TR29107</t>
  </si>
  <si>
    <t>Hamid Jarral</t>
  </si>
  <si>
    <t>Vill. ZafarAbad Dongi, Teh. Barnala, Distt. Bhimber, P/o: Kot jamil, Azad Kashmir(AK). Kot jamil</t>
  </si>
  <si>
    <t>Kot jamil</t>
  </si>
  <si>
    <t>LE7524737698</t>
  </si>
  <si>
    <t>call after mana nahi leya because mana kesi or sa purchase ker liya tha 
tcs</t>
  </si>
  <si>
    <t>TR29108</t>
  </si>
  <si>
    <t>return ana per call ki ha out of city haa confirm   consignee want open parcel  
 | ↩️ Return Charged: No Date | Ref: CPR-P6TCD381940 | Fee: 200</t>
  </si>
  <si>
    <t>TR29109</t>
  </si>
  <si>
    <t>Rana ZeeShan</t>
  </si>
  <si>
    <t>+923027334007</t>
  </si>
  <si>
    <t>Vision Packages 3km Bahawalpur Bypass Chok Bahawalpur Road Multan Multan</t>
  </si>
  <si>
    <t>return ana per call ki haa out of city haa next month again order ker da gaa Order has been shipped via PostEx with Tracking 23120050021868.  out of city haa nahi lena rider aya tha
 | ↩️ Return Charged: No Date | Ref: CPR-P6TCD381940 | Fee: 220</t>
  </si>
  <si>
    <t>TR29110</t>
  </si>
  <si>
    <t>Waqas Hameed</t>
  </si>
  <si>
    <t>Al Saddique Silk Center Rice Mills Glotia daska Sialkot</t>
  </si>
  <si>
    <t>Order has been shipped via PostEx with Tracking 29120050021867. confirm 
 | 💰 COD Rec: 20-Feb-2026 | Ref: CPR-245C7434461 | Amt: 3348</t>
  </si>
  <si>
    <t>TR29111</t>
  </si>
  <si>
    <t>Saad Shakeel</t>
  </si>
  <si>
    <t>Plot 4C5 Lane 1, D.H.A. Phase 8 Zulfiqar &amp; Al Murtaza Commercial Area Phase 8 Defence Housing Authority, Karachi Karachi</t>
  </si>
  <si>
    <t>Order has been shipped via PostEx with Tracking 29120050021866. 
 | 💰 COD Rec: 17-Feb-2026 | Ref: CPR-P18X9853080 | Amt: 4199</t>
  </si>
  <si>
    <t>A | X Embroidery LOGO - XL / Olive (x1), Tipping Crew - XL / Black (x1), Tipping Crew - XL / White (x1)</t>
  </si>
  <si>
    <t>TR29112</t>
  </si>
  <si>
    <t>Usman nawab</t>
  </si>
  <si>
    <t>Shangrila Backry Near Fareed Gate Bahawalpur</t>
  </si>
  <si>
    <t>Order has been shipped via PostEx with Tracking 21120050021865. 
 | 💰 COD Rec: 20-Feb-2026 | Ref: CPR-245C7434461 | Amt: 1799</t>
  </si>
  <si>
    <t>TR29113</t>
  </si>
  <si>
    <t>Boom boom hotel, h-block soan garden Islamabad</t>
  </si>
  <si>
    <t>call after return   rider nahi aya 
friday ko deliver kerna haa rider ko boll doconfirm 
 | ↩️ Return Charged: No Date | Ref: CPR-P6TCD381940 | Fee: 200</t>
  </si>
  <si>
    <t>TR29114</t>
  </si>
  <si>
    <t>Gizri Mubarak masjid defence anjuman chowk Usama hotel Karachi Karachi</t>
  </si>
  <si>
    <t>Order has been shipped via PostEx with Tracking 23120050021884. confirm on wp 
 | 💰 COD Rec: 20-Feb-2026 | Ref: CPR-245C7434461 | Amt: 2148</t>
  </si>
  <si>
    <t>Basic Branded Adi Trouser - XL / Black (x1)</t>
  </si>
  <si>
    <t>TR29115</t>
  </si>
  <si>
    <t>Adnan Mughal</t>
  </si>
  <si>
    <t>Shop No.38 Second Floor Jelani Centre Factory Area Lal Mil Chowk Faisalabad. Faisalabad</t>
  </si>
  <si>
    <t>confirm 
 | 💰 COD Rec: 20-Feb-2026 | Ref: CPR-245C7434461 | Amt: 2749</t>
  </si>
  <si>
    <t>TR29116</t>
  </si>
  <si>
    <t>Zohaib Alvi</t>
  </si>
  <si>
    <t>No 44-wapda Town Block C2 House Gujrawala</t>
  </si>
  <si>
    <t>Order has been shipped via PostEx with Tracking 27120050021863. confirm 
 | 💰 COD Rec: 17-Feb-2026 | Ref: CPR-P18X9853080 | Amt: 3348</t>
  </si>
  <si>
    <t>TR29117</t>
  </si>
  <si>
    <t>Aatter bajwa</t>
  </si>
  <si>
    <t>Village maniala po chawinda tehsil pasrur distt sialkot Sialkot</t>
  </si>
  <si>
    <t xml:space="preserve">r; mujha village ma chaiya tha parcel 
tcs chawinda </t>
  </si>
  <si>
    <t>TR29118</t>
  </si>
  <si>
    <t>Order has been shipped via PostEx with Tracking 22120050021862. confirm
 | 💰 COD Rec: No Date | Ref: CPR-P6TCD381940 | Amt: 3348</t>
  </si>
  <si>
    <t>TR29119</t>
  </si>
  <si>
    <t>saadii khaan khan</t>
  </si>
  <si>
    <t>Khan sapry centre mamunknjn tehsil tandliawly district Faisalabad Mamunknjn</t>
  </si>
  <si>
    <t>Mamunknjn</t>
  </si>
  <si>
    <t>call after return not ans 
Order has been shipped via PostEx with Tracking 29120050021861. CONFIRM 
 | ↩️ Return Charged: No Date | Ref: CPR-P6TCD381940 | Fee: 200</t>
  </si>
  <si>
    <t>TR29120</t>
  </si>
  <si>
    <t>Maham Butt</t>
  </si>
  <si>
    <t>Sardar Assad Durani Sardar Aziz Durani near srafa Bazar Machli Chowk gujrat Gujrat</t>
  </si>
  <si>
    <t>Order has been shipped via PostEx with Tracking 26120050021860. CONFIRM
 | 💰 COD Rec: 17-Feb-2026 | Ref: CPR-P18X9853080 | Amt: 1699</t>
  </si>
  <si>
    <t>A | X Embroidery LOGO - 2XL / Pista (x1)</t>
  </si>
  <si>
    <t>TR29121</t>
  </si>
  <si>
    <t>Nabila Malik</t>
  </si>
  <si>
    <t>H No 13 S No 4 Khan Colony Modil Town Lahore Lahore</t>
  </si>
  <si>
    <t xml:space="preserve">cancel 25 chest haa </t>
  </si>
  <si>
    <t>TR29122</t>
  </si>
  <si>
    <t>sajid ali khan sajid ali khan</t>
  </si>
  <si>
    <t>gulistan e johar block 10 A sunny heights flats c block flat number c-20 Karachi</t>
  </si>
  <si>
    <t>Order has been shipped via PostEx with Tracking 24120050021883. confirm
on call
 | 💰 COD Rec: 20-Feb-2026 | Ref: CPR-245C7434461 | Amt: 1999</t>
  </si>
  <si>
    <t>TR29123</t>
  </si>
  <si>
    <t>LE7524737699</t>
  </si>
  <si>
    <t>TR28635 exchnage only DC lagni hai 
 | 💰 COD Rec: No Date | Ref:  | Amt: 249</t>
  </si>
  <si>
    <t>TR29124</t>
  </si>
  <si>
    <t>Fayaz Solangi</t>
  </si>
  <si>
    <t>Bhatti Street Mohalla Nizmani Near Saddar din shah park kmc hospital road khairpur mirs Khairpur mirs</t>
  </si>
  <si>
    <t>Khairpur mirs</t>
  </si>
  <si>
    <t>Order has been shipped via PostEx with Tracking 24120050021882. confirm by umair
 | 💰 COD Rec: 20-Feb-2026 | Ref: CPR-245C7434461 | Amt: 1699</t>
  </si>
  <si>
    <t>TR29125</t>
  </si>
  <si>
    <t>Danyal Magsi</t>
  </si>
  <si>
    <t>Plot 41 A Block 2 Pechs Karachi Karachi</t>
  </si>
  <si>
    <t>Order has been shipped via PostEx with Tracking 23120050021886. confirm 
 | 💰 COD Rec: 20-Feb-2026 | Ref: CPR-245C7434461 | Amt: 5700</t>
  </si>
  <si>
    <t>TEXTURE WHITE - 14.5 (x2)</t>
  </si>
  <si>
    <t>TR29126</t>
  </si>
  <si>
    <t>Shahzaib Khan</t>
  </si>
  <si>
    <t>Aslam town nadeemulh road Rahim Yar Khan</t>
  </si>
  <si>
    <t>Order has been shipped via PostEx with Tracking 20120050021881. confirm 
 | 💰 COD Rec: 20-Feb-2026 | Ref: CPR-245C7434461 | Amt: 1449</t>
  </si>
  <si>
    <t>TR29127</t>
  </si>
  <si>
    <t>ShOaiB BaJwA Shoaib</t>
  </si>
  <si>
    <t>+923414061281</t>
  </si>
  <si>
    <t>Bajwa Mobiles Adda Badiana Pasroor Road And Villages</t>
  </si>
  <si>
    <t>Pasroor Road And Villages</t>
  </si>
  <si>
    <t xml:space="preserve">R: jis na order kiya tha wo nahi available 
confirm on wp  not ans on both </t>
  </si>
  <si>
    <t>TR29128</t>
  </si>
  <si>
    <t>Aziz Khan</t>
  </si>
  <si>
    <t>Jason terrace black 2 Clifton Karachi</t>
  </si>
  <si>
    <t>Order has been shipped via PostEx with Tracking 25120050021880. confirm 
 | 💰 COD Rec: 20-Feb-2026 | Ref: CPR-245C7434461 | Amt: 3299</t>
  </si>
  <si>
    <t>Imported Scoba Executive Nik Tro - M / Gray (x1)</t>
  </si>
  <si>
    <t>TR29129</t>
  </si>
  <si>
    <t>Arif ali Khan</t>
  </si>
  <si>
    <t>Tahsil khadukhail totalai Sawabi</t>
  </si>
  <si>
    <t>Sawabi</t>
  </si>
  <si>
    <t xml:space="preserve">r; number active nahi haa 
totalai tcs </t>
  </si>
  <si>
    <t>TR29130</t>
  </si>
  <si>
    <t>call after retun movie bana raha tha rideris liya nahi liya nahi lena mana 
rider video bana raha tha is liya mana parcel received nahi kiya open to allow
 | ↩️ Return Charged: 2026-02-27 | Ref: CPR-YYTRB955152 | Fee: 227</t>
  </si>
  <si>
    <t>TR29131</t>
  </si>
  <si>
    <t>Pusar road wadala sundhwan near Khan mobile shop Wadala sundhwan</t>
  </si>
  <si>
    <t>Wadala sundhwan</t>
  </si>
  <si>
    <t>LE7524737705</t>
  </si>
  <si>
    <t>TR29132</t>
  </si>
  <si>
    <t>Azhar Butt</t>
  </si>
  <si>
    <t>+923232516104</t>
  </si>
  <si>
    <t>11/33 KDA flats near Abdullah girls college north nazimabad Karachi</t>
  </si>
  <si>
    <t>call after retun not ans call pick ker raha per boll kuck nai raha 
confirm   phone azeem laker gaya ha wp per contact kiya not ans 
 | ↩️ Return Charged: 2026-02-27 | Ref: CPR-YYTRB955152 | Fee: 213</t>
  </si>
  <si>
    <t>TR29133</t>
  </si>
  <si>
    <t>Muazzam Ali Azam</t>
  </si>
  <si>
    <t>Rear PC 23 Sindh Malir Cantt Karachi Karachi</t>
  </si>
  <si>
    <t>Order has been shipped via PostEx with Tracking 22120050021878. confirm 
 | 💰 COD Rec: 20-Feb-2026 | Ref: CPR-245C7434461 | Amt: 2749</t>
  </si>
  <si>
    <t>TR29134</t>
  </si>
  <si>
    <t>Khuram Ajmal</t>
  </si>
  <si>
    <t>+923248999998</t>
  </si>
  <si>
    <t>Rana colony aman ullah road street 4 Gujranwala</t>
  </si>
  <si>
    <t>Order has been shipped via PostEx with Tracking 23120050021877. confirm 
 | 💰 COD Rec: 17-Feb-2026 | Ref: CPR-P18X9853080 | Amt: 2849</t>
  </si>
  <si>
    <t>TR29135</t>
  </si>
  <si>
    <t>Ashfaq Ali</t>
  </si>
  <si>
    <t>Badami bagh roller flour Mills Peeco road badami bagh lahore Lahore</t>
  </si>
  <si>
    <t>Order has been shipped via PostEx with Tracking 29120050021876. confirm 
 | 💰 COD Rec: 17-Feb-2026 | Ref: CPR-P18X9853080 | Amt: 2849</t>
  </si>
  <si>
    <t>TR29136</t>
  </si>
  <si>
    <t>Muhammad Hussain</t>
  </si>
  <si>
    <t>House 2264 road b abubakar block bahria town phase 8 rawalpindi</t>
  </si>
  <si>
    <t>cancel ker do aj exchnage nahi kerna hold  kerna ha jab receive ho gaa TR29016exchange</t>
  </si>
  <si>
    <t>TR29137</t>
  </si>
  <si>
    <t xml:space="preserve">cancel 2 bar order ho gaya </t>
  </si>
  <si>
    <t>TR29138</t>
  </si>
  <si>
    <t>shaikh Muhammad Ali</t>
  </si>
  <si>
    <t>Plot#A-89, near olympic tower, saqib shaheed road, block11 , gulshan iqbal, NIPA Karachi Karachi</t>
  </si>
  <si>
    <t>confirm 
 | 💰 COD Rec: No Date | Ref: CPR-P6TCD381940 | Amt: 3099</t>
  </si>
  <si>
    <t>ADI Multi Ref Stripes - L / White (x2)</t>
  </si>
  <si>
    <t>TR29139</t>
  </si>
  <si>
    <t>Bilal Fraz</t>
  </si>
  <si>
    <t>97-B, Askari 5, Gulberg 3 Lahore</t>
  </si>
  <si>
    <t>Order has been shipped via PostEx with Tracking 24120050021918. 
 | 💰 COD Rec: 20-Feb-2026 | Ref: CPR-245C7434461 | Amt: 3348</t>
  </si>
  <si>
    <t>TR29140</t>
  </si>
  <si>
    <t>TR29009exchange only charges lagani hain 
 | 💰 COD Rec: 17-Feb-2026 | Ref: CPR-P18X9853080 | Amt: 249</t>
  </si>
  <si>
    <t>TR29141</t>
  </si>
  <si>
    <t>Jawad Bora</t>
  </si>
  <si>
    <t>Shop Number M72 Iqbal Cloth Market Near Memon Masjid Bolton Market Karach Karachi</t>
  </si>
  <si>
    <t>Order has been shipped via PostEx with Tracking 23120050021908. confirm allow to open 
 | 💰 COD Rec: 20-Feb-2026 | Ref: CPR-245C7434461 | Amt: 2849</t>
  </si>
  <si>
    <t>TR29142</t>
  </si>
  <si>
    <t>Hamza Dogar</t>
  </si>
  <si>
    <t>PuraRana shujabad road near JK Mart Multan</t>
  </si>
  <si>
    <t>confirm 
 | 💰 COD Rec: 20-Feb-2026 | Ref: CPR-245C7434461 | Amt: 1899</t>
  </si>
  <si>
    <t>A | X Embroidery LOGO - XL / Biscuit (x1)</t>
  </si>
  <si>
    <t>TR29143</t>
  </si>
  <si>
    <t>Ayesha Raziq</t>
  </si>
  <si>
    <t>Air foundation school system phase 1, Islamabad Islamabad</t>
  </si>
  <si>
    <t>confirm 
 | 💰 COD Rec: 20-Feb-2026 | Ref: CPR-245C7434461 | Amt: 2699</t>
  </si>
  <si>
    <t>ADI-3strips Full TrackSuit - M / Grey (x1)</t>
  </si>
  <si>
    <t>TR29144</t>
  </si>
  <si>
    <t>Zohad Shad</t>
  </si>
  <si>
    <t>House no. 21 k, St 1, Lane 8, New Lalazar, Rawalpindi Rawalpindi</t>
  </si>
  <si>
    <t>Order has been shipped via PostEx with Tracking 27120050021907. 
 | 💰 COD Rec: 20-Feb-2026 | Ref: CPR-245C7434461 | Amt: 2699</t>
  </si>
  <si>
    <t>ADI-3strips Full TrackSuit - L / American blue (x1)</t>
  </si>
  <si>
    <t>TR29145</t>
  </si>
  <si>
    <t>Sanaullah Buriro</t>
  </si>
  <si>
    <t>House a3 , cmt 2 , behind begum nusrat girls hostel Sukkur</t>
  </si>
  <si>
    <t>confirm 
 | 💰 COD Rec: 20-Feb-2026 | Ref: CPR-245C7434461 | Amt: 3099</t>
  </si>
  <si>
    <t>TR29146</t>
  </si>
  <si>
    <t>Sultan Abbas</t>
  </si>
  <si>
    <t>H#499, Street 15, Ghouri Town Vip, Khanna East Islamabad</t>
  </si>
  <si>
    <t>Order has been shipped via PostEx with Tracking 22120050021917.  confirm 
 | 💰 COD Rec: 20-Feb-2026 | Ref: CPR-245C7434461 | Amt: 7000</t>
  </si>
  <si>
    <t>TEXTURE LIGHT SKY - 15.5 (x1), A | X Embroidery LOGO - L / American Blue (x1), Tipping Crew - L / Black (x1), Tipping Crew - L / White (x1)</t>
  </si>
  <si>
    <t>TR29147</t>
  </si>
  <si>
    <t>IMRAN HUSSAIN KHAN</t>
  </si>
  <si>
    <t>House No.373 Unit No.6 Block D Latifabad Hyderabad Hyderabad  Sindh</t>
  </si>
  <si>
    <t>Hyderabad  Sindh</t>
  </si>
  <si>
    <t>confirm 
 | 💰 COD Rec: 2026-02-27 | Ref: CPR-YYTRB955152 | Amt: 3348</t>
  </si>
  <si>
    <t>CPR-YYTRB955152</t>
  </si>
  <si>
    <t>TR29148</t>
  </si>
  <si>
    <t>Engineer Sajjad Ali pathan</t>
  </si>
  <si>
    <t>+923443035251</t>
  </si>
  <si>
    <t>House No 33 Street 03 Near PSO Pump Giddu Naka Hussainabad Qasimabad Hyderabad Hussainabad</t>
  </si>
  <si>
    <t>Hyderabad Hussainabad</t>
  </si>
  <si>
    <t>Order has been shipped via PostEx with Tracking 29120050021916. 
 | 💰 COD Rec: 20-Feb-2026 | Ref: CPR-245C7434461 | Amt: 2749</t>
  </si>
  <si>
    <t>TR29149</t>
  </si>
  <si>
    <t>Muhammad arif Arif</t>
  </si>
  <si>
    <t>Humak Modle Town Islamabad Suzuki Capital Motor Islamabad</t>
  </si>
  <si>
    <t>Order has been shipped via PostEx with Tracking 23120050021915. confirm 
 | 💰 COD Rec: 20-Feb-2026 | Ref: CPR-245C7434461 | Amt: 3348</t>
  </si>
  <si>
    <t>TR29150</t>
  </si>
  <si>
    <t>ubaid Choudhary</t>
  </si>
  <si>
    <t>Renala Khurd Renala Khurd</t>
  </si>
  <si>
    <t>(cancel on umair WA) not ans 
Moved to WhatsApp</t>
  </si>
  <si>
    <t>TR29151</t>
  </si>
  <si>
    <t>Jahan Zeb</t>
  </si>
  <si>
    <t>178-d Wapda Town Phase 1 Multan</t>
  </si>
  <si>
    <t>Order has been shipped via PostEx with Tracking 26120050021914. confirm
 | 💰 COD Rec: No Date | Ref: CPR-P6TCD381940 | Amt: 2849</t>
  </si>
  <si>
    <t>TR29152</t>
  </si>
  <si>
    <t>Chawala Enterprises 3.5 K.M Jhumra Road Khurrianwala Faisalabad Faisalabad</t>
  </si>
  <si>
    <t>confirm 
 | 💰 COD Rec: No Date | Ref: CPR-P6TCD381940 | Amt: 3549</t>
  </si>
  <si>
    <t>A | X Embroidery LOGO - L / Biscuit (x1), A | X Embroidery LOGO - L / American Blue (x1)</t>
  </si>
  <si>
    <t>TR29153</t>
  </si>
  <si>
    <t>Kashif Amin</t>
  </si>
  <si>
    <t>Plot# F54 Block F Site 2 Supper Highway Near Shangrila Factory Karachi</t>
  </si>
  <si>
    <t>Order has been shipped via PostEx with Tracking 25120050021913. confirm 
 | 💰 COD Rec: 20-Feb-2026 | Ref: CPR-245C7434461 | Amt: 1899</t>
  </si>
  <si>
    <t>A | X Embroidery LOGO - 3XL / Bottle Green (x1)</t>
  </si>
  <si>
    <t>TR29154</t>
  </si>
  <si>
    <t>Asghar baloch</t>
  </si>
  <si>
    <t>Effel park view 21 plaza Quaid block sunflower bloom care bahria town lahore Lahore</t>
  </si>
  <si>
    <t>call after return nahi lena to late   confirm   cancel nahi lena 
 | ↩️ Return Charged: No Date | Ref: CPR-P6TCD381940 | Fee: 120</t>
  </si>
  <si>
    <t>TR29155</t>
  </si>
  <si>
    <t>Ahmed Safder</t>
  </si>
  <si>
    <t>Office 401 Building 2c Bukhari Commercial Lane 7 Karachi</t>
  </si>
  <si>
    <t>call after retun rider aya tha ma available nahi tha hmari timming 10 to 5 haa wo 6 baja aya tha no advance tha
confirm  No rider did not contact
 | ↩️ Return Charged: 2026-02-27 | Ref: CPR-YYTRB955152 | Fee: 213</t>
  </si>
  <si>
    <t>TR29156</t>
  </si>
  <si>
    <t>Gohar Gohar</t>
  </si>
  <si>
    <t>Azaaz  mobail  shop  khwjghan Mansehra</t>
  </si>
  <si>
    <t>Order has been shipped via PostEx with Tracking 21120050021911. confirm 
 | 💰 COD Rec: 20-Feb-2026 | Ref: CPR-245C7434461 | Amt: 3348</t>
  </si>
  <si>
    <t>TR29157</t>
  </si>
  <si>
    <t>Rashid Ahmed</t>
  </si>
  <si>
    <t>158 D EME DHA Lahore</t>
  </si>
  <si>
    <t>Order has been shipped via PostEx with Tracking 25120050021906. confirm 
 | 💰 COD Rec: 20-Feb-2026 | Ref: CPR-245C7434461 | Amt: 3348</t>
  </si>
  <si>
    <t>TR29158</t>
  </si>
  <si>
    <t>Sohail Khan</t>
  </si>
  <si>
    <t>Dubai cloth house khattak House market near sabzi mandi Karak</t>
  </si>
  <si>
    <t>Order has been shipped via PostEx with Tracking 29120050021905. allow to open
 | 💰 COD Rec: 20-Feb-2026 | Ref: CPR-245C7434461 | Amt: 3348</t>
  </si>
  <si>
    <t>TR29159</t>
  </si>
  <si>
    <t>Muhammad Tabarak</t>
  </si>
  <si>
    <t>Shop Bajor Garments Alzar Cafe Empire Road Abbottabad Abbottabad</t>
  </si>
  <si>
    <t>Order has been shipped via PostEx with Tracking 25120050021904. confirm 
 | 💰 COD Rec: 20-Feb-2026 | Ref: CPR-245C7434461 | Amt: 5699</t>
  </si>
  <si>
    <t>TR29160</t>
  </si>
  <si>
    <t>Aziz Ali</t>
  </si>
  <si>
    <t>HBL Serena Business Complex branch Islamabad Islamabad</t>
  </si>
  <si>
    <t>Order has been shipped via PostEx with Tracking 29120050021903. confirm 
 | 💰 COD Rec: 20-Feb-2026 | Ref: CPR-245C7434461 | Amt: 3348</t>
  </si>
  <si>
    <t>TR29161</t>
  </si>
  <si>
    <t>Anis Ghani</t>
  </si>
  <si>
    <t>Ravi Park, Lahore Lahore</t>
  </si>
  <si>
    <t xml:space="preserve">cancel mana koi order nahi kiya 
mana cancel kerva diya tha </t>
  </si>
  <si>
    <t>TR29162</t>
  </si>
  <si>
    <t>zarsham nawaz</t>
  </si>
  <si>
    <t>Amna industries Landhi industrial Area Karachi no 22 plot no 6 Karachi</t>
  </si>
  <si>
    <t>Order has been shipped via PostEx with Tracking 23120050021902. confirm 
 | 💰 COD Rec: No Date | Ref: CPR-P6TCD381940 | Amt: 2749</t>
  </si>
  <si>
    <t>TR29163</t>
  </si>
  <si>
    <t>+923346787096</t>
  </si>
  <si>
    <t>Mehtar colony DG Khan Dera ghazi Khan</t>
  </si>
  <si>
    <t>Dera ghazi Khan</t>
  </si>
  <si>
    <t>Order has been shipped via PostEx with Tracking 29120050021901. allow to open 
 | 💰 COD Rec: 20-Feb-2026 | Ref: CPR-245C7434461 | Amt: 1899</t>
  </si>
  <si>
    <t>A | X Embroidery LOGO - 3XL / American Blue (x1)</t>
  </si>
  <si>
    <t>TR29164</t>
  </si>
  <si>
    <t>Muhammad Shahbaz</t>
  </si>
  <si>
    <t>+923215579175</t>
  </si>
  <si>
    <t>House #24, Sector-g, 6th Avenue, Dha Phase-6, Lahore Lahore</t>
  </si>
  <si>
    <t>Order has been shipped via PostEx with Tracking 21120050021900. confirm 
 | 💰 COD Rec: 20-Feb-2026 | Ref: CPR-245C7434461 | Amt: 2148</t>
  </si>
  <si>
    <t>TR29165</t>
  </si>
  <si>
    <t>+923125251756</t>
  </si>
  <si>
    <t>E-block Street-7 house-36 New City Phase 2 Wah Cantt Wah Cantt</t>
  </si>
  <si>
    <t>Order has been shipped via PostEx with Tracking 29120050021899. payment received paid parcel 
 | 💰 COD Rec: 20-Feb-2026 | Ref: CPR-245C7434461 | Amt: 3374</t>
  </si>
  <si>
    <t>(Premium) Popcorn Polo - M / White (x1), (Premium) Popcorn Polo - M / Black (x1)</t>
  </si>
  <si>
    <t>TR29166</t>
  </si>
  <si>
    <t>Abdulrehman Butt</t>
  </si>
  <si>
    <t>Divine garden B54 Lahore</t>
  </si>
  <si>
    <t>Order has been shipped via PostEx with Tracking 27120050021898. confirm 
 | 💰 COD Rec: 20-Feb-2026 | Ref: CPR-245C7434461 | Amt: 2199</t>
  </si>
  <si>
    <t>NIK- Ref LOGO - 4XL / white (x1)</t>
  </si>
  <si>
    <t>TR29167</t>
  </si>
  <si>
    <t>asim Maqbool</t>
  </si>
  <si>
    <t>+923214041114</t>
  </si>
  <si>
    <t>5 Shafi street rangers stop zarar saheed rode Lahore</t>
  </si>
  <si>
    <t>Order has been shipped via PostEx with Tracking 25120050021897. confirm 
 | 💰 COD Rec: 20-Feb-2026 | Ref: CPR-245C7434461 | Amt: 5949</t>
  </si>
  <si>
    <t>Imported Scoba Executive Adi Tro - XL / Black (x1), Multi ref PUM-A - 2XL / White (x1), Multi ref PUM-A - 2XL / Black (x1)</t>
  </si>
  <si>
    <t>TR29168</t>
  </si>
  <si>
    <t>District JHELUM tahsil JHELUM GTS CHOWK shop no 13 MAJID ENTERPERISES JHELUM</t>
  </si>
  <si>
    <t>JHELUM</t>
  </si>
  <si>
    <t>Order has been shipped via PostEx with Tracking 26120050021896. confirm
 | 💰 COD Rec: 20-Feb-2026 | Ref: CPR-245C7434461 | Amt: 1999</t>
  </si>
  <si>
    <t>TR29169</t>
  </si>
  <si>
    <t>Sarmad Alee</t>
  </si>
  <si>
    <t>Shoukat Sons, 11 Urdu Bazar, Lahore Lahore</t>
  </si>
  <si>
    <t>TRACEREHMAN0001</t>
  </si>
  <si>
    <t xml:space="preserve">khud la ker jana haa deliver cash received </t>
  </si>
  <si>
    <t>TR29170</t>
  </si>
  <si>
    <t>Aman Shahzad</t>
  </si>
  <si>
    <t>Punjab, Vehari, Garha More Garha More</t>
  </si>
  <si>
    <t>Garha More</t>
  </si>
  <si>
    <t>Order has been shipped via PostEx with Tracking 20120050021910. confirm
 | 💰 COD Rec: 20-Feb-2026 | Ref: CPR-245C7434461 | Amt: 1799</t>
  </si>
  <si>
    <t>TR29171</t>
  </si>
  <si>
    <t>Mehboob Ahmad Ahmad</t>
  </si>
  <si>
    <t>Naveed Super Store Bahawalpur</t>
  </si>
  <si>
    <t>Order has been shipped via PostEx with Tracking 21120050021895. confirm 
 | 💰 COD Rec: 20-Feb-2026 | Ref: CPR-245C7434461 | Amt: 3099</t>
  </si>
  <si>
    <t>TR29172</t>
  </si>
  <si>
    <t>Asadullah Laghari</t>
  </si>
  <si>
    <t>Village Rawat Laghari Talluka Chambar Tando Allahyar</t>
  </si>
  <si>
    <t>chamber tcs ya lcs 250 received 
 | 💰 COD Rec: 2026-02-27 | Ref: CPR-YYTRB955152 | Amt: 10549</t>
  </si>
  <si>
    <t>Embossed NIK-E - M / Black (x1), Embossed NIK-E - M / White (x1), ADI - EMBOSSED LOGO (Cotton) - M / Black (x2), Adi- Hoodie - M / Black (x1), Adi- Hoodie - M / White (x1), ADI Multi Ref Stripes - M / Maroon (x1)</t>
  </si>
  <si>
    <t>TR29173</t>
  </si>
  <si>
    <t>Chaudhary Babar Rasheed</t>
  </si>
  <si>
    <t>Haq Bahoo Petroleum Main G.t Road Daharki Daharki</t>
  </si>
  <si>
    <t xml:space="preserve">cancel ma again order ker do gaa </t>
  </si>
  <si>
    <t>TR29174</t>
  </si>
  <si>
    <t>Toheed Akram Toheed Akram</t>
  </si>
  <si>
    <t>House number 673, G block, central park housing scheme main ferozepur road Lahore Lahore</t>
  </si>
  <si>
    <t>Order has been shipped via PostEx with Tracking 23120050021894. confirm 
 | 💰 COD Rec: 20-Feb-2026 | Ref: CPR-245C7434461 | Amt: 3348</t>
  </si>
  <si>
    <t>TR29175</t>
  </si>
  <si>
    <t>Wasim Iqbal</t>
  </si>
  <si>
    <t>Wasim Iqbal Kulli Camp  Rear Camp FC (South) Quetta Cantt Postal Code: 87300  Contact: 03355122397 03328758843 Quetta</t>
  </si>
  <si>
    <t>Order has been shipped via PostEx with Tracking 20120050021893. confirm 
 | 💰 COD Rec: 20-Feb-2026 | Ref: CPR-245C7434461 | Amt: 3348</t>
  </si>
  <si>
    <t>TR29176</t>
  </si>
  <si>
    <t>Zaroon hotel Faizabad Islamabad Islamabad</t>
  </si>
  <si>
    <t>Order has been shipped via PostEx with Tracking 25120050021892. confirm
 | 💰 COD Rec: 20-Feb-2026 | Ref: CPR-245C7434461 | Amt: 4248</t>
  </si>
  <si>
    <t>TR29177</t>
  </si>
  <si>
    <t>imperialsynerges pvtltd</t>
  </si>
  <si>
    <t>Plot No. 379, Ravi Lane, Sundar Industrial Estate, Raiwind Lahore Lahore</t>
  </si>
  <si>
    <t>Order has been shipped via PostEx with Tracking 22120050021891. confirm on wp 
 | 💰 COD Rec: 20-Feb-2026 | Ref: CPR-245C7434461 | Amt: 1899</t>
  </si>
  <si>
    <t>TR29178</t>
  </si>
  <si>
    <t>Abdul Moiz Bhatti</t>
  </si>
  <si>
    <t>137-tipu Block Shalimar Town Gujranwala</t>
  </si>
  <si>
    <t>Order has been shipped via PostEx with Tracking 26120050021890. confirm 
 | 💰 COD Rec: 20-Feb-2026 | Ref: CPR-245C7434461 | Amt: 3348</t>
  </si>
  <si>
    <t>TR29179</t>
  </si>
  <si>
    <t>ملک آصف یوسف</t>
  </si>
  <si>
    <t>ملک زرعی مرکز نارنگ منڈی تحصیل مرید کے نارنگ منڈی</t>
  </si>
  <si>
    <t>نارنگ منڈی</t>
  </si>
  <si>
    <t>call after return size chota tha nahi lena not intrusted thanks 
address english ma nai likhna urdu ma hi likna haa rider mera pass la ay ga parcel (open to allow )
 | ↩️ Return Charged: 2026-02-27 | Ref: CPR-YYTRB955152 | Fee: 200</t>
  </si>
  <si>
    <t>TR29180</t>
  </si>
  <si>
    <t>(confirm for dispatch: ok)
 (umair whatsapp msg done)  in wp address: kashmir road bhagatpura near alipanshop gali number 1, (yahan a kr call krni ha)</t>
  </si>
  <si>
    <t>TR29181</t>
  </si>
  <si>
    <t>Chak Number 319gb City Pir Mahal Toba Tek Singh</t>
  </si>
  <si>
    <t>confirm 
 | 💰 COD Rec: No Date | Ref: CPR-P6TCD381940 | Amt: 2749</t>
  </si>
  <si>
    <t>TR29182</t>
  </si>
  <si>
    <t>SAHIWAL</t>
  </si>
  <si>
    <t>Order has been shipped via PostEx with Tracking 25120050021888. confirm 
 | 💰 COD Rec: 20-Feb-2026 | Ref: CPR-245C7434461 | Amt: 3348</t>
  </si>
  <si>
    <t>TR29183</t>
  </si>
  <si>
    <t>Muhammad Adnan Riaz</t>
  </si>
  <si>
    <t>Street 6 C Janjua Twon Adyla Road Rawalpindi</t>
  </si>
  <si>
    <t>Order has been shipped via PostEx with Tracking 27120050021887. confirm 
 | 💰 COD Rec: 20-Feb-2026 | Ref: CPR-245C7434461 | Amt: 3299</t>
  </si>
  <si>
    <t>TR29184</t>
  </si>
  <si>
    <t>Adeel Ahmed</t>
  </si>
  <si>
    <t>+923485713898</t>
  </si>
  <si>
    <t>shop Noor Muhammad shop , village  malkiyar , Haripur hazara Haripur hazara</t>
  </si>
  <si>
    <t>Haripur hazara</t>
  </si>
  <si>
    <t>LE7524737708</t>
  </si>
  <si>
    <t xml:space="preserve">r;number musroof haa 
lcs  whatsup </t>
  </si>
  <si>
    <t>TR29185</t>
  </si>
  <si>
    <t>Muhammad ADNAN</t>
  </si>
  <si>
    <t>+923045979349</t>
  </si>
  <si>
    <t>M b City mall 3rd floor office 7 i8 marqaz Islamabad</t>
  </si>
  <si>
    <t>call after return not ans 
confirm rider aya tha mujha pasand nahi ai 
 | ↩️ Return Charged: 2026-03-03 | Ref: CPR-UGST0244500 | Fee: 200</t>
  </si>
  <si>
    <t>TR29186</t>
  </si>
  <si>
    <t>Umair Umar</t>
  </si>
  <si>
    <t>Wahdat colony house 2/4 bawasafra road near rasheedabad Multan . MULTAN</t>
  </si>
  <si>
    <t>confirm on wp 
 | 💰 COD Rec: 20-Feb-2026 | Ref: CPR-245C7434461 | Amt: 3348</t>
  </si>
  <si>
    <t>TR29187</t>
  </si>
  <si>
    <t>cancel red colour needed</t>
  </si>
  <si>
    <t>TR29188</t>
  </si>
  <si>
    <t>Agha Gul</t>
  </si>
  <si>
    <t>Shop no 2 almajeed centre, near Brooks chowrangi, plot no sc 02, sector 15 korangi industrial area Karachi</t>
  </si>
  <si>
    <t>WA in umair
cancel by umair</t>
  </si>
  <si>
    <t>TR29189</t>
  </si>
  <si>
    <t>Sajjad sajjad</t>
  </si>
  <si>
    <t>Khwajja auto exchange jhanger market seat pur chowk tehsil Alipur District Muzafargarh Ali Pur</t>
  </si>
  <si>
    <t>Ali Pur</t>
  </si>
  <si>
    <t xml:space="preserve">3299/- payment received paid parcel haa </t>
  </si>
  <si>
    <t>Imported Scoba Executive Nik Tro - L / Gray (x1)</t>
  </si>
  <si>
    <t>TR29190</t>
  </si>
  <si>
    <t>Aurangzaib Khan</t>
  </si>
  <si>
    <t>Ridezmart showroom # 274 survey 143 quetta commercial center quetta Quetta</t>
  </si>
  <si>
    <t>confirm
 | 💰 COD Rec: No Date | Ref: CPR-P6TCD381940 | Amt: 3038</t>
  </si>
  <si>
    <t>TR29191</t>
  </si>
  <si>
    <t>Babar BABAR Mehar</t>
  </si>
  <si>
    <t>Alfatha Market Sambrial Rod Daska Mobile Shop Daska</t>
  </si>
  <si>
    <t>LE7524737710</t>
  </si>
  <si>
    <t>allow to open 
 | 💰 COD Rec: No Date | Ref:  | Amt: 3348</t>
  </si>
  <si>
    <t>ADI Multi Ref Stripes - 3XL / White (x1)</t>
  </si>
  <si>
    <t>TR29192</t>
  </si>
  <si>
    <t>House #3 street 3 fiaz park lal pull lahore Lahore</t>
  </si>
  <si>
    <t xml:space="preserve">size issue haa nahi lena </t>
  </si>
  <si>
    <t>TR29193</t>
  </si>
  <si>
    <t>Anayat Ullah</t>
  </si>
  <si>
    <t>269-house Block D Etihad Town Phase 1 Lahore</t>
  </si>
  <si>
    <t>call after return koi rabta nahi hua mera sath ap bhej do again but ma advance nahi karo gaa 
confirm  consignee want open parcel 
 | ↩️ Return Charged: No Date | Ref: CPR-P6TCD381940 | Fee: 107</t>
  </si>
  <si>
    <t>TR29194</t>
  </si>
  <si>
    <t>Muhammad Ayaz</t>
  </si>
  <si>
    <t>+923122892030</t>
  </si>
  <si>
    <t>House#164 Sec/4c Saedabad Baldia Town Karachi Karachi</t>
  </si>
  <si>
    <t>confirm
 | 💰 COD Rec: No Date | Ref: CPR-P6TCD381940 | Amt: 3299</t>
  </si>
  <si>
    <t>TR29195</t>
  </si>
  <si>
    <t>Jamal Javed</t>
  </si>
  <si>
    <t>Al Hamra Biryani  Block 4 Shah Faisal Colony karachi  Karachi</t>
  </si>
  <si>
    <t>confirm 
 | 💰 COD Rec: No Date | Ref: CPR-P6TCD381940 | Amt: 2049</t>
  </si>
  <si>
    <t>TR29196</t>
  </si>
  <si>
    <t>Saleem Siddiqui</t>
  </si>
  <si>
    <t>House # 147-N Block 2 PECHS Karachi</t>
  </si>
  <si>
    <t>confirm 
 | 💰 COD Rec: No Date | Ref: CPR-P6TCD381940 | Amt: 1899</t>
  </si>
  <si>
    <t>TR29197</t>
  </si>
  <si>
    <t>Muhammad Qasim Butt</t>
  </si>
  <si>
    <t>+923034447744</t>
  </si>
  <si>
    <t>21-M3 Street No.1 Lake City Lahore Lahore</t>
  </si>
  <si>
    <t>whatsup paid parcel 
 | 💰 COD Rec: 20-Feb-2026 | Ref: CPR-245C7434461 | Amt: 2790</t>
  </si>
  <si>
    <t>TR29198</t>
  </si>
  <si>
    <t>13 Syed Maratab Ali Road FCC Gulberg 2 Lahore</t>
  </si>
  <si>
    <t>TR29199</t>
  </si>
  <si>
    <t>Zia ud din</t>
  </si>
  <si>
    <t>Kpk Mansehra Shahr E Rehsam Road Pakhwal Chowk Amir chicken shop Kpk Mansehra</t>
  </si>
  <si>
    <t>Kpk Mansehra</t>
  </si>
  <si>
    <t>confirm 
 | 💰 COD Rec: 20-Feb-2026 | Ref: CPR-245C7434461 | Amt: 2814</t>
  </si>
  <si>
    <t>TR29200</t>
  </si>
  <si>
    <t>MOHAMMAD NOOR NOOR</t>
  </si>
  <si>
    <t>TARNOL ISLAMABAD F17/2 TELEGARDEN STREET 24A HOUSE NO 1515 AFRIDI HOUSE Islamabad</t>
  </si>
  <si>
    <t>call after retun not ans 
confirm consignee want open parcel 
 | ↩️ Return Charged: 2026-02-27 | Ref: CPR-YYTRB955152 | Fee: 200</t>
  </si>
  <si>
    <t>TR29201</t>
  </si>
  <si>
    <t>Tayyaba Dar</t>
  </si>
  <si>
    <t>Rehman garden bulding #8 gf apartment 1 Lahore</t>
  </si>
  <si>
    <t>confirm 
 | 💰 COD Rec: No Date | Ref: CPR-P6TCD381940 | Amt: 3348</t>
  </si>
  <si>
    <t>TR29202</t>
  </si>
  <si>
    <t>Muhammad shoaib</t>
  </si>
  <si>
    <t>+923267633407</t>
  </si>
  <si>
    <t>Faisalabad nisatabad mohllah Hussain abd st#3 Famous point MTM mill Faisalabad</t>
  </si>
  <si>
    <t>allow to open 
order from whatsup 
 | 💰 COD Rec: No Date | Ref: CPR-P6TCD381940 | Amt: 2850</t>
  </si>
  <si>
    <t>Embossed NIK-E - M / White (x1), ADI Multi Ref Stripes - M / Navy Blue (x1)</t>
  </si>
  <si>
    <t>TR29203</t>
  </si>
  <si>
    <t>SaMi Bhatti</t>
  </si>
  <si>
    <t>+923048635351</t>
  </si>
  <si>
    <t>Mansoorabad Choki wala bazar gali no 2 near total petrol pump Faisalabad</t>
  </si>
  <si>
    <t>TR29204</t>
  </si>
  <si>
    <t>Tayyaba Hanif</t>
  </si>
  <si>
    <t>I-8/3 street 67 house 485 Islamabad</t>
  </si>
  <si>
    <t>confirm 
 | 💰 COD Rec: 20-Feb-2026 | Ref: CPR-245C7434461 | Amt: 2849</t>
  </si>
  <si>
    <t>TR29205</t>
  </si>
  <si>
    <t>Rana Azeem</t>
  </si>
  <si>
    <t>naveed department store ,Burjwala Housing Colony , Sheikhupura Punjab Qila Shekhupura</t>
  </si>
  <si>
    <t>confirm 
 | 💰 COD Rec: 20-Feb-2026 | Ref: CPR-245C7434461 | Amt: 3348</t>
  </si>
  <si>
    <t>TR29206</t>
  </si>
  <si>
    <t>Hamza Park Watto Scheme Khaya Ban E Quid Usama Gernal Store Wali Gali Multan Road Lahore Lahore</t>
  </si>
  <si>
    <t>call after retun shop sa a ker la gaa 
confirm   rider nahi aya 
 | ↩️ Return Charged: 2026-02-27 | Ref: CPR-YYTRB955152 | Fee: 107</t>
  </si>
  <si>
    <t>TR29207</t>
  </si>
  <si>
    <t>Usman Asghar</t>
  </si>
  <si>
    <t>Sukheki mandi near police station,tehsil pindi bhattian,district hafizabad Sukheki mandi</t>
  </si>
  <si>
    <t>Sukheki mandi</t>
  </si>
  <si>
    <t>LE7526802519</t>
  </si>
  <si>
    <t>TR29208</t>
  </si>
  <si>
    <t>husnain gill</t>
  </si>
  <si>
    <t>+923014957165</t>
  </si>
  <si>
    <t>Ahsan zare house , sukheki mandi , hafizabad Sukheki Mandi</t>
  </si>
  <si>
    <t>Sukheki Mandi</t>
  </si>
  <si>
    <t>LE7526802520</t>
  </si>
  <si>
    <t>NIK- Ref LOGO - 3XL / white (x1), NIK- Ref LOGO - XL / black (x1)</t>
  </si>
  <si>
    <t>TR29209</t>
  </si>
  <si>
    <t>Salman Sangi</t>
  </si>
  <si>
    <t>Mirani Muhalla Larkana Larkana</t>
  </si>
  <si>
    <t>call after return rideraya tha not satisfy 
confirm 
 | ↩️ Return Charged: 2026-03-03 | Ref: CPR-UGST0244500 | Fee: 227</t>
  </si>
  <si>
    <t>TR29210</t>
  </si>
  <si>
    <t>Ejaz Rafi</t>
  </si>
  <si>
    <t>hrk hardware near alliedbenk danyour chowk gilgit gilgit</t>
  </si>
  <si>
    <t>gilgit</t>
  </si>
  <si>
    <t>confirm 
 | 💰 COD Rec: No Date | Ref: CPR-P6TCD381940 | Amt: 1799</t>
  </si>
  <si>
    <t>TR29211</t>
  </si>
  <si>
    <t>Zeshan S</t>
  </si>
  <si>
    <t>H-17, st-6, sector D East, DHA 1 Islamabad</t>
  </si>
  <si>
    <t>confirm 
 | 💰 COD Rec: No Date | Ref: CPR-P6TCD381940 | Amt: 2849</t>
  </si>
  <si>
    <t>ADI Multi Ref Stripes - 2XL / Black (x1), ADI Multi Ref Stripes - 2XL / White (x1)</t>
  </si>
  <si>
    <t>TR29212</t>
  </si>
  <si>
    <t>Muhammad Arham</t>
  </si>
  <si>
    <t>House No 57 Street No 1 Tulip Block Sector C Bahria Town Lahore Lahore</t>
  </si>
  <si>
    <t>TR29213</t>
  </si>
  <si>
    <t>+923451708086</t>
  </si>
  <si>
    <t>New Mahar Janral Store Near Civil Hospital Sillanwali Distic Sargodha Sillanwali</t>
  </si>
  <si>
    <t>Sillanwali</t>
  </si>
  <si>
    <t>confirm 
 | 💰 COD Rec: No Date | Ref: CPR-P6TCD381940 | Amt: 3349</t>
  </si>
  <si>
    <t>TR29214</t>
  </si>
  <si>
    <t xml:space="preserve"> near  Dei Glorium School ,kotla musa khan road , kotla musa khan , Ahmad pur east  Ahmad pur east</t>
  </si>
  <si>
    <t>TR29215</t>
  </si>
  <si>
    <t>Alamgir Khan</t>
  </si>
  <si>
    <t>F G Colony House No E /37 Hasan Ghari Shami Road Peshawar Peshawar</t>
  </si>
  <si>
    <t>TR29216</t>
  </si>
  <si>
    <t>Umar Shuja</t>
  </si>
  <si>
    <t>Shop # 3-A Hassan Apartment Extension neae civic center Karachi</t>
  </si>
  <si>
    <t>TR29217</t>
  </si>
  <si>
    <t>Muhammad Jahanzaib</t>
  </si>
  <si>
    <t>House No 99 Allama Iqbal Avenue Civil Hospital Road Bahawalpur Bahawalpur</t>
  </si>
  <si>
    <t xml:space="preserve">
 | 💰 COD Rec: No Date | Ref: CPR-P6TCD381940 | Amt: 3348</t>
  </si>
  <si>
    <t>TR29218</t>
  </si>
  <si>
    <t>Awon Ali</t>
  </si>
  <si>
    <t>Chak No 117 Jb Dhanolah Millat Road , Dhanolah stop  per a ker rider call ker la  Faisalabad</t>
  </si>
  <si>
    <t>confirm 
 | 💰 COD Rec: 20-Feb-2026 | Ref: CPR-245C7434461 | Amt: 1799</t>
  </si>
  <si>
    <t>TR29219</t>
  </si>
  <si>
    <t>Abdul Razzaq</t>
  </si>
  <si>
    <t>Dinanath Check Number 66 Zila Kasoor Tahsil Patan Ki Azeem Honda Service Adda Dinanath Manga</t>
  </si>
  <si>
    <t>Manga</t>
  </si>
  <si>
    <t xml:space="preserve">not ans cancel ker do </t>
  </si>
  <si>
    <t>TR29220</t>
  </si>
  <si>
    <t>gujarpur, Gujarat Gujarat</t>
  </si>
  <si>
    <t>Gujarat</t>
  </si>
  <si>
    <t xml:space="preserve">cancel again order ho gaya tha </t>
  </si>
  <si>
    <t>TR29221</t>
  </si>
  <si>
    <t>+923087656199</t>
  </si>
  <si>
    <t xml:space="preserve"> near jamiah musjid , gujarpur, Gujarat Gujarat</t>
  </si>
  <si>
    <t>LE7526802522</t>
  </si>
  <si>
    <t>TR29222</t>
  </si>
  <si>
    <t>Zarkon heights tower 4 g-15 islambad apartment 509 Islambad</t>
  </si>
  <si>
    <t>R ;  RIDER AYA THA MA AVAIL tha timeing issue confirm  power off ha 
 | ↩️ Return Charged: 2026-03-03 | Ref: CPR-UGST0244500 | Fee: 200</t>
  </si>
  <si>
    <t>TR29223</t>
  </si>
  <si>
    <t>Fizza Zia</t>
  </si>
  <si>
    <t>B 220 Block J North Nazimabad Karachi</t>
  </si>
  <si>
    <t>TR29224</t>
  </si>
  <si>
    <t>House no 243 , Street no 1E , Phase 1 , Haider Garden Jaranwala</t>
  </si>
  <si>
    <t>confirm 
 | 💰 COD Rec: No Date | Ref: CPR-P6TCD381940 | Amt: 6250</t>
  </si>
  <si>
    <t>TR29225</t>
  </si>
  <si>
    <t>Zuhaib Rehman</t>
  </si>
  <si>
    <t>Teez1 office Faraz town near gol masjid Tando adam Tando adam</t>
  </si>
  <si>
    <t>Tando adam</t>
  </si>
  <si>
    <t>TR29226</t>
  </si>
  <si>
    <t>Shayan Sohail</t>
  </si>
  <si>
    <t>Luckhnow society korangi house No Ls-80 sector 31/E Karachi</t>
  </si>
  <si>
    <t>call after return not ans 
confirm, rider wrong address phr agy tha reattempt krwa dy 
 | ↩️ Return Charged: 2026-03-03 | Ref: CPR-UGST0244500 | Fee: 213</t>
  </si>
  <si>
    <t>TR29227</t>
  </si>
  <si>
    <t>Muhammad abdullah Abdullah</t>
  </si>
  <si>
    <t>157 model town D block Lahore</t>
  </si>
  <si>
    <t>allow to open 
 | 💰 COD Rec: 20-Feb-2026 | Ref: CPR-245C7434461 | Amt: 2799</t>
  </si>
  <si>
    <t>TR29228</t>
  </si>
  <si>
    <t>Ghulam Mustafa Mustafa Ghulam</t>
  </si>
  <si>
    <t>+923174482803</t>
  </si>
  <si>
    <t>Gahu ghuman ky Phol naghr</t>
  </si>
  <si>
    <t>Phol naghr</t>
  </si>
  <si>
    <t xml:space="preserve">cancel kal chaiya </t>
  </si>
  <si>
    <t>TR29229</t>
  </si>
  <si>
    <t>Sohaib Nisar</t>
  </si>
  <si>
    <t>Sakhi Mobile Shop Madina Market Rajana Toba Tek Singh</t>
  </si>
  <si>
    <t>TR29230</t>
  </si>
  <si>
    <t>Saddan Azhar</t>
  </si>
  <si>
    <t>House 82, Block 5, Sector A2, Township Lahore Lahore</t>
  </si>
  <si>
    <t>confirm
 | 💰 COD Rec: 20-Feb-2026 | Ref: CPR-245C7434461 | Amt: 3348</t>
  </si>
  <si>
    <t>TR29231</t>
  </si>
  <si>
    <t>Aqeel Ahnad</t>
  </si>
  <si>
    <t>House no 144-B. AZIZ BHATTI TOWN SARGODHA Sargodha</t>
  </si>
  <si>
    <t>confirm
 | 💰 COD Rec: No Date | Ref: CPR-P6TCD381940 | Amt: 3348</t>
  </si>
  <si>
    <t>TR29232</t>
  </si>
  <si>
    <t>TR29233</t>
  </si>
  <si>
    <t>Hafeez Mustafa</t>
  </si>
  <si>
    <t>+923198238656</t>
  </si>
  <si>
    <t>Pwd cheezies near pita branch Rawalpindi isb</t>
  </si>
  <si>
    <t>Rawalpindi isb</t>
  </si>
  <si>
    <t>TR29234</t>
  </si>
  <si>
    <t>Muhammad Nadeem Hanif</t>
  </si>
  <si>
    <t>+923002029010</t>
  </si>
  <si>
    <t>House No. 12 block k Shah Rukny E Alam Colony Multan</t>
  </si>
  <si>
    <t>TR29235</t>
  </si>
  <si>
    <t xml:space="preserve">TR29065  replacement </t>
  </si>
  <si>
    <t>ADI Multi Ref Stripes - 2XL / Maroon (x1)</t>
  </si>
  <si>
    <t>TR29236</t>
  </si>
  <si>
    <t>Physio theropy department PNS SHIFA Hospital DHA PH-II Karachi Karachi</t>
  </si>
  <si>
    <t>confirm 
 | 💰 COD Rec: No Date | Ref: CPR-P6TCD381940 | Amt: 4049</t>
  </si>
  <si>
    <t>ADI Ref Stripes - M / White (x1), ADI Ref Stripes - M / Black (x1), ADI - EMBOSSED LOGO (Cotton) - M / Black (x1)</t>
  </si>
  <si>
    <t>TR29237</t>
  </si>
  <si>
    <t>Monis Hassan Bangash</t>
  </si>
  <si>
    <t>House No. 65, Street No. 1-a, Malik Town, Tarlai, Lehtarar Road Islamabad</t>
  </si>
  <si>
    <t>TR29238</t>
  </si>
  <si>
    <t>not ans 
not ans</t>
  </si>
  <si>
    <t>TR29239</t>
  </si>
  <si>
    <t>Nasir bagh opesite police calony Peshawar</t>
  </si>
  <si>
    <t>TR29240</t>
  </si>
  <si>
    <t>Syed Hassan Ali Shah</t>
  </si>
  <si>
    <t>FLAT NO.302, LOCATED ON THIRD FLOOR, IN THE BUILDING ON PLOT NO.37-C, ITTEHAD COMMERCIAL LANE NO.7, PHASE-VI, SITUATED IN PAKISTAN DEFENCE OFFICERS HOUSING AUTHORITY, KARACHI Karachi</t>
  </si>
  <si>
    <t>not ans
 | 💰 COD Rec: 2026-03-03 | Ref: CPR-UGST0244500 | Amt: 2849</t>
  </si>
  <si>
    <t>CPR-UGST0244500</t>
  </si>
  <si>
    <t>TR29241</t>
  </si>
  <si>
    <t>imran athar</t>
  </si>
  <si>
    <t>Qazi House Canal Road Near Tech Society Lahore</t>
  </si>
  <si>
    <t xml:space="preserve">
 | 💰 COD Rec: No Date | Ref: CPR-P6TCD381940 | Amt: 2849</t>
  </si>
  <si>
    <t>TR29242</t>
  </si>
  <si>
    <t>Zulkifal Mudassar</t>
  </si>
  <si>
    <t>House # 21-A guldasht town zarar shaheed road lahore Lahore</t>
  </si>
  <si>
    <t xml:space="preserve">
 | 💰 COD Rec: No Date | Ref: CPR-P6TCD381940 | Amt: 1899</t>
  </si>
  <si>
    <t>A | X Embroidery LOGO - M / Bottle Green (x1)</t>
  </si>
  <si>
    <t>TR29243</t>
  </si>
  <si>
    <t>Sundas Musa</t>
  </si>
  <si>
    <t>Rawalakot ajk askari bank near csd or hunger club Rawalakot</t>
  </si>
  <si>
    <t>R: kisi na koi rabta nhi kiya 
confirm power off ha 
 | ↩️ Return Charged: 2026-03-06 | Ref: CPR-OO04K926870 | Fee: 200</t>
  </si>
  <si>
    <t>TR29244</t>
  </si>
  <si>
    <t>Muhammad waqas Atta Muhammad</t>
  </si>
  <si>
    <t>Satrah khas Tehsil Daska District Sialkot Satrah</t>
  </si>
  <si>
    <t>Satrah</t>
  </si>
  <si>
    <t>confirmed 
 | 💰 COD Rec: No Date | Ref: CPR-P6TCD381940 | Amt: 2749</t>
  </si>
  <si>
    <t>TR29245</t>
  </si>
  <si>
    <t>Qazi Meraj</t>
  </si>
  <si>
    <t>+923009087202</t>
  </si>
  <si>
    <t>House 503 Street 32 Sector E-11/3 Islamabad</t>
  </si>
  <si>
    <t xml:space="preserve">
 | 💰 COD Rec: No Date | Ref: CPR-P6TCD381940 | Amt: 2749</t>
  </si>
  <si>
    <t>TR29246</t>
  </si>
  <si>
    <t>Naseem Khan</t>
  </si>
  <si>
    <t>Tariq Road Quarter No 3 peshwar cantt Peshwar</t>
  </si>
  <si>
    <t>TR29247</t>
  </si>
  <si>
    <t>Shakeel Ahmad</t>
  </si>
  <si>
    <t>Cb-199/1, Tti Road Wah cantt</t>
  </si>
  <si>
    <t>TR29248</t>
  </si>
  <si>
    <t>Sajid Khan</t>
  </si>
  <si>
    <t>Fateh Jhang road Faisal Town Islamabad</t>
  </si>
  <si>
    <t>confirm 
 | 💰 COD Rec: No Date | Ref: CPR-P6TCD381940 | Amt: 1449</t>
  </si>
  <si>
    <t>TR29249</t>
  </si>
  <si>
    <t>Salman Aslam</t>
  </si>
  <si>
    <t>+923364031295</t>
  </si>
  <si>
    <t>House Number 75-aziz House, Nishat Park, Paris Road Sialkot</t>
  </si>
  <si>
    <t>confirm on wp 
 | 💰 COD Rec: No Date | Ref: CPR-P6TCD381940 | Amt: 10248</t>
  </si>
  <si>
    <t>POLO RL - M / grey (x1), POLO RL - M / Blue (x1), Cotton lycra RL - M / Beige (x1), BRANDED TH - M / Zinc blue (x1), BRANDED TH - M / Olive (x1)</t>
  </si>
  <si>
    <t>TR29250</t>
  </si>
  <si>
    <t>Hamza Dhillon</t>
  </si>
  <si>
    <t>District Gujranwala Tehsil kamoke Post Office Wahndo Wando</t>
  </si>
  <si>
    <t>Wando</t>
  </si>
  <si>
    <t xml:space="preserve"> Wahndo tcs /lcs 
 | 💰 COD Rec: No Date | Ref: CPR-P6TCD381940 | Amt: 5199</t>
  </si>
  <si>
    <t>A | X Embroidery LOGO - L / Maroon (x1), A | X Embroidery LOGO - L / Bottle Green (x1), A | X Embroidery LOGO - XL / Black (x1)</t>
  </si>
  <si>
    <t>TR29251</t>
  </si>
  <si>
    <t>+923405046568</t>
  </si>
  <si>
    <t>confirm 
 | 💰 COD Rec: No Date | Ref: CPR-P6TCD381940 | Amt: 11148</t>
  </si>
  <si>
    <t>Dry fit T-shirt sleeveless Jor-Dan - L / Navy (x1), Dry fit T-shirt sleeveless Jor-Dan - L / Black (x1), NIK- Ref LOGO - L / white (x1), NIK- Ref LOGO - L / black (x1), Imported Scoba Executive Adi Tro - L / Silver Grey (x1), ADI-3strips Full TrackSuit - L / Pista (x1)</t>
  </si>
  <si>
    <t>TR29252</t>
  </si>
  <si>
    <t>Shahab Siddiqui</t>
  </si>
  <si>
    <t>Muhala caha abul khair , near gala mandi , khair pur tamewali distric bahawalpur Khair pur tamewali</t>
  </si>
  <si>
    <t>Khair pur tamewali</t>
  </si>
  <si>
    <t>LE7526815676</t>
  </si>
  <si>
    <t>confirm leopard 
 | 💰 COD Rec: No Date | Ref:  | Amt: 3099</t>
  </si>
  <si>
    <t>TR29253</t>
  </si>
  <si>
    <t>Haider Shah</t>
  </si>
  <si>
    <t>+923095633406</t>
  </si>
  <si>
    <t>Pasror Bhi Pas Sialkot</t>
  </si>
  <si>
    <t xml:space="preserve">(umair whatsapp msg done)  complete address nahi da raha boll raha yahi address haa advance bhi nahi da raha </t>
  </si>
  <si>
    <t>TR29254</t>
  </si>
  <si>
    <t>Abdulrehman Sandhu</t>
  </si>
  <si>
    <t>House 372 Street 8 F block Dha Phase 6 Lahore</t>
  </si>
  <si>
    <t>TR29255</t>
  </si>
  <si>
    <t>Shuja Mamu</t>
  </si>
  <si>
    <t>AB Digital Printing House .Islmabad office b15 rahmat center blue area islamabad Islamabad</t>
  </si>
  <si>
    <t>TR29256</t>
  </si>
  <si>
    <t>Muhammad Javed</t>
  </si>
  <si>
    <t>Chowk Azam road , tarku adda , near total parco gas station  Chowk Azam</t>
  </si>
  <si>
    <t>Chowk Azam</t>
  </si>
  <si>
    <t>confirm 
 | 💰 COD Rec: 2026-03-03 | Ref: CPR-UGST0244500 | Amt: 2849</t>
  </si>
  <si>
    <t>TR29257</t>
  </si>
  <si>
    <t>Zain Naeem</t>
  </si>
  <si>
    <t>168/C block 3 white palace tower flat no 503 8th floor PECHS Karachi Karachi</t>
  </si>
  <si>
    <t>confirm 
 | 💰 COD Rec: No Date | Ref: CPR-P6TCD381940 | Amt: 8796</t>
  </si>
  <si>
    <t>ADI Ref Stripes - 2XL / Black (x1), ADI Multi Ref Stripes - 2XL / Maroon (x1), ADI Multi Ref Stripes - 2XL / Navy Blue (x1), ADI Ref Stripes - 2XL / White (x1), ADI Multi Ref Stripes - 2XL / Black (x2)</t>
  </si>
  <si>
    <t>TR29258</t>
  </si>
  <si>
    <t>Nadeem SAleem</t>
  </si>
  <si>
    <t>House56, street 4, Mukaram town lane 2. Misrial road Rawalpindi</t>
  </si>
  <si>
    <t>TR29259</t>
  </si>
  <si>
    <t>abdul rehman</t>
  </si>
  <si>
    <t>Sky garment main bazar kaleki mandi distric Hafiz abad Hafiz abad</t>
  </si>
  <si>
    <t>Hafiz abad</t>
  </si>
  <si>
    <t>call after return fabric acha nahi tha 
 allow to open  rider na open kerna nahi  diya 
 | ↩️ Return Charged: 2026-02-27 | Ref: CPR-YYTRB955152 | Fee: 200</t>
  </si>
  <si>
    <t>TR29260</t>
  </si>
  <si>
    <t>idrees shah</t>
  </si>
  <si>
    <t>+923161354681</t>
  </si>
  <si>
    <t>sector 4 street 8 house 30 naval colony hub river road after kifayah its an society. karachi</t>
  </si>
  <si>
    <t>whatsup 
 | 💰 COD Rec: No Date | Ref: CPR-P6TCD381940 | Amt: 3099</t>
  </si>
  <si>
    <t>TR29261</t>
  </si>
  <si>
    <t>Rasikh Dastgir</t>
  </si>
  <si>
    <t>Al.Hamd filing station askri bye pass multan multan</t>
  </si>
  <si>
    <t>TR29262</t>
  </si>
  <si>
    <t>only dc lagani haa  TR29045exchnage 
 | 💰 COD Rec: 2026-02-27 | Ref: CPR-YYTRB955152 | Amt: 250</t>
  </si>
  <si>
    <t>A | X Embroidery LOGO - XL / Biscuit (x1), A | X Embroidery LOGO - XL / Pista (x1)</t>
  </si>
  <si>
    <t>TR29263</t>
  </si>
  <si>
    <t>Hassan Ali</t>
  </si>
  <si>
    <t>Canal Garden House nbr 180 H block Canal Road Lahore Lahore</t>
  </si>
  <si>
    <t>TR29264</t>
  </si>
  <si>
    <t>Shahzaib Razzaq</t>
  </si>
  <si>
    <t>Awasia moblie bhagowal kalan Gujrat</t>
  </si>
  <si>
    <t>R; OUT OF CITY CHALA GAYA HOO NAHI LENA Shahzaib gher per nahi haa confirm ( bhagowal kalan) kasba haa ya  
 | ↩️ Return Charged: 2026-03-03 | Ref: CPR-UGST0244500 | Fee: 220</t>
  </si>
  <si>
    <t>TR29265</t>
  </si>
  <si>
    <t>Awasia moblie bhagowal kalan Bhagowal kalan</t>
  </si>
  <si>
    <t>Bhagowal kalan</t>
  </si>
  <si>
    <t xml:space="preserve">cancel TR29264
already order kiya hua haa </t>
  </si>
  <si>
    <t>TR29266</t>
  </si>
  <si>
    <t>MAK Arshad khan</t>
  </si>
  <si>
    <t>H# 682 St # 04 Phase 03 Z Block Dha Lahore Lahore</t>
  </si>
  <si>
    <t>A | X Embroidery LOGO - 2XL / Bottle Green (x1)</t>
  </si>
  <si>
    <t>TR29267</t>
  </si>
  <si>
    <t>Najma Ansar</t>
  </si>
  <si>
    <t>+923427433449</t>
  </si>
  <si>
    <t>Lateef Nagar street # 8 Sammundri Sammundri</t>
  </si>
  <si>
    <t>Sammundri</t>
  </si>
  <si>
    <t xml:space="preserve">CANCEL NO NEED KAL CHAIYA THA OUT OF CITY JA RAHA </t>
  </si>
  <si>
    <t>TR29268</t>
  </si>
  <si>
    <t>Huzaifa Raheel</t>
  </si>
  <si>
    <t>House no.71 block A1 pnd society lahore Lahore</t>
  </si>
  <si>
    <t>A | X Embroidery LOGO - 2XL / Bottle Green (x1), A | X Embroidery LOGO - 2XL / Biscuit (x1)</t>
  </si>
  <si>
    <t>TR29269</t>
  </si>
  <si>
    <t>Noman Ahmad</t>
  </si>
  <si>
    <t>(delivery time: 10 to 4 pm ) Office No 74-6th floor madina tower muslim town more wahdat road lahore Lahore</t>
  </si>
  <si>
    <t>office close ho gaya tha 
issue 
confirm by umair
10 to 4 pm delivery time mention kro alag say slip laga kr parcel par 
 | ↩️ Return Charged: 2026-03-16 | Ref: CPR-AEDNR633590 | Fee: 107</t>
  </si>
  <si>
    <t>TR29270</t>
  </si>
  <si>
    <t>Jehanzaib mumtaz</t>
  </si>
  <si>
    <t>43 c n gulberg 2 Lahore</t>
  </si>
  <si>
    <t>TR29271</t>
  </si>
  <si>
    <t>Faisal surya Surya</t>
  </si>
  <si>
    <t>HOUSE no, A-496 block 19 near  electric power house gulshan .e. Iqbal karachi Karachi</t>
  </si>
  <si>
    <t>confirm 
 | 💰 COD Rec: 2026-02-27 | Ref: CPR-YYTRB955152 | Amt: 2199</t>
  </si>
  <si>
    <t>TR29272</t>
  </si>
  <si>
    <t>Dr Nasir Jaffery</t>
  </si>
  <si>
    <t>House No 266 , Street No 8 , Sector E , Askari X Lahore</t>
  </si>
  <si>
    <t>TR29273</t>
  </si>
  <si>
    <t>Syed Baqar</t>
  </si>
  <si>
    <t>Flat No. 405 Dua Corner, plot 137Jamshed Quarter Near by Nashtar Park Aisha Masjid Karachi</t>
  </si>
  <si>
    <t>allow to open
 | 💰 COD Rec: No Date | Ref: CPR-P6TCD381940 | Amt: 3549</t>
  </si>
  <si>
    <t>A | X Embroidery LOGO - L / Bottle Green (x1), A | X Embroidery LOGO - L / Biscuit (x1)</t>
  </si>
  <si>
    <t>TR29274</t>
  </si>
  <si>
    <t>Suleman Qazi</t>
  </si>
  <si>
    <t>Gate no 1 bahira orchid lahore OLC A BLOCK 1421/5LAHORE Lahore</t>
  </si>
  <si>
    <t>TR29275</t>
  </si>
  <si>
    <t>57-a-ahmed Block Garden Town Lahore Lahore</t>
  </si>
  <si>
    <t>TR29276</t>
  </si>
  <si>
    <t>Sajjad Ibrahim</t>
  </si>
  <si>
    <t>Gull Bahar Salman Bekri Peshawar</t>
  </si>
  <si>
    <t>Rashid Satti</t>
  </si>
  <si>
    <t>H no bc44 st 02 Bilal colony kuri road shekrial rwp Rawalpindi</t>
  </si>
  <si>
    <t>r; cancel ker dein no need thanks 
confirm cancel mera beta ko white chaiya 
 | ↩️ Return Charged: 2026-03-06 | Ref: CPR-OO04K926870 | Fee: 200</t>
  </si>
  <si>
    <t>Mubeen Kamran</t>
  </si>
  <si>
    <t>107/1 10comm street phase 4 dha Karachi</t>
  </si>
  <si>
    <t>H. No 129 Street No 16 Near HBL Bank Talhi Mohri Rawalpindi</t>
  </si>
  <si>
    <t>Bilal Riaz</t>
  </si>
  <si>
    <t>Canal road asharfi vellas house no 14 Faisalabad</t>
  </si>
  <si>
    <t>Arslan Shahzad</t>
  </si>
  <si>
    <t>Kamalia Kamalia</t>
  </si>
  <si>
    <t xml:space="preserve">cancel on call umair - not ans (umair whatsapp msg done) hold </t>
  </si>
  <si>
    <t>Ali Hassan Ali hassan</t>
  </si>
  <si>
    <t>Bismillah Chowk Samanabad Near Shehri Pan Shop Gujranwala Gujranwala</t>
  </si>
  <si>
    <t>Hammad Hassan</t>
  </si>
  <si>
    <t>Sabaz mandi Sadiqabad</t>
  </si>
  <si>
    <t>R ;  mujha nahi yaad ka rider aya ka nahi ap  ap again bhej do  
confirm consignee want to open parcel 
 | ↩️ Return Charged: 2026-03-06 | Ref: CPR-OO04K926870 | Fee: 200</t>
  </si>
  <si>
    <t>Shahab Ulhaidar</t>
  </si>
  <si>
    <t>Baloch house st 2 sultan colony Mian Channu</t>
  </si>
  <si>
    <t>confirm 
 | 💰 COD Rec: No Date | Ref: CPR-P6TCD381940 | Amt: 2148</t>
  </si>
  <si>
    <t>Sakhi Razaq</t>
  </si>
  <si>
    <t>Peshawar forest Bazar and agriculture University Peshawar</t>
  </si>
  <si>
    <t>R: NOT ans
fake attemt koi call nahi ai confirm 
 | ↩️ Return Charged: 2026-03-06 | Ref: CPR-OO04K926870 | Fee: 213</t>
  </si>
  <si>
    <t>Mehran Rasheed Mehran</t>
  </si>
  <si>
    <t>Taftan Rifles FC Bloacchistan post Office Nokkundi &amp; District Chagi Nokkundi</t>
  </si>
  <si>
    <t>Nokkundi</t>
  </si>
  <si>
    <t xml:space="preserve">cancel no courier avail in this area </t>
  </si>
  <si>
    <t>Azam Shahazad</t>
  </si>
  <si>
    <t>Faisalabad samnabad bilal chowk Faisalabad</t>
  </si>
  <si>
    <t>R: mana phone change kiya tha 1 week sim off thi 
jab order kerna ho ga toh khud order ker do gaa ma 
confirm yahi address haa   not ans power off 
 | ↩️ Return Charged: 2026-03-06 | Ref: CPR-OO04K926870 | Fee: 200</t>
  </si>
  <si>
    <t>Fayaz Ali</t>
  </si>
  <si>
    <t>Po Club Cadet College Petaro Near Power House Jamshoro Hyderabad Sindh Jamshoro</t>
  </si>
  <si>
    <t>allow to open 
 | 💰 COD Rec: 2026-02-27 | Ref: CPR-YYTRB955152 | Amt: 3348</t>
  </si>
  <si>
    <t>TR28975 exchnage only dc lagani haa 
 | 💰 COD Rec: No Date | Ref: CPR-P6TCD381940 | Amt: 249</t>
  </si>
  <si>
    <t>Mian Omer</t>
  </si>
  <si>
    <t>+923218874049</t>
  </si>
  <si>
    <t>35 c statelife houseing society lahore Lahore</t>
  </si>
  <si>
    <t>confirm on wp 
 | 💰 COD Rec: No Date | Ref: CPR-P6TCD381940 | Amt: 2849</t>
  </si>
  <si>
    <t>Muhammad Amaar Mumtaz</t>
  </si>
  <si>
    <t>Sharqi colony house no 10N northern block Vehari</t>
  </si>
  <si>
    <t>call after retun number musroof haa 
confirm  cancel ker dein mera mood change ho gaya haa 
 | ↩️ Return Charged: 2026-03-03 | Ref: CPR-UGST0244500 | Fee: 220</t>
  </si>
  <si>
    <t>Malik Amir Jameel</t>
  </si>
  <si>
    <t>P 50 Shadman Colony Faisalabad Faisalabad</t>
  </si>
  <si>
    <t xml:space="preserve"> r ; power off ha 
confirm mujha rider ki koi call nahi ai </t>
  </si>
  <si>
    <t>InstaLogistics</t>
  </si>
  <si>
    <t>Farid safvi</t>
  </si>
  <si>
    <t>+923158436518</t>
  </si>
  <si>
    <t>R:   MUJHA LCS YA TCS SA HI DELIVER HOTA HAA POSTEX SA NAHI 
fake attempt koi call nahi ai confirm 
 | ↩️ Return Charged: 2026-03-03 | Ref: CPR-UGST0244500 | Fee: 120</t>
  </si>
  <si>
    <t>SYED Syed Azeem Ashraf</t>
  </si>
  <si>
    <t>+923328661266</t>
  </si>
  <si>
    <t>House No 43 Tahir Chowk (near Marhaba Mart) Jhumra Road Khurrianwala Faisalabad Faisalabad</t>
  </si>
  <si>
    <t>confirm 
 | 💰 COD Rec: 2026-02-27 | Ref: CPR-YYTRB955152 | Amt: 3549</t>
  </si>
  <si>
    <t>A | X Embroidery LOGO - XL / American Blue (x1), A | X Embroidery LOGO - XL / Bottle Green (x1)</t>
  </si>
  <si>
    <t>Hamza Saeed</t>
  </si>
  <si>
    <t>shadman Colony 1 Street 2 House P-10 Faisalabad</t>
  </si>
  <si>
    <t>confirm 
 | 💰 COD Rec: 2026-02-27 | Ref: CPR-YYTRB955152 | Amt: 3849</t>
  </si>
  <si>
    <t>ADI Multi Ref Stripes - 3XL / Navy Blue (x1), ADI Multi Ref Stripes - 3XL / Black (x1)</t>
  </si>
  <si>
    <t>ADI Multi Ref Stripes - 2XL / Navy Blue (x1)</t>
  </si>
  <si>
    <t>Talat Rahim</t>
  </si>
  <si>
    <t>219-A Al Hamra Town jan Muhammad road near kachi kothi thokar niazi baig Lahore Lahore</t>
  </si>
  <si>
    <t xml:space="preserve">CANCEL THIS ONE </t>
  </si>
  <si>
    <t>Altaf Rehman</t>
  </si>
  <si>
    <t>Askari 5malir cantt Karachi</t>
  </si>
  <si>
    <t>(cancel by umair) umair whatsapp msg done)  not ans</t>
  </si>
  <si>
    <t>Babrus Ali</t>
  </si>
  <si>
    <t>Nawab Nusrat Iqbal house, Near Amaan marriage hall, Kahror Pakka Kahror Pakka</t>
  </si>
  <si>
    <t>Syed Bilal Mujtaba</t>
  </si>
  <si>
    <t>Tehsildar Office near Police Station City District Bahawalnagar</t>
  </si>
  <si>
    <t>District Bahawalnagar</t>
  </si>
  <si>
    <t>R;  not ans 
mujha koi call nahi ai cofirm 
 | ↩️ Return Charged: 2026-03-06 | Ref: CPR-OO04K926870 | Fee: 200</t>
  </si>
  <si>
    <t>Badar Luhur</t>
  </si>
  <si>
    <t>Luhur filling station near opf colony larkana Larkana</t>
  </si>
  <si>
    <t>confirm 
 | 💰 COD Rec: No Date | Ref: CPR-P6TCD381940 | Amt: 3798</t>
  </si>
  <si>
    <t>Basic Branded Adi Trouser - L / Black (x1), A | X Embroidery LOGO - L / Bottle Green (x1)</t>
  </si>
  <si>
    <t>Muhammad Ahmad</t>
  </si>
  <si>
    <t>T Kamoke Z Gujrawala Wando</t>
  </si>
  <si>
    <t xml:space="preserve">(umair whatsapp msg done) not ans </t>
  </si>
  <si>
    <t>saad hunani</t>
  </si>
  <si>
    <t>Flat 406  forth floor al jannat shines appartment near naseem cloth market garden west Karachi</t>
  </si>
  <si>
    <t xml:space="preserve">
 | 💰 COD Rec: 2026-02-27 | Ref: CPR-YYTRB955152 | Amt: 3099</t>
  </si>
  <si>
    <t>Afaq khan khan</t>
  </si>
  <si>
    <t>Canal Garden AA block imran plaza Lahore</t>
  </si>
  <si>
    <t>r; power off  
not ans   hold 1 ko dispatch kerna ha 
 | ↩️ Return Charged: 2026-03-13 | Ref: CPR-PUPPV418827 | Fee: 107</t>
  </si>
  <si>
    <t>Huzaifa Tariq</t>
  </si>
  <si>
    <t>House 419, street 3, corniche road, Bahria springs, Bahria phase 7 Rawalpindi</t>
  </si>
  <si>
    <t>Adnan shafi Shafi</t>
  </si>
  <si>
    <t>Mohallah Madan shah ward no 7 Gali Hakeem younes wali, Jhang city Jhang</t>
  </si>
  <si>
    <t>Gurmeet Kumar Kukreja</t>
  </si>
  <si>
    <t>Hussaniyan imam bargha Luqman Khairpur Mirs Khairpur Mirs Luqman Colony</t>
  </si>
  <si>
    <t>Khairpur Mirs Luqman Colony</t>
  </si>
  <si>
    <t>+923153811460</t>
  </si>
  <si>
    <t>confirm  yahi shirt mana 800 ki lali ha bazzar sa 
 | ↩️ Return Charged: 2026-03-06 | Ref: CPR-OO04K926870 | Fee: 213</t>
  </si>
  <si>
    <t>EBBAD KHAN</t>
  </si>
  <si>
    <t>HOUSE 612 STREET 6 WODOS BLOCK PARAGON CITY BARKI ROAD Lahore</t>
  </si>
  <si>
    <t>confirm
 | 💰 COD Rec: No Date | Ref: CPR-P6TCD381940 | Amt: 3347</t>
  </si>
  <si>
    <t>Multi ref PUM-A - 2XL / Black (x1), Multi ref PUM-A - 2XL / White (x1)</t>
  </si>
  <si>
    <t>Hassan ali Ali</t>
  </si>
  <si>
    <t>+3234202260</t>
  </si>
  <si>
    <t>37-a-aziz Road Misri Shah Lahore</t>
  </si>
  <si>
    <t>confirm not ans dosra phone sa call ki haa 
 | 💰 COD Rec: 2026-03-16 | Ref: CPR-AEDNR633590 | Amt: 3348</t>
  </si>
  <si>
    <t>CPR-AEDNR633590</t>
  </si>
  <si>
    <t>Muhammad Awais Khan</t>
  </si>
  <si>
    <t>+923001005909</t>
  </si>
  <si>
    <t>Village 1 Sp Wasawaywala Haveli Lakha</t>
  </si>
  <si>
    <t>Haveli Lakha</t>
  </si>
  <si>
    <t>LE7526913652</t>
  </si>
  <si>
    <t xml:space="preserve">Haveli Lakha tcs / lcs </t>
  </si>
  <si>
    <t>Sarmad Sabir</t>
  </si>
  <si>
    <t>H 293 , Street 54 , Block C , Gulshan Sehat , E18 Islamabad. Islamabad</t>
  </si>
  <si>
    <t>confirm 
 | 💰 COD Rec: No Date | Ref: CPR-P6TCD381940 | Amt: 3347</t>
  </si>
  <si>
    <t>Syed Ali</t>
  </si>
  <si>
    <t>Flat no 802 the Saima Grand block H North nazimabad Karachi</t>
  </si>
  <si>
    <t>Mohsin Awan</t>
  </si>
  <si>
    <t>Chongi amar sidho pull bandya walla nazd muzafar jarnal store Lahore</t>
  </si>
  <si>
    <t>r :  rider aya tha ma out of city hoo 
confirm  power off haa 
 | ↩️ Return Charged: 2026-03-03 | Ref: CPR-UGST0244500 | Fee: 107</t>
  </si>
  <si>
    <t>Saba Ali</t>
  </si>
  <si>
    <t>23 h gulberg 2 bank alfalah Lahore Lahore</t>
  </si>
  <si>
    <t>Sajid Ali Sajid Ali</t>
  </si>
  <si>
    <t>+923154754497</t>
  </si>
  <si>
    <t>MES DP office Chaklala  Near Askri6 Rawalpindi Rawalpindi</t>
  </si>
  <si>
    <t>TR29284 exchnage 1200   lagana haa basss 
 | 💰 COD Rec: 2026-03-03 | Ref: CPR-UGST0244500 | Amt: 1200</t>
  </si>
  <si>
    <t>Wasi Chaudhry</t>
  </si>
  <si>
    <t>House no 4 chambeli block bahria town Lahore</t>
  </si>
  <si>
    <t xml:space="preserve">(cancel by umair) whatsapp number off ha no ans on </t>
  </si>
  <si>
    <t>Faisal Shahzad</t>
  </si>
  <si>
    <t>Deputy Director Development Chakwal Chakwal</t>
  </si>
  <si>
    <t xml:space="preserve">
 | 💰 COD Rec: 2026-02-27 | Ref: CPR-YYTRB955152 | Amt: 3348</t>
  </si>
  <si>
    <t>Harris Khan</t>
  </si>
  <si>
    <t># 195-alnoor Garden House No Bahawalpur</t>
  </si>
  <si>
    <t>confirm 
 | 💰 COD Rec: 2026-03-06 | Ref: CPR-OO04K926870 | Amt: 5049</t>
  </si>
  <si>
    <t>NIK- Ref LOGO - XL / black (x1), Multi ref PUM-A - XL / White (x1), Multi ref PUM-A - XL / Black (x1)</t>
  </si>
  <si>
    <t>CPR-OO04K926870</t>
  </si>
  <si>
    <t>Aliyaz Ahmad</t>
  </si>
  <si>
    <t>Gahkuch Ghizer Gahkuch</t>
  </si>
  <si>
    <t>Gahkuch</t>
  </si>
  <si>
    <t xml:space="preserve">(cancel kr do fake customer) not ans </t>
  </si>
  <si>
    <t>Akhtar colony sec C house no 180 street no 5 Karachi Karachi</t>
  </si>
  <si>
    <t xml:space="preserve">
 | 💰 COD Rec: 2026-02-27 | Ref: CPR-YYTRB955152 | Amt: 1899</t>
  </si>
  <si>
    <t>Ahmed Bilal</t>
  </si>
  <si>
    <t>Apartment D ground floor. block 1. askari Heights 3 Dha Phase 5 Islamabad</t>
  </si>
  <si>
    <t xml:space="preserve">
 | 💰 COD Rec: 2026-02-27 | Ref: CPR-YYTRB955152 | Amt: 2599</t>
  </si>
  <si>
    <t>Popcorn Polo - L / White (x1)</t>
  </si>
  <si>
    <t>Rauf Aslam Awan Awan</t>
  </si>
  <si>
    <t>H#13 st#2 sec#H DHA2 ISLAMABAD Islamabad</t>
  </si>
  <si>
    <t>allow to open confirm ha 
 | 💰 COD Rec: 2026-03-03 | Ref: CPR-UGST0244500 | Amt: 3348</t>
  </si>
  <si>
    <t>Rafi Ullah</t>
  </si>
  <si>
    <t>Housing coluny 2 House #-45/B Layyah</t>
  </si>
  <si>
    <t xml:space="preserve">
 | 💰 COD Rec: 2026-02-27 | Ref: CPR-YYTRB955152 | Amt: 3849</t>
  </si>
  <si>
    <t>ADI Multi Ref Stripes - 4XL / Maroon (x1), ADI Multi Ref Stripes - 4XL / Black (x1)</t>
  </si>
  <si>
    <t>Amir zaman</t>
  </si>
  <si>
    <t>House 16 street 7 A block EDEN  value homes multan road Lahore LAHORE</t>
  </si>
  <si>
    <t>R: rider aya tha mana address dekha toh pass ka tha shop sa a ker lo ga rider aya tha ma avil nahi tha 
 | ↩️ Return Charged: 2026-03-03 | Ref: CPR-UGST0244500 | Fee: 107</t>
  </si>
  <si>
    <t>Hamza Umer allow to open</t>
  </si>
  <si>
    <t>UBL bank  dha phase 8 Broadway Lahore Lahore</t>
  </si>
  <si>
    <t>Saleem Joyia</t>
  </si>
  <si>
    <t>Bhawalngr dunga bunga sajid book dipo Dunga Bunga</t>
  </si>
  <si>
    <t>Dunga Bunga</t>
  </si>
  <si>
    <t>LE7526913654</t>
  </si>
  <si>
    <t xml:space="preserve"> allow to open confirm </t>
  </si>
  <si>
    <t>Saad Kasi</t>
  </si>
  <si>
    <t>Arbab Town Samungli Road Quetta</t>
  </si>
  <si>
    <t>not ans 
cancel by umair, customer nahi lena chahta</t>
  </si>
  <si>
    <t>Ijaz Haider Malik</t>
  </si>
  <si>
    <t>House 749 street 17 G.10.1 Islamabad</t>
  </si>
  <si>
    <t>confirm +92 333 5690567
 | 💰 COD Rec: 2026-03-03 | Ref: CPR-UGST0244500 | Amt: 3549</t>
  </si>
  <si>
    <t>A | X Embroidery LOGO - L / Navy (x1), A | X Embroidery LOGO - L / Black (x1)</t>
  </si>
  <si>
    <t>Qadeer Hassan</t>
  </si>
  <si>
    <t>Green city barki road house number 262 block B upper portion Lahore</t>
  </si>
  <si>
    <t xml:space="preserve">
 | 💰 COD Rec: 2026-02-27 | Ref: CPR-YYTRB955152 | Amt: 2849</t>
  </si>
  <si>
    <t>Shahzad Mahmood</t>
  </si>
  <si>
    <t>+923485104900</t>
  </si>
  <si>
    <t>Had banbawala check lakan Daska</t>
  </si>
  <si>
    <t>postex head Bambanwala 
 | 💰 COD Rec: 2026-03-03 | Ref: CPR-UGST0244500 | Amt: 3348</t>
  </si>
  <si>
    <t>Mohammad Aamir</t>
  </si>
  <si>
    <t>Khan Pur Lahore to Sheikhupura road Sheikhupura</t>
  </si>
  <si>
    <t>Dr. Zain Ul Abidin Zain Ul Abidin</t>
  </si>
  <si>
    <t>+923336271017</t>
  </si>
  <si>
    <t>Cookooz Cafe Grill Sharqi Colony Vehari</t>
  </si>
  <si>
    <t>confirm 
 | 💰 COD Rec: 2026-03-03 | Ref: CPR-UGST0244500 | Amt: 2199</t>
  </si>
  <si>
    <t>N_F Branded Dri-Fit  T-shirt - L / Black (x1)</t>
  </si>
  <si>
    <t>Raja Sb</t>
  </si>
  <si>
    <t>Rawalpindi silk centre J. Plaza 3rd floor Rawalpindi</t>
  </si>
  <si>
    <t>M Mohsin mohsin</t>
  </si>
  <si>
    <t>Suraj Miani  Taj pur Sandilah Multan</t>
  </si>
  <si>
    <t xml:space="preserve">
 | 💰 COD Rec: 2026-02-27 | Ref: CPR-YYTRB955152 | Amt: 2399</t>
  </si>
  <si>
    <t>Cotton lycra RL - M / Beige (x1)</t>
  </si>
  <si>
    <t>Muhammad Sufyan Bashir</t>
  </si>
  <si>
    <t>Village humboki tehsil Noshehra Virkan district Gujranwala Gujranwala</t>
  </si>
  <si>
    <t>r ; family issue tha is liya nahi liya or nahi lena ab 
confirm order cancel nahi lena mana cancel ker diya tha 
 | ↩️ Return Charged: 2026-03-13 | Ref: CPR-PUPPV418827 | Fee: 200</t>
  </si>
  <si>
    <t>ARSLAN Ahmad</t>
  </si>
  <si>
    <t>fazilpur post office mandiala tegha tehsil kamoke district gujranwala Gujranwala</t>
  </si>
  <si>
    <t>Waseem Nawaz</t>
  </si>
  <si>
    <t>St#5, 529-B, New Lahore City, Lahore Lahore</t>
  </si>
  <si>
    <t xml:space="preserve">
 | 💰 COD Rec: 2026-02-27 | Ref: CPR-YYTRB955152 | Amt: 5000</t>
  </si>
  <si>
    <t>ADI - EMBOSSED LOGO (Cotton) - M / Dark Red(Maroon) (x1), ADI - EMBOSSED LOGO (Cotton) - M / Black (x1), ADI Ref Stripes - M / White (x1), ADI Ref Stripes - M / Black (x1)</t>
  </si>
  <si>
    <t xml:space="preserve">fake order off </t>
  </si>
  <si>
    <t>Zakria Zakria</t>
  </si>
  <si>
    <t>+923000412977</t>
  </si>
  <si>
    <t>Shaheen Paper Mill Hafiz Abad Road Near Alam Chowk Gujranwala</t>
  </si>
  <si>
    <t>confirmed 
 | 💰 COD Rec: 2026-02-27 | Ref: CPR-YYTRB955152 | Amt: 2749</t>
  </si>
  <si>
    <t>Ahsan Ammad</t>
  </si>
  <si>
    <t>Abdullah law chambers 1 turner road Lahore Lahore</t>
  </si>
  <si>
    <t>Khizar Khan</t>
  </si>
  <si>
    <t>Sector D street no 3 house no 14 qayyumabad karachi Karachi</t>
  </si>
  <si>
    <t xml:space="preserve">
 | 💰 COD Rec: 2026-03-03 | Ref: CPR-UGST0244500 | Amt: 3348</t>
  </si>
  <si>
    <t>Muhammad Waqas</t>
  </si>
  <si>
    <t>Dubai Gardan Town house number 385 sahiwal Sahiwal</t>
  </si>
  <si>
    <t>confirm 
 | 💰 COD Rec: 2026-03-03 | Ref: CPR-UGST0244500 | Amt: 3348</t>
  </si>
  <si>
    <t>Shamkay Grid wapda lesco Lahore</t>
  </si>
  <si>
    <t>250 received product amount lagani haa 
 | 💰 COD Rec: 2026-03-03 | Ref: CPR-UGST0244500 | Amt: 1800</t>
  </si>
  <si>
    <t>+923302299776</t>
  </si>
  <si>
    <t>44-o block 6 pechs nursery razi road karachi Karachi</t>
  </si>
  <si>
    <t xml:space="preserve">
 | 💰 COD Rec: 2026-03-03 | Ref: CPR-UGST0244500 | Amt: 3099</t>
  </si>
  <si>
    <t>Saleem Ullah</t>
  </si>
  <si>
    <t>Aviation Mess, RazaShah Road, Talwar Chowk, Multan Cantt Multan</t>
  </si>
  <si>
    <t>Qazi Khan</t>
  </si>
  <si>
    <t>G13/3 st 1 Islamabad</t>
  </si>
  <si>
    <t>R: AP KI QUALITY ACHI NAHI THI 
mujha koi call nahi ai 
 | ↩️ Return Charged: 2026-03-06 | Ref: CPR-OO04K926870 | Fee: 200</t>
  </si>
  <si>
    <t>Syed Javaid Murtaza</t>
  </si>
  <si>
    <t>Jeewan city phase 2 house 5 Sahiwal</t>
  </si>
  <si>
    <t>order confirmed
 | 💰 COD Rec: 2026-02-27 | Ref: CPR-YYTRB955152 | Amt: 2749</t>
  </si>
  <si>
    <t>M Rehan Abbasi</t>
  </si>
  <si>
    <t>+923335094500</t>
  </si>
  <si>
    <t>3-raja Market Banaras Calony Near Scheem 3 Rawalpindi</t>
  </si>
  <si>
    <t>confirmed
 | 💰 COD Rec: 2026-02-27 | Ref: CPR-YYTRB955152 | Amt: 3348</t>
  </si>
  <si>
    <t>Huzaifa Awan</t>
  </si>
  <si>
    <t>Near bop kandan sian daska sialkot Daska</t>
  </si>
  <si>
    <t>R ;  NOT ANS rider aya tha ma gujrawala hoo 
 | ↩️ Return Charged: 2026-03-03 | Ref: CPR-UGST0244500 | Fee: 200</t>
  </si>
  <si>
    <t>Babar ALI</t>
  </si>
  <si>
    <t>Siddque Mari mehar shah qubo Shikarpur</t>
  </si>
  <si>
    <t>Adil Waseem</t>
  </si>
  <si>
    <t>P 831/7 street 3 mughal pura 3 near quaid e azam public schoolsheikhupura road Faisalabad</t>
  </si>
  <si>
    <t>confirmed
 | 💰 COD Rec: 2026-02-27 | Ref: CPR-YYTRB955152 | Amt: 3099</t>
  </si>
  <si>
    <t>Ali Haider</t>
  </si>
  <si>
    <t>Plot G 89 / A KE 267 gizri P and T colony karachi Karachi</t>
  </si>
  <si>
    <t>confirmed  OPen allow 
 | 💰 COD Rec: 2026-02-27 | Ref: CPR-YYTRB955152 | Amt: 3348</t>
  </si>
  <si>
    <t>Faizi Fauzi</t>
  </si>
  <si>
    <t>Aziz garden 127 house SiLkot</t>
  </si>
  <si>
    <t>SiLkot</t>
  </si>
  <si>
    <t xml:space="preserve">
 | 💰 COD Rec: 2026-02-27 | Ref: CPR-YYTRB955152 | Amt: 2749</t>
  </si>
  <si>
    <t>Faheem Qaiser</t>
  </si>
  <si>
    <t>Auto Nest, Main service raid G 12, Near Tameer e Watan School, Opposite G13 Metro Station Islamabad</t>
  </si>
  <si>
    <t>Malik Waqas</t>
  </si>
  <si>
    <t>Daska road adha stop chabilpur Sialkot</t>
  </si>
  <si>
    <t>confirmed 
 | 💰 COD Rec: 2026-02-27 | Ref: CPR-YYTRB955152 | Amt: 1899</t>
  </si>
  <si>
    <t>Shaikh Muhammad Adeel</t>
  </si>
  <si>
    <t>B-13 block# 3 , Saadi Town , Scheme 33 , Karachi Karachi</t>
  </si>
  <si>
    <t>confirmed 
 | 💰 COD Rec: 2026-02-27 | Ref: CPR-YYTRB955152 | Amt: 3348</t>
  </si>
  <si>
    <t>Umair Gul</t>
  </si>
  <si>
    <t>Out side gunj gate peshawar haider colony Peshawar</t>
  </si>
  <si>
    <t>r; sir ma out of city hoo 
rider aya tha ma soo raha tha 
 | ↩️ Return Charged: 2026-03-10 | Ref: CPR-64Y2J259013 | Fee: 213</t>
  </si>
  <si>
    <t>abdul Jabbar</t>
  </si>
  <si>
    <t>House 74 street 202 Block D jinnah garden islamabad Islamabad</t>
  </si>
  <si>
    <t xml:space="preserve">
 | 💰 COD Rec: 2026-02-27 | Ref: CPR-YYTRB955152 | Amt: 4649</t>
  </si>
  <si>
    <t>ADI - EMBOSSED LOGO (Cotton) - L / Black (x1), A | X Embroidery LOGO - L / Pista (x1), Tipping Crew - L / Black (x1)</t>
  </si>
  <si>
    <t xml:space="preserve">
 | 💰 COD Rec: 2026-02-27 | Ref: CPR-YYTRB955152 | Amt: 1999</t>
  </si>
  <si>
    <t>Jacquard Collar Polo - M / Rest orange (x1)</t>
  </si>
  <si>
    <t>Shah Faisal</t>
  </si>
  <si>
    <t>PAF Base Kamra,No 4P&amp;S Pari gate Attock</t>
  </si>
  <si>
    <t>R;  HUM AVAIL nahi out of city hain 
ma out of city hoo ap ya cancel kerva dein     order have been confirm on whatsup 
 | ↩️ Return Charged: 2026-03-03 | Ref: CPR-UGST0244500 | Fee: 200</t>
  </si>
  <si>
    <t>Saqib Fraz</t>
  </si>
  <si>
    <t>Rescue 1122 station kallar syedan,near thq kallar syedan, Tehsil kallar syedan district Rawalpindi Rawalpindi</t>
  </si>
  <si>
    <t>Imtiaz Ahmed</t>
  </si>
  <si>
    <t>Maaz Cottages flate no 202 Latifabad no.3 near public school main gate Hyderabad Sind</t>
  </si>
  <si>
    <t>Hyderabad Sind</t>
  </si>
  <si>
    <t xml:space="preserve">both number per call ki haa 
wrong number haa order cancel </t>
  </si>
  <si>
    <t>Atif Iqbal</t>
  </si>
  <si>
    <t>Mian PCO,Ada pull bagir Tehsil kabirwala Distrt Khanewal Pull Bagir</t>
  </si>
  <si>
    <t>Pull Bagir</t>
  </si>
  <si>
    <t xml:space="preserve">
 | 💰 COD Rec: 2026-02-27 | Ref: CPR-YYTRB955152 | Amt: 2049</t>
  </si>
  <si>
    <t>ADI Multi Ref Stripes - XL / Maroon (x1)</t>
  </si>
  <si>
    <t>Nizamuddin Chandio</t>
  </si>
  <si>
    <t>House no B20 prince Town.phase 11 wahoo wah road Qasimabad Hyderabad Hyderabad</t>
  </si>
  <si>
    <t>r;    phala rider na rabta nai kiya bad ma aya tha but late ho gay tha 
confirmed   not ans
 | ↩️ Return Charged: 2026-03-06 | Ref: CPR-OO04K926870 | Fee: 213</t>
  </si>
  <si>
    <t>Asif Rehan Dar</t>
  </si>
  <si>
    <t>+923318451673</t>
  </si>
  <si>
    <t>Dar House 96/A-1 sector st no-3 Township Lahore</t>
  </si>
  <si>
    <t>Jawaid Riaz</t>
  </si>
  <si>
    <t>Chakwal jali works sector 12E itehad town mor saedabab baldia town Karachi</t>
  </si>
  <si>
    <t>Asif Khan</t>
  </si>
  <si>
    <t>Hakim House Hakimabad Nowshera Kpk Nowshera</t>
  </si>
  <si>
    <t>consignee want open parcel 
 | 💰 COD Rec: 2026-02-27 | Ref: CPR-YYTRB955152 | Amt: 3099</t>
  </si>
  <si>
    <t>Raahim Khanani</t>
  </si>
  <si>
    <t>Plot no 169/ A pechs block 3 TS Tower flat num 804 khalid bin waleed road Karachi</t>
  </si>
  <si>
    <t xml:space="preserve">
 | 💰 COD Rec: 2026-03-03 | Ref: CPR-UGST0244500 | Amt: 3398</t>
  </si>
  <si>
    <t>Basic Branded Adi Trouser - M / Black (x1), Basic RL Crew- Cotton - M / Black (x1)</t>
  </si>
  <si>
    <t>sajid iqbal</t>
  </si>
  <si>
    <t>Bhutta house mailsi Road Dunyapur district lodhran Dunya Pur</t>
  </si>
  <si>
    <t>Dunya Pur</t>
  </si>
  <si>
    <t>Ghulam Mustafa</t>
  </si>
  <si>
    <t>+923341222666</t>
  </si>
  <si>
    <t>F6/3 Street 1 House 11 Islamabad Islamabad</t>
  </si>
  <si>
    <t>confirm
 | 💰 COD Rec: 2026-03-16 | Ref: CPR-AEDNR633590 | Amt: 3348</t>
  </si>
  <si>
    <t>Adeel Nazir</t>
  </si>
  <si>
    <t>Ferzpur road haji work shop Lahore</t>
  </si>
  <si>
    <t>R: quality achi nahi thi no intrusted
rider aya tha open parcel nahi tha 
 | ↩️ Return Charged: 2026-03-06 | Ref: CPR-OO04K926870 | Fee: 107</t>
  </si>
  <si>
    <t>Haseeb Imtiaz</t>
  </si>
  <si>
    <t>191-ff, deffence phase-4, lahore Lahore</t>
  </si>
  <si>
    <t>Khurshid Alam</t>
  </si>
  <si>
    <t>95 st 2 block A phase 6 dha Lahore</t>
  </si>
  <si>
    <t>Abdurrafai Shakir</t>
  </si>
  <si>
    <t>Sheraz garden lahore road, sheikhupura Sheikhupura</t>
  </si>
  <si>
    <t xml:space="preserve">
 | 💰 COD Rec: 2026-03-03 | Ref: CPR-UGST0244500 | Amt: 2849</t>
  </si>
  <si>
    <t>Tariq Zaidi</t>
  </si>
  <si>
    <t>Plot no726/Block 10 Liquatsbad no 10 UC63 Karachi Sindh</t>
  </si>
  <si>
    <t>Karachi Sindh</t>
  </si>
  <si>
    <t>mana adidass order ki thi nike nahi confirm 
 | ↩️ Return Charged: 2026-03-10 | Ref: CPR-64Y2J259013 | Fee: 213</t>
  </si>
  <si>
    <t>Umair Umair</t>
  </si>
  <si>
    <t>Civil chok near Qasim mobile Daska</t>
  </si>
  <si>
    <t>R: MUJHA ORDER KERNA HO GA TOH KHUD KER DO GAA THANKS 
mujha yad nahi ka rider ki call ki ya ni 
 | ↩️ Return Charged: 2026-03-06 | Ref: CPR-OO04K926870 | Fee: 200</t>
  </si>
  <si>
    <t xml:space="preserve">cancel on umair whatsapp chota bhai confirm kray ga 
hold untill deliver previous parcel </t>
  </si>
  <si>
    <t>Adnan Rasheed</t>
  </si>
  <si>
    <t>27- Kashmir road Bhagat Pura near Madina chok Lahore Lahore</t>
  </si>
  <si>
    <t xml:space="preserve">
 | 💰 COD Rec: 2026-02-27 | Ref: CPR-YYTRB955152 | Amt: 1799</t>
  </si>
  <si>
    <t>Rizwan Latif</t>
  </si>
  <si>
    <t>Street no 84 house no 2a Mozang road lahore Lahore</t>
  </si>
  <si>
    <t xml:space="preserve">combinecancel </t>
  </si>
  <si>
    <t>+923008846682</t>
  </si>
  <si>
    <t>r ; papa her nahi hain bad ma call kerna 
consignee want open parcel 
 | ↩️ Return Charged: 2026-03-06 | Ref: CPR-OO04K926870 | Fee: 120</t>
  </si>
  <si>
    <t>Sajjad Ali</t>
  </si>
  <si>
    <t>Asif Fancy Casting T.638 Shahi Gali Sarfa Bazar Rawalpindi Rawalpindi</t>
  </si>
  <si>
    <t>wasiq majeed</t>
  </si>
  <si>
    <t>Onestop Mart Sweat &amp; Bakers awan shreef road fatehpur Fatehpur Gujrat</t>
  </si>
  <si>
    <t>Fatehpur Gujrat</t>
  </si>
  <si>
    <t xml:space="preserve">
 | 💰 COD Rec: 2026-03-06 | Ref: CPR-OO04K926870 | Amt: 2749</t>
  </si>
  <si>
    <t>Gondlanwala road near 1 menar wali Masjid.Arham interior Gujranwala</t>
  </si>
  <si>
    <t xml:space="preserve">allow to open  cancel ker dein ma physical shop sa la aya hoo </t>
  </si>
  <si>
    <t>Rana Naseer Ahmad</t>
  </si>
  <si>
    <t>+923496584858</t>
  </si>
  <si>
    <t>Timber Market, G.T.Road, Muridke 39010, Pakistan Muridke</t>
  </si>
  <si>
    <t xml:space="preserve">cancel (umair whatsapp msg done)  not ans </t>
  </si>
  <si>
    <t>Hamza ali</t>
  </si>
  <si>
    <t>House #p-89 Gole Saban Montgomery Bazar Faisalabad Faisalabad</t>
  </si>
  <si>
    <t>Ali Waqas</t>
  </si>
  <si>
    <t>Mepco Wapda Office, Cinema Road Khanewal Khanewal</t>
  </si>
  <si>
    <t xml:space="preserve"> bhai out of city chala gaya haa nahi lena   confirm 
 | ↩️ Return Charged: 2026-03-10 | Ref: CPR-64Y2J259013 | Fee: 200</t>
  </si>
  <si>
    <t>Asad Gill</t>
  </si>
  <si>
    <t>3rd Floor UBL Bank Building Grain Market Sadiqabad</t>
  </si>
  <si>
    <t>confirm 
 | 💰 COD Rec: 2026-03-06 | Ref: CPR-OO04K926870 | Amt: 12738</t>
  </si>
  <si>
    <t>Basic Branded Adi Trouser - 2XL / Black (x1), ADI Ref Stripes - 3XL / White (x1), ADI Ref Stripes - 3XL / Black (x1), Nik panel Tracksuit - XL / Black (x1), Adi Winter Trouser - Xl / Black (x1), Embossed NIK-E - XL / Black (x1), Embossed NIK-E - XL / White (x1)</t>
  </si>
  <si>
    <t>Gali 47 house 263f g10/4 islamabad Islamabad</t>
  </si>
  <si>
    <t>Asad ullah Khan</t>
  </si>
  <si>
    <t>N 3282-block 1 Metrovill 3rd Gulshan E Iqbal Karachi</t>
  </si>
  <si>
    <t xml:space="preserve">
 | 💰 COD Rec: 2026-03-03 | Ref: CPR-UGST0244500 | Amt: 1799</t>
  </si>
  <si>
    <t>Mushtaq khan</t>
  </si>
  <si>
    <t>+923028449222</t>
  </si>
  <si>
    <t>Margalla Hills Apartment Flat No 1110 E11/1 Islamabad</t>
  </si>
  <si>
    <t>Shahab Khan</t>
  </si>
  <si>
    <t>Tayyaba Medicose Opposite Rescue 1122 Malakand Stop Wah Cantt Wah</t>
  </si>
  <si>
    <t>Wah</t>
  </si>
  <si>
    <t>waseem haider</t>
  </si>
  <si>
    <t>Hostel Mess Doctors Hostel Dhq Hospital Fsd Faisalabad</t>
  </si>
  <si>
    <t>not ans REHMAN 
Confirmed Muaaz
rider aya tha ma gher gaya hua tha ap reattempt ker dein ma receive ker lo gaa 
 | 💰 COD Rec: 2026-03-06 | Ref: CPR-OO04K926870 | Amt: 2699</t>
  </si>
  <si>
    <t>ADI-3strips Full TrackSuit - L / Pista (x1)</t>
  </si>
  <si>
    <t>Adeel Arif Arif</t>
  </si>
  <si>
    <t>12-lhr Dha Phase 6 J Block House 77 Street Lahore</t>
  </si>
  <si>
    <t>+923207007711</t>
  </si>
  <si>
    <t>confirm on wp 
 | 💰 COD Rec: 2026-02-27 | Ref: CPR-YYTRB955152 | Amt: 2749</t>
  </si>
  <si>
    <t>Malik Sohaib</t>
  </si>
  <si>
    <t>12-32-a Lane 3 Askari Rawalpindi</t>
  </si>
  <si>
    <t>Muhammad Masroor</t>
  </si>
  <si>
    <t>Rufi Green City, Gulistan e Johar Bl 18 Karachi</t>
  </si>
  <si>
    <t>Zain zain</t>
  </si>
  <si>
    <t>+923404070344</t>
  </si>
  <si>
    <t>bata pur jallo mor village bhasin lahore house no 15 main road Lahore</t>
  </si>
  <si>
    <t>conifmr 
 | 💰 COD Rec: 2026-03-03 | Ref: CPR-UGST0244500 | Amt: 2749</t>
  </si>
  <si>
    <t>Syed huzaifa Ahmed bukhari</t>
  </si>
  <si>
    <t>R 323 block D Naya Nazimabad Karachi</t>
  </si>
  <si>
    <t>500 paid in adv.Rider nay call ni ki 
Na aya delivery ka lya</t>
  </si>
  <si>
    <t>Sikandar Khan</t>
  </si>
  <si>
    <t>House 221 Rafiqui Camp Malir Cantt karachi</t>
  </si>
  <si>
    <t>mujha aj 4 parcel receive hua tha 4 fake tha mana receive kerna band ker diya hain sorry 
 | ↩️ Return Charged: 2026-03-10 | Ref: CPR-64Y2J259013 | Fee: 213</t>
  </si>
  <si>
    <t>Rana Saleem</t>
  </si>
  <si>
    <t>G.T Road Okara</t>
  </si>
  <si>
    <t>+923219513788</t>
  </si>
  <si>
    <t>Flat No 412 Islamabad</t>
  </si>
  <si>
    <t>Confirmed 
 | 💰 COD Rec: 2026-03-03 | Ref: CPR-UGST0244500 | Amt: 3348</t>
  </si>
  <si>
    <t>Hamza Iqbal</t>
  </si>
  <si>
    <t>+923117132771</t>
  </si>
  <si>
    <t>House 188 Near Masjid AlNoor Model Town A Khanpur Khanpur</t>
  </si>
  <si>
    <t>Khanpur</t>
  </si>
  <si>
    <t>Esha Saqib</t>
  </si>
  <si>
    <t>+923004864863</t>
  </si>
  <si>
    <t>Shiekh hindi market house c2 outside bhatti gate mian saqib house Lahore</t>
  </si>
  <si>
    <t>order cancel</t>
  </si>
  <si>
    <t>Ahmad Hafeez</t>
  </si>
  <si>
    <t>7-a-heavy Industraial Road Shadi Hall Road Bahawalpur Bahawalpur</t>
  </si>
  <si>
    <t>confirm 
 | 💰 COD Rec: 2026-03-03 | Ref: CPR-UGST0244500 | Amt: 3347</t>
  </si>
  <si>
    <t>ADI Ref Stripes - L / Black (x1), ADI Ref Stripes - L / White (x1)</t>
  </si>
  <si>
    <t>Ahmed Shabir</t>
  </si>
  <si>
    <t>Ahmad mobiles cometti bazar baldia road Hasilpur</t>
  </si>
  <si>
    <t>confirm 
 | 💰 COD Rec: 2026-03-03 | Ref: CPR-UGST0244500 | Amt: 5949</t>
  </si>
  <si>
    <t>Sadaruddin Phull</t>
  </si>
  <si>
    <t>No 3-mehamoodabad Gate Liaqat Ashraf Colony Gali Karachi</t>
  </si>
  <si>
    <t>Confirmed 
 | 💰 COD Rec: 2026-03-06 | Ref: CPR-OO04K926870 | Amt: 3348</t>
  </si>
  <si>
    <t>Murtaza Sajid</t>
  </si>
  <si>
    <t>47-block J Model Town Lahore Lahore</t>
  </si>
  <si>
    <t>Zain Sheikh</t>
  </si>
  <si>
    <t>Florida homes block T flat tp1 , 11th floor phase 5 dha Karachi</t>
  </si>
  <si>
    <t>r ;not ans 
ma gher nahi tha shaid aaya ho ap reattempt ker dien Confirmed 
 | ↩️ Return Charged: 2026-03-10 | Ref: CPR-64Y2J259013 | Fee: 213</t>
  </si>
  <si>
    <t>Muhammad Shoaib</t>
  </si>
  <si>
    <t>Flate 103/3, Lane 3, Sana Ullah Colony, Kharian Cantt Kharian</t>
  </si>
  <si>
    <t xml:space="preserve">
 | 💰 COD Rec: 2026-03-03 | Ref: CPR-UGST0244500 | Amt: 3549</t>
  </si>
  <si>
    <t>Shabbir Ahmed</t>
  </si>
  <si>
    <t>H#B-23 street# 2 phase  2 kohsar Housing society Latifabad Hyd Hyderabad</t>
  </si>
  <si>
    <t>Number OFF hai  
Cancel on whatsapp</t>
  </si>
  <si>
    <t>Syed Basit Subhani Subhani</t>
  </si>
  <si>
    <t>Saddaatabaad dungi tehsil&amp;dist.kotli azad kashmir Kotli</t>
  </si>
  <si>
    <t>confimr 
 | 💰 COD Rec: 2026-03-03 | Ref: CPR-UGST0244500 | Amt: 2749</t>
  </si>
  <si>
    <t>Main torghat Shelton restaurant swari buner Swari buner</t>
  </si>
  <si>
    <t>Swari buner</t>
  </si>
  <si>
    <t>LE7526898198</t>
  </si>
  <si>
    <t>confirmed</t>
  </si>
  <si>
    <t>Shahid Ghazaal Ali</t>
  </si>
  <si>
    <t>Noorpur Industries, Plot No 78 Sector 24 Korangi Industrial Area Karachi</t>
  </si>
  <si>
    <t>confirm 
 | ↩️ Return Charged: 2026-03-31 | Ref: CPR-6B0MN221209 | Fee: 213</t>
  </si>
  <si>
    <t>Shahbaz Waheed</t>
  </si>
  <si>
    <t>Ho 18a, st 28, f-6/1 Islamabad</t>
  </si>
  <si>
    <t xml:space="preserve">cancel mujha is ma large lena haa </t>
  </si>
  <si>
    <t>Muhammad Nehal</t>
  </si>
  <si>
    <t>CA/25 Al-falah society near sangam cinema Karachi</t>
  </si>
  <si>
    <t>confimr 
 | 💰 COD Rec: 2026-03-03 | Ref: CPR-UGST0244500 | Amt: 1499</t>
  </si>
  <si>
    <t>Basic RL Crew- Cotton - XL / light chocolate (x1)</t>
  </si>
  <si>
    <t>Ibad Alvi</t>
  </si>
  <si>
    <t>39/1 5 Commercial Street Defense Phase 4 Karachi</t>
  </si>
  <si>
    <t>Adnan Sunny</t>
  </si>
  <si>
    <t>Bhalwal Road Gill Petroleum Sargodha Sargodha</t>
  </si>
  <si>
    <t xml:space="preserve">cancel paisa nahi hain </t>
  </si>
  <si>
    <t>Alamzaib Brohi</t>
  </si>
  <si>
    <t>House No #m319 Block 4 Satelite Town Quetta Quetta</t>
  </si>
  <si>
    <t>Ali Hussnain</t>
  </si>
  <si>
    <t>24km pakpattan road. sahiwal Near Noor Pur 83/D pakpattan</t>
  </si>
  <si>
    <t>pakpattan</t>
  </si>
  <si>
    <t xml:space="preserve">
 | 💰 COD Rec: 2026-03-03 | Ref: CPR-UGST0244500 | Amt: 2749</t>
  </si>
  <si>
    <t>Basic RL Crew- Cotton - L / Royal Mid blue (x1), Basic RL Crew- Cotton - L / Sea green (x1)</t>
  </si>
  <si>
    <t>Sikander Khan</t>
  </si>
  <si>
    <t>Kalma chook sehll petrol pupm Renala khurd</t>
  </si>
  <si>
    <t>Renala khurd</t>
  </si>
  <si>
    <t>confirm 
 | 💰 COD Rec: 2026-02-27 | Ref: CPR-YYTRB955152 | Amt: 1899</t>
  </si>
  <si>
    <t>Awais Malik</t>
  </si>
  <si>
    <t>Sialkot sad pur rood kuby chak amigos fast food near ashiq palace Sialkot</t>
  </si>
  <si>
    <t>r; power off haa 
confirm 
 | ↩️ Return Charged: 2026-03-06 | Ref: CPR-OO04K926870 | Fee: 200</t>
  </si>
  <si>
    <t>Awais Awais</t>
  </si>
  <si>
    <t>Mughal Street Lahore</t>
  </si>
  <si>
    <t>r ; call pick ker raha but ans nahi ker raha 
confimr not ans 
 | ↩️ Return Charged: 2026-03-10 | Ref: CPR-64Y2J259013 | Fee: 107</t>
  </si>
  <si>
    <t>Muhammad azeem azeem</t>
  </si>
  <si>
    <t>+923197093134</t>
  </si>
  <si>
    <t>House No 8 Street No 9 Sanaullah Shaheed Road Jhelum Cantt Jhelum</t>
  </si>
  <si>
    <t xml:space="preserve">(umair whatsapp msg done) Sim plus Whatsapp not answer
last order was voided </t>
  </si>
  <si>
    <t>Mazhar Iqbal</t>
  </si>
  <si>
    <t>Lahore Lahore</t>
  </si>
  <si>
    <t>r; not ans 
conffrim   rider nahi aya 
 | ↩️ Return Charged: 2026-03-06 | Ref: CPR-OO04K926870 | Fee: 107</t>
  </si>
  <si>
    <t>Zain Abbas</t>
  </si>
  <si>
    <t>+923008382395</t>
  </si>
  <si>
    <t>Thokhar naiz big ner darbar baba jiwy shah lahore Lahore</t>
  </si>
  <si>
    <t>R: rider nahi aya mera pass ma advance nahi do ga only cod 
bhejna ha toh bhej do 
consignee want open parcel 
ok
3228382395
 | ↩️ Return Charged: 2026-03-06 | Ref: CPR-OO04K926870 | Fee: 107</t>
  </si>
  <si>
    <t>Umar Butt</t>
  </si>
  <si>
    <t>Model Town Mobile Market Mall One Shop # 2 Moosa Mobile Gujranwala</t>
  </si>
  <si>
    <t>R: quality 1% bhi achi nahi thi (rehman)
rider aya tha quality 1% bhi achi nahi thi 
allow to  open 
 | ↩️ Return Charged: 2026-03-06 | Ref: CPR-OO04K926870 | Fee: 200</t>
  </si>
  <si>
    <t>Burhan Shabbir</t>
  </si>
  <si>
    <t>Flat  E-2 Ahmed market sf/13 1 floor block E north nazimabad karachi near double cheese &amp; new hassan motor traning school Karachi</t>
  </si>
  <si>
    <t>r ;rider late aya tha mana shop sa purchase ler li thi 
confirm I will open parcel then check size &amp; quality then i will recived parcel &amp; i will give the payment
 | ↩️ Return Charged: 2026-03-10 | Ref: CPR-64Y2J259013 | Fee: 213</t>
  </si>
  <si>
    <t>PCB ground dadu Dadu</t>
  </si>
  <si>
    <t>confirm 
 | 💰 COD Rec: 2026-03-03 | Ref: CPR-UGST0244500 | Amt: 3099</t>
  </si>
  <si>
    <t>Amir Rehman</t>
  </si>
  <si>
    <t>Samama gulberg tower 2 apartment C 713 Gulberg green Islamabad Islamabad</t>
  </si>
  <si>
    <t>Hussnain Ali</t>
  </si>
  <si>
    <t>Begowala National Bank Sambrial</t>
  </si>
  <si>
    <t>R: mujha koi call nahi ai 
rider aya tha mana receive nahi kiya mujha laga ka jerrsy haa 
confirm 
 | ↩️ Return Charged: 2026-03-06 | Ref: CPR-OO04K926870 | Fee: 220</t>
  </si>
  <si>
    <t>Shahzad Naveed</t>
  </si>
  <si>
    <t>Office No.17-5th Floor Trade Center G.t. Road Gujranwala</t>
  </si>
  <si>
    <t>allow to open 
 | 💰 COD Rec: 2026-03-03 | Ref: CPR-UGST0244500 | Amt: 3348</t>
  </si>
  <si>
    <t>subhan sheikh</t>
  </si>
  <si>
    <t>House#192 Gulmohar block bahria town lhr Lahore</t>
  </si>
  <si>
    <t>Village thather bedain road Lahore cantt near by Avicenna hospital Lahore</t>
  </si>
  <si>
    <t xml:space="preserve">(umair whatsapp msg done) cancel 
not ans </t>
  </si>
  <si>
    <t>Azam Azam</t>
  </si>
  <si>
    <t>Plot No 277, Jinnah Road, Sector 01, Airport Housing Society Rawalpindi</t>
  </si>
  <si>
    <t>r ; maa cancel ker diya tha nahi lena 
rider aya tha ma avail nahi tha worker na lena sa mana ker diya confirm
 | ↩️ Return Charged: 2026-03-10 | Ref: CPR-64Y2J259013 | Fee: 220</t>
  </si>
  <si>
    <t>Ms bhatti Ms bhatti</t>
  </si>
  <si>
    <t>+923047055869</t>
  </si>
  <si>
    <t>Mini market quetta Quetta</t>
  </si>
  <si>
    <t xml:space="preserve">sharing address on umair whatsapp (umair whatsapp msg done) not ans  </t>
  </si>
  <si>
    <t>Yousuf Qazi</t>
  </si>
  <si>
    <t>5_Darbar Mahal Road opposite Moon Girls college Bahawalpur Bahawalpur</t>
  </si>
  <si>
    <t>confirm rider na rabta nahi kiya 
 | ↩️ Return Charged: 2026-03-24 | Ref: CPR-A9TC9587889 | Fee: 200</t>
  </si>
  <si>
    <t>Baloch House st 2 sultan Colony Mian Channu</t>
  </si>
  <si>
    <t xml:space="preserve">CANCEL GALRI SA AGAIN ORDER HO GAYA </t>
  </si>
  <si>
    <t>kashif mazhar</t>
  </si>
  <si>
    <t>+923008419185</t>
  </si>
  <si>
    <t>180-pak Block Allama Iqbal Town Lahore</t>
  </si>
  <si>
    <t xml:space="preserve">not ans consignee remarks on wp plz cancel kerdain </t>
  </si>
  <si>
    <t>Abdullah Qayyum</t>
  </si>
  <si>
    <t>House 372 street 23 ghzanvi block bahria town Lahore</t>
  </si>
  <si>
    <t xml:space="preserve">confirm paid parcel ha 
4725/- after 10%off received </t>
  </si>
  <si>
    <t>Imported Scoba Executive Adi Tro - M / Black (x1), ADI - EMBOSSED LOGO (Cotton) - M / Dark Red(Maroon) (x1), ADI - EMBOSSED LOGO (Cotton) - M / Olive( Commando Green) (x1)</t>
  </si>
  <si>
    <t>irfan khan Khan</t>
  </si>
  <si>
    <t>District Okra Tehsil Depalpur Post Office Mandi Ahmedabad Mandi Ahmda Bad</t>
  </si>
  <si>
    <t>Mandi Ahmda Bad</t>
  </si>
  <si>
    <t xml:space="preserve">cancel mera mood change ho gaya haa nahi leni </t>
  </si>
  <si>
    <t>Sahil safiullah</t>
  </si>
  <si>
    <t>House 1-B Building 26 Sector J Askari 5 Malir Cantt Karachi</t>
  </si>
  <si>
    <t>Sheharyar Javed</t>
  </si>
  <si>
    <t>Dr street near kfc Sheikhupura</t>
  </si>
  <si>
    <t>confirm 
 | 💰 COD Rec: 2026-03-06 | Ref: CPR-OO04K926870 | Amt: 1449</t>
  </si>
  <si>
    <t>Zabar Sheikh</t>
  </si>
  <si>
    <t>Gulmahar block house num 192 behria town  Lahore Lahore</t>
  </si>
  <si>
    <t>conifmr on wp 
 | 💰 COD Rec: 2026-03-03 | Ref: CPR-UGST0244500 | Amt: 3099</t>
  </si>
  <si>
    <t>Rana nabeel Hussain</t>
  </si>
  <si>
    <t>263-B Block Punjab University Employees Society Town 2 Near Raiwind Road Lahore</t>
  </si>
  <si>
    <t>confirm 
 | 💰 COD Rec: 2026-03-03 | Ref: CPR-UGST0244500 | Amt: 4898</t>
  </si>
  <si>
    <t>Multi ref PUM-A - L / White (x1), Multi ref PUM-A - L / Black (x1), Multi ref PUM-A - XL / White (x1)</t>
  </si>
  <si>
    <t>Ijlal Haider</t>
  </si>
  <si>
    <t>Chakwal district vpo maingan Chakwal</t>
  </si>
  <si>
    <t xml:space="preserve">call cut hui ja rahi 
(umair whatsapp msg done) not ans </t>
  </si>
  <si>
    <t>TR29451</t>
  </si>
  <si>
    <t>Asad hussian Asad hussian</t>
  </si>
  <si>
    <t>+92 345 6825077</t>
  </si>
  <si>
    <t>p.o.b randhawa goweda pasrur district Sialkot  pH 03456825077  ( leopard  pasrur ) pasrur</t>
  </si>
  <si>
    <t>pasrur</t>
  </si>
  <si>
    <t>LE7526898199</t>
  </si>
  <si>
    <t>r; mujha toh call hi nahi ai 
leopard</t>
  </si>
  <si>
    <t>TR29452</t>
  </si>
  <si>
    <t>TR28967 exchnage 250 lagany hain bass 
 | 💰 COD Rec: 2026-03-06 | Ref: CPR-OO04K926870 | Amt: 250</t>
  </si>
  <si>
    <t>TR29453</t>
  </si>
  <si>
    <t>Sajjad Imdad</t>
  </si>
  <si>
    <t>+923212669999</t>
  </si>
  <si>
    <t>279/2, 20th street, khayaban-e-faisal, phase 8, DHA karachi Karachi</t>
  </si>
  <si>
    <t>confimr 
 | 💰 COD Rec: 2026-03-03 | Ref: CPR-UGST0244500 | Amt: 2049</t>
  </si>
  <si>
    <t>TR29454</t>
  </si>
  <si>
    <t>124/15l Ikram Wali Mianchannu Khanewal</t>
  </si>
  <si>
    <t>CONFIRM
 | 💰 COD Rec: 2026-03-03 | Ref: CPR-UGST0244500 | Amt: 2099</t>
  </si>
  <si>
    <t>POLO RL - M / olive (x1)</t>
  </si>
  <si>
    <t>TR29455</t>
  </si>
  <si>
    <t>Nayab Ahmad Khan</t>
  </si>
  <si>
    <t>House B-9, Bus stop, Qaimabad colony, Tando Allahyar Tando Allahyar, Sindh</t>
  </si>
  <si>
    <t>Tando Allahyar, Sindh</t>
  </si>
  <si>
    <t>confirm 
 | 💰 COD Rec: 2026-03-03 | Ref: CPR-UGST0244500 | Amt: 8399</t>
  </si>
  <si>
    <t>Multi ref PUM-A - M / White (x1), Multi ref PUM-A - M / Black (x1), ADI-3strips Full TrackSuit - M / Navy (x1), Embossed NIK-E - M / Black (x1), Embossed NIK-E - M / White (x1)</t>
  </si>
  <si>
    <t>TR29456</t>
  </si>
  <si>
    <t>M Haseeb</t>
  </si>
  <si>
    <t>+923095215639</t>
  </si>
  <si>
    <t>Jhumra road, gazi town, Street no.5, MS Store, jaranwala Jaranwala</t>
  </si>
  <si>
    <t>confirm 
 | 💰 COD Rec: 2026-03-03 | Ref: CPR-UGST0244500 | Amt: 1799</t>
  </si>
  <si>
    <t>TR29457</t>
  </si>
  <si>
    <t>Haksbay maripuur gate num 6 near tcs office shop num k 28 Nadeem spare parts Karachi Pakistan Karachi</t>
  </si>
  <si>
    <t xml:space="preserve">cancel size choata ha mujha on call </t>
  </si>
  <si>
    <t>TR29458</t>
  </si>
  <si>
    <t>Akash Aslam</t>
  </si>
  <si>
    <t>Spice bazar restaurant T-1 Gulberg II lahore Lahore</t>
  </si>
  <si>
    <t>TR29459</t>
  </si>
  <si>
    <t>Zahid Majeed</t>
  </si>
  <si>
    <t>Qaid Abbad Colony Lodhran City Toba Tek Singh</t>
  </si>
  <si>
    <t xml:space="preserve">not ans
no whatsapp (sim pr call kro) not ans </t>
  </si>
  <si>
    <t>TR29460</t>
  </si>
  <si>
    <t>confirm on wp 
 | 💰 COD Rec: 2026-03-03 | Ref: CPR-UGST0244500 | Amt: 3849</t>
  </si>
  <si>
    <t>ADI Multi Ref Stripes - XL / Maroon (x1), ADI Multi Ref Stripes - XL / Navy Blue (x1)</t>
  </si>
  <si>
    <t>TR29461</t>
  </si>
  <si>
    <t>Naveed Ashraf</t>
  </si>
  <si>
    <t>Muslim town lahore Lahore</t>
  </si>
  <si>
    <t xml:space="preserve">cancel shop sa a ker la gaa </t>
  </si>
  <si>
    <t>TR29462</t>
  </si>
  <si>
    <t>Ahmad Hassan</t>
  </si>
  <si>
    <t>Plot no. 184, house no. 202, Housing 2 Layyah Layyah</t>
  </si>
  <si>
    <t>TR29463</t>
  </si>
  <si>
    <t>Helping Hand Insititute Of Rehabilitation Sciences Mansehra Mansehra</t>
  </si>
  <si>
    <t>r ; not an s
cancel ma out of city hoo confirm 
 | ↩️ Return Charged: 2026-03-10 | Ref: CPR-64Y2J259013 | Fee: 213</t>
  </si>
  <si>
    <t>TR29464</t>
  </si>
  <si>
    <t>Mubashir Hijwani</t>
  </si>
  <si>
    <t>Jinnah road ubl chowk Usta Mohammad Balochistan</t>
  </si>
  <si>
    <t>Usta Mohammad Balochistan</t>
  </si>
  <si>
    <t>confirm on wp 
 | ↩️ Return Charged: 2026-03-24 | Ref: CPR-A9TC9587889 | Fee: 213</t>
  </si>
  <si>
    <t>TR29465</t>
  </si>
  <si>
    <t>Umer qasim Qasim</t>
  </si>
  <si>
    <t>Wapda town phase 1 block e house no. 515E Multan</t>
  </si>
  <si>
    <t>TR29466</t>
  </si>
  <si>
    <t>Taimur Mir</t>
  </si>
  <si>
    <t>Supreme Court Building Muzaffarabad Azad Kashmir Muzaffarabad</t>
  </si>
  <si>
    <t>TR29467</t>
  </si>
  <si>
    <t>Nisma ni Tareen</t>
  </si>
  <si>
    <t>263-a-263-a-263-a-wapda Town Phase1 Multan Multan</t>
  </si>
  <si>
    <t>TR29468</t>
  </si>
  <si>
    <t>Muhammad Anas Fareed</t>
  </si>
  <si>
    <t>House no.6 street no.2 Muslim Town Dahranwala tehsil chishtian distt bahawalnagar Dahranwala</t>
  </si>
  <si>
    <t xml:space="preserve">cancel (umair whatsapp msg done) not ans
not ans
still not ans </t>
  </si>
  <si>
    <t>TR29469</t>
  </si>
  <si>
    <t>Chudhary Mujeeb</t>
  </si>
  <si>
    <t>Block 13 flat 1 street 17 pwd colony g/9_2 islamabad Islamabad</t>
  </si>
  <si>
    <t>confirm on wp 
 | 💰 COD Rec: 2026-03-03 | Ref: CPR-UGST0244500 | Amt: 3348</t>
  </si>
  <si>
    <t>TR29470</t>
  </si>
  <si>
    <t>Muhammed Shakeel</t>
  </si>
  <si>
    <t>Zafarwal Zafarwal</t>
  </si>
  <si>
    <t>Zafarwal</t>
  </si>
  <si>
    <t>allow to open 
 | ↩️ Return Charged: 2026-03-27 | Ref: CPR-Q9K76465838 | Fee: 200.1</t>
  </si>
  <si>
    <t>TR29471</t>
  </si>
  <si>
    <t>TR29224exchnage 250 dc lagani haa bass 
 | 💰 COD Rec: 2026-03-03 | Ref: CPR-UGST0244500 | Amt: 250</t>
  </si>
  <si>
    <t>Popcorn Polo - L / White (x1), Tipping Crew - L / Black (x1), Popcorn Polo - L / Beige (x1)</t>
  </si>
  <si>
    <t>TR29472</t>
  </si>
  <si>
    <t xml:space="preserve">Comfirmed rider na call tak nahi ki </t>
  </si>
  <si>
    <t>cancelled</t>
  </si>
  <si>
    <t>TR29473</t>
  </si>
  <si>
    <t>Chak No 117 Jb Dhanolah Millat Road Faisalabad</t>
  </si>
  <si>
    <t>r; mujha rider ki koi call nahi ai 
confirm   call ni ai mujha 3143936524
 | ↩️ Return Charged: 2026-03-13 | Ref: CPR-PUPPV418827 | Fee: 200</t>
  </si>
  <si>
    <t>TR29474</t>
  </si>
  <si>
    <t>Mohammad Sohail</t>
  </si>
  <si>
    <t>C/o Ijara Capital, 1st Floor, Federation House, Main Abdullah Shah Ghazi Road, Block 5, Clifton Karachi</t>
  </si>
  <si>
    <t>confirm on wp
 | 💰 COD Rec: 2026-03-06 | Ref: CPR-OO04K926870 | Amt: 2749</t>
  </si>
  <si>
    <t>TR29475</t>
  </si>
  <si>
    <t>Rana Qaisar javed</t>
  </si>
  <si>
    <t>Gali ch Abdul wakeel Khan wali house number 133 GT road kamoke district Gujranwala Kamoke</t>
  </si>
  <si>
    <t>TR29476</t>
  </si>
  <si>
    <t>Arsalan Hussain</t>
  </si>
  <si>
    <t>AGVEN Private Limited, Office No 211, 2nd Floor, Park Tower Office Wing, Block-5, Clifton Karachi</t>
  </si>
  <si>
    <t>TR29477</t>
  </si>
  <si>
    <t>Exchange@Shop01</t>
  </si>
  <si>
    <t>tr29232 exchange at shop 
3,099 ki 2 Tshirts exchnage hai
or 2500 ki 2 Tshirts Purchased ki hai joh umair bhai ko hand over krdiya hai</t>
  </si>
  <si>
    <t>Multi ref PUM-A - XL / Black (x1), Tipping Crew - XL / Black (x1), Tipping Crew - XL / White (x1), ADI Multi Ref Stripes - 2XL / Navy Blue (x1)</t>
  </si>
  <si>
    <t>TR29478</t>
  </si>
  <si>
    <t>MiAn FAisAL</t>
  </si>
  <si>
    <t>465E1 johar town lahore Lahore</t>
  </si>
  <si>
    <t>100 % fake material haa not satisfy allow to open confirm 
 | ↩️ Return Charged: 2026-03-06 | Ref: CPR-OO04K926870 | Fee: 107</t>
  </si>
  <si>
    <t>TR29479</t>
  </si>
  <si>
    <t>Exchange@Shop02</t>
  </si>
  <si>
    <t xml:space="preserve">tr29159 exchnage at shop </t>
  </si>
  <si>
    <t>Multi ref PUM-A - L / White (x1), Multi ref PUM-A - L / Black (x1), Embossed NIK-E - L / Black (x1), Embossed NIK-E - L / White (x1)</t>
  </si>
  <si>
    <t>TR29480</t>
  </si>
  <si>
    <t>ADI Multi Ref Stripes - L / White (x1), ADI Multi Ref Stripes - M / Black (x1)</t>
  </si>
  <si>
    <t>TR29481</t>
  </si>
  <si>
    <t>Nifaz Islam</t>
  </si>
  <si>
    <t>UBL bank, village zarobi, tehsil topi, District swabi, kpk Peshawar</t>
  </si>
  <si>
    <t>LE7530547073</t>
  </si>
  <si>
    <t xml:space="preserve">lcs </t>
  </si>
  <si>
    <t>TR29482</t>
  </si>
  <si>
    <t>confirm 
 | 💰 COD Rec: 2026-03-13 | Ref: CPR-PUPPV418827 | Amt: 6198</t>
  </si>
  <si>
    <t>ADI Multi Ref Stripes - XL / White (x1), ADI Multi Ref Stripes - XL / Black (x1), Embossed NIK-E - XL / Black (x1), Embossed NIK-E - XL / White (x1)</t>
  </si>
  <si>
    <t>CPR-PUPPV418827</t>
  </si>
  <si>
    <t>TR29483</t>
  </si>
  <si>
    <t>LE7530397949</t>
  </si>
  <si>
    <t xml:space="preserve">confirm  consignee want open parcel </t>
  </si>
  <si>
    <t>TR29484</t>
  </si>
  <si>
    <t>Kishor Kumar</t>
  </si>
  <si>
    <t>Pak super store masjid road Mastung</t>
  </si>
  <si>
    <t>TR29485</t>
  </si>
  <si>
    <t>Waseem Saleem</t>
  </si>
  <si>
    <t>H.e25 S.2 Farooq Colony Workshop Stop Walton Road Lhr Lahore</t>
  </si>
  <si>
    <t>TR29486</t>
  </si>
  <si>
    <t>Sarym Khan</t>
  </si>
  <si>
    <t>House #5 street #4 m_lock new city phase 2 wah cantt Wah cantt</t>
  </si>
  <si>
    <t>TR29487</t>
  </si>
  <si>
    <t>Qasim Khan</t>
  </si>
  <si>
    <t>49-c-shamabad Colony Multan</t>
  </si>
  <si>
    <t>allow to open 
 | 💰 COD Rec: 2026-03-06 | Ref: CPR-OO04K926870 | Amt: 2148</t>
  </si>
  <si>
    <t>Multi-ref-ADI Trouser winter - Large / Navy (x1)</t>
  </si>
  <si>
    <t>TR29488</t>
  </si>
  <si>
    <t>Wahid Ismail</t>
  </si>
  <si>
    <t>Rahman pur khichian near darbar gondal road sialkot Sialkot</t>
  </si>
  <si>
    <t xml:space="preserve">cancel mera bacha na order kiya tha </t>
  </si>
  <si>
    <t>TR29489</t>
  </si>
  <si>
    <t>Irfan Bawa</t>
  </si>
  <si>
    <t>Office #504, 5th floor, chapal plaza, Hasrat mohani road, off II chundrigar road Karachi</t>
  </si>
  <si>
    <t>TR29490</t>
  </si>
  <si>
    <t>Qasim Ali</t>
  </si>
  <si>
    <t>Nasir town airport Road near Ghoudpur chowk sialkot Sialkot</t>
  </si>
  <si>
    <t>TR29491</t>
  </si>
  <si>
    <t>Village Mallah P.o Formulli Distt Attock Attock</t>
  </si>
  <si>
    <t>LE7526969044</t>
  </si>
  <si>
    <t xml:space="preserve">lcs / tcs confirm </t>
  </si>
  <si>
    <t>TR29492</t>
  </si>
  <si>
    <t>+923224557232</t>
  </si>
  <si>
    <t>r ; shop sa a ker la gaa 
Jnb Mai soya hua tha calls Bohat number sy ai hui ab pta ni Rider Ka number kya tha
 | ↩️ Return Charged: 2026-03-06 | Ref: CPR-OO04K926870 | Fee: 107</t>
  </si>
  <si>
    <t>TR29493</t>
  </si>
  <si>
    <t>ali Abbas</t>
  </si>
  <si>
    <t>kokiyanwala , jameel park faisalabad,  near welcome sweet and bakers faisalabad</t>
  </si>
  <si>
    <t xml:space="preserve">
 | 💰 COD Rec: 2026-03-03 | Ref: CPR-UGST0244500 | Amt: 4249</t>
  </si>
  <si>
    <t>Basic RL Crew- Cotton - XL / Dark grey (x1), Tipping Crew - XL / Black (x1), ADI - EMBOSSED LOGO (Cotton) - XL / White (x1)</t>
  </si>
  <si>
    <t>TR29494</t>
  </si>
  <si>
    <t>Usama Yousuf</t>
  </si>
  <si>
    <t>Gilgit baltistan house f5/1 room 203 Islamabad</t>
  </si>
  <si>
    <t xml:space="preserve"> number bussy confirm 
 | ↩️ Return Charged: 2026-03-24 | Ref: CPR-A9TC9587889 | Fee: 200</t>
  </si>
  <si>
    <t>TR29495</t>
  </si>
  <si>
    <t>House#372 street 23 ghazanvi block bahria town lahore Lahore</t>
  </si>
  <si>
    <t xml:space="preserve">confirm paid parcel haa 
+92 333 4330871 IS NUMER SA PAYMENT KA SCREEN SHOOT AYA HA </t>
  </si>
  <si>
    <t>Cotton lycra RL - M / Charcoal Grey (x1), Imported Scoba Executive Nik Tro - M / Silver Grey (x1)</t>
  </si>
  <si>
    <t>TR29496</t>
  </si>
  <si>
    <t>r ; not ans both 
not ans confirm on wp +92 315 0454955
 | ↩️ Return Charged: 2026-03-10 | Ref: CPR-64Y2J259013 | Fee: 107</t>
  </si>
  <si>
    <t>TR29497</t>
  </si>
  <si>
    <t>Ali Akram</t>
  </si>
  <si>
    <t>House no 4 sector f1 mirpur Mirpur Azad Kashmir</t>
  </si>
  <si>
    <t>TR29498</t>
  </si>
  <si>
    <t>surj Miani Taj pur Sandilah Aray wali gli Multan</t>
  </si>
  <si>
    <t xml:space="preserve">
 | 💰 COD Rec: 2026-03-06 | Ref: CPR-OO04K926870 | Amt: 2399</t>
  </si>
  <si>
    <t>Cotton lycra RL - M / Charcoal Grey (x1)</t>
  </si>
  <si>
    <t>TR29499</t>
  </si>
  <si>
    <t>AbdulHaq Gill</t>
  </si>
  <si>
    <t>Muhammad Hussain Pharmacy Ahmad Pur Lamma Sadiq Abad</t>
  </si>
  <si>
    <t xml:space="preserve">
 | 💰 COD Rec: 2026-03-06 | Ref: CPR-OO04K926870 | Amt: 3348</t>
  </si>
  <si>
    <t>TR29500</t>
  </si>
  <si>
    <t>Syed Mustafa</t>
  </si>
  <si>
    <t>A-233 Block D North Nazimabad Karachi Karachi.</t>
  </si>
  <si>
    <t>Karachi.</t>
  </si>
  <si>
    <t xml:space="preserve">cancel size issue chest 47 haa ( TR29501  is ka secound order haa ) </t>
  </si>
  <si>
    <t>TR29501</t>
  </si>
  <si>
    <t>Mustafa Syed Muhammad</t>
  </si>
  <si>
    <t>+923342996567</t>
  </si>
  <si>
    <t>A-233 Block D North Nazimabad Karachi Karachi</t>
  </si>
  <si>
    <t xml:space="preserve">ap cancel ker dein ma bad ma order ker do gaa    ( TR29500  is ka secound order haa ) </t>
  </si>
  <si>
    <t>TR29502</t>
  </si>
  <si>
    <t>whatsup 
 | 💰 COD Rec: 2026-03-03 | Ref: CPR-UGST0244500 | Amt: 2749</t>
  </si>
  <si>
    <t>TEXTURE WHITE - 15 (x1)</t>
  </si>
  <si>
    <t>TR29503</t>
  </si>
  <si>
    <t>Moazam Iqbal</t>
  </si>
  <si>
    <t>Zain farmacy jatria kalan Lalamusa</t>
  </si>
  <si>
    <t>confirm 
Zain Pharmacy, Guliana Road, Jatria Kalan, Lalamusa, Punjab 08019, Pakistan.
Ai address
 | 💰 COD Rec: 2026-03-03 | Ref: CPR-UGST0244500 | Amt: 3099</t>
  </si>
  <si>
    <t>TR29504</t>
  </si>
  <si>
    <t>Hasnain Mousvi</t>
  </si>
  <si>
    <t>Expedition Asia Skardu</t>
  </si>
  <si>
    <t>confimr 
 | ↩️ Return Charged: 2026-03-31 | Ref: CPR-6B0MN221209 | Fee: 213</t>
  </si>
  <si>
    <t>TR29505</t>
  </si>
  <si>
    <t>Usman Khalil</t>
  </si>
  <si>
    <t>Gift Tailor Dsp Chowk Tehsil Ali Pur District Muzafar Garh Muzaffargarh</t>
  </si>
  <si>
    <t>confirm 
 | 💰 COD Rec: 2026-03-10 | Ref: CPR-64Y2J259013 | Amt: 3849</t>
  </si>
  <si>
    <t>ADI Multi Ref Stripes - L / Maroon (x1), ADI Multi Ref Stripes - L / Navy Blue (x1)</t>
  </si>
  <si>
    <t>CPR-64Y2J259013</t>
  </si>
  <si>
    <t>TR29506</t>
  </si>
  <si>
    <t>Malik Usman</t>
  </si>
  <si>
    <t>+923266161787</t>
  </si>
  <si>
    <t>Gift Tayler Dsp Chowk ghalwan road Ali pur district muzafar garh Ali pur</t>
  </si>
  <si>
    <t>TR29507</t>
  </si>
  <si>
    <t>Abid Ali hiraj</t>
  </si>
  <si>
    <t>+923317508143</t>
  </si>
  <si>
    <t>Residential colony District jail toba Tek Singh  City toba tek Singh toba tek Singh</t>
  </si>
  <si>
    <t>toba tek Singh</t>
  </si>
  <si>
    <t>+92 341 4127802whatsup 
 | 💰 COD Rec: 2026-03-03 | Ref: CPR-UGST0244500 | Amt: 2749</t>
  </si>
  <si>
    <t>TR29508</t>
  </si>
  <si>
    <t>Muhammad Huzaifa Yamin</t>
  </si>
  <si>
    <t>Qureshi E store near national bank liaquat pur Liaquat Pur</t>
  </si>
  <si>
    <t>Liaquat Pur</t>
  </si>
  <si>
    <t>confirm on wp 
 | ↩️ Return Charged: 2026-04-03 | Ref: CPR-EP247894165 | Fee: 200.1</t>
  </si>
  <si>
    <t>TR29509</t>
  </si>
  <si>
    <t>DIG  Hayee DIG Hayee Baloch</t>
  </si>
  <si>
    <t>+923338000004</t>
  </si>
  <si>
    <t>C/O Basheer Books , Gulistan Road near IG office quetta Quetta</t>
  </si>
  <si>
    <t>confirm on wp 
 | 💰 COD Rec: 2026-03-24 | Ref: CPR-A9TC9587889 | Amt: 3348</t>
  </si>
  <si>
    <t>CPR-A9TC9587889</t>
  </si>
  <si>
    <t>TR29510</t>
  </si>
  <si>
    <t>Abdula Kaloni Feroza Thsil Liaquetpur Rahim Yar Khan</t>
  </si>
  <si>
    <t>confirm 
 | 💰 COD Rec: 2026-03-10 | Ref: CPR-64Y2J259013 | Amt: 2049</t>
  </si>
  <si>
    <t>TR29511</t>
  </si>
  <si>
    <t>Muhammad Waqas Waqas</t>
  </si>
  <si>
    <t>Nowhere virk green town Nowhere virk</t>
  </si>
  <si>
    <t>Nowhere virk</t>
  </si>
  <si>
    <t>r; koi call nahi ai koi rider nahi aaya 
confirm  koi call nahi ai 
 | ↩️ Return Charged: 2026-03-10 | Ref: CPR-64Y2J259013 | Fee: 107</t>
  </si>
  <si>
    <t>TR29512</t>
  </si>
  <si>
    <t>Sohaib Anwar Sohaib Anwar</t>
  </si>
  <si>
    <t>+923011254591</t>
  </si>
  <si>
    <t>Chak 89/6.R boar wala chonk  House number 24  City Sahiwal Sahiwal</t>
  </si>
  <si>
    <t xml:space="preserve">whatsup paid parcel </t>
  </si>
  <si>
    <t>TR29513</t>
  </si>
  <si>
    <t>Asfand karim Arijo</t>
  </si>
  <si>
    <t>Sachal colony. Sasty basty near raja Abro shop Larkana</t>
  </si>
  <si>
    <t>confirm 
 | 💰 COD Rec: 2026-03-03 | Ref: CPR-UGST0244500 | Amt: 2749</t>
  </si>
  <si>
    <t>TR29514</t>
  </si>
  <si>
    <t>+923093748221</t>
  </si>
  <si>
    <t>03093748221 Larkana</t>
  </si>
  <si>
    <t>TR29515</t>
  </si>
  <si>
    <t>G a jaffery Jaffery</t>
  </si>
  <si>
    <t>House e51/2 street 8 fatehabad lahore cantt Lahore</t>
  </si>
  <si>
    <t>confrm 
 | 💰 COD Rec: 2026-03-03 | Ref: CPR-UGST0244500 | Amt: 3099</t>
  </si>
  <si>
    <t>TR29516</t>
  </si>
  <si>
    <t>Israr Ahmad</t>
  </si>
  <si>
    <t>+923103085566</t>
  </si>
  <si>
    <t>Col amanullah road, margala valley , street 6c,bhara kahu Islamabad Rawalpindi / Islamabad</t>
  </si>
  <si>
    <t>Rawalpindi / Islamabad</t>
  </si>
  <si>
    <t>TR29517</t>
  </si>
  <si>
    <t>Bilal Tung</t>
  </si>
  <si>
    <t>+923261594532</t>
  </si>
  <si>
    <t>House No 10 K Street No 2 Khuda Buksh Colony Near Airport Road Lahore</t>
  </si>
  <si>
    <t>TR29518</t>
  </si>
  <si>
    <t>Bilal Faiz</t>
  </si>
  <si>
    <t>Sultan Tower, Makanbagh, Mingora Swat Mingora</t>
  </si>
  <si>
    <t>Mingora</t>
  </si>
  <si>
    <t>confrm 
 | 💰 COD Rec: 2026-03-03 | Ref: CPR-UGST0244500 | Amt: 1449</t>
  </si>
  <si>
    <t>TR29519</t>
  </si>
  <si>
    <t>Imran ,Allow to open parcel Naz</t>
  </si>
  <si>
    <t>Bazaar Maher Noor Street No 4A Naz Beauty Parlour Gujranwala</t>
  </si>
  <si>
    <t>confirm ma 12 pm ka bad nai avail rider ko bolien ka in moring ay 
 | 💰 COD Rec: 2026-03-10 | Ref: CPR-64Y2J259013 | Amt: 2749</t>
  </si>
  <si>
    <t>TR29520</t>
  </si>
  <si>
    <t>M Hamza</t>
  </si>
  <si>
    <t>Shabqadar Road Takia Stop Afsar Ali Karyana Store Peshawar</t>
  </si>
  <si>
    <t>confirm 
 | 💰 COD Rec: 2026-03-16 | Ref: CPR-AEDNR633590 | Amt: 3348</t>
  </si>
  <si>
    <t>TR29521</t>
  </si>
  <si>
    <t>M.Tariq Naeem</t>
  </si>
  <si>
    <t>House No 70 Street 2 Imperial 1 Paragon City Lahore Lahore</t>
  </si>
  <si>
    <t>confirm 
 | 💰 COD Rec: 2026-03-13 | Ref: CPR-PUPPV418827 | Amt: 3348</t>
  </si>
  <si>
    <t>TR29522</t>
  </si>
  <si>
    <t>saddam hussain</t>
  </si>
  <si>
    <t>40A Lawrance Road Lahore lahore</t>
  </si>
  <si>
    <t>canfirm on wp 
 | 💰 COD Rec: 2026-03-03 | Ref: CPR-UGST0244500 | Amt: 2199</t>
  </si>
  <si>
    <t>TR29523</t>
  </si>
  <si>
    <t>Saleem Bughio</t>
  </si>
  <si>
    <t>Bughio house shah latif colony nazar road larkana Larkana</t>
  </si>
  <si>
    <t>TR29524</t>
  </si>
  <si>
    <t>Yaqoob Gichki</t>
  </si>
  <si>
    <t>House no.1 Shahi tump Turbat kech Turbat</t>
  </si>
  <si>
    <t>confirm 
 | 💰 COD Rec: 2026-03-10 | Ref: CPR-64Y2J259013 | Amt: 3348</t>
  </si>
  <si>
    <t>TR29525</t>
  </si>
  <si>
    <t>Jibran Ijaz</t>
  </si>
  <si>
    <t>Ishaq Iron Store , Near Al-habib Bank , Gala Mandi Branch Bahawalnagar</t>
  </si>
  <si>
    <t>confirm 
 | 💰 COD Rec: 2026-03-06 | Ref: CPR-OO04K926870 | Amt: 2749</t>
  </si>
  <si>
    <t>TR29526</t>
  </si>
  <si>
    <t>Zaib Khan</t>
  </si>
  <si>
    <t>2nd floor, Flat 06 City Center D12 Markaz Islamabad</t>
  </si>
  <si>
    <t>confirm 
 | ↩️ Return Charged: 2026-03-27 | Ref: CPR-Q9K76465838 | Fee: 200.1</t>
  </si>
  <si>
    <t>TR29527</t>
  </si>
  <si>
    <t>Mubashar Hussain</t>
  </si>
  <si>
    <t>124-a-hashmi Garden Bahawalpur</t>
  </si>
  <si>
    <t>confirm 
 | 💰 COD Rec: 2026-03-06 | Ref: CPR-OO04K926870 | Amt: 3348</t>
  </si>
  <si>
    <t>TR29528</t>
  </si>
  <si>
    <t>Ayaan Khan</t>
  </si>
  <si>
    <t>Near kaly khan petrol pump Mirpurkhas</t>
  </si>
  <si>
    <t>confirm 
 | 💰 COD Rec: 2026-03-06 | Ref: CPR-OO04K926870 | Amt: 2649</t>
  </si>
  <si>
    <t>ADI - EMBOSSED LOGO (Cotton) - L / Dark Red(Maroon) (x1), ADI - EMBOSSED LOGO (Cotton) - L / Sky (x1)</t>
  </si>
  <si>
    <t>TR29529</t>
  </si>
  <si>
    <t>kashif ejaz kashif eja</t>
  </si>
  <si>
    <t>House Number 268-street Number 14d Makkah Colony Gulberg 3 Lhore Lahore</t>
  </si>
  <si>
    <t>r; again dispatch wih dc advance 
confirm on wp papa so raha hain 
 | ↩️ Return Charged: 2026-03-13 | Ref: CPR-PUPPV418827 | Fee: 107</t>
  </si>
  <si>
    <t>TR29530</t>
  </si>
  <si>
    <t>Rameez Akram</t>
  </si>
  <si>
    <t>House 15 Block E  Phase 5 Dha Lahore Lahore</t>
  </si>
  <si>
    <t xml:space="preserve">cancel mood change </t>
  </si>
  <si>
    <t>TR29531</t>
  </si>
  <si>
    <t>Abrar bhatti</t>
  </si>
  <si>
    <t>Block 34 House 62 Nearby Qadria chowk Dera Ghazi Khan</t>
  </si>
  <si>
    <t>TR29532</t>
  </si>
  <si>
    <t>Awais Wattoo</t>
  </si>
  <si>
    <t>Faridkot Depalpur Depalpur</t>
  </si>
  <si>
    <t xml:space="preserve">cancel mujha laga ka full tracksuit haa </t>
  </si>
  <si>
    <t>TR29533</t>
  </si>
  <si>
    <t>zeeshan malik</t>
  </si>
  <si>
    <t>Zeeshan Ahmad Landscape Studio Office liaquat bagh rawalpindi Rawalpindi</t>
  </si>
  <si>
    <t>confirm 
 | ↩️ Return Charged: 2026-03-24 | Ref: CPR-A9TC9587889 | Fee: 200</t>
  </si>
  <si>
    <t>TR29534</t>
  </si>
  <si>
    <t>asad mehmood mehmood</t>
  </si>
  <si>
    <t>Hashmi house masjid ehly hadees wali gali Bahawalnagar</t>
  </si>
  <si>
    <t>r; isko dusro article share ker diya hain 
allow t open emossed ka bukram ka issue tha 
 | ↩️ Return Charged: 2026-03-13 | Ref: CPR-PUPPV418827 | Fee: 200</t>
  </si>
  <si>
    <t>TR29535</t>
  </si>
  <si>
    <t>Ali Chattha</t>
  </si>
  <si>
    <t>House No 1 Street 1 Backside Kips College Muzafar Pur Defence Road Sialkot</t>
  </si>
  <si>
    <t>confirm on wp 
 | 💰 COD Rec: 2026-03-06 | Ref: CPR-OO04K926870 | Amt: 3348</t>
  </si>
  <si>
    <t>TR29536</t>
  </si>
  <si>
    <t>dilshad dilshad  dogar</t>
  </si>
  <si>
    <t>peerfatehdeen road muhallah jahangeerabad jaan street Sheikhupura</t>
  </si>
  <si>
    <t xml:space="preserve">cancel   size issue chest 25 haa </t>
  </si>
  <si>
    <t>TR29537</t>
  </si>
  <si>
    <t>Malik Ayaz Anwar</t>
  </si>
  <si>
    <t>Janjua Town Behind Dewan E Saeed G.t Road Jada Jhelum</t>
  </si>
  <si>
    <t>TR29538</t>
  </si>
  <si>
    <t>Khalid saleem Khalid saleem</t>
  </si>
  <si>
    <t>Plot nmbr 548b liaqat ashraf colony mehmod abad gate karachi Karachi</t>
  </si>
  <si>
    <t>TR29539</t>
  </si>
  <si>
    <t>Masood Ahmed</t>
  </si>
  <si>
    <t>Iqra shahab hostel near humdard dawa khana 6 begum road lahore Lahore</t>
  </si>
  <si>
    <t>confirm 
 | 💰 COD Rec: 2026-03-06 | Ref: CPR-OO04K926870 | Amt: 1999</t>
  </si>
  <si>
    <t>Striper Lycra  locas-te - M / burg (x1)</t>
  </si>
  <si>
    <t>TR29540</t>
  </si>
  <si>
    <t>Ali Zaman</t>
  </si>
  <si>
    <t>Toyota Fort Motors Gujranwala Gujranwala</t>
  </si>
  <si>
    <t>CONFIRM
 | 💰 COD Rec: 2026-03-10 | Ref: CPR-64Y2J259013 | Amt: 1499</t>
  </si>
  <si>
    <t>Basic RL Crew- Cotton - M / light grey (x1)</t>
  </si>
  <si>
    <t>TR29541</t>
  </si>
  <si>
    <t>Azram Muhammad</t>
  </si>
  <si>
    <t>49 Asghar mall scheme Rawalpindi ( alhuda school) Rawalpindi</t>
  </si>
  <si>
    <t>TR29542</t>
  </si>
  <si>
    <t>Wakas Sheikh</t>
  </si>
  <si>
    <t>237 a3 punjab society pia road Lahore</t>
  </si>
  <si>
    <t>confirm 
 | 💰 COD Rec: 2026-03-06 | Ref: CPR-OO04K926870 | Amt: 6198</t>
  </si>
  <si>
    <t>Multi ref PUM-A - L / White (x1), Multi ref PUM-A - L / Black (x1), ADI Multi Ref Stripes - L / White (x1), ADI Multi Ref Stripes - L / Black (x1)</t>
  </si>
  <si>
    <t>TR29543</t>
  </si>
  <si>
    <t>Aitzaz Khan</t>
  </si>
  <si>
    <t>Leapord Courier Service (athmuqam) , Muzaffarabad, District Neelum Ajk Muzaffarabad</t>
  </si>
  <si>
    <t>LE7530547591</t>
  </si>
  <si>
    <t xml:space="preserve">lcs athmuqam  not ans </t>
  </si>
  <si>
    <t>TR29544</t>
  </si>
  <si>
    <t>R1 22 Al Jadeed Residency Malir Karachi</t>
  </si>
  <si>
    <t>confirm 
 | ↩️ Return Charged: 2026-03-31 | Ref: CPR-6B0MN221209 | Fee: 227</t>
  </si>
  <si>
    <t>TR29545</t>
  </si>
  <si>
    <t>+923218451673</t>
  </si>
  <si>
    <t>confirm 
 | 💰 COD Rec: 2026-03-06 | Ref: CPR-OO04K926870 | Amt: 3099</t>
  </si>
  <si>
    <t>TR29546</t>
  </si>
  <si>
    <t>Hassaan Zahoor</t>
  </si>
  <si>
    <t>House No 463, Street 13, Bharia Phase 7 Rawalpindi</t>
  </si>
  <si>
    <t>TR29547</t>
  </si>
  <si>
    <t>Bilal Shahid</t>
  </si>
  <si>
    <t>+923216040891</t>
  </si>
  <si>
    <t>House No P 138 A Gulberg Colony Faisalabad</t>
  </si>
  <si>
    <t>confirm 
 | 💰 COD Rec: 2026-03-06 | Ref: CPR-OO04K926870 | Amt: 3038</t>
  </si>
  <si>
    <t>TR29548</t>
  </si>
  <si>
    <t>Sajawal Qamar</t>
  </si>
  <si>
    <t>Commissioner house dgk Dgk</t>
  </si>
  <si>
    <t>Dgk</t>
  </si>
  <si>
    <t>r; not ans
confirm 
 | ↩️ Return Charged: 2026-03-13 | Ref: CPR-PUPPV418827 | Fee: 200</t>
  </si>
  <si>
    <t>TR29549</t>
  </si>
  <si>
    <t>Nouman Latif</t>
  </si>
  <si>
    <t>+923241111113</t>
  </si>
  <si>
    <t>Green Apple Farm House Sialkot Galib Road Punjab Pakistan Nouman</t>
  </si>
  <si>
    <t>Nouman</t>
  </si>
  <si>
    <t>TR29550</t>
  </si>
  <si>
    <t>UsMaN Rajpoot</t>
  </si>
  <si>
    <t>near faisal abdullah rice mill kot khaira jhang Jhang Sadar</t>
  </si>
  <si>
    <t>TR29551</t>
  </si>
  <si>
    <t>Shahzaib Rasheed</t>
  </si>
  <si>
    <t>S2/453 malir saudabad Karachi</t>
  </si>
  <si>
    <t>confirm 
 | 💰 COD Rec: 2026-03-10 | Ref: CPR-64Y2J259013 | Amt: 2749</t>
  </si>
  <si>
    <t>Basic RL Crew- Cotton - M / Olive (x1), Basic RL Crew- Cotton - M / Sea green (x1)</t>
  </si>
  <si>
    <t>TR29552</t>
  </si>
  <si>
    <t>LE7526973216</t>
  </si>
  <si>
    <t>TR29553</t>
  </si>
  <si>
    <t>Hassan Ghori</t>
  </si>
  <si>
    <t>H no 08 Gulshan e qadir near Islamabad chowk Hyderabad Hyderabad</t>
  </si>
  <si>
    <t>LE7526973221</t>
  </si>
  <si>
    <t>TR29554</t>
  </si>
  <si>
    <t>Muhammad Zarrar</t>
  </si>
  <si>
    <t>53 C Pasrur Cantt Pasrur</t>
  </si>
  <si>
    <t>Pasrur</t>
  </si>
  <si>
    <t>confirm apna phone ki haa consignee boll raha nahi lena to late 
 | ↩️ Return Charged: 2026-03-24 | Ref: CPR-A9TC9587889 | Fee: 220</t>
  </si>
  <si>
    <t>TR29555</t>
  </si>
  <si>
    <t>ali noman</t>
  </si>
  <si>
    <t>I.I Chundrigarh Road, National Bank Head Office 14th floor Karachi</t>
  </si>
  <si>
    <t>TR29556</t>
  </si>
  <si>
    <t>Rizwan iqbal Rizwan iqbal</t>
  </si>
  <si>
    <t>Jamilabad Taxila Taxila</t>
  </si>
  <si>
    <t>TR29557</t>
  </si>
  <si>
    <t>+923185359868</t>
  </si>
  <si>
    <t>r;  ma kashmir aya hua hoo bad ma order ker do ga 
confirm rider na muj sa rabta nahi kiya 
 | ↩️ Return Charged: 2026-03-10 | Ref: CPR-64Y2J259013 | Fee: 200</t>
  </si>
  <si>
    <t>TR29558</t>
  </si>
  <si>
    <t>Mustansar Ali</t>
  </si>
  <si>
    <t>+923318662927</t>
  </si>
  <si>
    <t>Rai Pur Zafarwal Road Sialkot</t>
  </si>
  <si>
    <t>confimr 
 | 💰 COD Rec: 2026-03-13 | Ref: CPR-PUPPV418827 | Amt: 9199</t>
  </si>
  <si>
    <t>ADI Multi Ref Stripes - XL / White (x1), ADI Multi Ref Stripes - XL / Black (x1), Imported Scoba Executive Nik Tro - XL / Black (x1), Imported Scoba Executive Nik Tro - XL / Gray (x1)</t>
  </si>
  <si>
    <t>TR29559</t>
  </si>
  <si>
    <t>Mian Sohaib</t>
  </si>
  <si>
    <t>Airport road ghansarpur Sialkot near atock petrol pump Sialkot</t>
  </si>
  <si>
    <t xml:space="preserve">cancel no need  quality is not good </t>
  </si>
  <si>
    <t>TR29560</t>
  </si>
  <si>
    <t>+923220270610</t>
  </si>
  <si>
    <t xml:space="preserve">tcs / lcs </t>
  </si>
  <si>
    <t>TR29561</t>
  </si>
  <si>
    <t>Murtaza Khan</t>
  </si>
  <si>
    <t>+923149385370</t>
  </si>
  <si>
    <t>Fazal Super Store, Dherai Chwak Tehsil Kabal, Swat Swat</t>
  </si>
  <si>
    <t>TR29562</t>
  </si>
  <si>
    <t>Rama Owais</t>
  </si>
  <si>
    <t>+923482452043</t>
  </si>
  <si>
    <t>HOUSE NO A-362 STREET 11 BHITTAIABAD KARACHI NEAR AIRPORT Karachi</t>
  </si>
  <si>
    <t>TR29563</t>
  </si>
  <si>
    <t>Sabir Hussain Hussain</t>
  </si>
  <si>
    <t>+923448269094</t>
  </si>
  <si>
    <t>Block 1, civil secretariat , zarghoon road. Quetta</t>
  </si>
  <si>
    <t>confirm
 | 💰 COD Rec: 2026-03-06 | Ref: CPR-OO04K926870 | Amt: 3348</t>
  </si>
  <si>
    <t>TR29564</t>
  </si>
  <si>
    <t>Fateh Zeeshan</t>
  </si>
  <si>
    <t>Buch villas block F house no 1076 Multan</t>
  </si>
  <si>
    <t>confirm 
 | 💰 COD Rec: 2026-03-06 | Ref: CPR-OO04K926870 | Amt: 3349</t>
  </si>
  <si>
    <t>TR29565</t>
  </si>
  <si>
    <t>Hisham Khan</t>
  </si>
  <si>
    <t>Peshawar Marble showroom and Factory ,College road near pull dot, dera ghazi khan, punjab, pakistan Dera Ghazi Khan</t>
  </si>
  <si>
    <t xml:space="preserve">cancel ker den galti sa order ho gaya tha </t>
  </si>
  <si>
    <t>TR29566</t>
  </si>
  <si>
    <t>Raza Ishfaq</t>
  </si>
  <si>
    <t>Cafe surgimed hospital zafar Ali road gullbar Lahore Lahore</t>
  </si>
  <si>
    <t>TR29567</t>
  </si>
  <si>
    <t>Taimoor Shafiq</t>
  </si>
  <si>
    <t>Office 8,  3rd Floor, Plaza 33&amp;34, Behind Attock Pump, Tipu Blvd, Sector D South, DHA 2 Islamabad</t>
  </si>
  <si>
    <t>Multi ref PUM-A - L / Black (x1)</t>
  </si>
  <si>
    <t>TR29568</t>
  </si>
  <si>
    <t>M Usman M Usman</t>
  </si>
  <si>
    <t>محلہ کوڑیاں گاؤں کامل پور موسی تحصیل حضرو ضلع اٹک</t>
  </si>
  <si>
    <t>تحصیل حضرو ضلع اٹک</t>
  </si>
  <si>
    <t>TR29569</t>
  </si>
  <si>
    <t>تحصیل حضرو ضلع اٹک گاؤں کامل پور موسٰی محلہ کوڑیاں نزد ابو طلحہ مسجد حضرو</t>
  </si>
  <si>
    <t>حضرو</t>
  </si>
  <si>
    <t>TR29570</t>
  </si>
  <si>
    <t>confirm 
 | 💰 COD Rec: 2026-03-06 | Ref: CPR-OO04K926870 | Amt: 4746</t>
  </si>
  <si>
    <t>ADI Multi Ref Stripes - L / White (x1), Multi ref PUM-A - L / White (x1), NIK- Ref LOGO - L / black (x1)</t>
  </si>
  <si>
    <t>TR29571</t>
  </si>
  <si>
    <t>Taqueer Malhi</t>
  </si>
  <si>
    <t>Sa Gardan Kala Sha Kaku Faz shoaib block street 2 house 117 Kala Sha Kaku</t>
  </si>
  <si>
    <t>Kala Sha Kaku</t>
  </si>
  <si>
    <t>LE7526969049</t>
  </si>
  <si>
    <t xml:space="preserve">confirm on wp </t>
  </si>
  <si>
    <t>TR29572</t>
  </si>
  <si>
    <t>Atif Arif</t>
  </si>
  <si>
    <t>+923215603854</t>
  </si>
  <si>
    <t>House # 166-2 block B Punjab small industries cooperative housing society Lahore Lahore</t>
  </si>
  <si>
    <t>confirm 
 | 💰 COD Rec: 2026-03-13 | Ref: CPR-PUPPV418827 | Amt: 5699</t>
  </si>
  <si>
    <t>ADI Multi Ref Stripes - XL / White (x1), ADI Multi Ref Stripes - L / Black (x1), ADI Ref Stripes - 3XL / White (x1), ADI Ref Stripes - 3XL / Black (x1)</t>
  </si>
  <si>
    <t>TR29573</t>
  </si>
  <si>
    <t>Farhan Ali</t>
  </si>
  <si>
    <t>+9203707801531</t>
  </si>
  <si>
    <t>MM Alam Rd Lahore</t>
  </si>
  <si>
    <t xml:space="preserve">cancel shop sa a ker la gaa
</t>
  </si>
  <si>
    <t>TR29574</t>
  </si>
  <si>
    <t>The Hope School Sargodha</t>
  </si>
  <si>
    <t>r; not ans 
confirm  not ans 
 | ↩️ Return Charged: 2026-03-13 | Ref: CPR-PUPPV418827 | Fee: 200</t>
  </si>
  <si>
    <t>TR29575</t>
  </si>
  <si>
    <t>Taimoor Awan</t>
  </si>
  <si>
    <t>Apartment no 205, divine mega 2 airport road Lahore</t>
  </si>
  <si>
    <t>r;  not ans 
 in wp trouser chota haa or fabric bi thek nahi rider ko wapis ker raha 
not ans haa confirm 
 | ↩️ Return Charged: 2026-03-10 | Ref: CPR-64Y2J259013 | Fee: 107</t>
  </si>
  <si>
    <t>TR29576</t>
  </si>
  <si>
    <t>Mirza usama Rehman</t>
  </si>
  <si>
    <t>148c-cavlary Ground Lahore Near Khalid Masjid Lahore</t>
  </si>
  <si>
    <t>TR29577</t>
  </si>
  <si>
    <t>Qaiser Mehmood</t>
  </si>
  <si>
    <t>R-29 PAEC New Colony Chashma Tehsil Piplan District Mianwali Mianwali</t>
  </si>
  <si>
    <t>confirm  open to allow 
 | 💰 COD Rec: 2026-03-06 | Ref: CPR-OO04K926870 | Amt: 3348</t>
  </si>
  <si>
    <t>TR29578</t>
  </si>
  <si>
    <t>AR Khan</t>
  </si>
  <si>
    <t>New Auriga shopping mall gulburg 2 lahore Lahore</t>
  </si>
  <si>
    <t>r ; number off 
confirm rider aya tha ma soo raha tha after 1pm ay rider 
 | ↩️ Return Charged: 2026-03-10 | Ref: CPR-64Y2J259013 | Fee: 107</t>
  </si>
  <si>
    <t>TR29579</t>
  </si>
  <si>
    <t>Kamran Gondal</t>
  </si>
  <si>
    <t>Mohallah old post office  Kotmomin, District Sargodha Sargodha</t>
  </si>
  <si>
    <t>Basic RL Crew- Cotton - M / Copper (x1), Basic RL Crew- Cotton - M / Black (x1)</t>
  </si>
  <si>
    <t>TR29580</t>
  </si>
  <si>
    <t>Rizwan Ul Haque</t>
  </si>
  <si>
    <t>house 43, Street 15, F-11/2 Islamabad</t>
  </si>
  <si>
    <t>confirm on wp 
 | 💰 COD Rec: 2026-03-06 | Ref: CPR-OO04K926870 | Amt: 2049</t>
  </si>
  <si>
    <t>TR29581</t>
  </si>
  <si>
    <t>Shaheen Kamran</t>
  </si>
  <si>
    <t>S 236 B 5A Street phase 7 extension dha Karachi Karachi</t>
  </si>
  <si>
    <t>confirm
 | 💰 COD Rec: 2026-03-06 | Ref: CPR-OO04K926870 | Amt: 2749</t>
  </si>
  <si>
    <t>TR29582</t>
  </si>
  <si>
    <t>Hamza Khattak</t>
  </si>
  <si>
    <t>Office No. 102, First Floor, Shaheen One Plaza, D-12 Markaz Islamabad</t>
  </si>
  <si>
    <t>TR29583</t>
  </si>
  <si>
    <t>Azlan Ahmad</t>
  </si>
  <si>
    <t>94-Q1 Lahore Division, Co-Operative Housing Society, WAPDA Town Lahore</t>
  </si>
  <si>
    <t>TR29584</t>
  </si>
  <si>
    <t>waseem saleem</t>
  </si>
  <si>
    <t>r; shop sa a ker purchase ker la ga 
confirm ma 2 din bussy tha ap reattempt ker dien open ker ka 
 | ↩️ Return Charged: 2026-03-13 | Ref: CPR-PUPPV418827 | Fee: 107</t>
  </si>
  <si>
    <t>TR29585</t>
  </si>
  <si>
    <t>TR29397 exchnage 770+250dc ya lagana hain bass 
 | 💰 COD Rec: 2026-03-24 | Ref: CPR-A9TC9587889 | Amt: 1020</t>
  </si>
  <si>
    <t>TR29586</t>
  </si>
  <si>
    <t>Abdul Rehmqn</t>
  </si>
  <si>
    <t>Samnabad Lahor</t>
  </si>
  <si>
    <t>Lahor</t>
  </si>
  <si>
    <t>not ans (no whatsapp)</t>
  </si>
  <si>
    <t>TR29587</t>
  </si>
  <si>
    <t>Rehan Wani</t>
  </si>
  <si>
    <t>+923089723892</t>
  </si>
  <si>
    <t>C/O Rizwan manzil, upper plate, ghousia street , ward no 11 Muzaffarabad, Azad Kashmir</t>
  </si>
  <si>
    <t>Muzaffarabad, Azad Kashmir</t>
  </si>
  <si>
    <t>confirm
 | 💰 COD Rec: 2026-03-10 | Ref: CPR-64Y2J259013 | Amt: 3348</t>
  </si>
  <si>
    <t>TR29588</t>
  </si>
  <si>
    <t>Hasnainasif Hasnainasif</t>
  </si>
  <si>
    <t>Main sui gas road red mall plaze NST SARGODHA Sargodha</t>
  </si>
  <si>
    <t>confirm
 | 💰 COD Rec: 2026-03-06 | Ref: CPR-OO04K926870 | Amt: 3099</t>
  </si>
  <si>
    <t>TR29589</t>
  </si>
  <si>
    <t>+923212529999</t>
  </si>
  <si>
    <t>Khayabane faisal 20th street phase 8 279/2 Karachi</t>
  </si>
  <si>
    <t>confirm 
 | 💰 COD Rec: 2026-03-06 | Ref: CPR-OO04K926870 | Amt: 2849</t>
  </si>
  <si>
    <t>TR29590</t>
  </si>
  <si>
    <t>number busy - in wp 
issue (pehla order restocked ha)</t>
  </si>
  <si>
    <t>TR29591</t>
  </si>
  <si>
    <t>Usama Zaib</t>
  </si>
  <si>
    <t>COMSATS university vehari Vehari</t>
  </si>
  <si>
    <t>confirm 
 | 💰 COD Rec: 2026-04-03 | Ref: CPR-EP247894165 | Amt: 8950</t>
  </si>
  <si>
    <t>Imported Scoba Executive Nik Tro - XL / Silver Grey (x1), Imported Scoba Executive Nik Tro - XL / Black (x1), NIK- Ref LOGO - XL / white (x1), NIK- Ref LOGO - XL / black (x1)</t>
  </si>
  <si>
    <t>CPR-EP247894165</t>
  </si>
  <si>
    <t>TR29592</t>
  </si>
  <si>
    <t>House No 490 LCO Block C, Bahria Orchard Phase 1, Raiwind Road,lahore Lahore</t>
  </si>
  <si>
    <t>confirm 
 | 💰 COD Rec: 2026-03-06 | Ref: CPR-OO04K926870 | Amt: 1899</t>
  </si>
  <si>
    <t>TR29593</t>
  </si>
  <si>
    <t>suzuki house fakher alam road peshawar cantt Peshawar</t>
  </si>
  <si>
    <t>TR29594</t>
  </si>
  <si>
    <t>Atta Husain Atta Husain</t>
  </si>
  <si>
    <t>220 KV Grid Station Usman Block Phase 8 bahria Town Rawalpindi</t>
  </si>
  <si>
    <t xml:space="preserve">CANCEL NO NEED  TR29596 already order this one </t>
  </si>
  <si>
    <t>TR29595</t>
  </si>
  <si>
    <t>Atta Hussain</t>
  </si>
  <si>
    <t>220 KV Grid Station usman block phase 8 bahria town rawalpindi Rawalpindi</t>
  </si>
  <si>
    <t>TR29596</t>
  </si>
  <si>
    <t>220 KV Grid Station Usman Block Phase 8 bahria town Rawalpindi</t>
  </si>
  <si>
    <t>CONFIRM 
 | 💰 COD Rec: 2026-03-06 | Ref: CPR-OO04K926870 | Amt: 8999</t>
  </si>
  <si>
    <t>NIK- Ref LOGO - XL / white (x1), NIK- Ref LOGO - L / black (x1), Imported Scoba Executive Nik Tro - L / Silver Grey (x1), Embossed NIK-E - L / White (x1), Embossed NIK-E - L / Black (x1)</t>
  </si>
  <si>
    <t>TR29597</t>
  </si>
  <si>
    <t>TR29598</t>
  </si>
  <si>
    <t>Ratik Ratik</t>
  </si>
  <si>
    <t>+923242970554</t>
  </si>
  <si>
    <t xml:space="preserve">. City tando ghulam Ali Dr ismil chuk Soni sawai Mal shop tando </t>
  </si>
  <si>
    <t xml:space="preserve">tando </t>
  </si>
  <si>
    <t>confirm on wp  consiugnee want open parcel 
 | ↩️ Return Charged: 2026-03-31 | Ref: CPR-6B0MN221209 | Fee: 213</t>
  </si>
  <si>
    <t>TR29599</t>
  </si>
  <si>
    <t>Mudassar iqbal</t>
  </si>
  <si>
    <t>Zainab maternity hospital ghosia abad Pir Mahal</t>
  </si>
  <si>
    <t>Pir Mahal</t>
  </si>
  <si>
    <t>confirm 
 | 💰 COD Rec: 2026-03-06 | Ref: CPR-OO04K926870 | Amt: 3347</t>
  </si>
  <si>
    <t>TR29600</t>
  </si>
  <si>
    <t>Hamza Hassan</t>
  </si>
  <si>
    <t>Marhaba Shop Mohallah Khattak Muslim Bazar Dera Ismail Khan</t>
  </si>
  <si>
    <t>confirm on wp 
 | 💰 COD Rec: 2026-03-06 | Ref: CPR-OO04K926870 | Amt: 3347</t>
  </si>
  <si>
    <t>ADI Multi Ref Stripes - L / Black (x1), Multi ref PUM-A - L / Black (x1)</t>
  </si>
  <si>
    <t>TR29601</t>
  </si>
  <si>
    <t>Syed Sabih</t>
  </si>
  <si>
    <t>DHA Phase 2, Sector H, Lane 9A, House no 3 Islamabad</t>
  </si>
  <si>
    <t>TR29602</t>
  </si>
  <si>
    <t>Shahzad iqbal Shahzad iqbal</t>
  </si>
  <si>
    <t>+923159148550</t>
  </si>
  <si>
    <t>HBS medical and dental college lethrar road tarlai islamabad. islamabad.</t>
  </si>
  <si>
    <t>islamabad.</t>
  </si>
  <si>
    <t>whatsup 
 | 💰 COD Rec: 2026-03-10 | Ref: CPR-64Y2J259013 | Amt: 3100</t>
  </si>
  <si>
    <t>ADI Multi Ref Stripes - L / White (x1), NIK- Ref LOGO - L / black (x1)</t>
  </si>
  <si>
    <t>TR29603</t>
  </si>
  <si>
    <t>Mohsin Gulraiz</t>
  </si>
  <si>
    <t>+923452999749</t>
  </si>
  <si>
    <t>Andha roshanabad Azad Kashmir     kotli dungi  Khuiratta (AJK)</t>
  </si>
  <si>
    <t>Khuiratta (AJK)</t>
  </si>
  <si>
    <t>TR29604</t>
  </si>
  <si>
    <t>Aroma Boys Hostel Islamabad</t>
  </si>
  <si>
    <t>TR29605</t>
  </si>
  <si>
    <t>Khalid Saleem</t>
  </si>
  <si>
    <t>Fasal colony house number 56 Nawaz Sharif Park Chichawatni</t>
  </si>
  <si>
    <t>confirm on wp 
 | 💰 COD Rec: 2026-03-06 | Ref: CPR-OO04K926870 | Amt: 2749</t>
  </si>
  <si>
    <t>TR29606</t>
  </si>
  <si>
    <t xml:space="preserve">LCS / TCS TR29293 AGAIN ORDER </t>
  </si>
  <si>
    <t>TR29607</t>
  </si>
  <si>
    <t>Amir Sufi</t>
  </si>
  <si>
    <t>6 jinnah lane sarfraz rafiqui road cantt Lahore</t>
  </si>
  <si>
    <t>cancel ma amir sufi nahi hoo</t>
  </si>
  <si>
    <t>TR29608</t>
  </si>
  <si>
    <t>Farooq joiya Joiya</t>
  </si>
  <si>
    <t>House no.45 m street 2 formanites society Lahore</t>
  </si>
  <si>
    <t>confirm 
 | ↩️ Return Charged: 2026-03-27 | Ref: CPR-Q9K76465838 | Fee: 120.06</t>
  </si>
  <si>
    <t>TR29609</t>
  </si>
  <si>
    <t>Babar Muhammad</t>
  </si>
  <si>
    <t>Building 6C,10street,DHA,phase 6 Karachi</t>
  </si>
  <si>
    <t>TR29610</t>
  </si>
  <si>
    <t>Muhammad Babar</t>
  </si>
  <si>
    <t>Building 6C, 3rd floor, 10street,khe Nishat, DHA,phase 6 Karachi</t>
  </si>
  <si>
    <t>confirm 
 | 💰 COD Rec: 2026-03-10 | Ref: CPR-64Y2J259013 | Amt: 3347</t>
  </si>
  <si>
    <t>TR29611</t>
  </si>
  <si>
    <t>Taimoor Ahmed</t>
  </si>
  <si>
    <t>Revenue office Qesco wapda grade near kili bangulzai saryab road quetta Quetta</t>
  </si>
  <si>
    <t>allow to open  number off 
 | ↩️ Return Charged: 2026-03-27 | Ref: CPR-Q9K76465838 | Fee: 226.78</t>
  </si>
  <si>
    <t>TR29612</t>
  </si>
  <si>
    <t>Akshay Kumar</t>
  </si>
  <si>
    <t>Office no #404 4th floor sharjah trade center newchalli near techno city mall i i chundrigar road karachi Karachi</t>
  </si>
  <si>
    <t>TR29613</t>
  </si>
  <si>
    <t>Taimoor Ali</t>
  </si>
  <si>
    <t>Mahar Photo Copy Near HBL Bank, Tobah / Pind Dadan Khan Pind Dadan Khan</t>
  </si>
  <si>
    <t xml:space="preserve">cancel stuff isue </t>
  </si>
  <si>
    <t>TR29614</t>
  </si>
  <si>
    <t>Wajahat Hussain</t>
  </si>
  <si>
    <t>Flat 2C Parade lane Rawalpindi Cantt Rawalpindi Cantt</t>
  </si>
  <si>
    <t>Rawalpindi Cantt</t>
  </si>
  <si>
    <t>TR29615</t>
  </si>
  <si>
    <t>Haroon Khan</t>
  </si>
  <si>
    <t>Haroon Petroleum Din Pur Road Dera Ismail Khan Dera Ismail Khan</t>
  </si>
  <si>
    <t>TR29616</t>
  </si>
  <si>
    <t>Abbas Uddin</t>
  </si>
  <si>
    <t>+923175663389</t>
  </si>
  <si>
    <t>Sectr-t, Street-7, House- 134 .. Sheikh Maltoon Town ,mardan Mardan</t>
  </si>
  <si>
    <t>TR29617</t>
  </si>
  <si>
    <t>Umair Hassan</t>
  </si>
  <si>
    <t>S 23/10 Gulshan Colony CPO 177 Taxila Cantt Rawalpindi Taxila</t>
  </si>
  <si>
    <t>confirm on wp 
 | 💰 COD Rec: 2026-03-06 | Ref: CPR-OO04K926870 | Amt: 3099</t>
  </si>
  <si>
    <t>TR29618</t>
  </si>
  <si>
    <t>Nangyaal Khan Khattak</t>
  </si>
  <si>
    <t>+923139222119</t>
  </si>
  <si>
    <t>House No 285 Rawalpindi</t>
  </si>
  <si>
    <t>confirm 
 | 💰 COD Rec: 2026-03-10 | Ref: CPR-64Y2J259013 | Amt: 5949</t>
  </si>
  <si>
    <t>ADI Multi Ref Stripes - 4XL / White (x1), ADI Multi Ref Stripes - 4XL / Black (x1), NIK- Ref LOGO - 4XL / white (x1), NIK- Ref LOGO - 4XL / black (x1)</t>
  </si>
  <si>
    <t>TR29619</t>
  </si>
  <si>
    <t>M Asif Waheed. M Asif Waheed.</t>
  </si>
  <si>
    <t>+923234184908</t>
  </si>
  <si>
    <t>52 C 1. gulberg 3 Lahore   (gate keeper no shoib ,  +92 323 4184908 my home gate keeper sohib Will recive) lahore</t>
  </si>
  <si>
    <t>R; KAPRA THEK NAHI THA SIZE BHI CHOTA THA 
number off haaa
allow to open whatsup 
 | ↩️ Return Charged: 2026-03-10 | Ref: CPR-64Y2J259013 | Fee: 107</t>
  </si>
  <si>
    <t>TR29620</t>
  </si>
  <si>
    <t>Amin Pyarali</t>
  </si>
  <si>
    <t>house# 520, St 52, Sector G9/1 Islamabad</t>
  </si>
  <si>
    <t>TR29621</t>
  </si>
  <si>
    <t>Saber ullah Saber ullah</t>
  </si>
  <si>
    <t>+923456945931</t>
  </si>
  <si>
    <t>TCS center ambiri kala district karak Kpk City : Karak (Ambiri kala) Karak (Ambiri kala)</t>
  </si>
  <si>
    <t>Karak (Ambiri kala)</t>
  </si>
  <si>
    <t xml:space="preserve">  tcs  whatsup </t>
  </si>
  <si>
    <t>TR29622</t>
  </si>
  <si>
    <t>Ahtsham Waheed Ahtsham Waheed</t>
  </si>
  <si>
    <t>+923109302419</t>
  </si>
  <si>
    <t>Ghori town phase 4 B street 1 house No 380 Islamabad</t>
  </si>
  <si>
    <t>whatsup 
 | 💰 COD Rec: 2026-03-06 | Ref: CPR-OO04K926870 | Amt: 2100</t>
  </si>
  <si>
    <t>TR29623</t>
  </si>
  <si>
    <t>Imran Baloch</t>
  </si>
  <si>
    <t>Karachi university society C.M  17 C.M 18 1st floor 03 04 Gulzar hijri scheme 33 karachi Karachi</t>
  </si>
  <si>
    <t xml:space="preserve">
 | 💰 COD Rec: 2026-03-10 | Ref: CPR-64Y2J259013 | Amt: 3348</t>
  </si>
  <si>
    <t>TR29624</t>
  </si>
  <si>
    <t>Saif Sheikh</t>
  </si>
  <si>
    <t>House# 9, street# 24A, sector A, Bahria Enclave Islamabad</t>
  </si>
  <si>
    <t>cancel after dispatch 
 | ↩️ Return Charged: 2026-03-16 | Ref: CPR-AEDNR633590 | Fee: 220</t>
  </si>
  <si>
    <t>TR29625</t>
  </si>
  <si>
    <t>Riaz Ahmed Bhurt Bhurt</t>
  </si>
  <si>
    <t>Bhurt House Banglo No 2 Industrial Colony Near Politecnical Coolage Anwar Villas Quasimabad Hyderabad Hyderabad</t>
  </si>
  <si>
    <t>TR29626</t>
  </si>
  <si>
    <t>Wasiq Baig</t>
  </si>
  <si>
    <t>Street 4 Mian Bilal Park Darogawala Lahore Lahore</t>
  </si>
  <si>
    <t>r; familly ma death ho gai thi abhi tak wahi ho bad ma order ker do ga 
not nas 
 | ↩️ Return Charged: 2026-03-13 | Ref: CPR-PUPPV418827 | Fee: 107</t>
  </si>
  <si>
    <t>TR29627</t>
  </si>
  <si>
    <t>Raheel Farooqi</t>
  </si>
  <si>
    <t>A-81 Sector U-2 Gulshan e maymar karachi Karachi</t>
  </si>
  <si>
    <t>TR29628</t>
  </si>
  <si>
    <t>zubair hanif</t>
  </si>
  <si>
    <t>D17-1 Navy heights near Kala pull Karachi</t>
  </si>
  <si>
    <t>TR29629</t>
  </si>
  <si>
    <t>Atto'ka awan Batapur Lahore Lahore</t>
  </si>
  <si>
    <t xml:space="preserve">cancel already order TR29630
 </t>
  </si>
  <si>
    <t>TR29630</t>
  </si>
  <si>
    <t>Atto ka awan Batapur Lahore Lahore</t>
  </si>
  <si>
    <t>confirm ap bhej dein ma receive ker lo ga 
 | 💰 COD Rec: 2026-03-10 | Ref: CPR-64Y2J259013 | Amt: 3348</t>
  </si>
  <si>
    <t>TR29631</t>
  </si>
  <si>
    <t>SYED Ashraf</t>
  </si>
  <si>
    <t>Hosiery Division 1 Interloop Ltd 1-Km Jarranwala Road khurrianwala Faisalabad</t>
  </si>
  <si>
    <t>LE7530547865</t>
  </si>
  <si>
    <t>TR29632</t>
  </si>
  <si>
    <t>Rauf Aslam Awan</t>
  </si>
  <si>
    <t xml:space="preserve">
 | 💰 COD Rec: 2026-03-10 | Ref: CPR-64Y2J259013 | Amt: 3099</t>
  </si>
  <si>
    <t>TR29633</t>
  </si>
  <si>
    <t>Sulaman sohail</t>
  </si>
  <si>
    <t>+923213535303</t>
  </si>
  <si>
    <t>457 D askari 10 lahore Lahore</t>
  </si>
  <si>
    <t>TR29634</t>
  </si>
  <si>
    <t xml:space="preserve">
 | 💰 COD Rec: 2026-03-06 | Ref: CPR-OO04K926870 | Amt: 5699</t>
  </si>
  <si>
    <t>ADI Ref Stripes - 2XL / White (x1), ADI Ref Stripes - 2XL / Black (x1), Multi ref PUM-A - 2XL / White (x1), Multi ref PUM-A - 2XL / Black (x1)</t>
  </si>
  <si>
    <t>TR29635</t>
  </si>
  <si>
    <t>Adeel Raja</t>
  </si>
  <si>
    <t>Apartment B507 Block 1 Falaknaz Harmony near check post 6 malir cantt karachi Karachi</t>
  </si>
  <si>
    <t>TR29636</t>
  </si>
  <si>
    <t>Zain-ul- Abideen</t>
  </si>
  <si>
    <t>4, Babar Block Garden Town, Lahore, 54000 Lahore</t>
  </si>
  <si>
    <t xml:space="preserve">
 | 💰 COD Rec: 2026-03-13 | Ref: CPR-PUPPV418827 | Amt: 2924</t>
  </si>
  <si>
    <t>TR29637</t>
  </si>
  <si>
    <t>Valeed Khalid</t>
  </si>
  <si>
    <t>+923216214003</t>
  </si>
  <si>
    <t>Room D-02, Ground Floor, Sadquain Block, Hafiz Hayat Campus, Jalalpur-Jattan Road, University of Gujrat. Gujrat</t>
  </si>
  <si>
    <t xml:space="preserve">
 | ↩️ Return Charged: 2026-03-24 | Ref: CPR-A9TC9587889 | Fee: 200</t>
  </si>
  <si>
    <t>TR29638</t>
  </si>
  <si>
    <t>Muhammad Azeem</t>
  </si>
  <si>
    <t>House no 3 street 23 k block citi housing jhelum Jhelum</t>
  </si>
  <si>
    <t>number off a raha haaa
 | ↩️ Return Charged: 2026-03-24 | Ref: CPR-A9TC9587889 | Fee: 200</t>
  </si>
  <si>
    <t>TR29639</t>
  </si>
  <si>
    <t>Masood Afzal</t>
  </si>
  <si>
    <t>Raza block jhelum cantonment Jhelum</t>
  </si>
  <si>
    <t>confirm 
 | 💰 COD Rec: 2026-03-10 | Ref: CPR-64Y2J259013 | Amt: 2649</t>
  </si>
  <si>
    <t>ADI - EMBOSSED LOGO (Cotton) - XL / Black (x1), ADI - EMBOSSED LOGO (Cotton) - XL / White (x1)</t>
  </si>
  <si>
    <t>TR29640</t>
  </si>
  <si>
    <t>Yassir Arafat</t>
  </si>
  <si>
    <t>251, Street 7 Sector B Askari 10 Lahore</t>
  </si>
  <si>
    <t>TR29641</t>
  </si>
  <si>
    <t>Wasi Raja</t>
  </si>
  <si>
    <t>Kotli Azad kashmir opposite dreamland hotel street 1 Kotil Ajk Parcel Must Be Allow To Open</t>
  </si>
  <si>
    <t>Kotil Ajk Parcel Must Be Allow To Open</t>
  </si>
  <si>
    <t>confirm Parcel Must Be Allow To Open
 | ↩️ Return Charged: 2026-04-03 | Ref: CPR-EP247894165 | Fee: 213.44</t>
  </si>
  <si>
    <t>TR29642</t>
  </si>
  <si>
    <t>Hafiz Shazam ali Shazam ali</t>
  </si>
  <si>
    <t>Village Bangla Kambowa City Kasure Kasure</t>
  </si>
  <si>
    <t>Kasure</t>
  </si>
  <si>
    <t>250 received confirm 
 | 💰 COD Rec: 2026-03-10 | Ref: CPR-64Y2J259013 | Amt: 3099</t>
  </si>
  <si>
    <t>TR29643</t>
  </si>
  <si>
    <t>Doctor Mustafa</t>
  </si>
  <si>
    <t>Nizamani medical center Main Tando Ghulam Ali Road opposite Rao dalmir garden saleem colony matli Matli</t>
  </si>
  <si>
    <t>confrm 
 | 💰 COD Rec: 2026-03-16 | Ref: CPR-AEDNR633590 | Amt: 3348</t>
  </si>
  <si>
    <t>TR29644</t>
  </si>
  <si>
    <t>Chowk Begam Kot Shahdra Lahore Near Shahbaz Restaurant Lahore</t>
  </si>
  <si>
    <t>confirm 
 | ↩️ Return Charged: 2026-03-31 | Ref: CPR-6B0MN221209 | Fee: 107</t>
  </si>
  <si>
    <t>TR29645</t>
  </si>
  <si>
    <t>Umair Dawood</t>
  </si>
  <si>
    <t>Jamsharee fabric 89G  DHA phase 1 Lahore Lahore</t>
  </si>
  <si>
    <t>open parcel 
 | 💰 COD Rec: 2026-03-06 | Ref: CPR-OO04K926870 | Amt: 1899</t>
  </si>
  <si>
    <t>TR29646</t>
  </si>
  <si>
    <t>Aamir usman Aamir</t>
  </si>
  <si>
    <t>Barkat market civcs centr shop nbr 12 water berry Lahore</t>
  </si>
  <si>
    <t>confirm  open to allow 
 | 💰 COD Rec: 2026-03-10 | Ref: CPR-64Y2J259013 | Amt: 3347</t>
  </si>
  <si>
    <t>TR29647</t>
  </si>
  <si>
    <t>Noraiz Mehboob</t>
  </si>
  <si>
    <t>37 A hakim abad civil line khanewal Khanewal</t>
  </si>
  <si>
    <t>confirm 
 | 💰 COD Rec: 2026-03-10 | Ref: CPR-64Y2J259013 | Amt: 5449</t>
  </si>
  <si>
    <t>Popcorn Polo - M / Black (x1), ADI Multi Ref Stripes - M / White (x1), ADI Multi Ref Stripes - M / Black (x1)</t>
  </si>
  <si>
    <t>TR29648</t>
  </si>
  <si>
    <t>Rana Adnan</t>
  </si>
  <si>
    <t>House no 48 street no 6 canal point scheme harbanspura Lahore</t>
  </si>
  <si>
    <t>TR29649</t>
  </si>
  <si>
    <t>Shaan Rind</t>
  </si>
  <si>
    <t>Luni road near smart school Sibi balouchistan</t>
  </si>
  <si>
    <t>Sibi balouchistan</t>
  </si>
  <si>
    <t>TR29650</t>
  </si>
  <si>
    <t>Hassan Warraich</t>
  </si>
  <si>
    <t>353jb-chak Gojra</t>
  </si>
  <si>
    <t>confirm postex 
 | 💰 COD Rec: 2026-03-10 | Ref: CPR-64Y2J259013 | Amt: 3099</t>
  </si>
  <si>
    <t>Imported Scoba Executive Adi Tro - L / Silver Grey (x1)</t>
  </si>
  <si>
    <t>TR29651</t>
  </si>
  <si>
    <t>sulman zulfiqar</t>
  </si>
  <si>
    <t>Chak 330 Seowall Toba Tek Singh Toba Tek Singh</t>
  </si>
  <si>
    <t>r ; rider ki call ai thi ma avail nahi tha next time order ker do ga 
confirm 
 | ↩️ Return Charged: 2026-03-13 | Ref: CPR-PUPPV418827 | Fee: 200</t>
  </si>
  <si>
    <t>TR29652</t>
  </si>
  <si>
    <t>Taimoor usman</t>
  </si>
  <si>
    <t>Rehman Honda center Bahria town sector c plaza no 114 Lahore</t>
  </si>
  <si>
    <t>TR29653</t>
  </si>
  <si>
    <t>Khawar ALI</t>
  </si>
  <si>
    <t>Sana Heaven B 202 Mohd Ali Society Karachi Karachi</t>
  </si>
  <si>
    <t>confirm on wp 
 | 💰 COD Rec: 2026-03-16 | Ref: CPR-AEDNR633590 | Amt: 3348</t>
  </si>
  <si>
    <t>TR29654</t>
  </si>
  <si>
    <t>Tanveer Malik</t>
  </si>
  <si>
    <t>PNS Mehran near PAF Museum Shara e Faisal Karachi Kaeachi</t>
  </si>
  <si>
    <t>Kaeachi</t>
  </si>
  <si>
    <t>TR29655</t>
  </si>
  <si>
    <t>Rahim yar Khan Gulshan Usman kacha Shai ror zo KY pass Rahim Yar Khan</t>
  </si>
  <si>
    <t xml:space="preserve"> rider aya tha ma avail nahi tha ap reattempt ker dien confirm 
 | ↩️ Return Charged: 2026-03-24 | Ref: CPR-A9TC9587889 | Fee: 200</t>
  </si>
  <si>
    <t>TR29656</t>
  </si>
  <si>
    <t>Faheem Ur Rehman</t>
  </si>
  <si>
    <t>+923352555123</t>
  </si>
  <si>
    <t>R-474, Sector 15-a/5, Buffer Zone North Karachi Karachi</t>
  </si>
  <si>
    <t>TR29657</t>
  </si>
  <si>
    <t>M.yaqoob Yaqoob</t>
  </si>
  <si>
    <t>254B Punjab Co-Operative Housing Society ghazi Road Lahore cantt Pakistan Lahore</t>
  </si>
  <si>
    <t>confirmed 
 | 💰 COD Rec: 2026-03-10 | Ref: CPR-64Y2J259013 | Amt: 2448</t>
  </si>
  <si>
    <t>TR29658</t>
  </si>
  <si>
    <t>Ahmad Raza Mohal</t>
  </si>
  <si>
    <t>+9203010867313</t>
  </si>
  <si>
    <t>kehkshan colony dhudiwalaa Faisalabad</t>
  </si>
  <si>
    <t>confirm 
 | ↩️ Return Charged: 2026-03-31 | Ref: CPR-6B0MN221209 | Fee: 200</t>
  </si>
  <si>
    <t>TR29659</t>
  </si>
  <si>
    <t>Raja Usman</t>
  </si>
  <si>
    <t>Usman manzil, 2nd street, nurral colony, Muzaffarabad, azad kashmir.</t>
  </si>
  <si>
    <t>Muzaffarabad, azad kashmir.</t>
  </si>
  <si>
    <t>r;mujha size bara tha or mujha laga ka collor ma haa shirt 
confirmed (allow to open )
 | ↩️ Return Charged: 2026-03-13 | Ref: CPR-PUPPV418827 | Fee: 213</t>
  </si>
  <si>
    <t>TR29660</t>
  </si>
  <si>
    <t>Saif ali Kham</t>
  </si>
  <si>
    <t>Liaqat Memorial Hospital Husain Medical Stor Kohat</t>
  </si>
  <si>
    <t>cancel no need</t>
  </si>
  <si>
    <t>TR29661</t>
  </si>
  <si>
    <t>Mrs. Waqas</t>
  </si>
  <si>
    <t>9 B New Muslim town lahore LAHORE</t>
  </si>
  <si>
    <t>confirmed 
 | 💰 COD Rec: 2026-03-10 | Ref: CPR-64Y2J259013 | Amt: 3549</t>
  </si>
  <si>
    <t>A | X Embroidery LOGO - 3XL / Sky (x1), A | X Embroidery LOGO - 3XL / American Blue (x1)</t>
  </si>
  <si>
    <t>TR29662</t>
  </si>
  <si>
    <t>House No Cb 132/1 Lane 6 Gulshan E Nayab Westridge 3 Rwp Rawalpindi</t>
  </si>
  <si>
    <t>TR29663</t>
  </si>
  <si>
    <t>Raja Nadeem Sadiq</t>
  </si>
  <si>
    <t>House No 36, Street No 5,Sector G, Bahria Enclave Islamabad</t>
  </si>
  <si>
    <t>TR29664</t>
  </si>
  <si>
    <t>LE7530548000</t>
  </si>
  <si>
    <t xml:space="preserve">TR29435 again </t>
  </si>
  <si>
    <t>TR29665</t>
  </si>
  <si>
    <t>Abdul saad Abdul saad</t>
  </si>
  <si>
    <t>+923343399741</t>
  </si>
  <si>
    <t>House # R-10 merchant navy officers cooperative housing society sch 33 gulzar e hijri  Karachi Karachi</t>
  </si>
  <si>
    <t>whatsup 
 | ↩️ Return Charged: 2026-04-03 | Ref: CPR-EP247894165 | Fee: 226.78</t>
  </si>
  <si>
    <t>TR29666</t>
  </si>
  <si>
    <t>Waqar Waqar</t>
  </si>
  <si>
    <t>+923055555619</t>
  </si>
  <si>
    <t>Fatima pharmacy Ali block khayabane faiz St 6 h13 islamabad islamabad</t>
  </si>
  <si>
    <t>whatsup 
 | 💰 COD Rec: 2026-03-10 | Ref: CPR-64Y2J259013 | Amt: 2849</t>
  </si>
  <si>
    <t>TR29667</t>
  </si>
  <si>
    <t>janjuia street  , shalimar caloony,  house number 2 Abbottabad, behind chen 1 plaza Abbotabad</t>
  </si>
  <si>
    <t>Abbotabad</t>
  </si>
  <si>
    <t xml:space="preserve">paid parcel haa exchnage TR29343 </t>
  </si>
  <si>
    <t>TR29668</t>
  </si>
  <si>
    <t>Imtiaz Saleem Lodhi</t>
  </si>
  <si>
    <t>Kokab Villa. House No 57 A .. Akbar Colony New Satellite Town Bahawalpur</t>
  </si>
  <si>
    <t>confirm 
 | 💰 COD Rec: 2026-03-13 | Ref: CPR-PUPPV418827 | Amt: 3347</t>
  </si>
  <si>
    <t>TR29669</t>
  </si>
  <si>
    <t>Aroma Boys Hostel I9/3 Islamabad</t>
  </si>
  <si>
    <t xml:space="preserve">paid parcel haa confirm </t>
  </si>
  <si>
    <t>Imported Scoba Executive Nik Tro - XL / Black (x1), Imported Scoba Executive Nik Tro - XL / Gray (x1), ADI - EMBOSSED LOGO (Cotton) - XL / Olive( Commando Green) (x1), ADI - EMBOSSED LOGO (Cotton) - XL / White (x1), NIK- Ref LOGO - XL / white (x1), NIK- Ref LOGO - XL / black (x1), ADI - EMBOSSED LOGO (Cotton) - XL / Black (x1)</t>
  </si>
  <si>
    <t>TR29670</t>
  </si>
  <si>
    <t>38/39 iqbal commerial ubl bank clock tower Bahria Town Lahore Lahore</t>
  </si>
  <si>
    <t xml:space="preserve">
 | 💰 COD Rec: 2026-03-13 | Ref: CPR-PUPPV418827 | Amt: 3348</t>
  </si>
  <si>
    <t>TR29671</t>
  </si>
  <si>
    <t>Aman Amanullah</t>
  </si>
  <si>
    <t>Faisalabad Road Bara Manawala Zilah Sheikhupura Mananwala</t>
  </si>
  <si>
    <t xml:space="preserve">cancel ma filhal given address per nahi ho out of city hoo </t>
  </si>
  <si>
    <t>TR29672</t>
  </si>
  <si>
    <t>Aqib Khan</t>
  </si>
  <si>
    <t>Flat 306, B-Block, Meher Apartments, Opposite NUST Gate 04, H-13. Islamabad</t>
  </si>
  <si>
    <t>confirm
 | 💰 COD Rec: 2026-03-13 | Ref: CPR-PUPPV418827 | Amt: 3348</t>
  </si>
  <si>
    <t>TR29673</t>
  </si>
  <si>
    <t>syed kamaluddin</t>
  </si>
  <si>
    <t>+9203118977675</t>
  </si>
  <si>
    <t>Thuck das garrison chilas gilgit baltistan scouts SDO Syed Kamal Shah Chilas</t>
  </si>
  <si>
    <t>Chilas</t>
  </si>
  <si>
    <t xml:space="preserve">confirm only tcs available in my area </t>
  </si>
  <si>
    <t>TR29674</t>
  </si>
  <si>
    <t>+923118977675</t>
  </si>
  <si>
    <t>TR29675</t>
  </si>
  <si>
    <t>Faakhir Inam</t>
  </si>
  <si>
    <t>281 Askari 2 gujranwala cantt Gujranwala</t>
  </si>
  <si>
    <t>TR29676</t>
  </si>
  <si>
    <t>+923012444944</t>
  </si>
  <si>
    <t>Mahala Sarda Pura Nen Suk Pool Mandi Lahore</t>
  </si>
  <si>
    <t xml:space="preserve">cancel this one alredy order kiya hua ha and dispatch haa </t>
  </si>
  <si>
    <t>TR29677</t>
  </si>
  <si>
    <t>LOCALDELIVER01</t>
  </si>
  <si>
    <t xml:space="preserve">confrm paid parcel ha 
PARCEL DELIVERY TO CUSTOMER .
</t>
  </si>
  <si>
    <t>Multi ref PUM-A - L / White (x1), Multi ref PUM-A - L / Black (x1), ADI Ref Stripes - L / White (x1), ADI Ref Stripes - L / Black (x1), ADI Multi Ref Stripes - L / White (x1), ADI Multi Ref Stripes - L / Black (x1)</t>
  </si>
  <si>
    <t xml:space="preserve">Delivered </t>
  </si>
  <si>
    <t>TR29678</t>
  </si>
  <si>
    <t>Zohaib SIDHU</t>
  </si>
  <si>
    <t>First floor law junction near ittehad park lytton road lahore Lahore</t>
  </si>
  <si>
    <t>confirm 
 | ↩️ Return Charged: 2026-03-24 | Ref: CPR-A9TC9587889 | Fee: 107</t>
  </si>
  <si>
    <t>TR29679</t>
  </si>
  <si>
    <t>Ahmad Shahzad</t>
  </si>
  <si>
    <t>Mohala sheraza Abad Kacha kooh road Abdul Hakim Abdul Hakīm</t>
  </si>
  <si>
    <t>Abdul Hakīm</t>
  </si>
  <si>
    <t>confirm yahi address ha 
 | 💰 COD Rec: 2026-03-10 | Ref: CPR-64Y2J259013 | Amt: 3348</t>
  </si>
  <si>
    <t>TR29680</t>
  </si>
  <si>
    <t>Ministry of Kahsmir Affairs, Gilgit Baltistan, Room No. 107, Pak Secretriat Islamabad</t>
  </si>
  <si>
    <t>confirm  NOT ANS 
 | ↩️ Return Charged: 2026-04-07 | Ref: CPR-XT60O810684 | Fee: 200.1</t>
  </si>
  <si>
    <t>TR29681</t>
  </si>
  <si>
    <t>Hameed Khattak</t>
  </si>
  <si>
    <t>Flat E10b, Babar flats, Babar lane, Peshawar cantonments Peshawar</t>
  </si>
  <si>
    <t>TR29682</t>
  </si>
  <si>
    <t>Waqar Aziz</t>
  </si>
  <si>
    <t>HR Consultants - 29CCA Ops Penta Square DHA Phase 5 (Mon To Sat 10AM to 4 PM) Lahore</t>
  </si>
  <si>
    <t>TR29683</t>
  </si>
  <si>
    <t>Adeel Adeel</t>
  </si>
  <si>
    <t>Muhammadia colony traffic chowk Jampur</t>
  </si>
  <si>
    <t>confirm 
 | 💰 COD Rec: 2026-03-13 | Ref: CPR-PUPPV418827 | Amt: 1799</t>
  </si>
  <si>
    <t>TR29684</t>
  </si>
  <si>
    <t>HT78CWE0N1GF    250 dc lagani ha bass is  per 
 | 💰 COD Rec: 2026-03-10 | Ref: CPR-64Y2J259013 | Amt: 250</t>
  </si>
  <si>
    <t>TR29685</t>
  </si>
  <si>
    <t>Waleed Hussain Warraich</t>
  </si>
  <si>
    <t>Model Town C Block Near Masjid Khalid Bin Waleed Mandi Bahauddin</t>
  </si>
  <si>
    <t>TR29686</t>
  </si>
  <si>
    <t>Education Board Faisalabad Faisalabad</t>
  </si>
  <si>
    <t>A | X Embroidery LOGO - 3XL / Maroon (x1), A | X Embroidery LOGO - 3XL / Bottle Green (x1), A | X Embroidery LOGO - 3XL / Navy (x1), A | X Embroidery LOGO - 3XL / Black (x1)</t>
  </si>
  <si>
    <t>TR29687</t>
  </si>
  <si>
    <t>Salman Salman</t>
  </si>
  <si>
    <t>+923011280284</t>
  </si>
  <si>
    <t>Dreamland land sport qaimpur city qaimpur zila bahawalpur postal code 63000 qaimpur zila bahawalpur</t>
  </si>
  <si>
    <t>qaimpur zila bahawalpur</t>
  </si>
  <si>
    <t>whatsup  allow to open  cancel nahi lena no reason 
 | ↩️ Return Charged: 2026-03-24 | Ref: CPR-A9TC9587889 | Fee: 220</t>
  </si>
  <si>
    <t>TR29688</t>
  </si>
  <si>
    <t>UZAIR AHMED (Sub Inspector)</t>
  </si>
  <si>
    <t>+923085800475</t>
  </si>
  <si>
    <t>Police station Hazro, Hazro Attock. hazro</t>
  </si>
  <si>
    <t>hazro</t>
  </si>
  <si>
    <t xml:space="preserve">whatsup paid parcel ha </t>
  </si>
  <si>
    <t>ADI Multi Ref Stripes - M / White (x1), NIK- Ref LOGO - L / black (x1)</t>
  </si>
  <si>
    <t>TR29689</t>
  </si>
  <si>
    <t>Abrar Ashraf</t>
  </si>
  <si>
    <t>Shiraz garden phase 3, near makki madni masjid Sheikhupura</t>
  </si>
  <si>
    <t>200 received confirm
 | 💰 COD Rec: 2026-03-13 | Ref: CPR-PUPPV418827 | Amt: 3149</t>
  </si>
  <si>
    <t>TR29690</t>
  </si>
  <si>
    <t>M.Saeed Bhatti</t>
  </si>
  <si>
    <t>Lexer International 970, Wazirabad Road Noul More Harrar Back Side Total Pump Sialkot-51310 Sialkot</t>
  </si>
  <si>
    <t>TR29691</t>
  </si>
  <si>
    <t>Muhammad shahid Shahid</t>
  </si>
  <si>
    <t>+923014014945</t>
  </si>
  <si>
    <t>Village Ghumrola Po Box Darman Darman</t>
  </si>
  <si>
    <t>Darman</t>
  </si>
  <si>
    <t>.confirm dc advance haa 
 | 💰 COD Rec: 2026-03-13 | Ref: CPR-PUPPV418827 | Amt: 2675</t>
  </si>
  <si>
    <t>TR29692</t>
  </si>
  <si>
    <t>Azhar Farid</t>
  </si>
  <si>
    <t>Shaheen Traders Hujra Road Chowck Main Khan Basir Pur</t>
  </si>
  <si>
    <t>Basir Pur</t>
  </si>
  <si>
    <t>TR29693</t>
  </si>
  <si>
    <t>Ahmad Farooq</t>
  </si>
  <si>
    <t>+923336832322</t>
  </si>
  <si>
    <t>Ministry of Foreign Affairs Islamabad</t>
  </si>
  <si>
    <t>confirm on wp 
 | 💰 COD Rec: 2026-03-13 | Ref: CPR-PUPPV418827 | Amt: 2849</t>
  </si>
  <si>
    <t>TR29694</t>
  </si>
  <si>
    <t>Ch ahmed</t>
  </si>
  <si>
    <t>Gulberg 3 lahore (M) block House no (45) LahOre</t>
  </si>
  <si>
    <t>LahOre</t>
  </si>
  <si>
    <t>confirm  not ans 
 | ↩️ Return Charged: 2026-03-13 | Ref: CPR-PUPPV418827 | Fee: 107</t>
  </si>
  <si>
    <t>TR29695</t>
  </si>
  <si>
    <t>Office no.115, al-qadeer heights, babar block, garden town  alhore Lahore</t>
  </si>
  <si>
    <t xml:space="preserve">order cancel nahi lena mood change ho gaya </t>
  </si>
  <si>
    <t>TR29696</t>
  </si>
  <si>
    <t xml:space="preserve">confirm paid parcel haa </t>
  </si>
  <si>
    <t>TR29697</t>
  </si>
  <si>
    <t>Sabir Soho</t>
  </si>
  <si>
    <t>Matyari Hyderabad</t>
  </si>
  <si>
    <t>not ans (mujay laga trouser bi ha)</t>
  </si>
  <si>
    <t>TR29698</t>
  </si>
  <si>
    <t>Muhammad Waseem Kaimkhani Kaim khani</t>
  </si>
  <si>
    <t>P 40 Eid Ghah Road khipro disstt sanghar sindh Mirpurkhas</t>
  </si>
  <si>
    <t>confirm onwp rider nahi aya 
 | 💰 COD Rec: 2026-03-13 | Ref: CPR-PUPPV418827 | Amt: 2849</t>
  </si>
  <si>
    <t>TR29699</t>
  </si>
  <si>
    <t>Shahwaiz Sarwar</t>
  </si>
  <si>
    <t>3rd floor building number 3B near Grocers Express Sector B commercial area Dha phase 5 Lahore. Lahore</t>
  </si>
  <si>
    <t>confirm 
 | 💰 COD Rec: 2026-03-10 | Ref: CPR-64Y2J259013 | Amt: 1499</t>
  </si>
  <si>
    <t>Basic RL Crew- Cotton - XL / Black (x1)</t>
  </si>
  <si>
    <t>TR29700</t>
  </si>
  <si>
    <t>Rakesh Rakesh</t>
  </si>
  <si>
    <t>Anaj Mandi Shanshah Kanta Shikarpur Shikarpur</t>
  </si>
  <si>
    <t>TR29701</t>
  </si>
  <si>
    <t>+923337270967</t>
  </si>
  <si>
    <t>confirm
 | 💰 COD Rec: 2026-03-13 | Ref: CPR-PUPPV418827 | Amt: 2924</t>
  </si>
  <si>
    <t>TR29702</t>
  </si>
  <si>
    <t>Amir Shahzad</t>
  </si>
  <si>
    <t>Qila Didar Singh Muhallah Abbas’s Pura Near Shahidia Masjid Gujranwala</t>
  </si>
  <si>
    <t>confirm on wp 
 | 💰 COD Rec: 2026-03-10 | Ref: CPR-64Y2J259013 | Amt: 7500</t>
  </si>
  <si>
    <t>TR29703</t>
  </si>
  <si>
    <t>Asad Abbas</t>
  </si>
  <si>
    <t>Street 1, house 327 (back door), Block D2 Wapda Town Phase 1 Lahore</t>
  </si>
  <si>
    <t>confirm 
 | 💰 COD Rec: 2026-03-10 | Ref: CPR-64Y2J259013 | Amt: 5350</t>
  </si>
  <si>
    <t>Basic RL Crew- Cotton - L / light chocolate (x1), Basic RL Crew- Cotton - L / Dark grey (x1), TEXTURE NAVY - 16 (x1)</t>
  </si>
  <si>
    <t>TR29704</t>
  </si>
  <si>
    <t>Waheed Ahmad</t>
  </si>
  <si>
    <t>+923215510039</t>
  </si>
  <si>
    <t>Kamoke - Tattle Aali Rd Kāmoke</t>
  </si>
  <si>
    <t>Kāmoke</t>
  </si>
  <si>
    <t>confirm  ma out of city ho kal receive ker lo ga 
 | ↩️ Return Charged: 2026-03-16 | Ref: CPR-AEDNR633590 | Fee: 200</t>
  </si>
  <si>
    <t>TR29705</t>
  </si>
  <si>
    <t>Syed Hassan noori</t>
  </si>
  <si>
    <t>Skardu ali plaza shop no 68 new babu mobiles Skardu</t>
  </si>
  <si>
    <t>TR29706</t>
  </si>
  <si>
    <t>Zeeshan Rafique</t>
  </si>
  <si>
    <t>House # 1367 Street # 35 Phase-4 Bahria Town Islamabad</t>
  </si>
  <si>
    <t>TR29707</t>
  </si>
  <si>
    <t>Muhammad Tasleem</t>
  </si>
  <si>
    <t>Nazimabaed no 4 H NO 924 MC,MUJAHID COLONY Karachi</t>
  </si>
  <si>
    <t>350 advance hain is ka confirm 
 | 💰 COD Rec: 2026-03-16 | Ref: CPR-AEDNR633590 | Amt: 2998</t>
  </si>
  <si>
    <t>TR29708</t>
  </si>
  <si>
    <t>Waheed Chaudhary</t>
  </si>
  <si>
    <t>House No 41-E-1 johar Town Lahore</t>
  </si>
  <si>
    <t>TR29709</t>
  </si>
  <si>
    <t>Muhammad Mukaram</t>
  </si>
  <si>
    <t>+923114360503</t>
  </si>
  <si>
    <t>House No 31,Al Hussain Colony College Chowk Sahiwal</t>
  </si>
  <si>
    <t>TR29710</t>
  </si>
  <si>
    <t>hassan raza</t>
  </si>
  <si>
    <t>Laho Lahore</t>
  </si>
  <si>
    <t xml:space="preserve">cancel by umair
dc nahi ker raha </t>
  </si>
  <si>
    <t>TR29711</t>
  </si>
  <si>
    <t>Syed Sibtain Raza</t>
  </si>
  <si>
    <t>Nazimabad number 5 5c 15/6 flat Rais corner ground floor Karachi</t>
  </si>
  <si>
    <t>TR29712</t>
  </si>
  <si>
    <t>Muhammad Adnan Khalid usman</t>
  </si>
  <si>
    <t>47 Ferozpur Road Miraj Building ichhra lahore Lahore</t>
  </si>
  <si>
    <t>confirm 
 | 💰 COD Rec: 2026-03-10 | Ref: CPR-64Y2J259013 | Amt: 2849</t>
  </si>
  <si>
    <t>TR29713</t>
  </si>
  <si>
    <t>Ali Anwar</t>
  </si>
  <si>
    <t>+923224290000</t>
  </si>
  <si>
    <t>House 443 , k Block st 8 phase 5 dha Lahore</t>
  </si>
  <si>
    <t>TR29714</t>
  </si>
  <si>
    <t>Anjum Memon</t>
  </si>
  <si>
    <t>Shanghai Electric - Thar Coal Block-1, Islamkot, Mithi, Tharparkar Islamkot</t>
  </si>
  <si>
    <t>Islamkot</t>
  </si>
  <si>
    <t>TR29715</t>
  </si>
  <si>
    <t>Maisam Ali</t>
  </si>
  <si>
    <t>+923708915679</t>
  </si>
  <si>
    <t>Hazara Town Barma Road Near Kalsum Hotel Quetta</t>
  </si>
  <si>
    <t>TR29716</t>
  </si>
  <si>
    <t>Ahmad Abbasi</t>
  </si>
  <si>
    <t>113-c-ahmed Block New Garden Town Lahore</t>
  </si>
  <si>
    <t>confirm  not ans 
 | 💰 COD Rec: 2026-03-13 | Ref: CPR-PUPPV418827 | Amt: 3348</t>
  </si>
  <si>
    <t>TR29717</t>
  </si>
  <si>
    <t>Matiullah Tahir</t>
  </si>
  <si>
    <t>Abbasi Brother Mobiles Shop V 203 Choudhury Bazar Ganjmandi Rawalpindi</t>
  </si>
  <si>
    <t>confirm 
 | 💰 COD Rec: 2026-03-10 | Ref: CPR-64Y2J259013 | Amt: 6998</t>
  </si>
  <si>
    <t>ADI - TriStrip-Tracksuit Winter - M / Navy (x1), Multi ref PUM-A - M / White (x1), Multi ref PUM-A - M / Black (x1)</t>
  </si>
  <si>
    <t>TR29718</t>
  </si>
  <si>
    <t>+923224744266</t>
  </si>
  <si>
    <t>34 H dha ph1 commercial JA markiting Lahore</t>
  </si>
  <si>
    <t>confirm 
 | 💰 COD Rec: 2026-03-13 | Ref: CPR-PUPPV418827 | Amt: 249</t>
  </si>
  <si>
    <t>TR29719</t>
  </si>
  <si>
    <t>Mohammad Saeed</t>
  </si>
  <si>
    <t>Rashid computer kanganpur Kasur</t>
  </si>
  <si>
    <t>rider aya tha mujha pasand nahi ai confirm 
 | ↩️ Return Charged: 2026-03-16 | Ref: CPR-AEDNR633590 | Fee: 200</t>
  </si>
  <si>
    <t>TR29720</t>
  </si>
  <si>
    <t>Waqar Ali</t>
  </si>
  <si>
    <t>River view road Amphary GILGIT Gilgit</t>
  </si>
  <si>
    <t>TR29721</t>
  </si>
  <si>
    <t>Muhammad Ayub Gondal</t>
  </si>
  <si>
    <t>84 Roshan Park Near Roshan Masjid Multan Chungi Lahore Lahore</t>
  </si>
  <si>
    <t>confirm 
 | 💰 COD Rec: 2026-03-10 | Ref: CPR-64Y2J259013 | Amt: 1899</t>
  </si>
  <si>
    <t>A | X Embroidery LOGO - XL / Bottle Green (x1)</t>
  </si>
  <si>
    <t>TR29722</t>
  </si>
  <si>
    <t>Waqas Rana</t>
  </si>
  <si>
    <t>Fine city near dewan wali pull Bahawalpur</t>
  </si>
  <si>
    <t>allow to open  not ans 
 | ↩️ Return Charged: 2026-03-24 | Ref: CPR-A9TC9587889 | Fee: 200</t>
  </si>
  <si>
    <t>TR29723</t>
  </si>
  <si>
    <t>Qaisar Abbas</t>
  </si>
  <si>
    <t>Chiniot Jhumra road nzd Pk Hospital Chiniot</t>
  </si>
  <si>
    <t>allow to open
 | ↩️ Return Charged: 2026-03-24 | Ref: CPR-A9TC9587889 | Fee: 200</t>
  </si>
  <si>
    <t>TR29724</t>
  </si>
  <si>
    <t>Ghayoor ul Haq</t>
  </si>
  <si>
    <t>D28, wahdat colony Lahore</t>
  </si>
  <si>
    <t>TR29725</t>
  </si>
  <si>
    <t>Waqar Waqarulhassan</t>
  </si>
  <si>
    <t>Zila Sialkot tehsel Pasror dakhna chawinda Chawinda</t>
  </si>
  <si>
    <t xml:space="preserve">chawinda lcs / tcs </t>
  </si>
  <si>
    <t>TR29726</t>
  </si>
  <si>
    <t>Baber Kamal</t>
  </si>
  <si>
    <t>Mcb Bank Hr Fsd, 1st Floor 122, Shadman Lahore Lahore</t>
  </si>
  <si>
    <t>confirm on call allow to open 
 | 💰 COD Rec: 2026-03-13 | Ref: CPR-PUPPV418827 | Amt: 5300</t>
  </si>
  <si>
    <t>ADI Multi Ref Stripes - L / Navy Blue (x1), POLO RL - M / Blue (x1), A | X Embroidery LOGO - M / Bottle Green (x1)</t>
  </si>
  <si>
    <t>TR29727</t>
  </si>
  <si>
    <t>68-P2, Wapda Town, Phase 2 Lahore</t>
  </si>
  <si>
    <t>TR29728</t>
  </si>
  <si>
    <t>H#47 KHURRAM BLOCK CANAL BANK HOUSING SCHEME SALMATPURA LHR lahore</t>
  </si>
  <si>
    <t>confirm on cal 
 | 💰 COD Rec: 2026-03-10 | Ref: CPR-64Y2J259013 | Amt: 3348</t>
  </si>
  <si>
    <t>TR29729</t>
  </si>
  <si>
    <t>TR29497exchnage 250 laganay ha bass 
 | 💰 COD Rec: 2026-03-13 | Ref: CPR-PUPPV418827 | Amt: 250</t>
  </si>
  <si>
    <t>TR29730</t>
  </si>
  <si>
    <t>+92 311 6302996</t>
  </si>
  <si>
    <t>celebration Marquee nawabpur road near alsaood grammar school  Multan multan</t>
  </si>
  <si>
    <t>whatsup 
 | 💰 COD Rec: 2026-03-10 | Ref: CPR-64Y2J259013 | Amt: 2749</t>
  </si>
  <si>
    <t>TEXTURE NAVY - 15 (x1)</t>
  </si>
  <si>
    <t>TR29731</t>
  </si>
  <si>
    <t>Muhammad khan Muhammad khan</t>
  </si>
  <si>
    <t>+923154033566</t>
  </si>
  <si>
    <t>255 sikandar block lane 11 Iqbal town Lahore lahore</t>
  </si>
  <si>
    <t>whatsup 
 | 💰 COD Rec: 2026-03-10 | Ref: CPR-64Y2J259013 | Amt: 4525</t>
  </si>
  <si>
    <t>NIK- Ref LOGO - L / black (x1), ADI Ref Stripes - L / White (x1), ADI Ref Stripes - L / Black (x1)</t>
  </si>
  <si>
    <t>TR29732</t>
  </si>
  <si>
    <t>TR29408 exchnage 250 lagana hain
 | 💰 COD Rec: 2026-03-10 | Ref: CPR-64Y2J259013 | Amt: 250</t>
  </si>
  <si>
    <t>TR29733</t>
  </si>
  <si>
    <t>habiba omer</t>
  </si>
  <si>
    <t>dha phase 3 house 764 z block street 8 lahore Lahore</t>
  </si>
  <si>
    <t xml:space="preserve">cancel ma bad ma order ker do gi </t>
  </si>
  <si>
    <t>TR29734</t>
  </si>
  <si>
    <t>+923039096027</t>
  </si>
  <si>
    <t>Buildin division office nankana Sahib near DHQ hospital nns Nankana Sahib</t>
  </si>
  <si>
    <t>TR29735</t>
  </si>
  <si>
    <t>TR29518exchange  250 dc lagani ha bas 
 | 💰 COD Rec: 2026-03-13 | Ref: CPR-PUPPV418827 | Amt: 250</t>
  </si>
  <si>
    <t>ADI - EMBOSSED LOGO (Cotton) - L / Olive( Commando Green) (x1)</t>
  </si>
  <si>
    <t>TR29736</t>
  </si>
  <si>
    <t>Aamir mehmood khan Khan</t>
  </si>
  <si>
    <t>Aamir lodgh nai abadi morgah rawalpindi Rawalpindi</t>
  </si>
  <si>
    <t>TR29737</t>
  </si>
  <si>
    <t>Muhammad Imran</t>
  </si>
  <si>
    <t>Chowk Fowara Road Near Bhutta Jeweler Multan Multan</t>
  </si>
  <si>
    <t>nahi dena payment on cod werna cancel 
adv dc lo 
umair keh rha</t>
  </si>
  <si>
    <t>TR29738</t>
  </si>
  <si>
    <t>House no 269 Block H Shah Rukh ny Alam colony Multan Multan</t>
  </si>
  <si>
    <t>confirm 
 | 💰 COD Rec: 2026-03-24 | Ref: CPR-A9TC9587889 | Amt: 3348</t>
  </si>
  <si>
    <t>TR29739</t>
  </si>
  <si>
    <t>Marshal Azeemi</t>
  </si>
  <si>
    <t>Sirki Road Barech Market Quetta Balochistan</t>
  </si>
  <si>
    <t>Quetta Balochistan</t>
  </si>
  <si>
    <t>TR29740</t>
  </si>
  <si>
    <t>+923197915307</t>
  </si>
  <si>
    <t>TR29741</t>
  </si>
  <si>
    <t>confirm 
 | 💰 COD Rec: 2026-03-24 | Ref: CPR-A9TC9587889 | Amt: 8649</t>
  </si>
  <si>
    <t>NIK- Ref LOGO - L / black (x1), Embossed NIK-E - L / White (x1), Imported Scoba Executive Nik Tro - L / Silver Grey (x1), Tipping Crew - L / White (x1), Tipping Crew - L / Black (x1)</t>
  </si>
  <si>
    <t>TR29742</t>
  </si>
  <si>
    <t>Noman Tahir</t>
  </si>
  <si>
    <t>+923057056858</t>
  </si>
  <si>
    <t>C-157 A1, Etihad Garden Phase 1 Rahim Yar Khan</t>
  </si>
  <si>
    <t>ADI Multi Ref Stripes - 4XL / White (x1), ADI Ref Stripes - 3XL / Black (x1)</t>
  </si>
  <si>
    <t>TR29743</t>
  </si>
  <si>
    <t>Adnan Khan</t>
  </si>
  <si>
    <t>P.o Box Thana, Tehsil Batkhala, District Malakand, Kpk Malakand</t>
  </si>
  <si>
    <t>Malakand</t>
  </si>
  <si>
    <t>confirm 
 | 💰 COD Rec: 2026-03-13 | Ref: CPR-PUPPV418827 | Amt: 2049</t>
  </si>
  <si>
    <t>ADI Multi Ref Stripes - 2XL / White (x1)</t>
  </si>
  <si>
    <t>TR29744</t>
  </si>
  <si>
    <t>Abdulrafai Shakir</t>
  </si>
  <si>
    <t>Sheraz garden Sheikhupura</t>
  </si>
  <si>
    <t xml:space="preserve">TR29376
exchnage paid parcel haa </t>
  </si>
  <si>
    <t>TR29745</t>
  </si>
  <si>
    <t>Naseer Khan</t>
  </si>
  <si>
    <t>House 596 B City Housing society phase 1 Boston road multan Rawalpindi</t>
  </si>
  <si>
    <t>confirm by umair
 | 💰 COD Rec: 2026-03-24 | Ref: CPR-A9TC9587889 | Amt: 3348</t>
  </si>
  <si>
    <t>TR29746</t>
  </si>
  <si>
    <t>Ali Haidar</t>
  </si>
  <si>
    <t>Dr Amina Shahid street besides DHQ Narowal Narowal</t>
  </si>
  <si>
    <t>confirm 
 | 💰 COD Rec: 2026-03-13 | Ref: CPR-PUPPV418827 | Amt: 2849</t>
  </si>
  <si>
    <t>TR29747</t>
  </si>
  <si>
    <t>Fahad Chaudhary</t>
  </si>
  <si>
    <t>+923345430807</t>
  </si>
  <si>
    <t>House No. 33d, Street 9, Lane 1, Gulshan Dadan Khan Rawalpindi</t>
  </si>
  <si>
    <t>TR29748</t>
  </si>
  <si>
    <t>New city phase 2, Block E, Street 9, House 24 Wah Cantt</t>
  </si>
  <si>
    <t>TR29749</t>
  </si>
  <si>
    <t>Muhammad UMER</t>
  </si>
  <si>
    <t>D 47 shah Faisal town malir halt karachi Printing Press Papers</t>
  </si>
  <si>
    <t>Printing Press Papers</t>
  </si>
  <si>
    <t>confirm consignee want open parcel 
 | ↩️ Return Charged: 2026-03-31 | Ref: CPR-6B0MN221209 | Fee: 213</t>
  </si>
  <si>
    <t>TR29750</t>
  </si>
  <si>
    <t>Muhammad Ahmer</t>
  </si>
  <si>
    <t>189 Street 135 Lahore</t>
  </si>
  <si>
    <t>confirm 
 | 💰 COD Rec: 2026-03-13 | Ref: CPR-PUPPV418827 | Amt: 2924</t>
  </si>
  <si>
    <t>TR29751</t>
  </si>
  <si>
    <t>Vpo Dhoria, Tehsil Kharian, District Gujrat Kharian, Gujrat</t>
  </si>
  <si>
    <t>Kharian, Gujrat</t>
  </si>
  <si>
    <t>dhoria confirm 
 | 💰 COD Rec: 2026-03-13 | Ref: CPR-PUPPV418827 | Amt: 2849</t>
  </si>
  <si>
    <t>TR29752</t>
  </si>
  <si>
    <t>Ali R</t>
  </si>
  <si>
    <t>05, Q block, sabzazar, lhr Lahore</t>
  </si>
  <si>
    <t>ADI Multi Ref Stripes - 4XL / White (x1), ADI Multi Ref Stripes - 3XL / Black (x1)</t>
  </si>
  <si>
    <t>TR29753</t>
  </si>
  <si>
    <t>Saif ch Saif ch</t>
  </si>
  <si>
    <t>Tahseel fortbas city maroot Maroot</t>
  </si>
  <si>
    <t>Maroot</t>
  </si>
  <si>
    <t>maroot bhej doo receive ker la gaa</t>
  </si>
  <si>
    <t>TR29754</t>
  </si>
  <si>
    <t>Imran Ullah</t>
  </si>
  <si>
    <t>+923028565731</t>
  </si>
  <si>
    <t>House 08, Athar Street, Defence Road, Newlalazar Lalazar, Rawalpindi. Rawalpindi</t>
  </si>
  <si>
    <t xml:space="preserve">cancel kal raat already purchase ker aya hoo </t>
  </si>
  <si>
    <t>TR29755</t>
  </si>
  <si>
    <t>Zarkash Zarkash</t>
  </si>
  <si>
    <t>Kainat society , Dhamial road , Rawalpindi Rawalpindi</t>
  </si>
  <si>
    <t>confirm 
 | 💰 COD Rec: 2026-03-13 | Ref: CPR-PUPPV418827 | Amt: 6446</t>
  </si>
  <si>
    <t>Multi ref PUM-A - L / White (x1), Multi ref PUM-A - L / Black (x1), ADI Multi Ref Stripes - L / Black (x1), ADI Multi Ref Stripes - L / White (x1)</t>
  </si>
  <si>
    <t>TR29756</t>
  </si>
  <si>
    <t>TR29757</t>
  </si>
  <si>
    <t>+923234110852</t>
  </si>
  <si>
    <t>TR29758</t>
  </si>
  <si>
    <t>Saad Ahmed</t>
  </si>
  <si>
    <t>+923132767750</t>
  </si>
  <si>
    <t>A-343 Block 15, Gulistan e Johar Karachi</t>
  </si>
  <si>
    <t>TR29759</t>
  </si>
  <si>
    <t>Syed Furqan</t>
  </si>
  <si>
    <t>Baljium chok askari bank Rahim Yar Khan</t>
  </si>
  <si>
    <t>TR29760</t>
  </si>
  <si>
    <t>Zaman Shaikh</t>
  </si>
  <si>
    <t>Jafari Imam Bargha Dr Altaf Shaikh House Larkana</t>
  </si>
  <si>
    <t>TR29761</t>
  </si>
  <si>
    <t>Distric Sargodha tahseel sahiwall city fruka SW shuger mill Fruka</t>
  </si>
  <si>
    <t>Fruka</t>
  </si>
  <si>
    <t>not ans (tt- not ans WA done)</t>
  </si>
  <si>
    <t>TR29762</t>
  </si>
  <si>
    <t>Amir Maqsood</t>
  </si>
  <si>
    <t>St Mistry Shah Muhammad Mandi Ahmad Abad Dist Okara Tehsil Depalpur Mandi Ahmad Abad</t>
  </si>
  <si>
    <t>Mandi Ahmad Abad</t>
  </si>
  <si>
    <t>LE7530546966</t>
  </si>
  <si>
    <t xml:space="preserve">leoprad ma kal receive ker lo ga </t>
  </si>
  <si>
    <t>TR29763</t>
  </si>
  <si>
    <t>Awais Sibghat</t>
  </si>
  <si>
    <t>15/e-satellite Town Gujranwala Gujranwala</t>
  </si>
  <si>
    <t xml:space="preserve">cancel to expensive </t>
  </si>
  <si>
    <t>TR29764</t>
  </si>
  <si>
    <t>Mian Haroon Nawaz</t>
  </si>
  <si>
    <t>National Defence University, E9 , Islamabad. Islamabad</t>
  </si>
  <si>
    <t>TR29765</t>
  </si>
  <si>
    <t>Punjab, Jalalpur Pirwala Jalalpur Pirwala</t>
  </si>
  <si>
    <t xml:space="preserve">pirwlaa tcs </t>
  </si>
  <si>
    <t>TR29766</t>
  </si>
  <si>
    <t>Safdar Majeed</t>
  </si>
  <si>
    <t>Upper ms mart laps school Haroonabad, Haroonabad Haroonabad</t>
  </si>
  <si>
    <t>confirm
 | 💰 COD Rec: 2026-03-16 | Ref: CPR-AEDNR633590 | Amt: 2924</t>
  </si>
  <si>
    <t>TR29767</t>
  </si>
  <si>
    <t>Farhan Ahmad</t>
  </si>
  <si>
    <t>Sultan estate , near khiali bypas Gujranwala</t>
  </si>
  <si>
    <t>TR29768</t>
  </si>
  <si>
    <t>Ayesha Fawad</t>
  </si>
  <si>
    <t>house:66-D, Valencia Lahore</t>
  </si>
  <si>
    <t>confirm 
 | 💰 COD Rec: 2026-03-13 | Ref: CPR-PUPPV418827 | Amt: 2749</t>
  </si>
  <si>
    <t>Basic RL Crew- Cotton - S / Olive (x1), Basic RL Crew- Cotton - S / Black (x1)</t>
  </si>
  <si>
    <t>TR29769</t>
  </si>
  <si>
    <t>Rizwan (parcel open the check) Zaka</t>
  </si>
  <si>
    <t>House 643 sector a street 26 phase 5dha lahore Lahore</t>
  </si>
  <si>
    <t>confirm open to allow
 | 💰 COD Rec: 2026-03-13 | Ref: CPR-PUPPV418827 | Amt: 3348</t>
  </si>
  <si>
    <t>TR29770</t>
  </si>
  <si>
    <t>Hassan Ishaq</t>
  </si>
  <si>
    <t>House 12 57 street lytton road mozang lahore Lahore</t>
  </si>
  <si>
    <t>confirm Nhi aya rider mery pas
 | ↩️ Return Charged: 2026-03-16 | Ref: CPR-AEDNR633590 | Fee: 120</t>
  </si>
  <si>
    <t>TR29771</t>
  </si>
  <si>
    <t>TR29772</t>
  </si>
  <si>
    <t>+923008430834</t>
  </si>
  <si>
    <t>TR29773</t>
  </si>
  <si>
    <t>UMAIR Bashir UMAIR Bashir</t>
  </si>
  <si>
    <t>+923033959110</t>
  </si>
  <si>
    <t>Chak no 96jb street no 2 house no 1 Tehsil gojra  District toba tek Singh +92 303 3959110</t>
  </si>
  <si>
    <t>+92 303 3959110</t>
  </si>
  <si>
    <t>whatsup 
 | 💰 COD Rec: 2026-03-10 | Ref: CPR-64Y2J259013 | Amt: 3299</t>
  </si>
  <si>
    <t>TR29774</t>
  </si>
  <si>
    <t>Faisal Mughal</t>
  </si>
  <si>
    <t>Adda kamir,faisal colony ,s1, h1 ,  District Sahiwal Kamir</t>
  </si>
  <si>
    <t>Kamir</t>
  </si>
  <si>
    <t xml:space="preserve">confirm not ans </t>
  </si>
  <si>
    <t>TR29775</t>
  </si>
  <si>
    <t>Athar Rafiq</t>
  </si>
  <si>
    <t>Pak Elektron Ltd, 14 K M Ferozepur Road Lahore</t>
  </si>
  <si>
    <t>TR29776</t>
  </si>
  <si>
    <t>tariq hussain</t>
  </si>
  <si>
    <t>Flat No. 10 Block B officers flats GOR Colony Hyderabad Hyderabad</t>
  </si>
  <si>
    <t>confirm
 | ↩️ Return Charged: 2026-03-27 | Ref: CPR-Q9K76465838 | Fee: 226.78</t>
  </si>
  <si>
    <t>TR29777</t>
  </si>
  <si>
    <t>Asif Mehmood</t>
  </si>
  <si>
    <t>Honda Multan, near NCBA Institute northern bypass road Multan</t>
  </si>
  <si>
    <t>confirm  allow to open 
 | ↩️ Return Charged: 2026-03-27 | Ref: CPR-Q9K76465838 | Fee: 200.1</t>
  </si>
  <si>
    <t>TR29778</t>
  </si>
  <si>
    <t>Hamzah Faruqi</t>
  </si>
  <si>
    <t>D-107, Navy Housing Scheme, Zamzama Karachi</t>
  </si>
  <si>
    <t>TR29779</t>
  </si>
  <si>
    <t>Shiraz butt</t>
  </si>
  <si>
    <t>Pobox Hajiwala tehsil and district gujrat street 04 Gujrat Hajiwala pakistan</t>
  </si>
  <si>
    <t>Gujrat Hajiwala pakistan</t>
  </si>
  <si>
    <t>confirm 
 | 💰 COD Rec: 2026-03-13 | Ref: CPR-PUPPV418827 | Amt: 8899</t>
  </si>
  <si>
    <t>Multi ref PUM-A - M / White (x1), Multi ref PUM-A - M / Black (x1), ADI - EMBOSSED LOGO (Cotton) - M / Black (x1), Tipping Crew - M / Black (x1), Imported Scoba Executive Nik Tro - M / Blue (x1)</t>
  </si>
  <si>
    <t>TR29780</t>
  </si>
  <si>
    <t>Nauman Ahmed Nauman Ahmed</t>
  </si>
  <si>
    <t>+923195239787</t>
  </si>
  <si>
    <t>Rawalpindi gujarkhan barki jadeed ward 2 house 131 Rawalpindi</t>
  </si>
  <si>
    <t>whatsup confirm 
 | 💰 COD Rec: 2026-03-13 | Ref: CPR-PUPPV418827 | Amt: 2750</t>
  </si>
  <si>
    <t>TR29781</t>
  </si>
  <si>
    <t>Mohammad Hazik Butt Butt</t>
  </si>
  <si>
    <t>House# 15 Street# 40 Mohallah Singh Sabah Baghpanpura Lahore</t>
  </si>
  <si>
    <t xml:space="preserve">paid parcel  confirm haa </t>
  </si>
  <si>
    <t>ADI - EMBOSSED LOGO (Cotton) - XL / Black (x1), Tipping Crew - XL / White (x1)</t>
  </si>
  <si>
    <t>TR29782</t>
  </si>
  <si>
    <t>Mahad Khan</t>
  </si>
  <si>
    <t>Hno 81 block h gulberg3 Lahore</t>
  </si>
  <si>
    <t>confirm 
 | 💰 COD Rec: 2026-03-13 | Ref: CPR-PUPPV418827 | Amt: 4344</t>
  </si>
  <si>
    <t>NIK- Ref LOGO - L / black (x1), ADI Ref Stripes - M / White (x1), ADI Ref Stripes - M / Black (x1)</t>
  </si>
  <si>
    <t>TR29783</t>
  </si>
  <si>
    <t>Tahir Bajwa</t>
  </si>
  <si>
    <t>Rpo Office Gujranwala</t>
  </si>
  <si>
    <t xml:space="preserve">ma out of city hoo ap cancel ker  dein </t>
  </si>
  <si>
    <t>TR29784</t>
  </si>
  <si>
    <t>Muhammad Mahr</t>
  </si>
  <si>
    <t>495 block D EME SOCIETY DHA LAHORE Lahore</t>
  </si>
  <si>
    <t>TR29785</t>
  </si>
  <si>
    <t>Fahad Mustafa</t>
  </si>
  <si>
    <t>+923337083085</t>
  </si>
  <si>
    <t>10 Corps Data Centre Near HQ FCNA Jutial Gilgit Baltistan Gilgit</t>
  </si>
  <si>
    <t>LE7530549174</t>
  </si>
  <si>
    <t>TR29786</t>
  </si>
  <si>
    <t>M asim Asim</t>
  </si>
  <si>
    <t>P9dafins block quran acdamy rod saeed clony no 2. Fasilbad Faisalabad</t>
  </si>
  <si>
    <t>confirm 
confirm medium allow to open clear kr dena warna nahi lay ga 
 | ↩️ Return Charged: 2026-03-27 | Ref: CPR-Q9K76465838 | Fee: 200.1</t>
  </si>
  <si>
    <t>TR29787</t>
  </si>
  <si>
    <t>Shahid Javeed</t>
  </si>
  <si>
    <t>+923007609940</t>
  </si>
  <si>
    <t>S۔a کولنگ سنٹر ۔روضہ پارک روڈ ۔سٹریٹ ۔نمبر ۔8 Faislabad</t>
  </si>
  <si>
    <t>confirm 
 | 💰 COD Rec: 2026-03-13 | Ref: CPR-PUPPV418827 | Amt: 1449</t>
  </si>
  <si>
    <t>TR29788</t>
  </si>
  <si>
    <t>Muhammad Omar Khan</t>
  </si>
  <si>
    <t>house #1109, Street 67, Sector G-9/4 Islamabad</t>
  </si>
  <si>
    <t>TR29789</t>
  </si>
  <si>
    <t>Muhammad Shafi Shafi</t>
  </si>
  <si>
    <t>City Children Hospital oppiste Mardan Medical Complex KPK Mardan</t>
  </si>
  <si>
    <t>confirm  cancel stuff acha nahi haa dosra phone sa call ki haa
 | ↩️ Return Charged: 2026-03-24 | Ref: CPR-A9TC9587889 | Fee: 213</t>
  </si>
  <si>
    <t>TR29790</t>
  </si>
  <si>
    <t>tasleem nawaz allowed open ktk</t>
  </si>
  <si>
    <t>Khushal. Khan university karak Karak</t>
  </si>
  <si>
    <t>confirm 
 | ↩️ Return Charged: 2026-03-27 | Ref: CPR-Q9K76465838 | Fee: 213.44</t>
  </si>
  <si>
    <t>TR29791</t>
  </si>
  <si>
    <t>Saqib Ali Gill</t>
  </si>
  <si>
    <t>Bank Alhabib high Street sahiwal Sahiwal</t>
  </si>
  <si>
    <t>TR29792</t>
  </si>
  <si>
    <t>Aashir Satti Aashir Satti</t>
  </si>
  <si>
    <t>House# OR-7, Police Head quarters garden south karachi. Pakistan Karachi</t>
  </si>
  <si>
    <t>confirm
 | 💰 COD Rec: 2026-03-16 | Ref: CPR-AEDNR633590 | Amt: 8550</t>
  </si>
  <si>
    <t>TEXTURE LIGHT SKY - 16.5 (x1), TEXTURE WHITE - 16.5 (x2)</t>
  </si>
  <si>
    <t>TR29793</t>
  </si>
  <si>
    <t>House D-4 Near Zarghoon Check Post Opp Qesco Office Quetta Cantt Quetta</t>
  </si>
  <si>
    <t>confirm 
 | ↩️ Return Charged: 2026-04-03 | Ref: CPR-EP247894165 | Fee: 226.78</t>
  </si>
  <si>
    <t>TR29794</t>
  </si>
  <si>
    <t>Yahya Khan</t>
  </si>
  <si>
    <t>+923421517671</t>
  </si>
  <si>
    <t>Batkhela bazar per khushal baba road (umar khaliq shop) Batkhela</t>
  </si>
  <si>
    <t>Batkhela</t>
  </si>
  <si>
    <t>confirm 
 | 💰 COD Rec: 2026-03-13 | Ref: CPR-PUPPV418827 | Amt: 3299</t>
  </si>
  <si>
    <t>Imported Scoba Executive Nik Tro - XL / Gray (x1)</t>
  </si>
  <si>
    <t>TR29795</t>
  </si>
  <si>
    <t>Rizwan Hameed</t>
  </si>
  <si>
    <t>House no 1/A Climaxabad near Falettis Grand G.T Road Gujranwala</t>
  </si>
  <si>
    <t>confirm 
 | 💰 COD Rec: 2026-03-13 | Ref: CPR-PUPPV418827 | Amt: 2199</t>
  </si>
  <si>
    <t>TR29796</t>
  </si>
  <si>
    <t>Shehzad Liaqat</t>
  </si>
  <si>
    <t>173/1 Garden Block Garden Town Lahore</t>
  </si>
  <si>
    <t>TR29797</t>
  </si>
  <si>
    <t>Taha Satti</t>
  </si>
  <si>
    <t>Pakistan maritime security agency near native jetty pul west warf karachi Karachi</t>
  </si>
  <si>
    <t>confirm 
 | 💰 COD Rec: 2026-03-13 | Ref: CPR-PUPPV418827 | Amt: 1899</t>
  </si>
  <si>
    <t>TR29798</t>
  </si>
  <si>
    <t>Sharoon asif</t>
  </si>
  <si>
    <t>Isa Nagari near Mangal Bazar sector i-9/1 islamabad Islamabad</t>
  </si>
  <si>
    <t xml:space="preserve">cancel ker dein mujha Kal chiya tha </t>
  </si>
  <si>
    <t>TR29799</t>
  </si>
  <si>
    <t>Jalal Mehmood</t>
  </si>
  <si>
    <t>Kashmir hostel airline society lahore Lahore</t>
  </si>
  <si>
    <t>TR29800</t>
  </si>
  <si>
    <t>kashif khan</t>
  </si>
  <si>
    <t>+923477790102</t>
  </si>
  <si>
    <t>Battalion no.7 Abbas police Lines bedian road Lahore Lahore</t>
  </si>
  <si>
    <t>TR29801</t>
  </si>
  <si>
    <t>Afnan Khan</t>
  </si>
  <si>
    <t>Okara cantt mini market Okara</t>
  </si>
  <si>
    <t>confirm
 | ↩️ Return Charged: 2026-03-27 | Ref: CPR-Q9K76465838 | Fee: 200.1</t>
  </si>
  <si>
    <t>TR29802</t>
  </si>
  <si>
    <t>shah zakir</t>
  </si>
  <si>
    <t>Khomer chowk Near Environmental Protection Agency (EPA), Gilgit Baltistan, Pakistan Gilgit</t>
  </si>
  <si>
    <t>confirm 
 | 💰 COD Rec: 2026-03-24 | Ref: CPR-A9TC9587889 | Amt: 1449</t>
  </si>
  <si>
    <t>TR29803</t>
  </si>
  <si>
    <t>Waheed Abbas Shaikh</t>
  </si>
  <si>
    <t>Town Committee Babarloi Sukkur</t>
  </si>
  <si>
    <t xml:space="preserve">cancel ker diya tha mana </t>
  </si>
  <si>
    <t>TR29804</t>
  </si>
  <si>
    <t>GulSher Khan</t>
  </si>
  <si>
    <t>703 Block Q Lahore</t>
  </si>
  <si>
    <t xml:space="preserve"> not nas not ans </t>
  </si>
  <si>
    <t>TR29805</t>
  </si>
  <si>
    <t>Muhammad Ashfaq</t>
  </si>
  <si>
    <t>shahbazpur villag jalalpur jattan Gujrat</t>
  </si>
  <si>
    <t>jalalpur jattan Gujrat</t>
  </si>
  <si>
    <t>postex 
 | 💰 COD Rec: 2026-03-13 | Ref: CPR-PUPPV418827 | Amt: 1799</t>
  </si>
  <si>
    <t>TR29806</t>
  </si>
  <si>
    <t>Abdullah Arshad</t>
  </si>
  <si>
    <t>Model cooperative housing society 77C Okara</t>
  </si>
  <si>
    <t>TR29807</t>
  </si>
  <si>
    <t>Inkisar Ali</t>
  </si>
  <si>
    <t>Sarai Almgeer, Military College Jehlum Jehlum</t>
  </si>
  <si>
    <t>TR29808</t>
  </si>
  <si>
    <t>Danish Shakeel</t>
  </si>
  <si>
    <t>Mohala shah hussain road near Alkaram fruit chart Gujrat</t>
  </si>
  <si>
    <t>confirm
 | 💰 COD Rec: 2026-03-13 | Ref: CPR-PUPPV418827 | Amt: 1449</t>
  </si>
  <si>
    <t>TR29809</t>
  </si>
  <si>
    <t>Bilal Baig</t>
  </si>
  <si>
    <t>Karyainwala Gujrat</t>
  </si>
  <si>
    <t>TR29810</t>
  </si>
  <si>
    <t>Wali Ullah Butt</t>
  </si>
  <si>
    <t>403-eden Heights, 6- Main Gulberg, Jail Road Lahore</t>
  </si>
  <si>
    <t>TR29811</t>
  </si>
  <si>
    <t>Khaliq Sharyar</t>
  </si>
  <si>
    <t>Asim and sharyar commission agent Chowk Azam Road Layyah</t>
  </si>
  <si>
    <t>TR29812</t>
  </si>
  <si>
    <t>Shoaib MANZOOR</t>
  </si>
  <si>
    <t>Sulehri House Nawa Pind Road Faizan Street NEAR Masjid Umer Farooq Gohad Pur Sialkot</t>
  </si>
  <si>
    <t>TR29813</t>
  </si>
  <si>
    <t>+923000478696</t>
  </si>
  <si>
    <t>confirm on wp 
 | 💰 COD Rec: 2026-03-13 | Ref: CPR-PUPPV418827 | Amt: 6647</t>
  </si>
  <si>
    <t>A | X Embroidery LOGO - XL / Biscuit (x1), A | X Embroidery LOGO - XL / Black (x1), ADI Multi Ref Stripes - XL / White (x1), ADI Multi Ref Stripes - XL / Black (x1)</t>
  </si>
  <si>
    <t>TR29814</t>
  </si>
  <si>
    <t>Ali Khurshid</t>
  </si>
  <si>
    <t>House 17 street 19 sector b dha 2 islamabad Islamabad</t>
  </si>
  <si>
    <t>confirm 
 | 💰 COD Rec: 2026-03-13 | Ref: CPR-PUPPV418827 | Amt: 4649</t>
  </si>
  <si>
    <t>ADI Multi Ref Stripes - M / Maroon (x1), ADI Ref Stripes - M / White (x1), ADI Ref Stripes - M / Black (x1)</t>
  </si>
  <si>
    <t>TR29815</t>
  </si>
  <si>
    <t>Asfand Yar Ali Khan</t>
  </si>
  <si>
    <t>House#230/4, National Town Sargodha</t>
  </si>
  <si>
    <t>TR29816</t>
  </si>
  <si>
    <t>Rai Shafqat Ali</t>
  </si>
  <si>
    <t>Meezan Bank LTD plot number 4C khayban e bukhari DHA phase 6 Karachi</t>
  </si>
  <si>
    <t>confirm 
 | 💰 COD Rec: 2026-03-24 | Ref: CPR-A9TC9587889 | Amt: 1799</t>
  </si>
  <si>
    <t>TR29817</t>
  </si>
  <si>
    <t>A block house nub 1482 central Park housing scheme lahore Lahore</t>
  </si>
  <si>
    <t>TR29818</t>
  </si>
  <si>
    <t>Shah Omer</t>
  </si>
  <si>
    <t>34-a-street 1, Dha Phase 6, Lahore Lahore</t>
  </si>
  <si>
    <t xml:space="preserve">order cancel consignee remarks no reason </t>
  </si>
  <si>
    <t>TR29819</t>
  </si>
  <si>
    <t>200 received confirm 
 | 💰 COD Rec: 2026-03-13 | Ref: CPR-PUPPV418827 | Amt: 3149</t>
  </si>
  <si>
    <t>TR29820</t>
  </si>
  <si>
    <t>Ibrar Ahmed</t>
  </si>
  <si>
    <t>134 2 A2 township Lahore Lahore</t>
  </si>
  <si>
    <t>TR29821</t>
  </si>
  <si>
    <t>Irfan khan M irfan khan</t>
  </si>
  <si>
    <t>Hagi nazir zaree farm amli moti depalpur Depalpur</t>
  </si>
  <si>
    <t>TR29822</t>
  </si>
  <si>
    <t>Noroz Khan</t>
  </si>
  <si>
    <t>Dhq Hospital Panjgur Panjgur</t>
  </si>
  <si>
    <t>Panjgur</t>
  </si>
  <si>
    <t>TR29823</t>
  </si>
  <si>
    <t>Tasneem Khan</t>
  </si>
  <si>
    <t>District &amp; Techil Kotli Village Panjera (A.K) Muheeb Sweets Shop Panjera Kotli</t>
  </si>
  <si>
    <t>LE7530546970</t>
  </si>
  <si>
    <t xml:space="preserve">call courier / tcs </t>
  </si>
  <si>
    <t>TR29824</t>
  </si>
  <si>
    <t>Sajid Qureshi</t>
  </si>
  <si>
    <t>House no 26, street 10, Bilal colony Bahawalpur cantt near noor maal Bahawalpur</t>
  </si>
  <si>
    <t>confirm 
 | 💰 COD Rec: 2026-03-13 | Ref: CPR-PUPPV418827 | Amt: 2649</t>
  </si>
  <si>
    <t>ADI - EMBOSSED LOGO (Cotton) - L / Zinc Blue (x1), ADI - EMBOSSED LOGO (Cotton) - L / Dark Red(Maroon) (x1)</t>
  </si>
  <si>
    <t>TR29825</t>
  </si>
  <si>
    <t>Muzammil Awais</t>
  </si>
  <si>
    <t>Shalimar street no 15 last Multan</t>
  </si>
  <si>
    <t>TR29826</t>
  </si>
  <si>
    <t>+923016400089</t>
  </si>
  <si>
    <t>TR29827</t>
  </si>
  <si>
    <t>Mian Mohammad sana Ullah Jhandeer</t>
  </si>
  <si>
    <t>+923336761786</t>
  </si>
  <si>
    <t>House #417 lalazar coloney setlite town Jhang</t>
  </si>
  <si>
    <t>Multi ref PUM-A - 4XL / White (x1), Multi ref PUM-A - 4XL / Black (x1)</t>
  </si>
  <si>
    <t>TR29828</t>
  </si>
  <si>
    <t>Zeeshan Nadeem</t>
  </si>
  <si>
    <t>House 2155, Street 61, Abu Bakar Block, Bahria Phase 8 Rawalpindi</t>
  </si>
  <si>
    <t>TR29829</t>
  </si>
  <si>
    <t>Tanveer Niaz</t>
  </si>
  <si>
    <t>Quidabad Jalandar Ground Karachi</t>
  </si>
  <si>
    <t>confirm 
 | 💰 COD Rec: 2026-03-27 | Ref: CPR-Q9K76465838 | Amt: 2924</t>
  </si>
  <si>
    <t>CPR-Q9K76465838</t>
  </si>
  <si>
    <t>TR29830</t>
  </si>
  <si>
    <t>Wasim Ahmad</t>
  </si>
  <si>
    <t>+923187006580</t>
  </si>
  <si>
    <t>Street No 04 Near Alnoor Garden Infront Of Masjid Fatima Tul Zahra Madina Town Fsd Faisalabad</t>
  </si>
  <si>
    <t>TR29831</t>
  </si>
  <si>
    <t>Kashif Ejaz</t>
  </si>
  <si>
    <t>Street 14/D house 268 makkah colony gulberg 3 lahore Lahore</t>
  </si>
  <si>
    <t>confirm 250 dc received ho gai ha   No one contacted me
 | ↩️ Return Charged: 2026-03-24 | Ref: CPR-A9TC9587889 | Fee: 187</t>
  </si>
  <si>
    <t>TR29832</t>
  </si>
  <si>
    <t>Shahid Jamil</t>
  </si>
  <si>
    <t>Escort Courier&amp; Cargo Int Office Near Sialkot College Of Commerce Abott Road Sialkot Sialkot</t>
  </si>
  <si>
    <t>confirm on wp 
 | 💰 COD Rec: 2026-03-13 | Ref: CPR-PUPPV418827 | Amt: 3348</t>
  </si>
  <si>
    <t>ADI Multi Ref Stripes - 4XL / White (x1), ADI Multi Ref Stripes - 2XL / Black (x1)</t>
  </si>
  <si>
    <t>TR29833</t>
  </si>
  <si>
    <t>+923027766873</t>
  </si>
  <si>
    <t>House No#355, Mohallah Araiyaan Wala near Akthar pakwan center, Kotwali road, Jhang Sadar Jhang</t>
  </si>
  <si>
    <t>TR29834</t>
  </si>
  <si>
    <t>Muhammad Aimen</t>
  </si>
  <si>
    <t>House #1417/xx,street#02,Mohammadi Mohalla, Piran Gaeeb road Multan Multan</t>
  </si>
  <si>
    <t>ADI Ref Stripes - M / Black (x1), ADI Ref Stripes - L / White (x1)</t>
  </si>
  <si>
    <t>TR29835</t>
  </si>
  <si>
    <t>SHAHID M yousuf</t>
  </si>
  <si>
    <t>Zahra Square 2nd Floor 223 Room, M.a Jinnah Road Opposite Memon Masjid Karachi</t>
  </si>
  <si>
    <t>confirm on wp 
 | 💰 COD Rec: 2026-03-24 | Ref: CPR-A9TC9587889 | Amt: 1799</t>
  </si>
  <si>
    <t>TR29836</t>
  </si>
  <si>
    <t>Muhammad Okasha</t>
  </si>
  <si>
    <t>Zahid Ali photostat beside murshid zargar Sakhakot malakand Malakand</t>
  </si>
  <si>
    <t>TR29837</t>
  </si>
  <si>
    <t>Ahsan Chatha</t>
  </si>
  <si>
    <t>Maryam Nawaz Health Clinic Khuda Bukhsh Mahar Ahmed pur esat</t>
  </si>
  <si>
    <t>Ahmed pur esat</t>
  </si>
  <si>
    <t>TR29838</t>
  </si>
  <si>
    <t>Saleem Ferozi</t>
  </si>
  <si>
    <t>Gulistan-e-Johar, Block 19, near Cantonment Board Graveyard Alrauf Royal City, 1st Floor, House Number: C106/8 Karachi</t>
  </si>
  <si>
    <t xml:space="preserve">+92 333 2157652 confirm paid parcel haa </t>
  </si>
  <si>
    <t>TR29839</t>
  </si>
  <si>
    <t>Asher Rehman</t>
  </si>
  <si>
    <t>+9203039550608</t>
  </si>
  <si>
    <t>Mohallah Takia Farooq Estamp Vendor Near Tehsil Office Hassan Abdal Attock</t>
  </si>
  <si>
    <t>TR29840</t>
  </si>
  <si>
    <t>Rahmatullah Haidari Rahmatullah Haidari</t>
  </si>
  <si>
    <t>+923349672346</t>
  </si>
  <si>
    <t>Islamabad, Faisal Town, "B" Block, Friends Arcade 5, 5th floor, 508 Room Number. Islamabad</t>
  </si>
  <si>
    <t>whatsup 
 | 💰 COD Rec: 2026-03-13 | Ref: CPR-PUPPV418827 | Amt: 3099</t>
  </si>
  <si>
    <t>ADI Multi Ref Stripes - XL / White (x1), Multi ref PUM-A - XL / White (x1)</t>
  </si>
  <si>
    <t>TR29841</t>
  </si>
  <si>
    <t>Usman Yariq Usman Yariq</t>
  </si>
  <si>
    <t>+923317049034</t>
  </si>
  <si>
    <t>: Bank Alfalah Islamic Chowk Shah Abbas Multan  City: Multan Multan</t>
  </si>
  <si>
    <t>whatsup 
 | 💰 COD Rec: 2026-03-13 | Ref: CPR-PUPPV418827 | Amt: 249</t>
  </si>
  <si>
    <t>TR29842</t>
  </si>
  <si>
    <t>Sohail Piracha</t>
  </si>
  <si>
    <t>93 k DHA Commercial Block DHA Phase 1 Lahore</t>
  </si>
  <si>
    <t>TR29843</t>
  </si>
  <si>
    <t>Ali Asghar</t>
  </si>
  <si>
    <t>Saadullah pur tehsil phalia Gujrat</t>
  </si>
  <si>
    <t>TR29844</t>
  </si>
  <si>
    <t>Muhammad Zaeem</t>
  </si>
  <si>
    <t>Main Afaq Electronic.fruzbure Road,mustafa Abad,kasur Mustafa Abad</t>
  </si>
  <si>
    <t>Mustafa Abad</t>
  </si>
  <si>
    <t>NIK- Ref LOGO - 4XL / black (x1)</t>
  </si>
  <si>
    <t>TR29845</t>
  </si>
  <si>
    <t>Piraghaib Jhelum</t>
  </si>
  <si>
    <t>TR29846</t>
  </si>
  <si>
    <t>Madiha Sajjadq</t>
  </si>
  <si>
    <t>120c street no 5 phase 2  city housing society Gujranwala</t>
  </si>
  <si>
    <t>confirm 
 | 💰 COD Rec: 2026-03-13 | Ref: CPR-PUPPV418827 | Amt: 5148</t>
  </si>
  <si>
    <t>ADI Multi Ref Stripes - M / Maroon (x1), Multi ref PUM-A - M / White (x1), Multi ref PUM-A - M / Black (x1)</t>
  </si>
  <si>
    <t>TR29847</t>
  </si>
  <si>
    <t>Mohsin Khaan</t>
  </si>
  <si>
    <t>H/ no cc 3 type A block street 9 Naqash villa's phase II Qasimabad Hyderabad HYDERABAD</t>
  </si>
  <si>
    <t>HYDERABAD</t>
  </si>
  <si>
    <t>confirm 
 | 💰 COD Rec: 2026-03-16 | Ref: CPR-AEDNR633590 | Amt: 1499</t>
  </si>
  <si>
    <t>TR29848</t>
  </si>
  <si>
    <t>Raees Khan</t>
  </si>
  <si>
    <t>New bnnu chungi near national bank Dera ismail khan</t>
  </si>
  <si>
    <t>TR29849</t>
  </si>
  <si>
    <t>Abbas Ghulam</t>
  </si>
  <si>
    <t>Lahore smart city pvt ltd , kala shah kaku Muridkee</t>
  </si>
  <si>
    <t>LE7530548647</t>
  </si>
  <si>
    <t>TR29850</t>
  </si>
  <si>
    <t>Mudassir Habib</t>
  </si>
  <si>
    <t>Unit 7 Iqbal twn water filter street defence raod Sialkot Sialkot</t>
  </si>
  <si>
    <t>confirm allow to open 
 | 💰 COD Rec: 2026-03-24 | Ref: CPR-A9TC9587889 | Amt: 2924</t>
  </si>
  <si>
    <t>TR29851</t>
  </si>
  <si>
    <t>Nouman Anwar</t>
  </si>
  <si>
    <t>House#29-mmm Tricon Village Canal Road Lahore Lahore</t>
  </si>
  <si>
    <t>TR29852</t>
  </si>
  <si>
    <t>Junaid Gujjar</t>
  </si>
  <si>
    <t>Kutchehry Road block A house 36 Dera ghazi khan</t>
  </si>
  <si>
    <t>confirm 
 | ↩️ Return Charged: 2026-03-24 | Ref: CPR-A9TC9587889 | Fee: 220</t>
  </si>
  <si>
    <t>TR29853</t>
  </si>
  <si>
    <t>Ibrar Khan</t>
  </si>
  <si>
    <t>Shop no 139 G liberty market liberty plaza GulberG lll Lahore</t>
  </si>
  <si>
    <t>TR29854</t>
  </si>
  <si>
    <t>Awais Ahmad</t>
  </si>
  <si>
    <t>Green town Jhang road Gojra Gojra</t>
  </si>
  <si>
    <t>TR29855</t>
  </si>
  <si>
    <t>Hammad Rana</t>
  </si>
  <si>
    <t>A2, 550 Wapda Town Gujranwala</t>
  </si>
  <si>
    <t>TR29856</t>
  </si>
  <si>
    <t>Faakhir Jibran</t>
  </si>
  <si>
    <t>Aslam medical store Bismillah chok Kharian</t>
  </si>
  <si>
    <t>TR29857</t>
  </si>
  <si>
    <t>Umair Shah</t>
  </si>
  <si>
    <t>Mubarak Madical store neelum road lower plate Muzaffarabad Azad Kashmir</t>
  </si>
  <si>
    <t>Muzaffarabad Azad Kashmir</t>
  </si>
  <si>
    <t>confimr 
 | 💰 COD Rec: 2026-03-16 | Ref: CPR-AEDNR633590 | Amt: 3348</t>
  </si>
  <si>
    <t>TR29858</t>
  </si>
  <si>
    <t>Javeria qamar Javeria</t>
  </si>
  <si>
    <t>House 154  sector E   Street 4 Askari 10 Lahore</t>
  </si>
  <si>
    <t>TR29859</t>
  </si>
  <si>
    <t>Muhammad Imran Imran</t>
  </si>
  <si>
    <t>407 A1 Gulberg 3 Lahore Lahore</t>
  </si>
  <si>
    <t>confirm 
 | 💰 COD Rec: 2026-03-13 | Ref: CPR-PUPPV418827 | Amt: 5650</t>
  </si>
  <si>
    <t>Imported Scoba Executive Nik Tro - L / Silver Grey (x1), ADI Ref Stripes - L / White (x1), ADI Ref Stripes - L / Black (x1)</t>
  </si>
  <si>
    <t>TR29860</t>
  </si>
  <si>
    <t>Ahsan Zia</t>
  </si>
  <si>
    <t>Arambagh Road Karachi</t>
  </si>
  <si>
    <t>TR29861</t>
  </si>
  <si>
    <t>Arsalan shah Shah</t>
  </si>
  <si>
    <t>Flat No 122-H Karachi</t>
  </si>
  <si>
    <t>confirm 
 | 💰 COD Rec: 2026-03-16 | Ref: CPR-AEDNR633590 | Amt: 2849</t>
  </si>
  <si>
    <t>TR29862</t>
  </si>
  <si>
    <t>Uzma Aitazaz</t>
  </si>
  <si>
    <t>Dhq hospital jhelum Jhelum</t>
  </si>
  <si>
    <t>confirm 
 | 💰 COD Rec: 2026-03-16 | Ref: CPR-AEDNR633590 | Amt: 2049</t>
  </si>
  <si>
    <t>TR29863</t>
  </si>
  <si>
    <t>Waqas Younas</t>
  </si>
  <si>
    <t>Khara road pakeeza colony kasur Kasur</t>
  </si>
  <si>
    <t>TR29864</t>
  </si>
  <si>
    <t>Murad Ali</t>
  </si>
  <si>
    <t>Talash ihtesham book depo Timergara</t>
  </si>
  <si>
    <t>confirm on wp 
 | 💰 COD Rec: 2026-03-16 | Ref: CPR-AEDNR633590 | Amt: 3098</t>
  </si>
  <si>
    <t>TR29865</t>
  </si>
  <si>
    <t>Sheher fareed Chishtian</t>
  </si>
  <si>
    <t>LE7530137695</t>
  </si>
  <si>
    <t xml:space="preserve">chistian tcs /lcs </t>
  </si>
  <si>
    <t>TR29866</t>
  </si>
  <si>
    <t>Maria Maria Aamir</t>
  </si>
  <si>
    <t>109-b-gor3 Shadman Lahore</t>
  </si>
  <si>
    <t>r ; not ans 
confirm on wp 
 | ↩️ Return Charged: 2026-03-27 | Ref: CPR-Q9K76465838 | Fee: 120.06</t>
  </si>
  <si>
    <t>TR29867</t>
  </si>
  <si>
    <t>asif Ali</t>
  </si>
  <si>
    <t>Prime Optics Opposite Gate 9 Valancia Town Near Macdonald Defence Road Lahore Lahore</t>
  </si>
  <si>
    <t>opento allow 
 | 💰 COD Rec: 2026-03-13 | Ref: CPR-PUPPV418827 | Amt: 3348</t>
  </si>
  <si>
    <t>TR29868</t>
  </si>
  <si>
    <t>Shar Iftikhar</t>
  </si>
  <si>
    <t>H.no 2 Lane 1 Sector A1 Phase 8 Bahria Town Rawalpindi</t>
  </si>
  <si>
    <t>TR29869</t>
  </si>
  <si>
    <t>TR29599 exchange only dc lagani haa 
 | 💰 COD Rec: 2026-03-24 | Ref: CPR-A9TC9587889 | Amt: 249</t>
  </si>
  <si>
    <t>Multi ref PUM-A - L / White (x1), Multi ref PUM-A - XL / Black (x1)</t>
  </si>
  <si>
    <t>TR29870</t>
  </si>
  <si>
    <t>tr29610 exchnage only dc lagani haa (why no DC)</t>
  </si>
  <si>
    <t>TR29871</t>
  </si>
  <si>
    <t>Naveed Ahmed Naveed Ahmed</t>
  </si>
  <si>
    <t>+923007013534</t>
  </si>
  <si>
    <t>212 Sawan block DC colony Gujranwala CANTT Gujranwala CANTT</t>
  </si>
  <si>
    <t>Gujranwala CANTT</t>
  </si>
  <si>
    <t>whatsup 
 | 💰 COD Rec: 2026-03-24 | Ref: CPR-A9TC9587889 | Amt: 3048</t>
  </si>
  <si>
    <t>Tipping Crew - L / Black (x1), ADI Multi Ref Stripes - L / White (x1)</t>
  </si>
  <si>
    <t>TR29872</t>
  </si>
  <si>
    <t>Urbaaz Ali</t>
  </si>
  <si>
    <t>Po Karianwala District Gujrat Gujrat</t>
  </si>
  <si>
    <t>LE7530137699</t>
  </si>
  <si>
    <t xml:space="preserve">confirm tcs / lcs </t>
  </si>
  <si>
    <t>TR29873</t>
  </si>
  <si>
    <t>Zohaad Naqvi</t>
  </si>
  <si>
    <t>No. 152-sa.garden Main Gt Road Phase 2 Kalashahkaku Sher Zaman Block House Lahore</t>
  </si>
  <si>
    <t xml:space="preserve">cancel nahi lena mana shop sa purchase ker li hain 
not ans no wp </t>
  </si>
  <si>
    <t>TR29874</t>
  </si>
  <si>
    <t>Ali Hasnat</t>
  </si>
  <si>
    <t>Plot no  2 main harbanspura link road ashfaq chok jore pul lahore Lahore</t>
  </si>
  <si>
    <t>TR29875</t>
  </si>
  <si>
    <t>Ahmed Mobeen</t>
  </si>
  <si>
    <t>Street 4 House 52 phase 1 Gujranwala Cantt Rahwali</t>
  </si>
  <si>
    <t>Rahwali</t>
  </si>
  <si>
    <t>confirm
 | 💰 COD Rec: 2026-03-16 | Ref: CPR-AEDNR633590 | Amt: 3347</t>
  </si>
  <si>
    <t>TR29876</t>
  </si>
  <si>
    <t>Syed Shahfaisal</t>
  </si>
  <si>
    <t>House no 32 street 10 sector D17/2 Islamabad</t>
  </si>
  <si>
    <t>TR29877</t>
  </si>
  <si>
    <t>Raja Mehtab</t>
  </si>
  <si>
    <t>Office no 40 tehsil courts arifwala Arifwala</t>
  </si>
  <si>
    <t>TR29878</t>
  </si>
  <si>
    <t>Ratti pinddi dakkhana khaas  tehsil kot radha kishen Kot radha kishen</t>
  </si>
  <si>
    <t>confirm (no wa)
 | ↩️ Return Charged: 2026-03-27 | Ref: CPR-Q9K76465838 | Fee: 200.1</t>
  </si>
  <si>
    <t>TR29879</t>
  </si>
  <si>
    <t>Fahadullah Fahadullah</t>
  </si>
  <si>
    <t>Near swat palace hotel hayat abad zone 5 Mingora swat</t>
  </si>
  <si>
    <t>Mingora swat</t>
  </si>
  <si>
    <t xml:space="preserve">cancel ker dein Main ne lay le zarurat nahi not ans </t>
  </si>
  <si>
    <t>TR29880</t>
  </si>
  <si>
    <t>Exchange@Shop04</t>
  </si>
  <si>
    <t>exchange at shop</t>
  </si>
  <si>
    <t>ADI Multi Ref Stripes - M / Black (x1), A | X Embroidery LOGO - M / White (x1)</t>
  </si>
  <si>
    <t>TR29881</t>
  </si>
  <si>
    <t>Muhammad Amar</t>
  </si>
  <si>
    <t>+923219651182</t>
  </si>
  <si>
    <t>177 a street 5, garden colony, faisalabad Faisalabad</t>
  </si>
  <si>
    <t>TR29882</t>
  </si>
  <si>
    <t>Hassaan Saqib</t>
  </si>
  <si>
    <t>335-B, Valancia Society, lahore Lahore</t>
  </si>
  <si>
    <t>ADI Multi Ref Stripes - 4XL / Black (x1)</t>
  </si>
  <si>
    <t>TR29883</t>
  </si>
  <si>
    <t>Hasnain Baloch</t>
  </si>
  <si>
    <t>+923322371709</t>
  </si>
  <si>
    <t>Queens road near CCPO office and NBP branch lahore Lahore</t>
  </si>
  <si>
    <t>TR29884</t>
  </si>
  <si>
    <t>Asadyaar Khani</t>
  </si>
  <si>
    <t>Khurum por leopard office bannu Bannu</t>
  </si>
  <si>
    <t>TR29885</t>
  </si>
  <si>
    <t>Dr hira Ghous</t>
  </si>
  <si>
    <t>Bata shoes store college road shahkot Shahkot</t>
  </si>
  <si>
    <t>confirm 
 | 💰 COD Rec: 2026-03-16 | Ref: CPR-AEDNR633590 | Amt: 2749</t>
  </si>
  <si>
    <t>Basic RL Crew- Cotton - XL / Copper (x1), Basic RL Crew- Cotton - XL / light chocolate (x1)</t>
  </si>
  <si>
    <t>TR29886</t>
  </si>
  <si>
    <t>Shahrukh Mahmood</t>
  </si>
  <si>
    <t>Dhok juma nai abadi near husnain karimain masjid Jhelum</t>
  </si>
  <si>
    <t>TR29887</t>
  </si>
  <si>
    <t>Water supply road Khan Tikki wali Gali no. 4block 29 Sargodha Sargodha</t>
  </si>
  <si>
    <t>confirm 
 | 💰 COD Rec: 2026-03-16 | Ref: CPR-AEDNR633590 | Amt: 4598 umair</t>
  </si>
  <si>
    <t>ADI Multi Ref Stripes - 2XL / White (x1), ADI Multi Ref Stripes - 2XL / Black (x1), Basic RL Crew- Cotton - XL / Dark grey (x1)</t>
  </si>
  <si>
    <t>TR29888</t>
  </si>
  <si>
    <t>+923106017011</t>
  </si>
  <si>
    <t>TR29889</t>
  </si>
  <si>
    <t>confirm 
 | 💰 COD Rec: 2026-03-16 | Ref: CPR-AEDNR633590 | Amt: 13250</t>
  </si>
  <si>
    <t>ADI - EMBOSSED LOGO (Cotton) - L / light orange (x1), ADI - EMBOSSED LOGO (Cotton) - L / Pink (x1), ADI - EMBOSSED LOGO (Cotton) - L / Black (x1), ADI - EMBOSSED LOGO (Cotton) - L / Dark Red(Maroon) (x2), ADI Ref Stripes - L / White (x1), ADI Ref Stripes - L / Black (x1), ADI Multi Ref Stripes - L / Navy Blue (x1), Embossed NIK-E - L / Black (x1), Embossed NIK-E - L / White (x1)</t>
  </si>
  <si>
    <t>TR29890</t>
  </si>
  <si>
    <t>Danish Mahaar</t>
  </si>
  <si>
    <t>+923314734411</t>
  </si>
  <si>
    <t>H.no. 83 Block B Canal Garden Lahore Lahore</t>
  </si>
  <si>
    <t xml:space="preserve">not ans not ans both </t>
  </si>
  <si>
    <t>TR29891</t>
  </si>
  <si>
    <t>syed tauqeer</t>
  </si>
  <si>
    <t>+923217566605</t>
  </si>
  <si>
    <t>lalqila falcon downtown near adda plot Lahore</t>
  </si>
  <si>
    <t>confirm 
 | ↩️ Return Charged: 2026-03-27 | Ref: CPR-Q9K76465838 | Fee: 106.72</t>
  </si>
  <si>
    <t>TR29892</t>
  </si>
  <si>
    <t>Zeeshan Mirza</t>
  </si>
  <si>
    <t>UBL Commercial Center Branch 4-B Zimindara Colony Rahim Yar Khan</t>
  </si>
  <si>
    <t xml:space="preserve">cancel too expensive </t>
  </si>
  <si>
    <t>TR29893</t>
  </si>
  <si>
    <t>House No 566 Block 4a Gulistan E Johar Karachi Karachi</t>
  </si>
  <si>
    <t xml:space="preserve">cancel bhanja na order kiya tha </t>
  </si>
  <si>
    <t>TR29894</t>
  </si>
  <si>
    <t>Muhammad Arslan ishtiaq sunny</t>
  </si>
  <si>
    <t>Nouman book shop kallar syedan Kallarvsyedan</t>
  </si>
  <si>
    <t>Kallarvsyedan</t>
  </si>
  <si>
    <t>TR29895</t>
  </si>
  <si>
    <t>syed toqeer abbas gilani</t>
  </si>
  <si>
    <t>Edenabad D block 275 Lahore</t>
  </si>
  <si>
    <t>confirm  Im not in lahore that's why i returned
 | ↩️ Return Charged: 2026-03-24 | Ref: CPR-A9TC9587889 | Fee: 107</t>
  </si>
  <si>
    <t>TR29896</t>
  </si>
  <si>
    <t>Imran dogar Imran dogar</t>
  </si>
  <si>
    <t>Imran dogar drastic vhari teasel burewala City goggoo mandi City goggoo mandi wartch mart</t>
  </si>
  <si>
    <t>City goggoo mandi wartch mart</t>
  </si>
  <si>
    <t>TR29897</t>
  </si>
  <si>
    <t>Tahir Rafique</t>
  </si>
  <si>
    <t>Dha phase 1 house num 223/1 street num 136 block N lahore Lahore</t>
  </si>
  <si>
    <t>confirm 
 | 💰 COD Rec: 2026-03-16 | Ref: CPR-AEDNR633590 | Amt: 3347</t>
  </si>
  <si>
    <t>TR29898</t>
  </si>
  <si>
    <t>Tayyab Saeed</t>
  </si>
  <si>
    <t>Dheera Sandha Khurd pasroor road near w.n furqan industries Sialkot</t>
  </si>
  <si>
    <t>TR29899</t>
  </si>
  <si>
    <t>Usman Ramzan</t>
  </si>
  <si>
    <t>Opposite mumtaz baktawer hospitel main raiwind road jazz point lahore Lahore</t>
  </si>
  <si>
    <t>TR29900</t>
  </si>
  <si>
    <t>Adeel Maher</t>
  </si>
  <si>
    <t>Araien frout shope milad chownk daska Daska</t>
  </si>
  <si>
    <t xml:space="preserve">cancel mujha origial chaiya werna cancel </t>
  </si>
  <si>
    <t>TR29901</t>
  </si>
  <si>
    <t>+923016602434</t>
  </si>
  <si>
    <t>TR29902</t>
  </si>
  <si>
    <t>Sami Ullah</t>
  </si>
  <si>
    <t>Nankana Saab Nankana Saab</t>
  </si>
  <si>
    <t>Nankana Saab</t>
  </si>
  <si>
    <t>confirm 
 | 💰 COD Rec: 2026-03-16 | Ref: CPR-AEDNR633590 | Amt: 1799</t>
  </si>
  <si>
    <t>TR29903</t>
  </si>
  <si>
    <t>babar laiquat</t>
  </si>
  <si>
    <t>shadman markit awan plaza besment shop no3 lahore</t>
  </si>
  <si>
    <t>CONFRM ON WP 
 | 💰 COD Rec: 2026-03-16 | Ref: CPR-AEDNR633590 | Amt: 2924</t>
  </si>
  <si>
    <t>TR29904</t>
  </si>
  <si>
    <t>Haroon Wasim</t>
  </si>
  <si>
    <t>House #284, Main Makki Masjid road, St #47 Pakistan town phase 1 Islamabad</t>
  </si>
  <si>
    <t>TR29905</t>
  </si>
  <si>
    <t>Muhammad irfan ul haq Irfan</t>
  </si>
  <si>
    <t>House # 604 B Gulberg Colony Kasur Kasur</t>
  </si>
  <si>
    <t>TR29906</t>
  </si>
  <si>
    <t>confirm 
 | 💰 COD Rec: 2026-03-16 | Ref: CPR-AEDNR633590 | Amt: 5000</t>
  </si>
  <si>
    <t>Basic RL Crew- Cotton - XL / Black (x1), Basic RL Crew- Cotton - XL / Royal Mid blue (x1), Basic RL Crew- Cotton - XL / Copper (x1), Basic RL Crew- Cotton - XL / Beige (x1)</t>
  </si>
  <si>
    <t>TR29907</t>
  </si>
  <si>
    <t xml:space="preserve">first ko payment kara gaa 
payment nhi krra or na call pick nhi krra | last order returned hai </t>
  </si>
  <si>
    <t>TR29908</t>
  </si>
  <si>
    <t>Adnan Raza Sabir Adnan Raza</t>
  </si>
  <si>
    <t>Sadiq Trader's, Opp Dayal House, Nazir Park, Harbanspura Lahore</t>
  </si>
  <si>
    <t>confirm 
 | 💰 COD Rec: 2026-03-24 | Ref: CPR-A9TC9587889 | Amt: 2924</t>
  </si>
  <si>
    <t>TR29909</t>
  </si>
  <si>
    <t>Munawar khan</t>
  </si>
  <si>
    <t>Hattar industry area tex road doriyan chok Haripur</t>
  </si>
  <si>
    <t>open to allow 
 | 💰 COD Rec: 2026-03-24 | Ref: CPR-A9TC9587889 | Amt: 2924</t>
  </si>
  <si>
    <t>TR29910</t>
  </si>
  <si>
    <t>Raja Waqas Raja Waqas</t>
  </si>
  <si>
    <t>Bank of Azad jamu Kashmir chater domail Muzaffarabad Muzaffarabad</t>
  </si>
  <si>
    <t>TR29911</t>
  </si>
  <si>
    <t>Ada shree more Sahiwal</t>
  </si>
  <si>
    <t>confirm 
 | ↩️ Return Charged: 2026-04-07 | Ref: CPR-XT60O810684 | Fee: 220.98</t>
  </si>
  <si>
    <t>TR29912</t>
  </si>
  <si>
    <t>Danish Yaqoob</t>
  </si>
  <si>
    <t>+923130434565</t>
  </si>
  <si>
    <t>House no 33 near rawily phatak Kacha Khuh Dist Khanewal Kacha khuh</t>
  </si>
  <si>
    <t>Kacha khuh</t>
  </si>
  <si>
    <t>confirm 
 | 💰 COD Rec: 2026-03-16 | Ref: CPR-AEDNR633590 | Amt: 6198</t>
  </si>
  <si>
    <t>Multi ref PUM-A - XL / White (x1), Multi ref PUM-A - XL / Black (x1), ADI Multi Ref Stripes - XL / White (x1), ADI Multi Ref Stripes - XL / Black (x1)</t>
  </si>
  <si>
    <t>TR29913</t>
  </si>
  <si>
    <t>Muhammad Akhtar</t>
  </si>
  <si>
    <t>+923006994817</t>
  </si>
  <si>
    <t>Street number 10 madina coloney marzi pura Burewala Burewala</t>
  </si>
  <si>
    <t>TR29914</t>
  </si>
  <si>
    <t>Vicky Mughal</t>
  </si>
  <si>
    <t>Faisalabad road sharkpur choke jamia faroqia road dr ashraf wali gali Sheikhupura</t>
  </si>
  <si>
    <t>confirm
 | ↩️ Return Charged: 2026-03-31 | Ref: CPR-6B0MN221209 | Fee: 200</t>
  </si>
  <si>
    <t>TR29915</t>
  </si>
  <si>
    <t>Ishfaq Hussain</t>
  </si>
  <si>
    <t>Hammad Sales Agency Multan</t>
  </si>
  <si>
    <t>TR29916</t>
  </si>
  <si>
    <t>malik asad malik asad</t>
  </si>
  <si>
    <t>+923348114784</t>
  </si>
  <si>
    <t>Happy travel agency kutchehry road opposite income tax office Sialkot Sialkot</t>
  </si>
  <si>
    <t>whatsup 
 | 💰 COD Rec: 2026-03-16 | Ref: CPR-AEDNR633590 | Amt: 3099</t>
  </si>
  <si>
    <t>TR29917</t>
  </si>
  <si>
    <t>Daoud Sabri</t>
  </si>
  <si>
    <t>Chak no 132 SB tehsil sillanewali district Sargodha Tehsil sillanewali district Sargodha</t>
  </si>
  <si>
    <t>Tehsil sillanewali district Sargodha</t>
  </si>
  <si>
    <t>confirm  
 | ↩️ Return Charged: 2026-04-07 | Ref: CPR-XT60O810684 | Fee: 200.1</t>
  </si>
  <si>
    <t>TR29918</t>
  </si>
  <si>
    <t>Adeel Zahid</t>
  </si>
  <si>
    <t>Chak no 165 rb jandwali, tehsil chak jhumra district Faisalabad Pakistan Faisalabad</t>
  </si>
  <si>
    <t>TR29919</t>
  </si>
  <si>
    <t>Amir Rafique</t>
  </si>
  <si>
    <t>House 737, Street 102, Sector G-9/4 Islamabad</t>
  </si>
  <si>
    <t>confirm 
 | 💰 COD Rec: 2026-03-24 | Ref: CPR-A9TC9587889 | Amt: 2849</t>
  </si>
  <si>
    <t>TR29920</t>
  </si>
  <si>
    <t>Azhar Ali khan Ali</t>
  </si>
  <si>
    <t>Natco Haed office  gilgit Gilgit</t>
  </si>
  <si>
    <t>LE7530138682</t>
  </si>
  <si>
    <t>TR29921</t>
  </si>
  <si>
    <t>TR29922</t>
  </si>
  <si>
    <t>Mohalla rehmania near church shora kothi road nankana sahib NANKANA SAHIB</t>
  </si>
  <si>
    <t>NANKANA SAHIB</t>
  </si>
  <si>
    <t>TR29923</t>
  </si>
  <si>
    <t>655 g st 3 phase 6 dha Lahore</t>
  </si>
  <si>
    <t>TR29924</t>
  </si>
  <si>
    <t>Waseem Mughal</t>
  </si>
  <si>
    <t>478-A Block DHA phase 12 EME society Multan Road Lahore</t>
  </si>
  <si>
    <t>confirm 
 | 💰 COD Rec: 2026-03-16 | Ref: CPR-AEDNR633590 | Amt: 5099</t>
  </si>
  <si>
    <t>TR29925</t>
  </si>
  <si>
    <t>Akhtar Ali Akhtar Ali</t>
  </si>
  <si>
    <t>+923491900064</t>
  </si>
  <si>
    <t>Dodial Faran hostel Hazara University mansehra Mansehra Mansehra</t>
  </si>
  <si>
    <t>Is to expensive</t>
  </si>
  <si>
    <t>TR29926</t>
  </si>
  <si>
    <t>0321 8615649</t>
  </si>
  <si>
    <t>126/8 Haider Road Cantt Sialkot-51310  Near Jamia Qadria Masjid Sialkot</t>
  </si>
  <si>
    <t>whatsup 
 | 💰 COD Rec: 2026-03-24 | Ref: CPR-A9TC9587889 | Amt: 3347</t>
  </si>
  <si>
    <t>ADI Multi Ref Stripes - XL / White (x2)</t>
  </si>
  <si>
    <t>TR29927</t>
  </si>
  <si>
    <t>TR29407 exchage paid bhejnahaa 
 | ↩️ Return Charged: 2026-03-31 | Ref: CPR-6B0MN221209 | Fee: 200</t>
  </si>
  <si>
    <t>TR29928</t>
  </si>
  <si>
    <t>Exchange@Shop06</t>
  </si>
  <si>
    <t>exchange at shop     tr29718</t>
  </si>
  <si>
    <t>ADI Multi Ref Stripes - XL / Black (x1), Multi ref PUM-A - XL / White (x1)</t>
  </si>
  <si>
    <t>TR29929</t>
  </si>
  <si>
    <t>Ahsan ali Ahsan ali</t>
  </si>
  <si>
    <t>+923330270027</t>
  </si>
  <si>
    <t>Naya Savera trading centre shop mamu kanjan Road Kamalia kamalia</t>
  </si>
  <si>
    <t>kamalia</t>
  </si>
  <si>
    <t>whatsup
 | 💰 COD Rec: 2026-03-16 | Ref: CPR-AEDNR633590 | Amt: 3100</t>
  </si>
  <si>
    <t>TR29930</t>
  </si>
  <si>
    <t>Sarfrz Colney street no 4 near jinah park gujranwala.RehmatUllahlone Gujranwala</t>
  </si>
  <si>
    <t>TR29931</t>
  </si>
  <si>
    <t>rehan younus</t>
  </si>
  <si>
    <t>29-raza Street Shah Kamal Colony Lahore Lahore</t>
  </si>
  <si>
    <t>confirm 
 | ↩️ Return Charged: 2026-03-31 | Ref: CPR-6B0MN221209 | Fee: 120</t>
  </si>
  <si>
    <t>TR29932</t>
  </si>
  <si>
    <t>Lane Number 4 Rawalpindi</t>
  </si>
  <si>
    <t>TR29933</t>
  </si>
  <si>
    <t>9a1 Township Lahore Lahore</t>
  </si>
  <si>
    <t>TR29934</t>
  </si>
  <si>
    <t>Faisal Cheema</t>
  </si>
  <si>
    <t>+923049999164</t>
  </si>
  <si>
    <t>Street 84 Gujranwala</t>
  </si>
  <si>
    <t>confirm 
 | 💰 COD Rec: 2026-03-16 | Ref: CPR-AEDNR633590 | Amt: 1899</t>
  </si>
  <si>
    <t>A | X Embroidery LOGO - L / White (x1)</t>
  </si>
  <si>
    <t>TR29935</t>
  </si>
  <si>
    <t>MUNEER AHMAD</t>
  </si>
  <si>
    <t>Shadab Colony House #2 Taunsa Sharif Dera Ghazi Khan</t>
  </si>
  <si>
    <t>TR29936</t>
  </si>
  <si>
    <t>Muhamad Munawar. ! ALOW TO OPEN!</t>
  </si>
  <si>
    <t>Jandiyala Baghwala muhala gore wala Gujranwala</t>
  </si>
  <si>
    <t>confirm  postex 
 | 💰 COD Rec: 2026-03-16 | Ref: CPR-AEDNR633590 | Amt: 3348</t>
  </si>
  <si>
    <t>TR29937</t>
  </si>
  <si>
    <t>Shahid Saeedi</t>
  </si>
  <si>
    <t>+923342010533</t>
  </si>
  <si>
    <t>Al Madina sports Daharki</t>
  </si>
  <si>
    <t>confirm
 | 💰 COD Rec: 2026-03-24 | Ref: CPR-A9TC9587889 | Amt: 3348</t>
  </si>
  <si>
    <t>TR29938</t>
  </si>
  <si>
    <t>Zaka Zaki</t>
  </si>
  <si>
    <t>TR29939</t>
  </si>
  <si>
    <t>Sarfataz Sarfaraz</t>
  </si>
  <si>
    <t>Manszoor clony  G sector gli number 2 Karachi</t>
  </si>
  <si>
    <t>confirm 
 | ↩️ Return Charged: 2026-04-03 | Ref: CPR-EP247894165 | Fee: 213.44</t>
  </si>
  <si>
    <t>TR29940</t>
  </si>
  <si>
    <t>Waqas Javed</t>
  </si>
  <si>
    <t>26-n,model town extention Lahore</t>
  </si>
  <si>
    <t>TR29941</t>
  </si>
  <si>
    <t>New shahbaz colony near madina masjid khairpur Khairpur Mirs</t>
  </si>
  <si>
    <t>confirm 
 | 💰 COD Rec: 2026-04-03 | Ref: CPR-EP247894165 | Amt: 3348</t>
  </si>
  <si>
    <t>TR29942</t>
  </si>
  <si>
    <t>Babar Khan</t>
  </si>
  <si>
    <t>120 9L Adda kmeer sahiwal 120 9L Adda kmeer</t>
  </si>
  <si>
    <t>120 9L Adda kmeer</t>
  </si>
  <si>
    <t>TR29943</t>
  </si>
  <si>
    <t>Ahtsham Mushtaq</t>
  </si>
  <si>
    <t>Shazeb medical store hafiz aslam Road shaheed chowk kotli azad kashmir Kotli azad kashmir</t>
  </si>
  <si>
    <t>TR29944</t>
  </si>
  <si>
    <t>Muneeb Muneeb</t>
  </si>
  <si>
    <t>Kopra Sialkot</t>
  </si>
  <si>
    <t>LE7530138684</t>
  </si>
  <si>
    <t>TR29945</t>
  </si>
  <si>
    <t>Rana Faraz</t>
  </si>
  <si>
    <t>Rana home Ali pure road  near noshi hotel hafizbaad Hafizabad</t>
  </si>
  <si>
    <t>confrm 
 | ↩️ Return Charged: 2026-03-31 | Ref: CPR-6B0MN221209 | Fee: 200</t>
  </si>
  <si>
    <t>TR29946</t>
  </si>
  <si>
    <t>Zeshan Ali</t>
  </si>
  <si>
    <t>Chak 88 nb shaheena bad road sargodha Sargodha</t>
  </si>
  <si>
    <t>A | X Embroidery LOGO - 2XL / American Blue (x1)</t>
  </si>
  <si>
    <t>TR29947</t>
  </si>
  <si>
    <t>Asim Tufail</t>
  </si>
  <si>
    <t>House 376,L street 19,phase 5,dha lahore Lahore</t>
  </si>
  <si>
    <t>TR29948</t>
  </si>
  <si>
    <t>Kashif Kashif</t>
  </si>
  <si>
    <t>Bahriatown phase7 midwaya Rawalpindi</t>
  </si>
  <si>
    <t>not ans (Wa done by umair with all stock)</t>
  </si>
  <si>
    <t>TR29949</t>
  </si>
  <si>
    <t>Raza Bukhari</t>
  </si>
  <si>
    <t>City khan bela taseel liaquat pur zila Rahim Yar Khan Khan Bela</t>
  </si>
  <si>
    <t>Khan Bela</t>
  </si>
  <si>
    <t>confirm 
 | ↩️ Return Charged: 2026-04-03 | Ref: CPR-EP247894165 | Fee: 200.1</t>
  </si>
  <si>
    <t>TR29950</t>
  </si>
  <si>
    <t>Kamran Mehar</t>
  </si>
  <si>
    <t>House No 343 Block A2 Johar Town Lahore</t>
  </si>
  <si>
    <t>TR29951</t>
  </si>
  <si>
    <t>Syed Tazeem Abbas Zaidi</t>
  </si>
  <si>
    <t>328 A-1 near lrbt township street 18 GECHS Lahore</t>
  </si>
  <si>
    <t>TR29952</t>
  </si>
  <si>
    <t>House no 11 sardar colony Hali road Hyderabad Hyderabad</t>
  </si>
  <si>
    <t>allow to open
 | 💰 COD Rec: 2026-03-24 | Ref: CPR-A9TC9587889 | Amt: 3248</t>
  </si>
  <si>
    <t>TR29953</t>
  </si>
  <si>
    <t>Sector 50 A Karachi</t>
  </si>
  <si>
    <t>TR29954</t>
  </si>
  <si>
    <t>Talha Malik</t>
  </si>
  <si>
    <t>Waqas karyana store fareed chown khangha shareef bahawalpur Bahawalpur</t>
  </si>
  <si>
    <t>confirm 
 | 💰 COD Rec: 2026-03-24 | Ref: CPR-A9TC9587889 | Amt: 3347</t>
  </si>
  <si>
    <t>Multi ref PUM-A - M / White (x1), ADI Multi Ref Stripes - M / Black (x1)</t>
  </si>
  <si>
    <t>TR29955</t>
  </si>
  <si>
    <t>Khurram Khan</t>
  </si>
  <si>
    <t>Sapna Shanwari Restaurant Mansera Rod Musa Hati Stop Abbottbad Abbottbad</t>
  </si>
  <si>
    <t>Abbottbad</t>
  </si>
  <si>
    <t>confirm
 | 💰 COD Rec: 2026-03-24 | Ref: CPR-A9TC9587889 | Amt: 1799</t>
  </si>
  <si>
    <t>TR29956</t>
  </si>
  <si>
    <t>Asad Cheema</t>
  </si>
  <si>
    <t>Buraj cheema Daska</t>
  </si>
  <si>
    <t>TR29957</t>
  </si>
  <si>
    <t>+923331868989</t>
  </si>
  <si>
    <t>confirm 
 | 💰 COD Rec: 2026-03-24 | Ref: CPR-A9TC9587889 | Amt: 3248</t>
  </si>
  <si>
    <t>TR29958</t>
  </si>
  <si>
    <t>Waseem Akram</t>
  </si>
  <si>
    <t>House No 76/1 M block DHA phase 1  Lahore Lahore</t>
  </si>
  <si>
    <t>TR29959</t>
  </si>
  <si>
    <t>Salman Ahmed</t>
  </si>
  <si>
    <t>House 467, main Cornish road, bahria town phase 7, springs north Rawalpindi Islamabad</t>
  </si>
  <si>
    <t>TR29960</t>
  </si>
  <si>
    <t>Ahad chaudhry</t>
  </si>
  <si>
    <t>302-johar Town D2block Houseno Lahore</t>
  </si>
  <si>
    <t>TR29961</t>
  </si>
  <si>
    <t>Attock city wesa gaoin man anwr Seth market Attock</t>
  </si>
  <si>
    <t>LE7530137701</t>
  </si>
  <si>
    <t>confirm +92 304 9494777</t>
  </si>
  <si>
    <t>TR29962</t>
  </si>
  <si>
    <t>Mattital Road Pul aary wala Multan</t>
  </si>
  <si>
    <t xml:space="preserve"> confirm  not ans 
 | ↩️ Return Charged: 2026-04-03 | Ref: CPR-EP247894165 | Fee: 200.1</t>
  </si>
  <si>
    <t>TR29963</t>
  </si>
  <si>
    <t>Iftikhar Ullah</t>
  </si>
  <si>
    <t>Flat 705 warda hamna3  G11/3 Islamabad</t>
  </si>
  <si>
    <t>TR29964</t>
  </si>
  <si>
    <t>Hamza Malik</t>
  </si>
  <si>
    <t>12-a-javed Park, Shadbagh, Lahore Lahore</t>
  </si>
  <si>
    <t>TR29965</t>
  </si>
  <si>
    <t>Umair Ashfaq</t>
  </si>
  <si>
    <t>+923116353437</t>
  </si>
  <si>
    <t>201/1 B, Green City, Barki Road Lahore Cantt.</t>
  </si>
  <si>
    <t>TR29966</t>
  </si>
  <si>
    <t>Sindh government officer's club bath island district south Karachi Pakistan Karachi</t>
  </si>
  <si>
    <t>confirm 
 | 💰 COD Rec: 2026-03-24 | Ref: CPR-A9TC9587889 | Amt: 3949</t>
  </si>
  <si>
    <t>Tipping Crew - L / Black (x1), Cotton lycra RL - M / Blue (x1)</t>
  </si>
  <si>
    <t>TR29967</t>
  </si>
  <si>
    <t>Aoun Baloch</t>
  </si>
  <si>
    <t>شریف آباد Jhang</t>
  </si>
  <si>
    <t>TR29968</t>
  </si>
  <si>
    <t>Waseem Younis</t>
  </si>
  <si>
    <t>Ampress Rod Lahore 46 Lahore</t>
  </si>
  <si>
    <t>TR29969</t>
  </si>
  <si>
    <t>farman shah</t>
  </si>
  <si>
    <t>Coca cola beverages pakistan limited near jarikas interchange Tareenabad hattar industrial state road dingi Hari pur Haripur</t>
  </si>
  <si>
    <t>TR29970</t>
  </si>
  <si>
    <t>Faizpur Khurd District Sheikhupura Near Alrehman Garden Lahore Lahore</t>
  </si>
  <si>
    <t>TR29971</t>
  </si>
  <si>
    <t>TR29972</t>
  </si>
  <si>
    <t>Hamadwali Khan</t>
  </si>
  <si>
    <t>Tcs office ,Bypass road , hajira ,Azad kashmir Hajira</t>
  </si>
  <si>
    <t>Hajira</t>
  </si>
  <si>
    <t>TR29973</t>
  </si>
  <si>
    <t>Muhammad Kaif</t>
  </si>
  <si>
    <t>Super Asia tiles and sanitary Dadyal ajk near pso petrol pump Dadyal ajk</t>
  </si>
  <si>
    <t>Dadyal ajk</t>
  </si>
  <si>
    <t>TR29974</t>
  </si>
  <si>
    <t>BASU Sul</t>
  </si>
  <si>
    <t>H 206 st 11 sentor i ph 8. Bahria Town Rawalpindi</t>
  </si>
  <si>
    <t>TR29975</t>
  </si>
  <si>
    <t>Malik Asim</t>
  </si>
  <si>
    <t>5th floor, EFU HOUSE, jail road. Lahore</t>
  </si>
  <si>
    <t>allowto open 
 | ↩️ Return Charged: 2026-03-27 | Ref: CPR-Q9K76465838 | Fee: 106.72</t>
  </si>
  <si>
    <t>TR29976</t>
  </si>
  <si>
    <t>Al Noor Medical stor Domthal Zafarwal/Narowal</t>
  </si>
  <si>
    <t>Zafarwal/Narowal</t>
  </si>
  <si>
    <t>confirm on call in wp 
 | ↩️ Return Charged: 2026-03-31 | Ref: CPR-6B0MN221209 | Fee: 200</t>
  </si>
  <si>
    <t>TR29977</t>
  </si>
  <si>
    <t>S. Ali imran Azhar</t>
  </si>
  <si>
    <t>House 98 street 5 sector A askari 2 Sialkot</t>
  </si>
  <si>
    <t>confirm on call
 | 💰 COD Rec: 2026-03-16 | Ref: CPR-AEDNR633590 | Amt: 7848</t>
  </si>
  <si>
    <t>Multi ref PUM-A - 4XL / White (x1), Multi ref PUM-A - 4XL / Black (x1), A | X Embroidery LOGO - 3XL / Black (x1), ADI Ref Stripes - 3XL / White (x1), ADI Ref Stripes - 3XL / Black (x1)</t>
  </si>
  <si>
    <t>TR29978</t>
  </si>
  <si>
    <t>Muhammad Arif Khan</t>
  </si>
  <si>
    <t>Dr. Arif Khan Aprtment # B-301,IBA  Faculty Apartments, IBA Staff Town, KU Circular Road, University of Karachi. Karachi. Karachi</t>
  </si>
  <si>
    <t>TR29979</t>
  </si>
  <si>
    <t>Syeda sabika Owais</t>
  </si>
  <si>
    <t>Precinct 12 st 58 villa510 bahria town Karachi Karachi</t>
  </si>
  <si>
    <t>confirm on wp 
 | ↩️ Return Charged: 2026-03-31 | Ref: CPR-6B0MN221209 | Fee: 213</t>
  </si>
  <si>
    <t>TR29980</t>
  </si>
  <si>
    <t>moazzam khan</t>
  </si>
  <si>
    <t>House No R 95 Sarah Town Gulzar -E- hijiri  Scheme 33,Sector 17B  R95 Karachi</t>
  </si>
  <si>
    <t>confirm on whatsup call 
 | 💰 COD Rec: 2026-03-16 | Ref: CPR-AEDNR633590 | Amt: 3348</t>
  </si>
  <si>
    <t>TR29981</t>
  </si>
  <si>
    <t>Qasid Ahmad</t>
  </si>
  <si>
    <t>Hangu Tcs Hang</t>
  </si>
  <si>
    <t>Hang</t>
  </si>
  <si>
    <t>TR29982</t>
  </si>
  <si>
    <t>Khalid ubed</t>
  </si>
  <si>
    <t>R271 sector 15b Buffer zone North Nazimabad Karachi</t>
  </si>
  <si>
    <t>confirm on call
 | 💰 COD Rec: 2026-03-24 | Ref: CPR-A9TC9587889 | Amt: 3248</t>
  </si>
  <si>
    <t>TR29983</t>
  </si>
  <si>
    <t>Mujahid Afzal</t>
  </si>
  <si>
    <t>District Sargodha tehsil baheera sultan pizza house miani Sargodha</t>
  </si>
  <si>
    <t>TR29984</t>
  </si>
  <si>
    <t>Sarim Khattak</t>
  </si>
  <si>
    <t>House no 61 , street no 2 gulshan-e-multan colony, sameejabad no 1, multan Multan</t>
  </si>
  <si>
    <t>Irfan Anwar</t>
  </si>
  <si>
    <t>B-229 (Makkah Residency), Block-3, K.A.E.C.H.S Karachi</t>
  </si>
  <si>
    <t>confirm 
 | ↩️ Return Charged: 2026-04-17 | Ref: CPR-RAGFP443199 | Fee: 235.70999999999998</t>
  </si>
  <si>
    <t>TR29986</t>
  </si>
  <si>
    <t>Naveed Ahmad</t>
  </si>
  <si>
    <t>District gujrat tehsil kharia post office dinga village bhalwsranwala Dinga</t>
  </si>
  <si>
    <t>LE7530137711</t>
  </si>
  <si>
    <t>dinga tcs / lcs</t>
  </si>
  <si>
    <t>TR29987</t>
  </si>
  <si>
    <t>Sajid Malik</t>
  </si>
  <si>
    <t>mobeen market house no 139 Multan</t>
  </si>
  <si>
    <t>confirm  allow to open   pasand nahi ai ma again orderker do ga 
 | ↩️ Return Charged: 2026-04-07 | Ref: CPR-XT60O810684 | Fee: 243.08</t>
  </si>
  <si>
    <t>TR29988</t>
  </si>
  <si>
    <t>combine cancel TR29987</t>
  </si>
  <si>
    <t>TR29989</t>
  </si>
  <si>
    <t>TR29990</t>
  </si>
  <si>
    <t>Salman Akbar</t>
  </si>
  <si>
    <t>+923228888227</t>
  </si>
  <si>
    <t>110 D PIA Housing society Lahore</t>
  </si>
  <si>
    <t>TR29991</t>
  </si>
  <si>
    <t>Zain Mehboob</t>
  </si>
  <si>
    <t>Kahuta Rawalpindi Kahuta</t>
  </si>
  <si>
    <t>TR29992</t>
  </si>
  <si>
    <t>Hafiz Masood Ahmed</t>
  </si>
  <si>
    <t>Choudhary house, House no 194, Garden Town Chungi no 23 Multan Multan , Punjab Pakistan</t>
  </si>
  <si>
    <t>Multan , Punjab Pakistan</t>
  </si>
  <si>
    <t>TR29993</t>
  </si>
  <si>
    <t>Syed Nadeem Zia</t>
  </si>
  <si>
    <t>H No 3, Lane 9A, Sector H, Power Avenue, DHA-2 Islamabad</t>
  </si>
  <si>
    <t>TR29994</t>
  </si>
  <si>
    <t>Ahmed Khalid</t>
  </si>
  <si>
    <t>Aljalal center main bazar bhalwal bhalwal</t>
  </si>
  <si>
    <t>bhalwal</t>
  </si>
  <si>
    <t>web</t>
  </si>
  <si>
    <t>TR29995</t>
  </si>
  <si>
    <t>Exchnage@Shop05</t>
  </si>
  <si>
    <t xml:space="preserve">tr29810 exchange at shop </t>
  </si>
  <si>
    <t>shopify_draft_order</t>
  </si>
  <si>
    <t>TR29996</t>
  </si>
  <si>
    <t>Abdul Rahim</t>
  </si>
  <si>
    <t>+923338595759</t>
  </si>
  <si>
    <t>Street Num 4 University Town Near Bashir Institute Bara Kahu Islamabad</t>
  </si>
  <si>
    <t>Bara Kahu Islamabad</t>
  </si>
  <si>
    <t>Facebook Ads</t>
  </si>
  <si>
    <t>TR29997</t>
  </si>
  <si>
    <t>AbdulHamid Hamid Sheikh</t>
  </si>
  <si>
    <t>Fatima Golf Residency Tower 5 flat 602 Karachi</t>
  </si>
  <si>
    <t>confirm 
 | 💰 COD Rec: 2026-03-31 | Ref: CPR-6B0MN221209 | Amt: 3348</t>
  </si>
  <si>
    <t>CPR-6B0MN221209</t>
  </si>
  <si>
    <t>TR29998</t>
  </si>
  <si>
    <t>Muhammad Asif malik</t>
  </si>
  <si>
    <t>Calvlary offrs coloney Lahore</t>
  </si>
  <si>
    <t>TikTok Ads</t>
  </si>
  <si>
    <t>TR29999</t>
  </si>
  <si>
    <t>Sikander Sardar Philips</t>
  </si>
  <si>
    <t>Maaksons House 98/9, Babar Block New Garden Town Lahore</t>
  </si>
  <si>
    <t>TR30000</t>
  </si>
  <si>
    <t>SOHAIL ISHRAT Br</t>
  </si>
  <si>
    <t>Rumi House adjacent civil lines police station, old airport Road Rawalpindi Rawalpindi</t>
  </si>
  <si>
    <t>TR30001</t>
  </si>
  <si>
    <t>zulfiqar ali zulfiqar ali</t>
  </si>
  <si>
    <t>zulfiqar furniture muhaib chowk skardu baltistan skardu</t>
  </si>
  <si>
    <t>skardu</t>
  </si>
  <si>
    <t xml:space="preserve">number galat haa </t>
  </si>
  <si>
    <t>Instagram Organic</t>
  </si>
  <si>
    <t>TR30002</t>
  </si>
  <si>
    <t>Athar Mahmood</t>
  </si>
  <si>
    <t>Near lahore wasa office rehman pura lahore Lahore</t>
  </si>
  <si>
    <t>confirm 
 | 💰 COD Rec: 2026-03-27 | Ref: CPR-Q9K76465838 | Amt: 3348</t>
  </si>
  <si>
    <t>TR30003</t>
  </si>
  <si>
    <t>407 A1 Gulberg III Lahore - Gulberg</t>
  </si>
  <si>
    <t>Lahore - Gulberg</t>
  </si>
  <si>
    <t>TR30004</t>
  </si>
  <si>
    <t>Muhammad Sarfraz</t>
  </si>
  <si>
    <t>Shah Faiz Colony St No# 6 Burewala Toba Tek Singh</t>
  </si>
  <si>
    <t>TR30005</t>
  </si>
  <si>
    <t>Nasir Riaz Riaz</t>
  </si>
  <si>
    <t>Dera Malik Nasir Near Hakim Service Station Gt Rode Kharian Kharian</t>
  </si>
  <si>
    <t>TR30006</t>
  </si>
  <si>
    <t>Tariq jutt Tariq Tariq  jutt</t>
  </si>
  <si>
    <t>Kala Khatai Road Javaid Park Shahdra Lahore Gali No 9 Makan No6 Fatima Clinic Tariq Jutt Lahore</t>
  </si>
  <si>
    <t>TR30007</t>
  </si>
  <si>
    <t>Zain Khan</t>
  </si>
  <si>
    <t>34b/2 main gizri boulevard phase 4 Karachi</t>
  </si>
  <si>
    <t>ADI - EMBOSSED LOGO (Cotton) - L / Black (x1), Basic Branded Adi Trouser - L / Black (x1)</t>
  </si>
  <si>
    <t>TR30008</t>
  </si>
  <si>
    <t>Jina rod Muhala rasol pura gali nmbr2 BAGHBANPURA Gujranwala</t>
  </si>
  <si>
    <t>Un-Assigned By Me</t>
  </si>
  <si>
    <t>TR30009</t>
  </si>
  <si>
    <t>Jina rod Muhala rasol pura gali nmbr 2 GUJRANWALA</t>
  </si>
  <si>
    <t>combine cancel 
 | ↩️ Return Charged: 2026-03-31 | Ref: CPR-6B0MN221209 | Fee: 200</t>
  </si>
  <si>
    <t>TR30010</t>
  </si>
  <si>
    <t>israr ahmed</t>
  </si>
  <si>
    <t>H-10 STREET-04 SURVEY-90 GOLDEN TOWN karachi</t>
  </si>
  <si>
    <t>TR30011</t>
  </si>
  <si>
    <t>District: Swabi, Tehsil: Topi, Village: Zarobi, Mohallah: Bhai Khail, near Ajeeba Masjid Swabi</t>
  </si>
  <si>
    <t>LE7530138346</t>
  </si>
  <si>
    <t>TR30012</t>
  </si>
  <si>
    <t>Rameez Sheikh</t>
  </si>
  <si>
    <t>Outside Pakgate Multan Kiri Dawood Khan Mohalla Faisalpura Street No 1, Open Permission Multan</t>
  </si>
  <si>
    <t>open to allow 
 | ↩️ Return Charged: 2026-03-31 | Ref: CPR-6B0MN221209 | Fee: 220</t>
  </si>
  <si>
    <t>TR30013</t>
  </si>
  <si>
    <t>Syed Ali Raza Bukhari</t>
  </si>
  <si>
    <t>Raza Dental Surgery Bukhari House 5/A Allama Iqbal Park, Khaki Jan Road Sheikhupura</t>
  </si>
  <si>
    <t>confirm 
 | 💰 COD Rec: 2026-03-16 | Ref: CPR-AEDNR633590 | Amt: 6848</t>
  </si>
  <si>
    <t>Multi-ref-ADI Trouser winter - Large / Navy (x1), ADI Multi Ref Stripes - M / White (x1), ADI Multi Ref Stripes - M / Black (x1), POLO RL - M / grey (x1)</t>
  </si>
  <si>
    <t>TR30014</t>
  </si>
  <si>
    <t>Anwar Malik</t>
  </si>
  <si>
    <t>Kpk swat Mingora city</t>
  </si>
  <si>
    <t>Mingora city</t>
  </si>
  <si>
    <t>TR30015</t>
  </si>
  <si>
    <t>Uneeb Tahir</t>
  </si>
  <si>
    <t>+923005234678</t>
  </si>
  <si>
    <t>816b-i-8/4 Islamabad</t>
  </si>
  <si>
    <t>Facebook Organic</t>
  </si>
  <si>
    <t>TR30016</t>
  </si>
  <si>
    <t>Ary News Office 13k 1st Floor Moeez Centre F7 Markaz Islamabad</t>
  </si>
  <si>
    <t>TR30017</t>
  </si>
  <si>
    <t>M.Nadeem Arshad</t>
  </si>
  <si>
    <t>Care plus pharmacy , opposite national bank , 197 RB bhagewala Faisalabad</t>
  </si>
  <si>
    <t>allow to open confirm 
 | 💰 COD Rec: 2026-03-16 | Ref: CPR-AEDNR633590 | Amt: 3348</t>
  </si>
  <si>
    <t>TR30018</t>
  </si>
  <si>
    <t>Salman Ali</t>
  </si>
  <si>
    <t>Head Rajkan...Shakeel book center Bhawalpur</t>
  </si>
  <si>
    <t>Bhawalpur</t>
  </si>
  <si>
    <t xml:space="preserve">commbine cancel </t>
  </si>
  <si>
    <t>TR30019</t>
  </si>
  <si>
    <t>confirm 
 | ↩️ Return Charged: 2026-03-31 | Ref: CPR-6B0MN221209 | Fee: 220</t>
  </si>
  <si>
    <t>TR30020</t>
  </si>
  <si>
    <t>Anasha Kainaat</t>
  </si>
  <si>
    <t>Ih 3, Street 2, Opposite Check Post 5 , Falcon Complex Malit Cantt , Afohs Karachi</t>
  </si>
  <si>
    <t>TR30021</t>
  </si>
  <si>
    <t>Zahid Rajput</t>
  </si>
  <si>
    <t>+923098437323</t>
  </si>
  <si>
    <t>Main chunu mohsinwal gt road MCB Bank Mian Channu</t>
  </si>
  <si>
    <t>confirm
 | 💰 COD Rec: 2026-03-24 | Ref: CPR-A9TC9587889 | Amt: 1499</t>
  </si>
  <si>
    <t>TR30022</t>
  </si>
  <si>
    <t>Muhammad Bajwa</t>
  </si>
  <si>
    <t>Ekal surgical work Kashmir road pacca gharh sialkot Sialkot</t>
  </si>
  <si>
    <t>confirm 
 | 💰 COD Rec: 2026-03-24 | Ref: CPR-A9TC9587889 | Amt: 5199</t>
  </si>
  <si>
    <t>A | X Embroidery LOGO - 2XL / Sky (x1), A | X Embroidery LOGO - 2XL / Black (x1), A | X Embroidery LOGO - 2XL / White (x1)</t>
  </si>
  <si>
    <t>TR30023</t>
  </si>
  <si>
    <t>Rana Babar</t>
  </si>
  <si>
    <t>model town chak qazi Sialkot</t>
  </si>
  <si>
    <t>confirm 
 | 💰 COD Rec: 2026-03-16 | Ref: CPR-AEDNR633590 | Amt: 2199</t>
  </si>
  <si>
    <t>TR30024</t>
  </si>
  <si>
    <t>+923060717536</t>
  </si>
  <si>
    <t>TR30025</t>
  </si>
  <si>
    <t>Naseer Ali</t>
  </si>
  <si>
    <t>+9203015518252</t>
  </si>
  <si>
    <t>Hanan jolar sadar bazzar Khan pur Khanpur</t>
  </si>
  <si>
    <t>confirm
 | ↩️ Return Charged: 2026-04-03 | Ref: CPR-EP247894165 | Fee: 200.1</t>
  </si>
  <si>
    <t>TR30026</t>
  </si>
  <si>
    <t>Shabir Haider</t>
  </si>
  <si>
    <t>+923084583635</t>
  </si>
  <si>
    <t>Gali Number 11 B Makan number 15 A Mohalla Gulshan Colony Nagra Road Lahore Lahoer</t>
  </si>
  <si>
    <t>Lahoer</t>
  </si>
  <si>
    <t>TR30027</t>
  </si>
  <si>
    <t>Bilal Javed</t>
  </si>
  <si>
    <t>House 386 St 8 Overseas 5 Phase 8 Bahria Town Rawalpindi</t>
  </si>
  <si>
    <t>TR30028</t>
  </si>
  <si>
    <t>syed shah karam syed shah karam</t>
  </si>
  <si>
    <t>+923335133932</t>
  </si>
  <si>
    <t>islamabad i16 near noon police station islamabad islamabad</t>
  </si>
  <si>
    <t>whatsup  kisi na rabta nhai kiya 
 | ↩️ Return Charged: 2026-04-03 | Ref: CPR-EP247894165 | Fee: 313.49</t>
  </si>
  <si>
    <t>TR30029</t>
  </si>
  <si>
    <t>Safdar Hussain Safdar Hussain</t>
  </si>
  <si>
    <t>+923487680089</t>
  </si>
  <si>
    <t>Kamal Deen Pharmacy Police station road Nawan Jandanwala  Tehsil Kallur kot  District Bhakkar Tehsil Kallur kot  District Bhakkar</t>
  </si>
  <si>
    <t>Tehsil Kallur kot  District Bhakkar</t>
  </si>
  <si>
    <t>LE7530138687</t>
  </si>
  <si>
    <t>TR30030</t>
  </si>
  <si>
    <t>Arslan shakeel Arslan shakeel</t>
  </si>
  <si>
    <t>+923083688417</t>
  </si>
  <si>
    <t>house no 20 block G lane 8A royal orchard City:Multan Multan</t>
  </si>
  <si>
    <t>TR30031</t>
  </si>
  <si>
    <t>muhammad ameer hamza</t>
  </si>
  <si>
    <t>+923029344207</t>
  </si>
  <si>
    <t>Nishat chunain ltd (htd) 4km manga road raiwind raiwind</t>
  </si>
  <si>
    <t>raiwind</t>
  </si>
  <si>
    <t>whatsup  opento allow  RIDER NA OPEN NAHI KERNA DIYA 
 | ↩️ Return Charged: 2026-03-27 | Ref: CPR-Q9K76465838 | Fee: 220.11</t>
  </si>
  <si>
    <t>TR30032</t>
  </si>
  <si>
    <t>Akhlaq Ahmad</t>
  </si>
  <si>
    <t>Dakh Khana khas khara thasil o zila kasur KASUR</t>
  </si>
  <si>
    <t>KASUR</t>
  </si>
  <si>
    <t>TR30033</t>
  </si>
  <si>
    <t>Aleem Malik</t>
  </si>
  <si>
    <t>Flat # 202 Shaheen plaza d/124 sector near najeeb mart islamabd Islamabad</t>
  </si>
  <si>
    <t>TR30034</t>
  </si>
  <si>
    <t>Abdul rehman Abdul rehman</t>
  </si>
  <si>
    <t>+923120787021</t>
  </si>
  <si>
    <t>B4 202 wapda town Gujranwala Gujranwala</t>
  </si>
  <si>
    <t>whatsup open to allow 
 | 💰 COD Rec: 2026-03-24 | Ref: CPR-A9TC9587889 | Amt: 3099</t>
  </si>
  <si>
    <t>TR30035</t>
  </si>
  <si>
    <t>Syed Faraz Rehman</t>
  </si>
  <si>
    <t>+923218744445</t>
  </si>
  <si>
    <t>R-30, Block 17, Federal B Area, Gulberg, Karachi Karachi</t>
  </si>
  <si>
    <t>TR30036</t>
  </si>
  <si>
    <t>Tajammal Hussain</t>
  </si>
  <si>
    <t>Khurrianwala shel petrol pump Khurrianwala</t>
  </si>
  <si>
    <t>TR30037</t>
  </si>
  <si>
    <t>Sn301,st 13 , sector 1 madina town shamsabad Rwp</t>
  </si>
  <si>
    <t>Rwp</t>
  </si>
  <si>
    <t>confirm   TOO LATE NAHI LENA THANSK 
 | ↩️ Return Charged: 2026-04-03 | Ref: CPR-EP247894165 | Fee: 200.1</t>
  </si>
  <si>
    <t>TR30038</t>
  </si>
  <si>
    <t>Karim Khan</t>
  </si>
  <si>
    <t>Ghori town phase 4-B street 11 house 304 Islamabad</t>
  </si>
  <si>
    <t>confirm
 | 💰 COD Rec: 2026-03-24 | Ref: CPR-A9TC9587889 | Amt: 3248</t>
  </si>
  <si>
    <t>TR30039</t>
  </si>
  <si>
    <t>Jamal Siddiqui Jamal Siddiqui</t>
  </si>
  <si>
    <t>+923292234979</t>
  </si>
  <si>
    <t>sector 14 b orangi town Karachi house number 92 Gali number 2 karachi</t>
  </si>
  <si>
    <t>whatsup 
 | 💰 COD Rec: 2026-03-24 | Ref: CPR-A9TC9587889 | Amt: 3100</t>
  </si>
  <si>
    <t>TR30040</t>
  </si>
  <si>
    <t>tr29727 exchnage 250 dc lagani ha 
 | 💰 COD Rec: 2026-03-16 | Ref: CPR-AEDNR633590 | Amt: 249</t>
  </si>
  <si>
    <t>Basic RL Crew- Cotton - L / Dark grey (x1), Basic RL Crew- Cotton - L / light chocolate (x1)</t>
  </si>
  <si>
    <t>TR30041</t>
  </si>
  <si>
    <t>Hissnain Arain</t>
  </si>
  <si>
    <t>+923023698992</t>
  </si>
  <si>
    <t>Alnoor Super Store Near Langrji Mehrabpur Sindh Mehrabpur</t>
  </si>
  <si>
    <t>TR30042</t>
  </si>
  <si>
    <t>tr29656 exchnage 250 dc lagani ha bass 
 | 💰 COD Rec: 2026-03-24 | Ref: CPR-A9TC9587889 | Amt: 249</t>
  </si>
  <si>
    <t>TR30043</t>
  </si>
  <si>
    <t>HARRIS ASGHAR</t>
  </si>
  <si>
    <t>Shop 17 azhar shaheed market Kashmir Road saddar Rawalpindi</t>
  </si>
  <si>
    <t>TR30044</t>
  </si>
  <si>
    <t>KHALID KHAN KHALID KHAN</t>
  </si>
  <si>
    <t>+923049425303</t>
  </si>
  <si>
    <t>Gilgit baltistan zla ghizer Gahkuch saba cosmetic man bazar 3049425303</t>
  </si>
  <si>
    <t>LE7530137715</t>
  </si>
  <si>
    <t>TR30045</t>
  </si>
  <si>
    <t>ahmed ahmed</t>
  </si>
  <si>
    <t>+923025686174</t>
  </si>
  <si>
    <t>(shop name tilawat shah sabzi faroosh ) terbela road afghan market main bazzar topi toppi</t>
  </si>
  <si>
    <t>toppi</t>
  </si>
  <si>
    <t>TR30046</t>
  </si>
  <si>
    <t>Umer Bal</t>
  </si>
  <si>
    <t>Mia electronics qameeti Bazar Sangla Hill</t>
  </si>
  <si>
    <t>TR30047</t>
  </si>
  <si>
    <t>Mohamed Farooq</t>
  </si>
  <si>
    <t>House no 51 st no 1 Raya golf residential Lahore Dha pH 6 Lahore</t>
  </si>
  <si>
    <t>TR30048</t>
  </si>
  <si>
    <t>qasim ali</t>
  </si>
  <si>
    <t>Nayyar Malls G.t Road Gorala 1 Gujrat</t>
  </si>
  <si>
    <t>confirm on wp 
 | 💰 COD Rec: 2026-03-24 | Ref: CPR-A9TC9587889 | Amt: 1899</t>
  </si>
  <si>
    <t>A | X Embroidery LOGO - M / American Blue (x1)</t>
  </si>
  <si>
    <t>TR30049</t>
  </si>
  <si>
    <t>Sheikh Imran  Riaz</t>
  </si>
  <si>
    <t>Building 16,Flat 5-A, Sec F, Askari 10 Lahore</t>
  </si>
  <si>
    <t>TR30050</t>
  </si>
  <si>
    <t>Yaqub khan Khan</t>
  </si>
  <si>
    <t>Hno, 4/90/4, Saddiqua Road Gulgushat Colony Multan Multan</t>
  </si>
  <si>
    <t>allow to open 
 | ↩️ Return Charged: 2026-03-31 | Ref: CPR-6B0MN221209 | Fee: 200</t>
  </si>
  <si>
    <t>TR30051</t>
  </si>
  <si>
    <t>Umer Umer</t>
  </si>
  <si>
    <t>P320 gulzar colony iqbal Nager Street.8 satyana Road faisal Faisalabad</t>
  </si>
  <si>
    <t>A | X Embroidery LOGO - L / Navy (x1)</t>
  </si>
  <si>
    <t>TR30052</t>
  </si>
  <si>
    <t>Muhammad Ramzan</t>
  </si>
  <si>
    <t>TCS Office Shikarpur Shikarpur</t>
  </si>
  <si>
    <t>TR30053</t>
  </si>
  <si>
    <t>Moaz Jilani</t>
  </si>
  <si>
    <t>House 63, Street 3, Sector E-2, Phase 1, Hayatabad, Peshawar Peshawar</t>
  </si>
  <si>
    <t>TR30054</t>
  </si>
  <si>
    <t>Naveed Sheikh</t>
  </si>
  <si>
    <t>131 tulip blick Lahore</t>
  </si>
  <si>
    <t>TR30055</t>
  </si>
  <si>
    <t>Waqas Ahsan</t>
  </si>
  <si>
    <t>Noon Sugar Mill Bhalwal House Number D-11 Bhalwal</t>
  </si>
  <si>
    <t>TR30056</t>
  </si>
  <si>
    <t>Sheeraz ali Sheeraz</t>
  </si>
  <si>
    <t>Shahi chok gulam Muhammad abad Faisalabad Faisalabad</t>
  </si>
  <si>
    <t>TR30057</t>
  </si>
  <si>
    <t>Amir Abbas</t>
  </si>
  <si>
    <t>+923166761007</t>
  </si>
  <si>
    <t>Canal road Muridwala Muridwala</t>
  </si>
  <si>
    <t>Muridwala</t>
  </si>
  <si>
    <t>TR30058</t>
  </si>
  <si>
    <t>Agha G Khan</t>
  </si>
  <si>
    <t>ADOS Pakistan, Plot # 48b, Street # S-5, RCCI, Rawat Industrial Estate. Rawalpindi</t>
  </si>
  <si>
    <t>TR30059</t>
  </si>
  <si>
    <t>Qalbe Abbas</t>
  </si>
  <si>
    <t>21 Baloch Regiment opposite CMH Sialkot Cantt Sialkot</t>
  </si>
  <si>
    <t>TR30060</t>
  </si>
  <si>
    <t>Nouman Zafar</t>
  </si>
  <si>
    <t>+923215065398</t>
  </si>
  <si>
    <t>house: 10 , Street : 18 , J Block , Dha-2 Islamabad</t>
  </si>
  <si>
    <t>TR30061</t>
  </si>
  <si>
    <t>Apartment No. 510 Warda Hamna Residencia 4 G11/3 Islamabad</t>
  </si>
  <si>
    <t>TikTok Organic</t>
  </si>
  <si>
    <t>TR30062</t>
  </si>
  <si>
    <t>Suleman Butt</t>
  </si>
  <si>
    <t>+923244600887</t>
  </si>
  <si>
    <t>Street 9 House 74 Infront Of 172 E Block Gulshon E Ravi Lahore Lahore</t>
  </si>
  <si>
    <t>TR30063</t>
  </si>
  <si>
    <t>Hamza Mughees</t>
  </si>
  <si>
    <t>+923316604455</t>
  </si>
  <si>
    <t>Floor First, Nbp Plaza, Faisal Town, West Canal Road Faisalabad</t>
  </si>
  <si>
    <t>Asad umer Umer</t>
  </si>
  <si>
    <t>ChanasarGoht Z52, Mehmoodabad Karachi</t>
  </si>
  <si>
    <t>confirm
 | ↩️ Return Charged: 2026-04-17 | Ref: CPR-RAGFP443199 | Fee: 235.70999999999998</t>
  </si>
  <si>
    <t>TR30065</t>
  </si>
  <si>
    <t>Mohammad Waqar</t>
  </si>
  <si>
    <t>H#999, Nai Abadi, near Veterinary Hospital, Kotli Loharan West Sialkot</t>
  </si>
  <si>
    <t>TR30066</t>
  </si>
  <si>
    <t>Khyber Khan</t>
  </si>
  <si>
    <t>Babar CNG Station G.T Road, khat kaly, Nowshera Nowshera</t>
  </si>
  <si>
    <t>confirm 
 | 💰 COD Rec: 2026-03-24 | Ref: CPR-A9TC9587889 | Amt: 3299</t>
  </si>
  <si>
    <t>Basic RL Crew- Cotton - L / Rest Orange (x1), ADI Multi Ref Stripes - L / White (x1)</t>
  </si>
  <si>
    <t>TR30067</t>
  </si>
  <si>
    <t>Havildar Nasir Ali 56br' Azad kashmer 32brigade kale ۔ Jahanian</t>
  </si>
  <si>
    <t>confirm 
 | 💰 COD Rec: 2026-03-24 | Ref: CPR-A9TC9587889 | Amt: 3038</t>
  </si>
  <si>
    <t>TR30068</t>
  </si>
  <si>
    <t>Waqar Azeem</t>
  </si>
  <si>
    <t>House No 1291 Block No 18 Farid Abad Colony Dera Ghazi Khan</t>
  </si>
  <si>
    <t>confirm 
 | 💰 COD Rec: 2026-03-24 | Ref: CPR-A9TC9587889 | Amt: 3548</t>
  </si>
  <si>
    <t>TR30069</t>
  </si>
  <si>
    <t>zeeshan ch</t>
  </si>
  <si>
    <t>New insaf Dairies sher ghard road renala khurd Okara</t>
  </si>
  <si>
    <t>TR30070</t>
  </si>
  <si>
    <t>Shahzaib Ahmed</t>
  </si>
  <si>
    <t>R-1 st,3 sector 5c-4 north Karachi Karachi</t>
  </si>
  <si>
    <t>TR30071</t>
  </si>
  <si>
    <t>Muhammad Adeel Sarwar</t>
  </si>
  <si>
    <t>Chungi Amer Sidhu stop lahore Lahore</t>
  </si>
  <si>
    <t>TR30072</t>
  </si>
  <si>
    <t>TR29702 exhnage 250dc lagana hain bass 
 | 💰 COD Rec: 2026-03-16 | Ref: CPR-AEDNR633590 | Amt: 250</t>
  </si>
  <si>
    <t>Basic RL Crew- Cotton - XL / Beige (x1), Basic RL Crew- Cotton - XL / Mustard (x1), Basic RL Crew- Cotton - XL / Copper (x1), Basic RL Crew- Cotton - XL / Royal Mid blue (x1), Basic RL Crew- Cotton - XL / Black (x1), Basic RL Crew- Cotton - XL / light chocolate (x1)</t>
  </si>
  <si>
    <t>TR30073</t>
  </si>
  <si>
    <t>Zain Sajjad</t>
  </si>
  <si>
    <t>Sindh Water Filter Plant Near Fareed Hotel Thana Road Sanghar Sindh Sanghar</t>
  </si>
  <si>
    <t>Sanghar</t>
  </si>
  <si>
    <t>TR30074</t>
  </si>
  <si>
    <t>Muhammad Asif Muhammad Asif</t>
  </si>
  <si>
    <t>+923477427764</t>
  </si>
  <si>
    <t>Village and post office kot jai tehsil psharpur district Dera Ismail Khan Psharpur</t>
  </si>
  <si>
    <t>Psharpur</t>
  </si>
  <si>
    <t>LE7530137721</t>
  </si>
  <si>
    <t xml:space="preserve">not ans wp ker raha tacking id 
allow to open 
whatsup 200 advance haa 
Psharpur tcs / lcs </t>
  </si>
  <si>
    <t>TR30075</t>
  </si>
  <si>
    <t>Shandana Khan</t>
  </si>
  <si>
    <t>179-a-sirsyed Road . Near Shell Petrol Pump . Rawalpindi Cantt Rawalpindi</t>
  </si>
  <si>
    <t>TR30076</t>
  </si>
  <si>
    <t>Muneeb Amjad</t>
  </si>
  <si>
    <t>h102,st2,khawaja garden, hilal road Faisalabad</t>
  </si>
  <si>
    <t>TR30077</t>
  </si>
  <si>
    <t>nawaz khan nawaz khan</t>
  </si>
  <si>
    <t>+923046468951</t>
  </si>
  <si>
    <t>.tcs self collection bahawalnagar n bahawalnagar</t>
  </si>
  <si>
    <t>n bahawalnagar</t>
  </si>
  <si>
    <t xml:space="preserve">250dc advance hain whatsup </t>
  </si>
  <si>
    <t>ADI Multi Ref Stripes - L / White (x1), ADI Multi Ref Stripes - L / Black (x1), Multi ref PUM-A - L / White (x1), Embossed NIK-E - L / Black (x1)</t>
  </si>
  <si>
    <t>TR30078</t>
  </si>
  <si>
    <t>Saeed arif</t>
  </si>
  <si>
    <t>House 66, street 10, Phase 6 Bahria town, Islamabad Islamabad</t>
  </si>
  <si>
    <t>TR30079</t>
  </si>
  <si>
    <t>Muhammad Mouzzam</t>
  </si>
  <si>
    <t>Pakistan Lahore Shadara Kala Khatai Road Nezd Bilall Masjid Wali Gali Lahore</t>
  </si>
  <si>
    <t>TR30080</t>
  </si>
  <si>
    <t>Zain Bhatti</t>
  </si>
  <si>
    <t>Dera adv zain bhatti Khana Nipal Main Raiwind Road Lahore Lahore</t>
  </si>
  <si>
    <t>confirm 
 | 💰 COD Rec: 2026-03-24 | Ref: CPR-A9TC9587889 | Amt: 6446</t>
  </si>
  <si>
    <t>ADI Multi Ref Stripes - XL / White (x1), ADI Multi Ref Stripes - XL / Black (x1), Multi ref PUM-A - XL / Black (x1), Multi ref PUM-A - XL / White (x1)</t>
  </si>
  <si>
    <t>TR30081</t>
  </si>
  <si>
    <t>+923075555692</t>
  </si>
  <si>
    <t>TR30082</t>
  </si>
  <si>
    <t>TR30083</t>
  </si>
  <si>
    <t>Ali Askari</t>
  </si>
  <si>
    <t>Doctors Hostel, shaikh zayed hospital Lahore</t>
  </si>
  <si>
    <t xml:space="preserve">cancel ya bahi conifrm nahi ha </t>
  </si>
  <si>
    <t>TR30084</t>
  </si>
  <si>
    <t>Sajjad Ahmad Sajjad Ahmad</t>
  </si>
  <si>
    <t>+923213482045</t>
  </si>
  <si>
    <t>Lumber house,KURRAR Road, Sialkot, Pakistan Sialkot</t>
  </si>
  <si>
    <t>whatsup 
 | ↩️ Return Charged: 2026-03-31 | Ref: CPR-6B0MN221209 | Fee: 220</t>
  </si>
  <si>
    <t>TR30085</t>
  </si>
  <si>
    <t>Raahim Naeem Ali</t>
  </si>
  <si>
    <t>H#161, Block E1, Engineers Town Lahore</t>
  </si>
  <si>
    <t>confirm 
 | 💰 COD Rec: 2026-03-24 | Ref: CPR-A9TC9587889 | Amt: 5549</t>
  </si>
  <si>
    <t>Multi ref PUM-A - L / White (x1), Multi ref PUM-A - L / Black (x1), ADI-3strips Full TrackSuit - L / Black (x1)</t>
  </si>
  <si>
    <t>TR30086</t>
  </si>
  <si>
    <t>Waseem Atta</t>
  </si>
  <si>
    <t>Word no 4  Near haneef kiryana ..opposite SES school kot adu Kot adu</t>
  </si>
  <si>
    <t>Kot adu</t>
  </si>
  <si>
    <t xml:space="preserve">
 | 💰 COD Rec: 2026-03-24 | Ref: CPR-A9TC9587889 | Amt: 3348</t>
  </si>
  <si>
    <t>TR30087</t>
  </si>
  <si>
    <t xml:space="preserve">
 | 💰 COD Rec: 2026-03-24 | Ref: CPR-A9TC9587889 | Amt: 3099</t>
  </si>
  <si>
    <t>ADI - EMBOSSED LOGO (Cotton) - M / Olive( Commando Green) (x1), A | X Embroidery LOGO - M / Olive (x1)</t>
  </si>
  <si>
    <t>TR30088</t>
  </si>
  <si>
    <t>Muhammad awais Khan</t>
  </si>
  <si>
    <t>House B-ii 82a . Eid Gah Hazro</t>
  </si>
  <si>
    <t>TR30089</t>
  </si>
  <si>
    <t>Nabeel mehdi</t>
  </si>
  <si>
    <t>393 b faisal town Lahore</t>
  </si>
  <si>
    <t xml:space="preserve">
 | ↩️ Return Charged: 2026-03-31 | Ref: CPR-6B0MN221209 | Fee: 107</t>
  </si>
  <si>
    <t>TR30090</t>
  </si>
  <si>
    <t>+923408574030</t>
  </si>
  <si>
    <t>House 65 sabzazar baqala medical store  street 2 shadab colony Bahawalpur</t>
  </si>
  <si>
    <t xml:space="preserve">
 | 💰 COD Rec: 2026-03-24 | Ref: CPR-A9TC9587889 | Amt: 3548</t>
  </si>
  <si>
    <t>TR30091</t>
  </si>
  <si>
    <t>Ahmad Jamil Qadir</t>
  </si>
  <si>
    <t>125-L, Naval Anchorage Islamabad</t>
  </si>
  <si>
    <t>Imran Syed</t>
  </si>
  <si>
    <t>Plot b 8 site area kotri Sindh employees social security directorate office near post office Kotri site</t>
  </si>
  <si>
    <t>Kotri site</t>
  </si>
  <si>
    <t>TR30093</t>
  </si>
  <si>
    <t>Kapil Khatri</t>
  </si>
  <si>
    <t>G-2 sheraton residency webb street near machhi market garden east Karachi</t>
  </si>
  <si>
    <t>TR30094</t>
  </si>
  <si>
    <t>TR29841 exchngae dc lagani ha bass 
 | 💰 COD Rec: 2026-03-24 | Ref: CPR-A9TC9587889 | Amt: 250</t>
  </si>
  <si>
    <t>ADI Multi Ref Stripes - L / Black (x1), ADI Multi Ref Stripes - L / Maroon (x1)</t>
  </si>
  <si>
    <t>TR30095</t>
  </si>
  <si>
    <t>Exchange@Shop08</t>
  </si>
  <si>
    <t>Popcorn Polo - L / Beige (x1)</t>
  </si>
  <si>
    <t>TR30096</t>
  </si>
  <si>
    <t>Asif Mahmood Ahmad qazi</t>
  </si>
  <si>
    <t>+923006073473</t>
  </si>
  <si>
    <t>4-A civil Lines Near Baldia Office Khushab</t>
  </si>
  <si>
    <t>confirem 
 | 💰 COD Rec: 2026-03-24 | Ref: CPR-A9TC9587889 | Amt: 2749</t>
  </si>
  <si>
    <t>TR30097</t>
  </si>
  <si>
    <t>Hassaan Sajid</t>
  </si>
  <si>
    <t>House#1298, Street#39 Mohalla Bismillahpur Samanabad Faisalabad</t>
  </si>
  <si>
    <t>confirm
 | 💰 COD Rec: 2026-03-31 | Ref: CPR-6B0MN221209 | Amt: 3348</t>
  </si>
  <si>
    <t>TR30098</t>
  </si>
  <si>
    <t>Adeel Khan</t>
  </si>
  <si>
    <t>+923429816374</t>
  </si>
  <si>
    <t>Al waqas pharmacy khatak medical center dabgari garden bazar Peshawar Peshawer</t>
  </si>
  <si>
    <t xml:space="preserve">
 | ↩️ Return Charged: 2026-03-31 | Ref: CPR-6B0MN221209 | Fee: 213</t>
  </si>
  <si>
    <t>TR30099</t>
  </si>
  <si>
    <t>Muaaz Hammad</t>
  </si>
  <si>
    <t>+923009485163</t>
  </si>
  <si>
    <t>83-Q-block Sabzazar Scheme Lahore Lahore</t>
  </si>
  <si>
    <t xml:space="preserve">
 | 💰 COD Rec: 2026-03-24 | Ref: CPR-A9TC9587889 | Amt: 1899</t>
  </si>
  <si>
    <t>A | X Embroidery LOGO - 2XL / Grey (x1)</t>
  </si>
  <si>
    <t>TR30100</t>
  </si>
  <si>
    <t>Syed Haider Ali</t>
  </si>
  <si>
    <t>Mohalla Sadaat Darbar Hazrat Pir Mehboob Alam Shah Gillani Shorkot City Shorkot City, Jhang</t>
  </si>
  <si>
    <t>Shorkot City, Jhang</t>
  </si>
  <si>
    <t>TR30101</t>
  </si>
  <si>
    <t>Atif Khan</t>
  </si>
  <si>
    <t>Jazz Digital Headquarters, See-2 building, Main Jinnah Avenue, New Blue Area, Opposite F-9 park Islamabad</t>
  </si>
  <si>
    <t xml:space="preserve">
 | 💰 COD Rec: 2026-03-24 | Ref: CPR-A9TC9587889 | Amt: 2999</t>
  </si>
  <si>
    <t>ADI - EMBOSSED LOGO (Cotton) - XL / Dark Red(Maroon) (x1), Tipping Crew - XL / Black (x1)</t>
  </si>
  <si>
    <t>TR30102</t>
  </si>
  <si>
    <t>Ahmed Ali Memon</t>
  </si>
  <si>
    <t>+923002983478</t>
  </si>
  <si>
    <t>New Building Khairpur Mirs</t>
  </si>
  <si>
    <t xml:space="preserve">cancel ma advance nahi karo gaa </t>
  </si>
  <si>
    <t>TR30103</t>
  </si>
  <si>
    <t>Suleman Toor Toor</t>
  </si>
  <si>
    <t>House 113/1, Street 19, Khayaban E Muhafiz, Dha Phase 6, Karachi Karachi</t>
  </si>
  <si>
    <t xml:space="preserve">
 | 💰 COD Rec: 2026-04-03 | Ref: CPR-EP247894165 | Amt: 2049</t>
  </si>
  <si>
    <t>TR30104</t>
  </si>
  <si>
    <t>+923073537661</t>
  </si>
  <si>
    <t>House no 382 block D government employees Coaprative housing society Bahawalpur Bahawalpur</t>
  </si>
  <si>
    <t>250dc received confirm open to allow +92 303 6515998
 | 💰 COD Rec: 2026-03-31 | Ref: CPR-6B0MN221209 | Amt: 3099</t>
  </si>
  <si>
    <t>TR30105</t>
  </si>
  <si>
    <t>Abdul.jabbaar Abdul jabar</t>
  </si>
  <si>
    <t>Muridke.narowallchok. Mudkle</t>
  </si>
  <si>
    <t>Mudkle</t>
  </si>
  <si>
    <t>confirm 
 | ↩️ Return Charged: 2026-04-14 | Ref: CPR-95P3C418437 | Fee: 220.98</t>
  </si>
  <si>
    <t>TR30106</t>
  </si>
  <si>
    <t>House no 1540/1 mohallah water works sambeial Sialkot</t>
  </si>
  <si>
    <t xml:space="preserve">
 | ↩️ Return Charged: 2026-03-31 | Ref: CPR-6B0MN221209 | Fee: 200</t>
  </si>
  <si>
    <t>TR30107</t>
  </si>
  <si>
    <t>TR30108</t>
  </si>
  <si>
    <t>Aamir ali Ali</t>
  </si>
  <si>
    <t>District Khairpur Tahsel Faiz Ganj City Pacca Chang Khairpur</t>
  </si>
  <si>
    <t xml:space="preserve">
 | 💰 COD Rec: 2026-03-27 | Ref: CPR-Q9K76465838 | Amt: 2199</t>
  </si>
  <si>
    <t>Multi ref PUM-A - 3XL / White (x1)</t>
  </si>
  <si>
    <t>TR30109</t>
  </si>
  <si>
    <t>Muhammad Aamir Malik</t>
  </si>
  <si>
    <t>House No 94-B, Ali View Garden, Phase 1, Block B, Bedian Road, Lahore Lahore</t>
  </si>
  <si>
    <t>TR30110</t>
  </si>
  <si>
    <t>Dr Junaid near vaccine centre opposite Rado backers korangi Shah Faisal road near singer Chorangi korangi Karachi Karachi</t>
  </si>
  <si>
    <t>TR30111</t>
  </si>
  <si>
    <t>Kaynat Zulfiqar</t>
  </si>
  <si>
    <t>+923006633281</t>
  </si>
  <si>
    <t>House # 663, A-Block, Ghulam Muhammad Abad Faisalabad</t>
  </si>
  <si>
    <t xml:space="preserve">cancel to late mana out of city jana ha </t>
  </si>
  <si>
    <t>TR30112</t>
  </si>
  <si>
    <t>Zain Kayani</t>
  </si>
  <si>
    <t>Kayani general store near by Suply gade Kotli</t>
  </si>
  <si>
    <t>TR30113</t>
  </si>
  <si>
    <t>Kulachi Kulachi</t>
  </si>
  <si>
    <t>Sultan town Best One Superstore Dera Ghazi Khan</t>
  </si>
  <si>
    <t>TR30114</t>
  </si>
  <si>
    <t>Azhar iqbal Cheema</t>
  </si>
  <si>
    <t>+923711305574</t>
  </si>
  <si>
    <t>P.o Box Talwandi Khajoor Wali District Gujranwala Rahwali Cantt Gujranwala</t>
  </si>
  <si>
    <t>TR30115</t>
  </si>
  <si>
    <t>Syed Masood</t>
  </si>
  <si>
    <t>madyan swat mingora</t>
  </si>
  <si>
    <t>mingora</t>
  </si>
  <si>
    <t>confirm
 | ↩️ Return Charged: 2026-04-10 | Ref: CPR-XWOR8962608 | Fee: 235.70999999999998</t>
  </si>
  <si>
    <t>TR30116</t>
  </si>
  <si>
    <t>Adil Adrees</t>
  </si>
  <si>
    <t>45-B Faisal Town Lahore</t>
  </si>
  <si>
    <t>TR30117</t>
  </si>
  <si>
    <t>Usman Eid2026</t>
  </si>
  <si>
    <t>S S</t>
  </si>
  <si>
    <t>S</t>
  </si>
  <si>
    <t>TR30118</t>
  </si>
  <si>
    <t>Awais Ahmed khan</t>
  </si>
  <si>
    <t>House No P-66, Street No 2,279-rb,nadir Khan Wali Near Shibble College Gulberg,fsd Faisalabad</t>
  </si>
  <si>
    <t>TR30119</t>
  </si>
  <si>
    <t>Muhammad Ali Khakwani</t>
  </si>
  <si>
    <t>Superintendent Office At District Jail Pakpattan . Near Police Lines Pakpattan Pakpattan</t>
  </si>
  <si>
    <t xml:space="preserve">
 | 💰 COD Rec: 2026-03-31 | Ref: CPR-6B0MN221209 | Amt: 3348</t>
  </si>
  <si>
    <t>TR30120</t>
  </si>
  <si>
    <t>Jaleel Abbasi Abbasi</t>
  </si>
  <si>
    <t>F 8 3 Abbasi Market Islamabad</t>
  </si>
  <si>
    <t>TR30121</t>
  </si>
  <si>
    <t>Saqib mughal Saqib sadiq mughal sambrial</t>
  </si>
  <si>
    <t>Mohala Water Works Near Old Post Office Abubaker Department Store Sambrial Sambrial Tehseel Sambrial District Sialkot Sambrial Distinct Sialkot</t>
  </si>
  <si>
    <t>Sambrial Distinct Sialkot</t>
  </si>
  <si>
    <t>TR30122</t>
  </si>
  <si>
    <t>Mishal Ali</t>
  </si>
  <si>
    <t>66 E-block near unique school Pak Arab society Lahore</t>
  </si>
  <si>
    <t xml:space="preserve">paid parcel haa ya confirm </t>
  </si>
  <si>
    <t>TR30123</t>
  </si>
  <si>
    <t>Waqas Alvi</t>
  </si>
  <si>
    <t>1482-S block Wapda Town Phase 2 Multan</t>
  </si>
  <si>
    <t xml:space="preserve">
 | 💰 COD Rec: 2026-03-24 | Ref: CPR-A9TC9587889 | Amt: 6149</t>
  </si>
  <si>
    <t>ADI Ref Stripes - L / White (x1), ADI Ref Stripes - L / Black (x1), Imported Scoba Executive Nik Tro - L / Gray (x1)</t>
  </si>
  <si>
    <t>TR30124</t>
  </si>
  <si>
    <t>Mohammad Ali</t>
  </si>
  <si>
    <t>Peshawar bara bazaar niazi market Peshawar</t>
  </si>
  <si>
    <t>TR30125</t>
  </si>
  <si>
    <t>Usama Hayat</t>
  </si>
  <si>
    <t>House no 73 street 79 sector E11/2 Islamabad</t>
  </si>
  <si>
    <t>confirm 
 | 💰 COD Rec: 2026-04-03 | Ref: CPR-EP247894165 | Amt: 2199</t>
  </si>
  <si>
    <t>TR30126</t>
  </si>
  <si>
    <t>Wakeel Ahmed Siddiqui</t>
  </si>
  <si>
    <t>Ghulshan Iqbal colony Faisalabad</t>
  </si>
  <si>
    <t>TR30127</t>
  </si>
  <si>
    <t>Shams Khan Dummar</t>
  </si>
  <si>
    <t>Abdullah Garden Ayesha Block House Number 331-c Dummar House Faisalabad</t>
  </si>
  <si>
    <t>TR30128</t>
  </si>
  <si>
    <t>Rehmani nanger sita road distrct dado Rehmani Nangar Sita Road</t>
  </si>
  <si>
    <t>Rehmani Nangar Sita Road</t>
  </si>
  <si>
    <t xml:space="preserve">cancel nahi lena to late </t>
  </si>
  <si>
    <t>TR30129</t>
  </si>
  <si>
    <t>Kohat road city hospital shehzad medicose Peshawar</t>
  </si>
  <si>
    <t>TR30130</t>
  </si>
  <si>
    <t xml:space="preserve">
 | 💰 COD Rec: 2026-03-24 | Ref: CPR-A9TC9587889 | Amt: 2749</t>
  </si>
  <si>
    <t>Basic RL Crew- Cotton - M / Black (x1), Basic RL Crew- Cotton - M / Royal Orange (x1)</t>
  </si>
  <si>
    <t>Instagram Ads</t>
  </si>
  <si>
    <t>TR30131</t>
  </si>
  <si>
    <t>Muhammad Kamoka</t>
  </si>
  <si>
    <t>gulbai chowk masrur base karachi Karachi</t>
  </si>
  <si>
    <t>TR30132</t>
  </si>
  <si>
    <t>Zulfiqar Mehmood</t>
  </si>
  <si>
    <t>97/10 baber block new garden town Lahore</t>
  </si>
  <si>
    <t>TR30133</t>
  </si>
  <si>
    <t>New model town Gujrat</t>
  </si>
  <si>
    <t>confirm 
 | 💰 COD Rec: 2026-04-03 | Ref: CPR-EP247894165 | Amt: 6198</t>
  </si>
  <si>
    <t>Embossed NIK-E - L / Black (x1), Embossed NIK-E - L / White (x1), ADI Multi Ref Stripes - M / White (x1), ADI Multi Ref Stripes - L / Black (x1)</t>
  </si>
  <si>
    <t>TR30134</t>
  </si>
  <si>
    <t>Amir Muhammad</t>
  </si>
  <si>
    <t>Block 2 Floor 5 /Appt A Sector D Askari 14 Rawalpindi Rawalpindi</t>
  </si>
  <si>
    <t>TR30135</t>
  </si>
  <si>
    <t>Shabir Ahmed</t>
  </si>
  <si>
    <t>+923251417156</t>
  </si>
  <si>
    <t>House B-6, Farhad Complex, Westridge Rawalpindi</t>
  </si>
  <si>
    <t>confirm 
 | 💰 COD Rec: 2026-03-24 | Ref: CPR-A9TC9587889 | Amt: 3549</t>
  </si>
  <si>
    <t>TR30136</t>
  </si>
  <si>
    <t>Imran Akhtar</t>
  </si>
  <si>
    <t>Rehman Knitting Industry almaroof Karim hosiery Samana Pull Sargodha Road Faisalabad Faisalabad</t>
  </si>
  <si>
    <t xml:space="preserve">
 | 💰 COD Rec: 2026-03-24 | Ref: CPR-A9TC9587889 | Amt: 1449</t>
  </si>
  <si>
    <t>TR30137</t>
  </si>
  <si>
    <t>Salman Naeem</t>
  </si>
  <si>
    <t>House no 54 block E 2 johar town Lahore</t>
  </si>
  <si>
    <t>Tipping Crew - XL / Black (x1), ADI - EMBOSSED LOGO (Cotton) - XL / Black (x1)</t>
  </si>
  <si>
    <t>TR30138</t>
  </si>
  <si>
    <t>Khalil Ahmad</t>
  </si>
  <si>
    <t>Atlas Honda limited 26/27km lahore road Sheikhupura</t>
  </si>
  <si>
    <t xml:space="preserve">cancel galti sa order ho gaya tha again </t>
  </si>
  <si>
    <t>TR30139</t>
  </si>
  <si>
    <t>Sufyan Ali</t>
  </si>
  <si>
    <t>City pasrur district sialkot Pasrur</t>
  </si>
  <si>
    <t xml:space="preserve">tcs pasrur </t>
  </si>
  <si>
    <t>TR30140</t>
  </si>
  <si>
    <t>Arslan raja Arslan raja</t>
  </si>
  <si>
    <t>Shop Rameez book depo gulpur Chowk Kotli Azad Kashmir</t>
  </si>
  <si>
    <t>TR30141</t>
  </si>
  <si>
    <t>Arslan Bashir Jarral</t>
  </si>
  <si>
    <t>Tehsil barnala Azad Kashmir Kotjamil</t>
  </si>
  <si>
    <t>Kotjamil</t>
  </si>
  <si>
    <t>LE7530338715</t>
  </si>
  <si>
    <t>TR30142</t>
  </si>
  <si>
    <t>Saif Ullah Khan</t>
  </si>
  <si>
    <t>Ztbl Regional Office G. E Society Nawabshah Shaheed Benazirabad</t>
  </si>
  <si>
    <t>confirm 
 | ↩️ Return Charged: 2026-04-10 | Ref: CPR-XWOR8962608 | Fee: 235.70999999999998</t>
  </si>
  <si>
    <t>TR30143</t>
  </si>
  <si>
    <t>saqib munir</t>
  </si>
  <si>
    <t>+923006442176</t>
  </si>
  <si>
    <t>Muslim Road Back Side Mini Stadium Near Khan Mehal Cinema Saqib Traders Allow To Opn Gujranwala</t>
  </si>
  <si>
    <t>TR30144</t>
  </si>
  <si>
    <t>Hasnain Haider</t>
  </si>
  <si>
    <t>DCI flats , E 10 , Islamabad Islamabad</t>
  </si>
  <si>
    <t>TR30145</t>
  </si>
  <si>
    <t>Badami bagh data Nagar Hussain park lahore Lahore</t>
  </si>
  <si>
    <t>TR30146</t>
  </si>
  <si>
    <t>Zaheer Ahmed Aeri</t>
  </si>
  <si>
    <t>+923003279009</t>
  </si>
  <si>
    <t>Jazz franchise School Road Mehar Mehar</t>
  </si>
  <si>
    <t>Mehar</t>
  </si>
  <si>
    <t>TR30147</t>
  </si>
  <si>
    <t>Zain Aftab</t>
  </si>
  <si>
    <t>Classy crave Sillanwali Sargodha Sillanwali Sargodha</t>
  </si>
  <si>
    <t>Sillanwali Sargodha</t>
  </si>
  <si>
    <t>TR30148</t>
  </si>
  <si>
    <t>Muhammad Mohsin hijjazi</t>
  </si>
  <si>
    <t>Hammad Colony Shad Bagh Lahore Lahore</t>
  </si>
  <si>
    <t>confirm 
 | ↩️ Return Charged: 2026-04-07 | Ref: CPR-XT60O810684 | Fee: 117.86</t>
  </si>
  <si>
    <t>TR30149</t>
  </si>
  <si>
    <t>Sher alam Alam</t>
  </si>
  <si>
    <t>Mian Sher Ali hole sale dealer "Muqam plaza kanjo road mingora swat Mingora Swat</t>
  </si>
  <si>
    <t>Mingora Swat</t>
  </si>
  <si>
    <t xml:space="preserve">combne cancel </t>
  </si>
  <si>
    <t>TR30150</t>
  </si>
  <si>
    <t>TR30151</t>
  </si>
  <si>
    <t>Sheikh Basit</t>
  </si>
  <si>
    <t>Azmat house, ali pura road, near hamza mart Gujrat</t>
  </si>
  <si>
    <t>TR30152</t>
  </si>
  <si>
    <t>Naveed naveed</t>
  </si>
  <si>
    <t>Manawala Mananwala</t>
  </si>
  <si>
    <t>no wp number off</t>
  </si>
  <si>
    <t>TR30153</t>
  </si>
  <si>
    <t>Naveed Choudhary</t>
  </si>
  <si>
    <t>3rd floor manzoor plaza near faysal bank 37 main ravi road yadgar lahore Lahore</t>
  </si>
  <si>
    <t>TR30154</t>
  </si>
  <si>
    <t>Talha talha</t>
  </si>
  <si>
    <t>Wadallha Gujarwalla</t>
  </si>
  <si>
    <t>Gujarwalla</t>
  </si>
  <si>
    <t xml:space="preserve">cancel mana koi order nahi kiya </t>
  </si>
  <si>
    <t>TR30155</t>
  </si>
  <si>
    <t>Kashif Javed</t>
  </si>
  <si>
    <t>House No 14, line 3, Block B, Cantt Villa Ph 3, Multan Multan Punjab</t>
  </si>
  <si>
    <t>Multan Punjab</t>
  </si>
  <si>
    <t>TR30156</t>
  </si>
  <si>
    <t>Yusuf Bakery Adda Ban Bosan Multan Multan</t>
  </si>
  <si>
    <t>TR30157</t>
  </si>
  <si>
    <t>Hassan T</t>
  </si>
  <si>
    <t>Punjab car ac 28 mozang Rd Lahore</t>
  </si>
  <si>
    <t>not ans 
 | 💰 COD Rec: 2026-03-24 | Ref: CPR-A9TC9587889 | Amt: 3348</t>
  </si>
  <si>
    <t>TR30158</t>
  </si>
  <si>
    <t>irfanullah khan Khan</t>
  </si>
  <si>
    <t>Kalapul Masoom Shah Colony Korangi Road Karachi</t>
  </si>
  <si>
    <t>confirm  cancel nahi lena stuff acha nahi haa 
 | ↩️ Return Charged: 2026-04-10 | Ref: CPR-XWOR8962608 | Fee: 213.44</t>
  </si>
  <si>
    <t>TR30159</t>
  </si>
  <si>
    <t>Nouman Qureshi</t>
  </si>
  <si>
    <t>Cam media House G-8 Markaz Islamabad Islamabad</t>
  </si>
  <si>
    <t>TR30160</t>
  </si>
  <si>
    <t>چوہدری بلال طارق</t>
  </si>
  <si>
    <t>+923001405088</t>
  </si>
  <si>
    <t>80 MET 2 Larecs society Mughalpura Lahore Lahore</t>
  </si>
  <si>
    <t>TR30161</t>
  </si>
  <si>
    <t>naseer zeb</t>
  </si>
  <si>
    <t>H 885 st 90 I-8/4 Islamabad Islamabad</t>
  </si>
  <si>
    <t>TR30162</t>
  </si>
  <si>
    <t>Hasnain Abbas</t>
  </si>
  <si>
    <t>D-22 Block 5 Saadi Town Scheme 33 Karachi</t>
  </si>
  <si>
    <t>confirm 
 | 💰 COD Rec: 2026-03-24 | Ref: CPR-A9TC9587889 | Amt: 5950</t>
  </si>
  <si>
    <t>POLO RL - M / Blue (x1), Popcorn Polo - M / White (x1), Jacquard Collar Polo - M / Rest orange (x1)</t>
  </si>
  <si>
    <t>TR30163</t>
  </si>
  <si>
    <t>Usman Buttar Buttar</t>
  </si>
  <si>
    <t>Japanese Language Academy Corner Khalid Road Near Gol Masjid Stadium Sheikhupura Qila Shekhupura</t>
  </si>
  <si>
    <t>TR30164</t>
  </si>
  <si>
    <t>Usama Rana</t>
  </si>
  <si>
    <t>+923073603204</t>
  </si>
  <si>
    <t>Near virtual university sultan town Mianwali Mianwali</t>
  </si>
  <si>
    <t>TR30165</t>
  </si>
  <si>
    <t>Ahmad malik Ahmad</t>
  </si>
  <si>
    <t>Mohni Road Lahore street no6 house no11 Lahore</t>
  </si>
  <si>
    <t>TR30166</t>
  </si>
  <si>
    <t>Aqeel Ahmad Butt</t>
  </si>
  <si>
    <t>Hamza ghous pasrur road Sailkot near Qaid e Azam street Sailkot Sailkot</t>
  </si>
  <si>
    <t>Sailkot</t>
  </si>
  <si>
    <t>TR30167</t>
  </si>
  <si>
    <t>Rana asad ali Rana asad ali</t>
  </si>
  <si>
    <t>+923222525251</t>
  </si>
  <si>
    <t>Dha Phase 8 Air Avenue Lahore</t>
  </si>
  <si>
    <t>TR30168</t>
  </si>
  <si>
    <t>Ashfaq Ahmad</t>
  </si>
  <si>
    <t>House No D-8, Near Jinnah Check Post Quetta Cantonement</t>
  </si>
  <si>
    <t>Quetta Cantonement</t>
  </si>
  <si>
    <t>TR30169</t>
  </si>
  <si>
    <t>Nawaz Abbas</t>
  </si>
  <si>
    <t>House no 627 street no 6 i-14/2 islamabad Islamabad</t>
  </si>
  <si>
    <t>TR30170</t>
  </si>
  <si>
    <t>IH338B New Malir New Falcon Opposite Malir Cant Karachi</t>
  </si>
  <si>
    <t>confirm 
 | 💰 COD Rec: 2026-03-24 | Ref: CPR-A9TC9587889 | Amt: 6149</t>
  </si>
  <si>
    <t>TR30171</t>
  </si>
  <si>
    <t>Shahzaib Tariq</t>
  </si>
  <si>
    <t>Tariq jewellers ashraf market chota bazar lalamusa Lalamusa</t>
  </si>
  <si>
    <t>TR30172</t>
  </si>
  <si>
    <t>Digital communication department Islamabad Paksitan</t>
  </si>
  <si>
    <t>Islamabad Paksitan</t>
  </si>
  <si>
    <t>TR30173</t>
  </si>
  <si>
    <t>M. ALI</t>
  </si>
  <si>
    <t>Kamal Mills Khurriyanwala Jhumra Road FAISALABAD</t>
  </si>
  <si>
    <t>FAISALABAD</t>
  </si>
  <si>
    <t>allow to open 
 | ↩️ Return Charged: 2026-04-07 | Ref: CPR-XT60O810684 | Fee: 200.1</t>
  </si>
  <si>
    <t>TR30174</t>
  </si>
  <si>
    <t>Danish Azan</t>
  </si>
  <si>
    <t>Shaheen Muslim Town Nazar Boston Baba Mazar peshawar city Peshawar</t>
  </si>
  <si>
    <t>TR30175</t>
  </si>
  <si>
    <t>Hasan A</t>
  </si>
  <si>
    <t>55-E1 Gulberg 3 Lahore</t>
  </si>
  <si>
    <t>TR30176</t>
  </si>
  <si>
    <t>Sheraz Ahmad</t>
  </si>
  <si>
    <t>275jb pansira tehsil Faisalabad Faisalabad</t>
  </si>
  <si>
    <t>TR30177</t>
  </si>
  <si>
    <t>Baghwa pura Lahore</t>
  </si>
  <si>
    <t>confirm
 | ↩️ Return Charged: 2026-03-31 | Ref: CPR-6B0MN221209 | Fee: 107</t>
  </si>
  <si>
    <t>TR30178</t>
  </si>
  <si>
    <t>Abid Hussain Lashari</t>
  </si>
  <si>
    <t>House No. A-114 Housing Society Nawabshah Karachi</t>
  </si>
  <si>
    <t>confirm 
 | 💰 COD Rec: 2026-03-24 | Ref: CPR-A9TC9587889 | Amt: 1899</t>
  </si>
  <si>
    <t>TR30179</t>
  </si>
  <si>
    <t>Adeed Mujtaba</t>
  </si>
  <si>
    <t>MARHABA bakers main bazar Khuiratta Khuiratta</t>
  </si>
  <si>
    <t>Khuiratta</t>
  </si>
  <si>
    <t>TR30180</t>
  </si>
  <si>
    <t>Shazad hussain</t>
  </si>
  <si>
    <t>Premier group, street c1, plaza 84 city housing jhelum Jhelum</t>
  </si>
  <si>
    <t>TR30181</t>
  </si>
  <si>
    <t>Ahsan ch</t>
  </si>
  <si>
    <t>830 N poonch road  samanabad Lahore Lahore</t>
  </si>
  <si>
    <t>TR30182</t>
  </si>
  <si>
    <t>Nazeer Ahmad</t>
  </si>
  <si>
    <t>اندرون لوہاری گیٹ مین گمٹی بازار لاہور</t>
  </si>
  <si>
    <t>لاہور</t>
  </si>
  <si>
    <t>TR30183</t>
  </si>
  <si>
    <t>muhammad iftikhar muhammad iftikhar</t>
  </si>
  <si>
    <t>DFO Muhammad Iftikhar House Muhammadi Mohallah kashrote Gilgit</t>
  </si>
  <si>
    <t>LE7530341160</t>
  </si>
  <si>
    <t>(Premium) Italian Texture Polo - M / Purple (x1), Multi-ref-ADI Trouser winter - Large / Navy (x1), ADI Multi Ref Stripes - L / White (x1), ADI Multi Ref Stripes - L / Black (x1)</t>
  </si>
  <si>
    <t>TR30184</t>
  </si>
  <si>
    <t>Mian asif nazir Nazir</t>
  </si>
  <si>
    <t>+923101425222</t>
  </si>
  <si>
    <t>house number 9 pakistan city Near Bunder Marriage Hall Haroonabad</t>
  </si>
  <si>
    <t>TR30185</t>
  </si>
  <si>
    <t>Resuce 1122 Pindi Bhattian Gujranwala</t>
  </si>
  <si>
    <t xml:space="preserve"> pasand nahi aya cancel confirm  allow to open 
 | ↩️ Return Charged: 2026-04-03 | Ref: CPR-EP247894165 | Fee: 200.1</t>
  </si>
  <si>
    <t>TR30186</t>
  </si>
  <si>
    <t>Sardar Shoaib</t>
  </si>
  <si>
    <t>Chikar Azad Kashmir Muzaffarabad</t>
  </si>
  <si>
    <t>cancel consignee want delivery in Sudiya Arab</t>
  </si>
  <si>
    <t>TR30187</t>
  </si>
  <si>
    <t>Umer shehzad Shehzad</t>
  </si>
  <si>
    <t>+923234304309</t>
  </si>
  <si>
    <t>House 64 Eden cottage2 defence more Walton road Lahore</t>
  </si>
  <si>
    <t>TR30188</t>
  </si>
  <si>
    <t>Mehar Bilal</t>
  </si>
  <si>
    <t>Qaim colony Chak no 5/4L okara Okara</t>
  </si>
  <si>
    <t xml:space="preserve"> office sa pick kara gaa abhi shop per haaconfirm 
 | ↩️ Return Charged: 2026-04-07 | Ref: CPR-XT60O810684 | Fee: 243.08</t>
  </si>
  <si>
    <t>TR30189</t>
  </si>
  <si>
    <t>TR30190</t>
  </si>
  <si>
    <t>Talha Arif</t>
  </si>
  <si>
    <t>Po box kulluwal village kulluwal Sambrial</t>
  </si>
  <si>
    <t>confirm
 | 💰 COD Rec: 2026-03-24 | Ref: CPR-A9TC9587889 | Amt: 3548</t>
  </si>
  <si>
    <t>TR30191</t>
  </si>
  <si>
    <t>Taimoor Bin khalid</t>
  </si>
  <si>
    <t>New abbadi seham abbasi chok near qurashi qabarstan Rawalpindi Rawalpindi</t>
  </si>
  <si>
    <t>TR30192</t>
  </si>
  <si>
    <t>Danish whatsup</t>
  </si>
  <si>
    <t>Ibrahim plaza talagang road chakwal .Chakwal</t>
  </si>
  <si>
    <t>.Chakwal</t>
  </si>
  <si>
    <t>r; nobady contact me 
whatsup 
 | ↩️ Return Charged: 2026-03-31 | Ref: CPR-6B0MN221209 | Fee: 220</t>
  </si>
  <si>
    <t>TR30193</t>
  </si>
  <si>
    <t>M Hamza Hasan</t>
  </si>
  <si>
    <t>Karwan e Sana Pvt Ltd Main Boulevard Gulberg 3</t>
  </si>
  <si>
    <t>Main Boulevard Gulberg 3</t>
  </si>
  <si>
    <t>confirm 
 | 💰 COD Rec: 2026-03-24 | Ref: CPR-A9TC9587889 | Amt: 5750</t>
  </si>
  <si>
    <t>Basic RL Crew- Plus Size - 3XL / Beige (x1), Basic RL Crew- Plus Size - 2XL / Mehroon (x1), A | X Embroidery LOGO - 3XL / American Blue (x1)</t>
  </si>
  <si>
    <t>TR30194</t>
  </si>
  <si>
    <t>Shamas ul Din</t>
  </si>
  <si>
    <t>Sahkmola talab jamo road Gali no 2 maken no 2 Sialkot</t>
  </si>
  <si>
    <t xml:space="preserve">cancel nahi lena mujha laga full track haa </t>
  </si>
  <si>
    <t>TR30195</t>
  </si>
  <si>
    <t>M Saleem</t>
  </si>
  <si>
    <t>Villag kakar tehseel khairpur nathan shah district dadu Kakar</t>
  </si>
  <si>
    <t>Kakar</t>
  </si>
  <si>
    <t xml:space="preserve">kakar tcs </t>
  </si>
  <si>
    <t>TR30196</t>
  </si>
  <si>
    <t>SANAULLAH KHAN</t>
  </si>
  <si>
    <t>Village Dagay kabal swat Mingora swat</t>
  </si>
  <si>
    <t>TR30197</t>
  </si>
  <si>
    <t>Shop Lahore</t>
  </si>
  <si>
    <t>TR30198</t>
  </si>
  <si>
    <t>Nsim Zaidi</t>
  </si>
  <si>
    <t>H.69 Lane No 2 Khayban E Tanveer Chaklala Rwp Rawalpindi</t>
  </si>
  <si>
    <t>TR30199</t>
  </si>
  <si>
    <t>saadi shah</t>
  </si>
  <si>
    <t>+923217448969</t>
  </si>
  <si>
    <t>Mohla Faslabd Main Gt Road Gujranwala Gujranwala</t>
  </si>
  <si>
    <t>confirm
 | 💰 COD Rec: 2026-03-24 | Ref: CPR-A9TC9587889 | Amt: 3347</t>
  </si>
  <si>
    <t>TR30200</t>
  </si>
  <si>
    <t>Nisar Ahmad</t>
  </si>
  <si>
    <t>House No 14 Mofti St No 1 Muslim Abad Shalamar Town lahore Lahore</t>
  </si>
  <si>
    <t>open to allow 
 | ↩️ Return Charged: 2026-03-31 | Ref: CPR-6B0MN221209 | Fee: 107</t>
  </si>
  <si>
    <t>TR30201</t>
  </si>
  <si>
    <t>Asif Gondal</t>
  </si>
  <si>
    <t>Jinah terminal Karachi Pepsi shop arival Karachi</t>
  </si>
  <si>
    <t>confirm 
 | 💰 COD Rec: 2026-03-31 | Ref: CPR-6B0MN221209 | Amt: 1449</t>
  </si>
  <si>
    <t>TR30202</t>
  </si>
  <si>
    <t>Saifullah Qureshi</t>
  </si>
  <si>
    <t>house No 1308 R Block Wapda Town Phase 2 Multan</t>
  </si>
  <si>
    <t>r nahi lena to late 
confirm 
 | ↩️ Return Charged: 2026-04-07 | Ref: CPR-XT60O810684 | Fee: 220.98</t>
  </si>
  <si>
    <t>TR30203</t>
  </si>
  <si>
    <t>Mohsin Husnain</t>
  </si>
  <si>
    <t>House no 131 near HBL bank dhunni adda Village Basarian City Kharian Kharian</t>
  </si>
  <si>
    <t>confirm
 | 💰 COD Rec: 2026-03-31 | Ref: CPR-6B0MN221209 | Amt: 3038</t>
  </si>
  <si>
    <t>TR30204</t>
  </si>
  <si>
    <t>Mosa Petroleum Peer Muhammad Ghori Jhoke road kot chutta Dera Ghazi Khan</t>
  </si>
  <si>
    <t>TR30205</t>
  </si>
  <si>
    <t>TR29407 exchage paid bhejnahaa (why no DC)</t>
  </si>
  <si>
    <t>TR30206</t>
  </si>
  <si>
    <t>Afzal Chatha</t>
  </si>
  <si>
    <t>+923454968800</t>
  </si>
  <si>
    <t>Village Manchar Chattha Tehsil Wazirabad Distt Gujranwala Gujranwala</t>
  </si>
  <si>
    <t>Jahanzaib iqbal Ahmed siddiqui</t>
  </si>
  <si>
    <t>app：402 4th floor plot ：8c  3rd street badar commercial dha phase 5 Karachi</t>
  </si>
  <si>
    <t>confirm 
 | ↩️ Return Charged: 2026-04-17 | Ref: CPR-RAGFP443199 | Fee: 250.44</t>
  </si>
  <si>
    <t>TR30208</t>
  </si>
  <si>
    <t>Naveed Anjum</t>
  </si>
  <si>
    <t>No 2-sarhota Kotli</t>
  </si>
  <si>
    <t xml:space="preserve">confirm  number off haaa </t>
  </si>
  <si>
    <t>Out For Return</t>
  </si>
  <si>
    <t>TR30209</t>
  </si>
  <si>
    <t>Mahjabeen Inayat Inayat</t>
  </si>
  <si>
    <t>House no 192, sector C 1, phase 2 KDA kohat Kohat</t>
  </si>
  <si>
    <t>confrm 
 | 💰 COD Rec: 2026-03-31 | Ref: CPR-6B0MN221209 | Amt: 3348</t>
  </si>
  <si>
    <t>TR30210</t>
  </si>
  <si>
    <t>abdul wajid 3348548063</t>
  </si>
  <si>
    <t>confirm 
 | 💰 COD Rec: 2026-03-31 | Ref: CPR-6B0MN221209 | Amt: 6398</t>
  </si>
  <si>
    <t>ADI Multi Ref Stripes - M / White (x1), ADI Multi Ref Stripes - M / Black (x1), Imported Scoba Executive Nik Tro - M / Silver Grey (x1)</t>
  </si>
  <si>
    <t>TR30211</t>
  </si>
  <si>
    <t>Ahssan Ali</t>
  </si>
  <si>
    <t>Lohi wali poli mubashr pan shop Lahore</t>
  </si>
  <si>
    <t>TR30212</t>
  </si>
  <si>
    <t>ALI RAZA QURESHI Raza Qureshi</t>
  </si>
  <si>
    <t>House no. 1218 Street no. 13 B Makkha Colony Gulberg III Lahore</t>
  </si>
  <si>
    <t>TR30213</t>
  </si>
  <si>
    <t>MUSHTAQ Ahmad commission shop shop no 31 Fsd Rod new grain market Chiniot Chiniot</t>
  </si>
  <si>
    <t xml:space="preserve">cancel galti sa order ho gaya </t>
  </si>
  <si>
    <t>TR30214</t>
  </si>
  <si>
    <t>TR30215</t>
  </si>
  <si>
    <t>Muhammad Salman</t>
  </si>
  <si>
    <t>House No 29, Street 3, Rafi Block, Phase 8, Bahria Town, Rawalpindi Rawalpindi</t>
  </si>
  <si>
    <t>TR30216</t>
  </si>
  <si>
    <t>Mehmood Sheikh</t>
  </si>
  <si>
    <t>Nimz medical complex abbottabad Abbottabad</t>
  </si>
  <si>
    <t>confirm 
 | 💰 COD Rec: 2026-03-31 | Ref: CPR-6B0MN221209 | Amt: 2049</t>
  </si>
  <si>
    <t>TR30217</t>
  </si>
  <si>
    <t>Malik Saifi</t>
  </si>
  <si>
    <t>Flat No 5 Sialkot</t>
  </si>
  <si>
    <t>3219412092 confirm 
 | 💰 COD Rec: 2026-03-31 | Ref: CPR-6B0MN221209 | Amt: 3348</t>
  </si>
  <si>
    <t>TR30218</t>
  </si>
  <si>
    <t>Jahanzaib Munawar</t>
  </si>
  <si>
    <t>Shop 11 Ch Aslaam market high court road near car chok Rawalpindi Rawalpindi</t>
  </si>
  <si>
    <t>TR30219</t>
  </si>
  <si>
    <t>عبد الوھاب</t>
  </si>
  <si>
    <t>The Grande Apartment Phase 2 Bahria Town Phase 2 Rawalpindi</t>
  </si>
  <si>
    <t>TR30220</t>
  </si>
  <si>
    <t>All star sports Malik shoukat</t>
  </si>
  <si>
    <t>+923338899600</t>
  </si>
  <si>
    <t>All Star Factory Akbar Abad Road Durberji Sialkot Sialkot</t>
  </si>
  <si>
    <t>TR30221</t>
  </si>
  <si>
    <t>Zaheer Abbas</t>
  </si>
  <si>
    <t>+923016287022</t>
  </si>
  <si>
    <t>Chak sada village Gujrat</t>
  </si>
  <si>
    <t>TR30222</t>
  </si>
  <si>
    <t>Owais Ahmed</t>
  </si>
  <si>
    <t>Ajwa garden restaurant &amp; marriage hall, Multan bypass, near KFC, usmania hotel, sahiwal. Sahiwal</t>
  </si>
  <si>
    <t>ADI - EMBOSSED LOGO (Cotton) - L / Mustard (x1)</t>
  </si>
  <si>
    <t>TR30223</t>
  </si>
  <si>
    <t>hassan butt</t>
  </si>
  <si>
    <t>Gulistan Villas Pasroor Road Daska Sialkot</t>
  </si>
  <si>
    <t>open to allow 
 | 💰 COD Rec: 2026-03-24 | Ref: CPR-A9TC9587889 | Amt: 3348</t>
  </si>
  <si>
    <t>TR30224</t>
  </si>
  <si>
    <t>Waseem Waseem</t>
  </si>
  <si>
    <t>X block Street I house 9 people s colony Gujranwala Gujranwala</t>
  </si>
  <si>
    <t>TR30225</t>
  </si>
  <si>
    <t>Muhammad Ibrahim Gill</t>
  </si>
  <si>
    <t>+923216993539</t>
  </si>
  <si>
    <t>House no 1 new by pass near green city gaggoo mandi Gaggoo mandi</t>
  </si>
  <si>
    <t>Gaggoo mandi</t>
  </si>
  <si>
    <t>TR30226</t>
  </si>
  <si>
    <t>Moon Dogar</t>
  </si>
  <si>
    <t>Kotla chungi jampur Jampur</t>
  </si>
  <si>
    <t>fake attempt confirm 
 | ↩️ Return Charged: 2026-04-07 | Ref: CPR-XT60O810684 | Fee: 200.1</t>
  </si>
  <si>
    <t>TR30227</t>
  </si>
  <si>
    <t>Naveed shah Shah</t>
  </si>
  <si>
    <t>Near By Post Office Jehangira District Nowshera Kpk Nowshera</t>
  </si>
  <si>
    <t>r .;not ans confirm 
 | ↩️ Return Charged: 2026-04-07 | Ref: CPR-XT60O810684 | Fee: 250.44</t>
  </si>
  <si>
    <t>TR30228</t>
  </si>
  <si>
    <t>Malir Wireless gate near meezan bank shamsi society Karachi</t>
  </si>
  <si>
    <t>Cancel ha order
issue not ans (WA done by umair)</t>
  </si>
  <si>
    <t>TR30229</t>
  </si>
  <si>
    <t>Khola Khan</t>
  </si>
  <si>
    <t>Village mulakhel p.o sikander khel bala bannu Bannu</t>
  </si>
  <si>
    <t xml:space="preserve">tcs  Sikander khel bala bannu , Surani, Pakistan
 </t>
  </si>
  <si>
    <t>TR30230</t>
  </si>
  <si>
    <t>TR30231</t>
  </si>
  <si>
    <t>Abdul Latif .</t>
  </si>
  <si>
    <t>Mcb bank regional office near doctors hospital DG Khan Dera Ghazi Khan</t>
  </si>
  <si>
    <t>TR30232</t>
  </si>
  <si>
    <t>Dr Saeed</t>
  </si>
  <si>
    <t>Shaheed saif ur Rehman teaching hospital sonikot Gilgit</t>
  </si>
  <si>
    <t>LE7530274510</t>
  </si>
  <si>
    <t>TR30233</t>
  </si>
  <si>
    <t>NAVEED Khan</t>
  </si>
  <si>
    <t>Village tall wazir painda khel post office domel district bannu Bannu</t>
  </si>
  <si>
    <t xml:space="preserve">no wp not ans </t>
  </si>
  <si>
    <t>TR30234</t>
  </si>
  <si>
    <t>ضیاءالدین ضیاء</t>
  </si>
  <si>
    <t>+923459224500</t>
  </si>
  <si>
    <t>Sarmad street house #4 lahore Lahore</t>
  </si>
  <si>
    <t>allow to open 
 | 💰 COD Rec: 2026-03-24 | Ref: CPR-A9TC9587889 | Amt: 2049</t>
  </si>
  <si>
    <t>TR30235</t>
  </si>
  <si>
    <t>umeer saab +92 346 1792002</t>
  </si>
  <si>
    <t>+923461792002</t>
  </si>
  <si>
    <t>+92 346 1792002 +92 346 1792002</t>
  </si>
  <si>
    <t>+92 346 1792002</t>
  </si>
  <si>
    <t>PURCHASED@SHOP01</t>
  </si>
  <si>
    <t xml:space="preserve">shop sa purchase ker li haa </t>
  </si>
  <si>
    <t>TR30236</t>
  </si>
  <si>
    <t>Ali Raza Ali Raza</t>
  </si>
  <si>
    <t>+923245025375</t>
  </si>
  <si>
    <t>Mughal Auto And Spare Parts Near Maghrabi Phatk Approach Road Farooqabad District Sheikhpura Sheikhpura</t>
  </si>
  <si>
    <t>Sheikhpura</t>
  </si>
  <si>
    <t>whatup 
 | 💰 COD Rec: 2026-03-27 | Ref: CPR-Q9K76465838 | Amt: 2950</t>
  </si>
  <si>
    <t>Multi ref PUM-A - XL / White (x1), ADI Multi Ref Stripes - XL / Black (x1)</t>
  </si>
  <si>
    <t>TR30237</t>
  </si>
  <si>
    <t>House no 61, street no 2, gulshan-e-multan colony, sameejabad no 1, multan Multan</t>
  </si>
  <si>
    <t>TR30024 exchnage 250 dc lagani haa bass
 | 💰 COD Rec: 2026-03-31 | Ref: CPR-6B0MN221209 | Amt: 250</t>
  </si>
  <si>
    <t>TR30238</t>
  </si>
  <si>
    <t>Tamoor Tamoor</t>
  </si>
  <si>
    <t>285 eden lane villas 2 pine evenue lahore Lahore</t>
  </si>
  <si>
    <t>confirm  packing lagani haa 
 | 💰 COD Rec: 2026-03-24 | Ref: CPR-A9TC9587889 | Amt: 3348</t>
  </si>
  <si>
    <t>TR30239</t>
  </si>
  <si>
    <t>Shahid sethi</t>
  </si>
  <si>
    <t>+3219442233</t>
  </si>
  <si>
    <t>147-b-new Muslim Town Lahore</t>
  </si>
  <si>
    <t>allow to open 
 | ↩️ Return Charged: 2026-03-31 | Ref: CPR-6B0MN221209 | Fee: 120</t>
  </si>
  <si>
    <t>TR30240</t>
  </si>
  <si>
    <t>Mamoon khan Mamoon khan</t>
  </si>
  <si>
    <t>+923160560119</t>
  </si>
  <si>
    <t>Kpk  mansehra   sinkyari  gt road  Mansehra Mansehra</t>
  </si>
  <si>
    <t>whatsup  call pick nahi ker raha 
 | ↩️ Return Charged: 2026-04-07 | Ref: CPR-XT60O810684 | Fee: 235.70999999999998</t>
  </si>
  <si>
    <t>TR30241</t>
  </si>
  <si>
    <t>Muhammed Zahid</t>
  </si>
  <si>
    <t>Ada mohsinwal near MCB Bank gt road Main Chunnu</t>
  </si>
  <si>
    <t>Main Chunnu</t>
  </si>
  <si>
    <t>confirm
 | ↩️ Return Charged: 2026-04-07 | Ref: CPR-XT60O810684 | Fee: 220.98</t>
  </si>
  <si>
    <t>TR30242</t>
  </si>
  <si>
    <t>Major Junaid Khalid</t>
  </si>
  <si>
    <t>MOQ 65/2 Bostan Lines Malir cantt Karachi (Allow Open before payment) Karachi</t>
  </si>
  <si>
    <t>confirm open to allow  Aya tha rider, size ka issue tha
Apka M size mje sai fit ni ah Raha
 | ↩️ Return Charged: 2026-04-10 | Ref: CPR-XWOR8962608 | Fee: 235.70999999999998</t>
  </si>
  <si>
    <t>TR30243</t>
  </si>
  <si>
    <t>Usman Kan</t>
  </si>
  <si>
    <t>Hazara colony Haji road gangmandi Rawalpindi Rawalpindi</t>
  </si>
  <si>
    <t>TR30244</t>
  </si>
  <si>
    <t>Rahat shah</t>
  </si>
  <si>
    <t>district Muhammad teh pandialai uc utmanzai tower market Ghazi Bag</t>
  </si>
  <si>
    <t>Ghazi Bag</t>
  </si>
  <si>
    <t xml:space="preserve">confirm 
Not possible on this location Throught any available Courier </t>
  </si>
  <si>
    <t>TR30245</t>
  </si>
  <si>
    <t>Behzad raza Raza</t>
  </si>
  <si>
    <t>Chak no 8 14L kassowal tehsi chichawatni district sahiwal Lahore</t>
  </si>
  <si>
    <t>confirm 
 | 💰 COD Rec: 2026-03-27 | Ref: CPR-Q9K76465838 | Amt: 5247</t>
  </si>
  <si>
    <t>ADI Ref Stripes - XL / White (x1), ADI Ref Stripes - XL / Black (x1), Basic Branded Adi Trouser - XL / Black (x1)</t>
  </si>
  <si>
    <t>TR30246</t>
  </si>
  <si>
    <t>TR30247</t>
  </si>
  <si>
    <t>Muhammad Aamer khan</t>
  </si>
  <si>
    <t>Flat 3a, Block 93, Askari 5, Malir Cantt Karachi</t>
  </si>
  <si>
    <t>TR30248</t>
  </si>
  <si>
    <t>Legends arena khayabane mujhaid phase 5 DHA Karachi Karachi</t>
  </si>
  <si>
    <t>cancel mana order nahi kiya (confirm cancel)</t>
  </si>
  <si>
    <t>TR30249</t>
  </si>
  <si>
    <t>Umais Gull</t>
  </si>
  <si>
    <t>Imperial garden paragon city 347 S block barki road lahore Lahore</t>
  </si>
  <si>
    <t>TR30250</t>
  </si>
  <si>
    <t>Wandala Nankana sahib</t>
  </si>
  <si>
    <t>Nankana sahib</t>
  </si>
  <si>
    <t>Shipper Advice</t>
  </si>
  <si>
    <t>TR30251</t>
  </si>
  <si>
    <t>Ejaz estate &amp; builders Raja</t>
  </si>
  <si>
    <t>H. No G. 10 Main Qadeer Khan Road Chatari Chowk Khana Pull Rawalpindi</t>
  </si>
  <si>
    <t>allow to open 
 | ↩️ Return Charged: 2026-04-10 | Ref: CPR-XWOR8962608 | Fee: 220.98</t>
  </si>
  <si>
    <t>TR30252</t>
  </si>
  <si>
    <t>Black cafe restaurant Peshawer</t>
  </si>
  <si>
    <t>TR30253</t>
  </si>
  <si>
    <t>Ali Butt</t>
  </si>
  <si>
    <t>Lohay wali puli abu bakar road badami bhag lahore Lahore</t>
  </si>
  <si>
    <t>TR30254</t>
  </si>
  <si>
    <t>ALI RAZA BUTT</t>
  </si>
  <si>
    <t>Deaf Reach School Gulistan e Jauhar Block 12 Adjacent PTCL Exchange Karachi</t>
  </si>
  <si>
    <t>ADI Multi Ref Stripes - 3XL / White (x2), ADI Multi Ref Stripes - 3XL / Black (x2)</t>
  </si>
  <si>
    <t>TR30255</t>
  </si>
  <si>
    <t>Syed Shahid Abbas</t>
  </si>
  <si>
    <t>Moza Pacca City Kehror Pacca Kehror pacca</t>
  </si>
  <si>
    <t>Kehror pacca</t>
  </si>
  <si>
    <t xml:space="preserve">cancel ma out of city ho </t>
  </si>
  <si>
    <t>TR30256</t>
  </si>
  <si>
    <t>Iqbal wali</t>
  </si>
  <si>
    <t>Khana paul, sanam chok islamabad Islamabad</t>
  </si>
  <si>
    <t>TR30257</t>
  </si>
  <si>
    <t>Daak khana khas chak 208 RB Gat wala sakhan thesil Sakhan</t>
  </si>
  <si>
    <t>Sakhan</t>
  </si>
  <si>
    <t>TR30258</t>
  </si>
  <si>
    <t>+923452530158</t>
  </si>
  <si>
    <t>TR30259</t>
  </si>
  <si>
    <t>Ghulam Shabeer</t>
  </si>
  <si>
    <t>+923347348179</t>
  </si>
  <si>
    <t>Kalwar Mohalla Kashmore Kashmore</t>
  </si>
  <si>
    <t>postex confirm 
 | 💰 COD Rec: 2026-04-07 | Ref: CPR-XT60O810684 | Amt: 3348</t>
  </si>
  <si>
    <t>CPR-XT60O810684</t>
  </si>
  <si>
    <t>TR30260</t>
  </si>
  <si>
    <t>M yamin Yamin</t>
  </si>
  <si>
    <t>تحصیل چشتیاں ججہ ٹاؤن ڈاھرانوالہ ڈاھرانوالہ</t>
  </si>
  <si>
    <t>ڈاھرانوالہ</t>
  </si>
  <si>
    <t>confirm 
 | ↩️ Return Charged: 2026-04-10 | Ref: CPR-XWOR8962608 | Fee: 220.98</t>
  </si>
  <si>
    <t>TR30261</t>
  </si>
  <si>
    <t>Jamal Nasir</t>
  </si>
  <si>
    <t>68 Khayaban E Ghazi, DHA 5 Karachi</t>
  </si>
  <si>
    <t xml:space="preserve"> confirm on umair WA
 | 💰 COD Rec: 2026-04-03 | Ref: CPR-EP247894165 | Amt: 3548</t>
  </si>
  <si>
    <t>TR30262</t>
  </si>
  <si>
    <t>TR30263</t>
  </si>
  <si>
    <t>Naeem Auto Jump Market Garhi Habibullah Dist Mansehra Tehsil Balakot Garhi Habibullah</t>
  </si>
  <si>
    <t>confirm by umair 
 | 💰 COD Rec: 2026-04-03 | Ref: CPR-EP247894165 | Amt: 3348</t>
  </si>
  <si>
    <t>TR30264</t>
  </si>
  <si>
    <t>M Asif Iqbal</t>
  </si>
  <si>
    <t>H.no D-85/86 block D officers mess paf base mianwali Mianwali</t>
  </si>
  <si>
    <t>cancel nahi lena (confirm cancel)</t>
  </si>
  <si>
    <t>TR30265</t>
  </si>
  <si>
    <t>Rubail Khan</t>
  </si>
  <si>
    <t>Piragab pul Harish kariyana store Multan</t>
  </si>
  <si>
    <t>confirm  not ans 
 | ↩️ Return Charged: 2026-04-14 | Ref: CPR-95P3C418437 | Fee: 220.98</t>
  </si>
  <si>
    <t>TR30266</t>
  </si>
  <si>
    <t>Shah Jee</t>
  </si>
  <si>
    <t>Fakhri dental clinic Parachinar District upper kurram Parachinar District Upper Kurram</t>
  </si>
  <si>
    <t>Parachinar District Upper Kurram</t>
  </si>
  <si>
    <t>confirm   kal receive ker la gaa</t>
  </si>
  <si>
    <t>Not Available</t>
  </si>
  <si>
    <t>TR30267</t>
  </si>
  <si>
    <t>Zubair advocate 03009375898</t>
  </si>
  <si>
    <t>H.no 264 street 2phase1 margala Islamabad</t>
  </si>
  <si>
    <t>TR30268</t>
  </si>
  <si>
    <t>Faraz Baig</t>
  </si>
  <si>
    <t>Street 37A house no 6 ramnger rajghar road chubarji lahore Lahore</t>
  </si>
  <si>
    <t>confirm  cancel to late 
 | ↩️ Return Charged: 2026-03-31 | Ref: CPR-6B0MN221209 | Fee: 107</t>
  </si>
  <si>
    <t>TR30269</t>
  </si>
  <si>
    <t>Tabraiz Hussain</t>
  </si>
  <si>
    <t>kothapurana house no151 jhelum</t>
  </si>
  <si>
    <t>jhelum</t>
  </si>
  <si>
    <t xml:space="preserve">cancel aj out of ciy ja raha hoo </t>
  </si>
  <si>
    <t>TR30270</t>
  </si>
  <si>
    <t>M shiyan</t>
  </si>
  <si>
    <t>+923000693337</t>
  </si>
  <si>
    <t>House #875 St1 Abid Majeed Road Rawalpindi Cantt Rawalpindi</t>
  </si>
  <si>
    <t>TR30271</t>
  </si>
  <si>
    <t>Syed Bilal Hussain</t>
  </si>
  <si>
    <t>+923242239302</t>
  </si>
  <si>
    <t>Mashallah kiryana store zahirpeer road Khan pur near daream city town Khan pur Mashallah kiryana store zahirpeer road Khan pur near daream city town Khan pur</t>
  </si>
  <si>
    <t>Mashallah kiryana store zahirpeer road Khan pur near daream city town Khan pur</t>
  </si>
  <si>
    <t>TR30272</t>
  </si>
  <si>
    <t>Zaid Mughal</t>
  </si>
  <si>
    <t>+923179466982</t>
  </si>
  <si>
    <t>Nasheman roasting Kashmir Yas</t>
  </si>
  <si>
    <t>Yas</t>
  </si>
  <si>
    <t>TR30273</t>
  </si>
  <si>
    <t>Allow to open SAQIB</t>
  </si>
  <si>
    <t>Yaqoob Trank Store Depalpur Bazar Sahiwal</t>
  </si>
  <si>
    <t>confirm 
 | 💰 COD Rec: 2026-04-03 | Ref: CPR-EP247894165 | Amt: 2994</t>
  </si>
  <si>
    <t>TR30274</t>
  </si>
  <si>
    <t>Abubakar Buttar Adv</t>
  </si>
  <si>
    <t>Shaikh rajada pasrur road near Jandiala Baghwala Gujranwala Gujranwala</t>
  </si>
  <si>
    <t>confirm 
 | 💰 COD Rec: 2026-04-03 | Ref: CPR-EP247894165 | Amt: 10748</t>
  </si>
  <si>
    <t>(Premium) Italian Texture Polo - M / Purple (x1), (Premium) Italian Texture Polo - M / Mustard (x1), POLO RL - M / grey (x1), POLO RL - M / Zinc blue (x1), POLO RL - M / olive (x1)</t>
  </si>
  <si>
    <t>TR30275</t>
  </si>
  <si>
    <t>Rasheedkhan Khan</t>
  </si>
  <si>
    <t>Tariq Road Karachi Ghor Rabi Center shop lg8 Karachi</t>
  </si>
  <si>
    <t xml:space="preserve">cancel no reson nahi lena bass </t>
  </si>
  <si>
    <t>TR30276</t>
  </si>
  <si>
    <t>not ans 
Advance lo- or puri history share kro ka do delivered hai or do wapis a gaye</t>
  </si>
  <si>
    <t>TR30277</t>
  </si>
  <si>
    <t>Izzat ullah Khan</t>
  </si>
  <si>
    <t>pishin pishin</t>
  </si>
  <si>
    <t>pishin</t>
  </si>
  <si>
    <t>TR30278</t>
  </si>
  <si>
    <t>Umair Farooq</t>
  </si>
  <si>
    <t>3-house 507 Street 23 Bahria Town Phase Rawalpindi</t>
  </si>
  <si>
    <t>confirm
 | 💰 COD Rec: 2026-04-03 | Ref: CPR-EP247894165 | Amt: 2199</t>
  </si>
  <si>
    <t>Embossed NIK-E - XL / Black (x1)</t>
  </si>
  <si>
    <t>TR30279</t>
  </si>
  <si>
    <t>Muhammad sajjad jamal saif</t>
  </si>
  <si>
    <t>Ghani estat dha phaee 6 a block Lahore</t>
  </si>
  <si>
    <t>TR30280</t>
  </si>
  <si>
    <t>Muhammad Saleem Hameed</t>
  </si>
  <si>
    <t>185 D Eme Society Lahore</t>
  </si>
  <si>
    <t>TR30281</t>
  </si>
  <si>
    <t>+923216262553</t>
  </si>
  <si>
    <t>Daska Daska</t>
  </si>
  <si>
    <t xml:space="preserve">cancel ker dien paisa nahi hain </t>
  </si>
  <si>
    <t>TR30282</t>
  </si>
  <si>
    <t>TR30283</t>
  </si>
  <si>
    <t>Yousaf Khan</t>
  </si>
  <si>
    <t>e/11. 4 St.no.27 H.no 424 Islamabad</t>
  </si>
  <si>
    <t>confirm 
 | 💰 COD Rec: 2026-04-03 | Ref: CPR-EP247894165 | Amt: 3347</t>
  </si>
  <si>
    <t>TR30284</t>
  </si>
  <si>
    <t>Chaudhary Tanveer Hussain</t>
  </si>
  <si>
    <t>House E72A street no 8B zaman colony Walton road near gourmet sweets and bakers Walton road Lahore Lahore</t>
  </si>
  <si>
    <t>TR30285</t>
  </si>
  <si>
    <t>Rizwan Siddiqui</t>
  </si>
  <si>
    <t>A-255 Block 6 pechs Karachi</t>
  </si>
  <si>
    <t>confirm 
 | 💰 COD Rec: 2026-04-07 | Ref: CPR-XT60O810684 | Amt: 3348</t>
  </si>
  <si>
    <t>TR30286</t>
  </si>
  <si>
    <t>Shoaib ahmad Ahmad</t>
  </si>
  <si>
    <t>Muhammad Zakria Accounts Officer, FWMC Complex Near DC Office, University Road, Faisalabad. Faisalabad</t>
  </si>
  <si>
    <t>confirm 
 | 💰 COD Rec: 2026-04-03 | Ref: CPR-EP247894165 | Amt: 1499</t>
  </si>
  <si>
    <t>Basic RL Crew- Cotton - L / Rest Orange (x1)</t>
  </si>
  <si>
    <t>TR30287</t>
  </si>
  <si>
    <t>Muhammad Faizan</t>
  </si>
  <si>
    <t>Mehboob Crockery, Near Gosht Market, Chappar Bazar, Chakwal Chakwal</t>
  </si>
  <si>
    <t>confirm 
 | 💰 COD Rec: 2026-04-03 | Ref: CPR-EP247894165 | Amt: 2099</t>
  </si>
  <si>
    <t>TR30288</t>
  </si>
  <si>
    <t>Tanveer Hussain</t>
  </si>
  <si>
    <t>+923007824134</t>
  </si>
  <si>
    <t>Chak No. 21A NP P/O Basti Shadi Tehsil Sadiqabad Districk Rahim yar khan Sadiqabad</t>
  </si>
  <si>
    <t xml:space="preserve"> confirm basti shadi</t>
  </si>
  <si>
    <t>En-Route to Lahore warehouse</t>
  </si>
  <si>
    <t>TR30289</t>
  </si>
  <si>
    <t>Awais Karni</t>
  </si>
  <si>
    <t>506 PMT, PNS Shifa hospital, DHA phase 2, Karachi Karachi</t>
  </si>
  <si>
    <t>confirm 
 | 💰 COD Rec: 2026-04-03 | Ref: CPR-EP247894165 | Amt: 3548</t>
  </si>
  <si>
    <t>TR30290</t>
  </si>
  <si>
    <t>M qamar M qamar</t>
  </si>
  <si>
    <t>House no 382 st no 6 main bazar bara dari road farkhabad shadhara lahore Lahore</t>
  </si>
  <si>
    <t>TR30291</t>
  </si>
  <si>
    <t>alow to open 
 | ↩️ Return Charged: 2026-04-07 | Ref: CPR-XT60O810684 | Fee: 117.86</t>
  </si>
  <si>
    <t>TR30292</t>
  </si>
  <si>
    <t>Teemar Haider</t>
  </si>
  <si>
    <t>Sohdra civil hospital Wazirabad sohdra</t>
  </si>
  <si>
    <t>Wazirabad sohdra</t>
  </si>
  <si>
    <t xml:space="preserve">cancel to late </t>
  </si>
  <si>
    <t>TR30293</t>
  </si>
  <si>
    <t>House No 1508 Ward No 6 Sadar Bazar Sialkot Cantt Sialkot</t>
  </si>
  <si>
    <t>rider na rabta kiya tha ma kal receive ker lo ga confirm 
 | ↩️ Return Charged: 2026-04-07 | Ref: CPR-XT60O810684 | Fee: 220.98</t>
  </si>
  <si>
    <t>TR30294</t>
  </si>
  <si>
    <t>Iabal Gujjar</t>
  </si>
  <si>
    <t>Dafans Road Gujjar Kaloni Lahore</t>
  </si>
  <si>
    <t>TR30295</t>
  </si>
  <si>
    <t>Main street near DC OFFICE bahwalpur goheer twon Bahwalpur</t>
  </si>
  <si>
    <t>Bahwalpur</t>
  </si>
  <si>
    <t>TR30296</t>
  </si>
  <si>
    <t>Harris Sheikh</t>
  </si>
  <si>
    <t>The laundry &amp; dry cleaner shop#63 LG gole market y block dha lahore Lahore</t>
  </si>
  <si>
    <t>confirm
 | 💰 COD Rec: 2026-03-31 | Ref: CPR-6B0MN221209 | Amt: 4049</t>
  </si>
  <si>
    <t>TR30297</t>
  </si>
  <si>
    <t>Mukarram Haroon</t>
  </si>
  <si>
    <t>+923224959613</t>
  </si>
  <si>
    <t>Bahria Town Orchard Phase 1  Block OLC A Street 25 House 644 Lahore</t>
  </si>
  <si>
    <t>TR30298</t>
  </si>
  <si>
    <t>Zain Shah Shah</t>
  </si>
  <si>
    <t>A100 sector Z -2 gulshan-e-maymaar Karachi</t>
  </si>
  <si>
    <t>TR30299</t>
  </si>
  <si>
    <t>Haydee Biete</t>
  </si>
  <si>
    <t>27 street Q block phase 7 dha Lahore</t>
  </si>
  <si>
    <t>not ans 
 | 💰 COD Rec: 2026-03-24 | Ref: CPR-A9TC9587889 | Amt: 1449</t>
  </si>
  <si>
    <t>ADI - EMBOSSED LOGO (Cotton) - M / Pink (x1)</t>
  </si>
  <si>
    <t>TR30300</t>
  </si>
  <si>
    <t>Mirza Aamir</t>
  </si>
  <si>
    <t>House no 77 New cantt Dera Ismail Khan Dera Ismail Khan</t>
  </si>
  <si>
    <t>TR30301</t>
  </si>
  <si>
    <t>Hammad Sales Agency rahat pizza stret opposite wapda office khanewal road multan Multan</t>
  </si>
  <si>
    <t>whatsup confirm  NOT ANS 
 | ↩️ Return Charged: 2026-04-03 | Ref: CPR-EP247894165 | Fee: 200.1</t>
  </si>
  <si>
    <t>TR30302</t>
  </si>
  <si>
    <t>H # E-344/9A, Street # 1, Gulistan Colony, Ghazi Road Lahore</t>
  </si>
  <si>
    <t>TR30303</t>
  </si>
  <si>
    <t>Basit Ali</t>
  </si>
  <si>
    <t>+923479464220</t>
  </si>
  <si>
    <t>Main OT, Bacha khan medical complex Hospital, Shahmansoor Swabi, Shahmansoor Swabi</t>
  </si>
  <si>
    <t>Shahmansoor Swabi</t>
  </si>
  <si>
    <t>confirm on wp 
 | 💰 COD Rec: 2026-04-03 | Ref: CPR-EP247894165 | Amt: 3348</t>
  </si>
  <si>
    <t>TR30304</t>
  </si>
  <si>
    <t>Aijaz Ul Haq</t>
  </si>
  <si>
    <t>8/4-house 11/3 G Islamabad</t>
  </si>
  <si>
    <t>confirm  not ans 
 | ↩️ Return Charged: 2026-04-10 | Ref: CPR-XWOR8962608 | Fee: 220.98</t>
  </si>
  <si>
    <t>TR30305</t>
  </si>
  <si>
    <t>Mazhar abbas</t>
  </si>
  <si>
    <t>+923007894653</t>
  </si>
  <si>
    <t>Mohla misterian Wala Tulamba city tehsil mian chanu district khanewal Mian channu</t>
  </si>
  <si>
    <t>confirm 
 | 💰 COD Rec: 2026-03-31 | Ref: CPR-6B0MN221209 | Amt: 3037</t>
  </si>
  <si>
    <t>TR30306</t>
  </si>
  <si>
    <t>TR30307</t>
  </si>
  <si>
    <t>Ansar Nawaz</t>
  </si>
  <si>
    <t>Nawaz Ghuman Autos Sambrial Main Road Wazirabad Sialkot Opposite Cheema Family Hospital Byco Pump Sambrial</t>
  </si>
  <si>
    <t>cancel lenght 28 required chest 38 required</t>
  </si>
  <si>
    <t>TR30308</t>
  </si>
  <si>
    <t>Rizwan Shamim</t>
  </si>
  <si>
    <t>G-20/5, block B, North Nazimabad Karachi</t>
  </si>
  <si>
    <t>TR30309</t>
  </si>
  <si>
    <t>TR30310</t>
  </si>
  <si>
    <t>Syed Hazoor ahmad</t>
  </si>
  <si>
    <t>House no 363..street16..k2 ..phase3..hyatabad Peshawar</t>
  </si>
  <si>
    <t>TR30311</t>
  </si>
  <si>
    <t>229/a-sant Merry Colony Near Exprees News Offiec Kalma Chownk Lahore Lahore</t>
  </si>
  <si>
    <t xml:space="preserve">
</t>
  </si>
  <si>
    <t>A | X Embroidery LOGO - 3XL / Bottle Green (x1), A | X Embroidery LOGO - 3XL / Pista (x1), A | X Embroidery LOGO - 3XL / American Blue (x1)</t>
  </si>
  <si>
    <t>TR30312</t>
  </si>
  <si>
    <t>Muhammad wajahat</t>
  </si>
  <si>
    <t>Village dhoke Kalyal, p/o box demeli, tehsil sohawa, district Jhelum Domeli</t>
  </si>
  <si>
    <t>Domeli</t>
  </si>
  <si>
    <t>LE7530276116</t>
  </si>
  <si>
    <t>TR30313</t>
  </si>
  <si>
    <t>Ijaz Zubair</t>
  </si>
  <si>
    <t>Street 7 house 14 lajpat road shahdara Lahore Lahore</t>
  </si>
  <si>
    <t>confirm 
 | 💰 COD Rec: 2026-03-31 | Ref: CPR-6B0MN221209 | Amt: 8049</t>
  </si>
  <si>
    <t>Multi ref PUM-A - 3XL / White (x1), Multi ref PUM-A - 3XL / Black (x1), A | X Embroidery LOGO - 3XL / Black (x1), A | X Embroidery LOGO - 3XL / Pista (x1), A | X Embroidery LOGO - 3XL / Bottle Green (x1)</t>
  </si>
  <si>
    <t>TR30314</t>
  </si>
  <si>
    <t>Rana Wasim</t>
  </si>
  <si>
    <t>Ratta Rd Gujranwala</t>
  </si>
  <si>
    <t>TR30315</t>
  </si>
  <si>
    <t>Muhamad ! Alow to open ! Munawar</t>
  </si>
  <si>
    <t>Pasror road Jandiyala Bagh Wala muhala Gore Wala Gujranwala</t>
  </si>
  <si>
    <t xml:space="preserve">+393533234655 cancel ma out of city chala gaya hoo </t>
  </si>
  <si>
    <t>TR30316</t>
  </si>
  <si>
    <t>Rai Abubakar</t>
  </si>
  <si>
    <t>+923273300027</t>
  </si>
  <si>
    <t>Nauthen Hafizabad</t>
  </si>
  <si>
    <t>confirm  size chota tha 
 | ↩️ Return Charged: 2026-04-10 | Ref: CPR-XWOR8962608 | Fee: 220.98</t>
  </si>
  <si>
    <t>TR30317</t>
  </si>
  <si>
    <t>Babar Shahzad</t>
  </si>
  <si>
    <t>Waqar Atuo Electrician Near by City Marriage Hall   Chakwal Chakwal</t>
  </si>
  <si>
    <t>TR30318</t>
  </si>
  <si>
    <t>Nadeem Bagiana</t>
  </si>
  <si>
    <t>Shama petrol pump shiwali Road Sargodha Sargodha</t>
  </si>
  <si>
    <t>TR30319</t>
  </si>
  <si>
    <t>+923122077179</t>
  </si>
  <si>
    <t xml:space="preserve">cancel already order kiya hua haa or dispatch haa </t>
  </si>
  <si>
    <t>TR30320</t>
  </si>
  <si>
    <t>Saad Tahria</t>
  </si>
  <si>
    <t>+923049698635</t>
  </si>
  <si>
    <t>Chopra Colony More Khunda Teh &amp; Distt. Nankana Sahib Nankana Sahib</t>
  </si>
  <si>
    <t xml:space="preserve">in wp </t>
  </si>
  <si>
    <t>TR30321</t>
  </si>
  <si>
    <t>Pervez Mustafa</t>
  </si>
  <si>
    <t>Askari 4 street 31 block 135g opposite millennium mall karachi Karachi</t>
  </si>
  <si>
    <t>TR30322</t>
  </si>
  <si>
    <t>Bilawal Jhangir</t>
  </si>
  <si>
    <t>New post office dadyal Distt mirpur Ajk Dadyal Azad Kashmir Distt Mirpur</t>
  </si>
  <si>
    <t>Dadyal Azad Kashmir Distt Mirpur</t>
  </si>
  <si>
    <t>confirm   ma available nahi tha 
 | ↩️ Return Charged: 2026-04-10 | Ref: CPR-XWOR8962608 | Fee: 235.70999999999998</t>
  </si>
  <si>
    <t>TR30323</t>
  </si>
  <si>
    <t>Khurram Zaman</t>
  </si>
  <si>
    <t>House R195 railway society gulshan e iqbal block 13d 2 Karachi</t>
  </si>
  <si>
    <t xml:space="preserve">
 | 💰 COD Rec: 2026-03-31 | Ref: CPR-6B0MN221209 | Amt: 2649</t>
  </si>
  <si>
    <t>ADI - EMBOSSED LOGO (Cotton) - M / Sky (x1), ADI - EMBOSSED LOGO (Cotton) - M / Pink (x1)</t>
  </si>
  <si>
    <t>TR30324</t>
  </si>
  <si>
    <t>Waqas Bhatti</t>
  </si>
  <si>
    <t>H 103 parass raam malir 15 near shandar biryani wala Karachi</t>
  </si>
  <si>
    <t xml:space="preserve">cancel abhi rehna dein bad ma again order ker do ga </t>
  </si>
  <si>
    <t>TR30325</t>
  </si>
  <si>
    <t>House no 8 street no 8 lake view block bahria town phase 8 rwp Rawalpindi</t>
  </si>
  <si>
    <t>power off TR30326</t>
  </si>
  <si>
    <t>TR30326</t>
  </si>
  <si>
    <t>power off TR30325</t>
  </si>
  <si>
    <t>TR30327</t>
  </si>
  <si>
    <t>Sanjay Kumar</t>
  </si>
  <si>
    <t>Flat 201 dany icon apartment near Clifton bridge karachi Karachi</t>
  </si>
  <si>
    <t>confirm  fake attempt 
 | ↩️ Return Charged: 2026-04-14 | Ref: CPR-95P3C418437 | Fee: 235.70999999999998</t>
  </si>
  <si>
    <t>TR30328</t>
  </si>
  <si>
    <t>Asim Raza</t>
  </si>
  <si>
    <t>Barkat Colony St 8 Grw Gujranwala</t>
  </si>
  <si>
    <t xml:space="preserve">
 | 💰 COD Rec: 2026-03-31 | Ref: CPR-6B0MN221209 | Amt: 3548</t>
  </si>
  <si>
    <t>TR30329</t>
  </si>
  <si>
    <t>Faisal Tahir</t>
  </si>
  <si>
    <t>Yasrab town street no 1 House no 36 bahawalpur Bahawalpur</t>
  </si>
  <si>
    <t>confirm 
 | 💰 COD Rec: 2026-04-03 | Ref: CPR-EP247894165 | Amt: 1329</t>
  </si>
  <si>
    <t>ADI - EMBOSSED LOGO (Cotton) - L / Dark Red(Maroon) (x1)</t>
  </si>
  <si>
    <t>TR30330</t>
  </si>
  <si>
    <t>Jawwad Samad</t>
  </si>
  <si>
    <t>6A circular Road Badami Bagh Lahore</t>
  </si>
  <si>
    <t>confirm 
 | 💰 COD Rec: 2026-04-14 | Ref: CPR-95P3C418437 | Amt: 3348</t>
  </si>
  <si>
    <t>CPR-95P3C418437</t>
  </si>
  <si>
    <t>TR30331</t>
  </si>
  <si>
    <t>Dur M Abro</t>
  </si>
  <si>
    <t>+923491864342</t>
  </si>
  <si>
    <t>Latif town Usmaniya mosque Tandojam</t>
  </si>
  <si>
    <t>Tandojam</t>
  </si>
  <si>
    <t xml:space="preserve">cancel mana nahi lena </t>
  </si>
  <si>
    <t>TR30332</t>
  </si>
  <si>
    <t>Hikmat Diagnostic Lab opposite DHQ Hospital Main KKH Battagram Battagram</t>
  </si>
  <si>
    <t>confirm 
 | ↩️ Return Charged: 2026-04-14 | Ref: CPR-95P3C418437 | Fee: 235.70999999999998</t>
  </si>
  <si>
    <t>TR30333</t>
  </si>
  <si>
    <t>Adnan Shah</t>
  </si>
  <si>
    <t>House no 371 Safari Villas, Bahria Town Lahore Lahore</t>
  </si>
  <si>
    <t>TR30334</t>
  </si>
  <si>
    <t>Salma Sultan</t>
  </si>
  <si>
    <t>Fateh garh meher fiaz colony street no 8 blck A near iqra iqra public model high school Lahore Lahore</t>
  </si>
  <si>
    <t>TR30335</t>
  </si>
  <si>
    <t>Mohsin Jutt</t>
  </si>
  <si>
    <t>New shahzaib market adyala road Gorakhpur Dhaka sweet near askari bank Rawalpindi</t>
  </si>
  <si>
    <t xml:space="preserve">cancel ya haseed ka number haa </t>
  </si>
  <si>
    <t>TR30336</t>
  </si>
  <si>
    <t>Marghzar colony Lahore</t>
  </si>
  <si>
    <t>TR30337</t>
  </si>
  <si>
    <t>Usman R</t>
  </si>
  <si>
    <t>586D Faisal Town Lahore</t>
  </si>
  <si>
    <t>TR30338</t>
  </si>
  <si>
    <t>+923034916523</t>
  </si>
  <si>
    <t>boll raha ka office sa pick ker la gaa 
 | ↩️ Return Charged: 2026-04-10 | Ref: CPR-XWOR8962608 | Fee: 117.86</t>
  </si>
  <si>
    <t>Sagheer Ahmad</t>
  </si>
  <si>
    <t>Akbar medicine co Rahim Yar Khan</t>
  </si>
  <si>
    <t>confirm 
 | ↩️ Return Charged: 2026-04-17 | Ref: CPR-RAGFP443199 | Fee: 220.98</t>
  </si>
  <si>
    <t>TR30340</t>
  </si>
  <si>
    <t>Police station Nilore Islamabad Islamabad</t>
  </si>
  <si>
    <t>TR30341</t>
  </si>
  <si>
    <t>Mustafa Malik</t>
  </si>
  <si>
    <t>Askari housing society near nigana chowk M.A Jinnah road Multan</t>
  </si>
  <si>
    <t>TR30342</t>
  </si>
  <si>
    <t>Saeed Jadoon</t>
  </si>
  <si>
    <t>House  No.30, Street No.3, Sector G-2, Phase-2, Hayatabad Peshawar</t>
  </si>
  <si>
    <t>confirm 
 | 💰 COD Rec: 2026-03-31 | Ref: CPR-6B0MN221209 | Amt: 5199</t>
  </si>
  <si>
    <t>A | X Embroidery LOGO - M / Maroon (x1), A | X Embroidery LOGO - M / Navy (x1), A | X Embroidery LOGO - M / Black (x1)</t>
  </si>
  <si>
    <t>TR30343</t>
  </si>
  <si>
    <t>nouman ahmed</t>
  </si>
  <si>
    <t>Ch abdul Rehman St No 1 House No 7 Village Morgah Rawalpindi RAWALPINDI</t>
  </si>
  <si>
    <t xml:space="preserve">
 | 💰 COD Rec: 2026-04-03 | Ref: CPR-EP247894165 | Amt: 6699</t>
  </si>
  <si>
    <t>ADI Multi Ref Stripes - XL / White (x1), ADI Multi Ref Stripes - XL / Navy Blue (x1), ADI Ref Stripes - 2XL / White (x1), ADI Ref Stripes - 2XL / Black (x1)</t>
  </si>
  <si>
    <t>TR30344</t>
  </si>
  <si>
    <t>Ahmed Hussain</t>
  </si>
  <si>
    <t>H.no346Sector 11 Block E Orangi Town,karachi Karachi</t>
  </si>
  <si>
    <t>A | X Embroidery LOGO - 3XL / Biscuit (x1), A | X Embroidery LOGO - 3XL / Bottle Green (x1), A | X Embroidery LOGO - 3XL / Maroon (x1)</t>
  </si>
  <si>
    <t>PostEx WareHouse</t>
  </si>
  <si>
    <t>TR30345</t>
  </si>
  <si>
    <t>Dr Aabid</t>
  </si>
  <si>
    <t>2-E Askari 2, Bridge Colony. Cantt. Lahore</t>
  </si>
  <si>
    <t>allow to open  split kiya haaTR30767
 | 💰 COD Rec: 2026-04-03 | Ref: CPR-EP247894165 | Amt: 7048</t>
  </si>
  <si>
    <t>(Premium) Italian Texture Polo - L / Sky (x2), POLO RL - M / grey (x1)</t>
  </si>
  <si>
    <t>TR30346</t>
  </si>
  <si>
    <t>Muhammad Waqas Wasi</t>
  </si>
  <si>
    <t>Khanqah dogran mohlha Nawab pura Khanqah Dogran</t>
  </si>
  <si>
    <t>Khanqah Dogran</t>
  </si>
  <si>
    <t>LE7530341162</t>
  </si>
  <si>
    <t xml:space="preserve">confirm out of city  haa kal receive kerla ga </t>
  </si>
  <si>
    <t>TR30347</t>
  </si>
  <si>
    <t>Fahad Younas</t>
  </si>
  <si>
    <t>Ferozpur road awan market Gali number 5 Lahore</t>
  </si>
  <si>
    <t>TR30348</t>
  </si>
  <si>
    <t>saeed Ahmad</t>
  </si>
  <si>
    <t>+923118825354</t>
  </si>
  <si>
    <t>No 2-district Court Rajan Pur Chamber Rajan Pur</t>
  </si>
  <si>
    <t xml:space="preserve">cancel ker dein nahi leni </t>
  </si>
  <si>
    <t>TR30349</t>
  </si>
  <si>
    <t>Ilyas Haider</t>
  </si>
  <si>
    <t>202 b block Jubliee Town lahore Lahore</t>
  </si>
  <si>
    <t>confirm on wp  not ans 
 | 💰 COD Rec: 2026-04-07 | Ref: CPR-XT60O810684 | Amt: 1899</t>
  </si>
  <si>
    <t>TR30350</t>
  </si>
  <si>
    <t>Malik umar</t>
  </si>
  <si>
    <t>Mohalaa ghazi khokhar Gujrat Gujrat</t>
  </si>
  <si>
    <t>confirm 
 | 💰 COD Rec: 2026-04-10 | Ref: CPR-XWOR8962608 | Amt: 3348</t>
  </si>
  <si>
    <t>CPR-XWOR8962608</t>
  </si>
  <si>
    <t>TR30351</t>
  </si>
  <si>
    <t>Phase 3 Hayatabad, H.no. 77, St. 3, Sector K-1, Peshawar Pakistan Peshawar</t>
  </si>
  <si>
    <t>TR30352</t>
  </si>
  <si>
    <t>Muhammad Sohail</t>
  </si>
  <si>
    <t>Room no 114 PCL branch passport office G/8-1 Islamabad Islamabad</t>
  </si>
  <si>
    <t>TR30353</t>
  </si>
  <si>
    <t>+923455553501</t>
  </si>
  <si>
    <t>confirm 
 | 💰 COD Rec: 2026-04-03 | Ref: CPR-EP247894165 | Amt: 4149</t>
  </si>
  <si>
    <t>Multi ref PUM-A - XL / White (x2)</t>
  </si>
  <si>
    <t>TR30354</t>
  </si>
  <si>
    <t>Kamran Muhammad</t>
  </si>
  <si>
    <t>sar suba shah kallar syedan rawalpindi</t>
  </si>
  <si>
    <t xml:space="preserve">cancel to late eid ka liya leni thi </t>
  </si>
  <si>
    <t>TR30355</t>
  </si>
  <si>
    <t>Raja Kashif</t>
  </si>
  <si>
    <t>M.Yousaf machinery stor chudhry plaza aqas cenma rood aqab CNG station nangi Ada mirpur Azad Kashmir Mirpur Azad Kashmir</t>
  </si>
  <si>
    <t>conifrm 
 | 💰 COD Rec: 2026-03-31 | Ref: CPR-6B0MN221209 | Amt: 3348</t>
  </si>
  <si>
    <t>TR30356</t>
  </si>
  <si>
    <t>Ahtsham Sarwar</t>
  </si>
  <si>
    <t>Leaped office Pirmahal</t>
  </si>
  <si>
    <t xml:space="preserve">cancel ker dein nahi lena 
ma khud ap ko back call kerta hoo </t>
  </si>
  <si>
    <t>Tariq Ahmad</t>
  </si>
  <si>
    <t>Askari 1 # 54 Sialkot</t>
  </si>
  <si>
    <t xml:space="preserve"> confirm 
 | 💰 COD Rec: 2026-04-17 | Ref: CPR-RAGFP443199 | Amt: 3348</t>
  </si>
  <si>
    <t>TR30358</t>
  </si>
  <si>
    <t>Ahmed Rohail</t>
  </si>
  <si>
    <t>415-A1 PGECHS phase 1,PIA road lahore Lahore</t>
  </si>
  <si>
    <t>TR30359</t>
  </si>
  <si>
    <t>Shuja Hussain</t>
  </si>
  <si>
    <t>Qasimbaig muhallah dakpura gilgit city Gilgit</t>
  </si>
  <si>
    <t xml:space="preserve">cancel mana cancel kerva diya tha </t>
  </si>
  <si>
    <t>TR30360</t>
  </si>
  <si>
    <t>TR30361</t>
  </si>
  <si>
    <t>Arshad Ahmad</t>
  </si>
  <si>
    <t>+923017771223</t>
  </si>
  <si>
    <t>Peerzada clinic and maternity home Noor pur road head raj Kan tehsil yazman distt bhawalpur Head raj kan</t>
  </si>
  <si>
    <t>Head raj kan</t>
  </si>
  <si>
    <t>TR30362</t>
  </si>
  <si>
    <t>Saqib Pasha</t>
  </si>
  <si>
    <t>+923122711559</t>
  </si>
  <si>
    <t>House G 1972 orangi twin karachi Karachi</t>
  </si>
  <si>
    <t>allow to open confirm 
 | ↩️ Return Charged: 2026-04-10 | Ref: CPR-XWOR8962608 | Fee: 235.70999999999998</t>
  </si>
  <si>
    <t>TR30363</t>
  </si>
  <si>
    <t>Aqib Hussain</t>
  </si>
  <si>
    <t>Zarfawal Dhamthal Stop</t>
  </si>
  <si>
    <t>Dhamthal Stop</t>
  </si>
  <si>
    <t>TR30364</t>
  </si>
  <si>
    <t>Shahid Rafiq</t>
  </si>
  <si>
    <t>H810 inside akbari mandi lahore Lahore</t>
  </si>
  <si>
    <t>confirnm  koi nahi aya 
 | 💰 COD Rec: 2026-04-07 | Ref: CPR-XT60O810684 | Amt: 5100</t>
  </si>
  <si>
    <t>ADI - EMBOSSED LOGO (Cotton) - M / Black (x1), Embossed NIK-E - M / Black (x2)</t>
  </si>
  <si>
    <t>TR30365</t>
  </si>
  <si>
    <t>Hassan Asghar</t>
  </si>
  <si>
    <t>+923368564337</t>
  </si>
  <si>
    <t>MC 537-538, Green Town, Asif Road , Karachi. At Pak Aspire School System Karachi</t>
  </si>
  <si>
    <t>order is paid 2500 received to Umair Bhai account 
 | 💰 COD Rec: 2026-03-31 | Ref: CPR-6B0MN221209 | Amt: 2500</t>
  </si>
  <si>
    <t>TR30366</t>
  </si>
  <si>
    <t>Asfand Zakir</t>
  </si>
  <si>
    <t>Room H2 chiltan mess , quetta cantt Quetta</t>
  </si>
  <si>
    <t>TR30367</t>
  </si>
  <si>
    <t>Malik shoukat All star sports factory</t>
  </si>
  <si>
    <t>Akbar abad road duberji arain near hyder fllor mill Sialkot</t>
  </si>
  <si>
    <t xml:space="preserve">cancel alredy order this one </t>
  </si>
  <si>
    <t>TR30368</t>
  </si>
  <si>
    <t>Aafaq Shah</t>
  </si>
  <si>
    <t>Kot mir yaqoob ali shah near station road rohri Sukkur</t>
  </si>
  <si>
    <t>TR30369</t>
  </si>
  <si>
    <t>TR30370</t>
  </si>
  <si>
    <t>Masood Sani</t>
  </si>
  <si>
    <t>House no 424 street no 8 sarhand colony Toba tek singh</t>
  </si>
  <si>
    <t>Toba tek singh</t>
  </si>
  <si>
    <t>allow to open 
 | 💰 COD Rec: 2026-03-31 | Ref: CPR-6B0MN221209 | Amt: 3348</t>
  </si>
  <si>
    <t>TR30371</t>
  </si>
  <si>
    <t>MOHSIN JUTT</t>
  </si>
  <si>
    <t>Lahore Shahkot</t>
  </si>
  <si>
    <t>TR30372</t>
  </si>
  <si>
    <t>TR30373</t>
  </si>
  <si>
    <t>Quetta cantt near Akram Market Quetta</t>
  </si>
  <si>
    <t>TR30374</t>
  </si>
  <si>
    <t>Raees Ch</t>
  </si>
  <si>
    <t>Madena material and sentry store bypass Khuiratta Khuiratta</t>
  </si>
  <si>
    <t>confirm
 | 💰 COD Rec: 2026-04-10 | Ref: CPR-XWOR8962608 | Amt: 2099</t>
  </si>
  <si>
    <t>POLO RL - M / Blue (x1)</t>
  </si>
  <si>
    <t>TR30375</t>
  </si>
  <si>
    <t>Araiz Hassan</t>
  </si>
  <si>
    <t>86 D-1 Main boulevard Gulberg III LAHORE Lahore</t>
  </si>
  <si>
    <t xml:space="preserve">
 | 💰 COD Rec: 2026-03-31 | Ref: CPR-6B0MN221209 | Amt: 3099</t>
  </si>
  <si>
    <t>Imported Scoba Executive Adi Tro - M / Silver Grey (x1)</t>
  </si>
  <si>
    <t>TR30376</t>
  </si>
  <si>
    <t>FAISAL KHAN</t>
  </si>
  <si>
    <t>MMC HOSPITAL  FUL SAWKYI BATKHELA BATKHELA</t>
  </si>
  <si>
    <t>BATKHELA</t>
  </si>
  <si>
    <t>LE7530338720</t>
  </si>
  <si>
    <t>Return received at Insta Hub</t>
  </si>
  <si>
    <t>TR30377</t>
  </si>
  <si>
    <t>Nehal Nayani</t>
  </si>
  <si>
    <t>+923462822311</t>
  </si>
  <si>
    <t>Flat # 101, Hussaini Pride, Near nishtar park, Soldier bazar, Karachi. Karachi</t>
  </si>
  <si>
    <t xml:space="preserve">
 | 💰 COD Rec: 2026-03-31 | Ref: CPR-6B0MN221209 | Amt: 6699</t>
  </si>
  <si>
    <t>ADI Multi Ref Stripes - 2XL / Navy Blue (x1), ADI Multi Ref Stripes - 2XL / Maroon (x1), ADI Ref Stripes - 2XL / White (x1), ADI Ref Stripes - 2XL / Black (x1)</t>
  </si>
  <si>
    <t>TR30378</t>
  </si>
  <si>
    <t>Maher Waqas</t>
  </si>
  <si>
    <t>4 km gojra road street no 3 323jb tarandi Toba Tek Singh</t>
  </si>
  <si>
    <t>confirm not ans 
 | ↩️ Return Charged: 2026-04-10 | Ref: CPR-XWOR8962608 | Fee: 220.98</t>
  </si>
  <si>
    <t>TR30379</t>
  </si>
  <si>
    <t>+923212851301</t>
  </si>
  <si>
    <t>h.no bc44 st 02 Bilal colony kuri road shekrial rwp Rawalpindi</t>
  </si>
  <si>
    <t>confirm 
 | 💰 COD Rec: 2026-04-07 | Ref: CPR-XT60O810684 | Amt: 1449</t>
  </si>
  <si>
    <t>TR30380</t>
  </si>
  <si>
    <t>Muhammad Shah</t>
  </si>
  <si>
    <t>44- E-awais Qarni Block Bahria Town Lahore</t>
  </si>
  <si>
    <t xml:space="preserve">
 | 💰 COD Rec: 2026-03-31 | Ref: CPR-6B0MN221209 | Amt: 2049</t>
  </si>
  <si>
    <t>TR30381</t>
  </si>
  <si>
    <t>Amjad Ali Shah</t>
  </si>
  <si>
    <t>N.S. Surgical  Company,opposite main Naadra Office defense Road Sialkot</t>
  </si>
  <si>
    <t>confirm 
 | 💰 COD Rec: 2026-04-03 | Ref: CPR-EP247894165 | Amt: 2848</t>
  </si>
  <si>
    <t>(Premium) Italian Texture Polo - L / Grey (x1)</t>
  </si>
  <si>
    <t>TR30382</t>
  </si>
  <si>
    <t>Surat Ali</t>
  </si>
  <si>
    <t>Dera Bugti Sui</t>
  </si>
  <si>
    <t>Sui</t>
  </si>
  <si>
    <t>TR30383</t>
  </si>
  <si>
    <t>Kashif Razzaq Kashif Razzaq</t>
  </si>
  <si>
    <t>Tahsil jahaniya zila khandwa chak nambr 114 Jahania Mandi</t>
  </si>
  <si>
    <t>Jahania Mandi</t>
  </si>
  <si>
    <t>LE7530341166</t>
  </si>
  <si>
    <t xml:space="preserve">confirm  open to allow </t>
  </si>
  <si>
    <t>TR30384</t>
  </si>
  <si>
    <t>Hassan khan Hassan khan</t>
  </si>
  <si>
    <t>Multan Marquee Near Choungi Number 6 Bosan Road Multan</t>
  </si>
  <si>
    <t>TR30385</t>
  </si>
  <si>
    <t>Laliya House, Dhok Laliyal opposite Bilal Masjid main KRL road near old Islamabad airport Punjab, Rawalpindi, Laliya House, Dhok Laliyal opposite Bilal Masjid main KRL road near old Islamabad airport Punjab, Rawalpindi Rawalpindi</t>
  </si>
  <si>
    <t xml:space="preserve">
 | 💰 COD Rec: 2026-03-31 | Ref: CPR-6B0MN221209 | Amt: 1499</t>
  </si>
  <si>
    <t>TR30386</t>
  </si>
  <si>
    <t>Dr irfan Ullah</t>
  </si>
  <si>
    <t>Smile King's Centre Of Dentistry Shop No 24 Asma Garden Scout Colony Gulshan-e-iqbal Karachi Karachi</t>
  </si>
  <si>
    <t>TR30387</t>
  </si>
  <si>
    <t>Arshad Adnan</t>
  </si>
  <si>
    <t>Mahalia jhatla nazd Pani wali Tanki kabristan talagang talagang</t>
  </si>
  <si>
    <t>talagang</t>
  </si>
  <si>
    <t>LE7530339825</t>
  </si>
  <si>
    <t xml:space="preserve">confirm lcs </t>
  </si>
  <si>
    <t>TR30388</t>
  </si>
  <si>
    <t>tahir butt</t>
  </si>
  <si>
    <t>372E block sabzazar lahore lahore</t>
  </si>
  <si>
    <t>confirm  bhai rider open nahi kerna da raha ma aus ko pahen ker check kerna chatha hoo 
 | ↩️ Return Charged: 2026-04-10 | Ref: CPR-XWOR8962608 | Fee: 117.86</t>
  </si>
  <si>
    <t>TR30389</t>
  </si>
  <si>
    <t>Numan Ali</t>
  </si>
  <si>
    <t>+923139600771</t>
  </si>
  <si>
    <t>Village Qandil Post office Madyan District swat Khyber Pukhtoon Khwa Qandil madyan swat KPK</t>
  </si>
  <si>
    <t>Qandil madyan swat KPK</t>
  </si>
  <si>
    <t>LE7530382473</t>
  </si>
  <si>
    <t xml:space="preserve">qandil tcs /lcs 250dc advance </t>
  </si>
  <si>
    <t>Multi ref PUM-A - XL / White (x1), Multi ref PUM-A - XL / Black (x1), ADI Ref Stripes - XL / White (x1), ADI Ref Stripes - XL / Black (x1), Basic RL Crew- Cotton - L / Sea green (x1)</t>
  </si>
  <si>
    <t>TR30390</t>
  </si>
  <si>
    <t>usman Haider</t>
  </si>
  <si>
    <t>street # 15 Sulemanpura/Mukhtar colony road near Abdullah Niazi Masjid Bhalwal</t>
  </si>
  <si>
    <t>TR30391</t>
  </si>
  <si>
    <t>JUNAID Fareed</t>
  </si>
  <si>
    <t>Muzaffarabad Muzaffarbad</t>
  </si>
  <si>
    <t>Muzaffarbad</t>
  </si>
  <si>
    <t>LE7530339828</t>
  </si>
  <si>
    <t>TR30392</t>
  </si>
  <si>
    <t>Shahroz Tariq</t>
  </si>
  <si>
    <t>Village Domala, Near Govt High School Narowal</t>
  </si>
  <si>
    <t>TR30393</t>
  </si>
  <si>
    <t>Khawaja Waqas</t>
  </si>
  <si>
    <t>+923214080300</t>
  </si>
  <si>
    <t>House no 11 street no 1 ahbab colony 12 multan road Lahore</t>
  </si>
  <si>
    <t xml:space="preserve">
 | 💰 COD Rec: 2026-03-31 | Ref: CPR-6B0MN221209 | Amt: 4498</t>
  </si>
  <si>
    <t>A | X Embroidery LOGO - 2XL / Black (x1), (Premium) Italian Texture Polo - Xl / Mustard (x1)</t>
  </si>
  <si>
    <t>TR30394</t>
  </si>
  <si>
    <t>Muhammad Mikaeel</t>
  </si>
  <si>
    <t>Apt f1, Karakoram enclave 1, f-11/1 Islamabad</t>
  </si>
  <si>
    <t xml:space="preserve">
 | 💰 COD Rec: 2026-04-07 | Ref: CPR-XT60O810684 | Amt: 3348</t>
  </si>
  <si>
    <t>TR30395</t>
  </si>
  <si>
    <t>Ahmer Yasir</t>
  </si>
  <si>
    <t>Askari 11 sector c building 66 flat 10 Lahore</t>
  </si>
  <si>
    <t xml:space="preserve">
 | ↩️ Return Charged: 2026-04-03 | Ref: CPR-EP247894165 | Fee: 117.86</t>
  </si>
  <si>
    <t>TR30396</t>
  </si>
  <si>
    <t>Hamza Bilal</t>
  </si>
  <si>
    <t>+923212635046</t>
  </si>
  <si>
    <t>R41/2 khe-e-saadi phase 7 DHA karachi Karachi</t>
  </si>
  <si>
    <t>TR30397</t>
  </si>
  <si>
    <t>MUHAMMAD” SALEEM</t>
  </si>
  <si>
    <t>Dara Ch Ahktar Hussain Shaheed Kamahan Talab Wali Masjid Chungi Amar Sadu Lahore</t>
  </si>
  <si>
    <t>rider ki koi call nahi ai 
 | ↩️ Return Charged: 2026-04-07 | Ref: CPR-XT60O810684 | Fee: 117.86</t>
  </si>
  <si>
    <t>TR30398</t>
  </si>
  <si>
    <t>Beat 32,motorway police office matiari, matiari. Matairi</t>
  </si>
  <si>
    <t>TR30399</t>
  </si>
  <si>
    <t>C/O Station Officers Mess Skardu, GB 16100, Pakistan Skardu, GB</t>
  </si>
  <si>
    <t>Skardu, GB</t>
  </si>
  <si>
    <t>LE7530274512</t>
  </si>
  <si>
    <t>TR30400</t>
  </si>
  <si>
    <t>Daniyal Ahmed</t>
  </si>
  <si>
    <t>Iqbal street kamran jutt apartment flat no 17 near civil hospital main G.T road kharian Kharian</t>
  </si>
  <si>
    <t>confirm 
 | 💰 COD Rec: 2026-04-07 | Ref: CPR-XT60O810684 | Amt: 2199</t>
  </si>
  <si>
    <t>TR30401</t>
  </si>
  <si>
    <t>Hafizabad Tulip City, Street No -09, House No C-180,Engr.Muhammad Usman Hafizabad</t>
  </si>
  <si>
    <t>TR30402</t>
  </si>
  <si>
    <t>AZIZUR REHMAN</t>
  </si>
  <si>
    <t>House No 753, Street No 32, F-17/3 (Multi Professional Society), Islamabad Islamabad</t>
  </si>
  <si>
    <t>TR30403</t>
  </si>
  <si>
    <t>Qinchi amer sedhu lahore 314/6 e block lahore Lahore</t>
  </si>
  <si>
    <t xml:space="preserve">cancel shop sa a ker la gaaaTR30404
both not ans </t>
  </si>
  <si>
    <t>TR30404</t>
  </si>
  <si>
    <t>+923029628767</t>
  </si>
  <si>
    <t>cancel shop sa a ker la gaaaTR30403</t>
  </si>
  <si>
    <t>TR30405</t>
  </si>
  <si>
    <t>Frasat Ali</t>
  </si>
  <si>
    <t>Nestle sheikhupura 29km lahore road sheikhupura Sheikhupura</t>
  </si>
  <si>
    <t>confirm  kal receive ker la gaaa 
 | ↩️ Return Charged: 2026-04-10 | Ref: CPR-XWOR8962608 | Fee: 243.08</t>
  </si>
  <si>
    <t>hassan Screen</t>
  </si>
  <si>
    <t>Mian Screen Center Libarti Palaza Deera Adda Multan Multan</t>
  </si>
  <si>
    <t>TR30407</t>
  </si>
  <si>
    <t>USMAN MUHAMMAD</t>
  </si>
  <si>
    <t>St # 1 sufipura Mandi bahauddin</t>
  </si>
  <si>
    <t>Mandi bahauddin</t>
  </si>
  <si>
    <t>confirm  not ans
 | ↩️ Return Charged: 2026-04-10 | Ref: CPR-XWOR8962608 | Fee: 243.08</t>
  </si>
  <si>
    <t>TR30408</t>
  </si>
  <si>
    <t>Muhammad SaadUllah Ali</t>
  </si>
  <si>
    <t>+923087686558</t>
  </si>
  <si>
    <t>Appt #2-B ,Askari 5 Malir cantt , Karachi Karachi</t>
  </si>
  <si>
    <t xml:space="preserve">
 | ↩️ Return Charged: 2026-04-10 | Ref: CPR-XWOR8962608 | Fee: 235.70999999999998</t>
  </si>
  <si>
    <t>TR30409</t>
  </si>
  <si>
    <t>Ali jan Ali jan</t>
  </si>
  <si>
    <t>D.g.khan block 53 asad public School near Amir milk shop D.g.khan</t>
  </si>
  <si>
    <t>D.g.khan</t>
  </si>
  <si>
    <t>TR30410</t>
  </si>
  <si>
    <t>Muhammad Owais</t>
  </si>
  <si>
    <t>+923455933242</t>
  </si>
  <si>
    <t>Billing branch, PAEC Hospital,P.O. KCP Colony, Chowk Girote, Jauharabad, Khushab. Joharabad</t>
  </si>
  <si>
    <t>Joharabad</t>
  </si>
  <si>
    <t xml:space="preserve">
 | 💰 COD Rec: 2026-03-31 | Ref: CPR-6B0MN221209 | Amt: 1899</t>
  </si>
  <si>
    <t>TR30411</t>
  </si>
  <si>
    <t>Muhammad Ehsan</t>
  </si>
  <si>
    <t>House no 181 street number 97 Sector i8-4 Islamabad Islamabad</t>
  </si>
  <si>
    <t xml:space="preserve">
 | ↩️ Return Charged: 2026-04-07 | Ref: CPR-XT60O810684 | Fee: 220.98</t>
  </si>
  <si>
    <t>TR30412</t>
  </si>
  <si>
    <t>Saleem Hussain Hussain</t>
  </si>
  <si>
    <t>+923215402222</t>
  </si>
  <si>
    <t>House 505 Street 109 Sector I-8/4 Islamabad</t>
  </si>
  <si>
    <t>TR30413</t>
  </si>
  <si>
    <t>Imran Raza</t>
  </si>
  <si>
    <t>Chak No 38 E.b Tehsil Arif Wala District Pakpattan Arifwala</t>
  </si>
  <si>
    <t xml:space="preserve">
 | ↩️ Return Charged: 2026-04-03 | Ref: CPR-EP247894165 | Fee: 220.98</t>
  </si>
  <si>
    <t>TR30414</t>
  </si>
  <si>
    <t>Zill E Ali Khan</t>
  </si>
  <si>
    <t>House no 94 mohlla Peeran wala Jhang sadar Jhang</t>
  </si>
  <si>
    <t>TR30415</t>
  </si>
  <si>
    <t>Amir Nasir</t>
  </si>
  <si>
    <t>303\13 C Block Dha Phase 8 Expark View Lahore</t>
  </si>
  <si>
    <t>TR30416</t>
  </si>
  <si>
    <t>Ali Husnain</t>
  </si>
  <si>
    <t>main gt road near Traffic warden office But biryani GUJRANWALA Gujranwala</t>
  </si>
  <si>
    <t xml:space="preserve">
 | ↩️ Return Charged: 2026-04-10 | Ref: CPR-XWOR8962608 | Fee: 220.98</t>
  </si>
  <si>
    <t>TR30417</t>
  </si>
  <si>
    <t>Danial Asghar</t>
  </si>
  <si>
    <t>191 G block wapda city expressway faisalabad Faisalabad</t>
  </si>
  <si>
    <t xml:space="preserve">
 | 💰 COD Rec: 2026-03-31 | Ref: CPR-6B0MN221209 | Amt: 3499</t>
  </si>
  <si>
    <t>TR30418</t>
  </si>
  <si>
    <t>jameel ahmed</t>
  </si>
  <si>
    <t>Nukkondi . tehsil dahkkhana chaghi</t>
  </si>
  <si>
    <t>chaghi</t>
  </si>
  <si>
    <t xml:space="preserve">boll raha nukkondi ma sirf pobox haa cancel </t>
  </si>
  <si>
    <t>TR30419</t>
  </si>
  <si>
    <t>Ayesha Rana</t>
  </si>
  <si>
    <t>Cambridge College Hiran Minar Road Near Railway Crossing Sheikhupura Sheikhupura</t>
  </si>
  <si>
    <t>TR30420</t>
  </si>
  <si>
    <t>Ali Tayyab Aslam</t>
  </si>
  <si>
    <t>House 13 Street 5 gulberg Residence near Toyota Royal Motors Rahim Yar Khan</t>
  </si>
  <si>
    <t>TR30421</t>
  </si>
  <si>
    <t>Arslan Yaqoob</t>
  </si>
  <si>
    <t>Lodhay Road Nae Abadi Sohawa Daska Sialkot</t>
  </si>
  <si>
    <t xml:space="preserve">cancel to late eid ko chaiya thi ab nahi chaiya </t>
  </si>
  <si>
    <t>TR30422</t>
  </si>
  <si>
    <t>TR30423</t>
  </si>
  <si>
    <t>M Irfan Awan</t>
  </si>
  <si>
    <t>Self collection at TCS, Leopard Courier office at Rafiqui chowk Shorkot Rafiqui chowk Shorkot</t>
  </si>
  <si>
    <t>Rafiqui chowk Shorkot</t>
  </si>
  <si>
    <t>LE7530276119</t>
  </si>
  <si>
    <t>TR30424</t>
  </si>
  <si>
    <t>Shafaat Rehman</t>
  </si>
  <si>
    <t>+923005630424</t>
  </si>
  <si>
    <t>Regional Campus Allama Iqbal Open Universit College Colony Saudu Sharif Swat Swat</t>
  </si>
  <si>
    <t>TR30425</t>
  </si>
  <si>
    <t>+923216604614</t>
  </si>
  <si>
    <t xml:space="preserve">
 | 💰 COD Rec: 2026-03-31 | Ref: CPR-6B0MN221209 | Amt: 4749</t>
  </si>
  <si>
    <t>ADI - EMBOSSED LOGO - M / Zinc Blue (x1), A | X Embroidery LOGO - M / Olive (x1), A | X Embroidery LOGO - M / Maroon (x1)</t>
  </si>
  <si>
    <t>TR30426</t>
  </si>
  <si>
    <t>SHAHZADA KHURRAM</t>
  </si>
  <si>
    <t>64 c 1 st floor model Town Lahore</t>
  </si>
  <si>
    <t>TR30427</t>
  </si>
  <si>
    <t>kashif liaqat</t>
  </si>
  <si>
    <t>People Colony Social Security Rood Near Masjid Usman Bin Afan Mumtazabad Multan Multan</t>
  </si>
  <si>
    <t>LE7530342379</t>
  </si>
  <si>
    <t xml:space="preserve">confirm  ma soo raha tha rider call ker raha tha </t>
  </si>
  <si>
    <t>TR30428</t>
  </si>
  <si>
    <t>Yasir ali Shah</t>
  </si>
  <si>
    <t>+923327835717</t>
  </si>
  <si>
    <t>Punjab Churinge rengeer ground Karachi</t>
  </si>
  <si>
    <t>TR30429</t>
  </si>
  <si>
    <t>Adnan Rafiq</t>
  </si>
  <si>
    <t>Main office ismail Green Millat Road Faisalabad</t>
  </si>
  <si>
    <t xml:space="preserve">cancel galti sa again order ho gaya tha </t>
  </si>
  <si>
    <t>TR30430</t>
  </si>
  <si>
    <t>Rizwan Balushi</t>
  </si>
  <si>
    <t>+923240663775</t>
  </si>
  <si>
    <t>Landhi sharafi naik mohammad goth b Khi</t>
  </si>
  <si>
    <t>TR30431</t>
  </si>
  <si>
    <t>Ismail Bhatti</t>
  </si>
  <si>
    <t>Muhammadia masjid Golarchi Sfr Golarchi</t>
  </si>
  <si>
    <t>Sfr Golarchi</t>
  </si>
  <si>
    <t>TR30432</t>
  </si>
  <si>
    <t>St-205,flat ni -9, meqat plaza, Jinnah garden phase -I islamabad Islamabad</t>
  </si>
  <si>
    <t xml:space="preserve">
 | 💰 COD Rec: 2026-03-31 | Ref: CPR-6B0MN221209 | Amt: 4947</t>
  </si>
  <si>
    <t>ADI-Trouser Tri strip - M / Navy Blue (x1), Multi ref PUM-A - M / White (x1), Multi ref PUM-A - M / Black (x1)</t>
  </si>
  <si>
    <t>TR30433</t>
  </si>
  <si>
    <t>Adnan hussain</t>
  </si>
  <si>
    <t>+923425439508</t>
  </si>
  <si>
    <t>Khomer damote gilgit Gilgit</t>
  </si>
  <si>
    <t>LE7530338722</t>
  </si>
  <si>
    <t>TR30434</t>
  </si>
  <si>
    <t>Makkah traders center plate killa road Muza</t>
  </si>
  <si>
    <t>Muza</t>
  </si>
  <si>
    <t>TR30435</t>
  </si>
  <si>
    <t>Temoor Moghul</t>
  </si>
  <si>
    <t>Plot 4c , 3rd floor , flat 5 , Lane 9 , Bukhari Commerical Bara near The Mart Karachi</t>
  </si>
  <si>
    <t xml:space="preserve">
 | ↩️ Return Charged: 2026-04-07 | Ref: CPR-XT60O810684 | Fee: 235.70999999999998</t>
  </si>
  <si>
    <t>TR30436</t>
  </si>
  <si>
    <t>Rizwan Jadgaal</t>
  </si>
  <si>
    <t>+923020326033</t>
  </si>
  <si>
    <t>Landhi korangi sharafi goth Khi</t>
  </si>
  <si>
    <t>Multi ref PUM-A - L / White (x1), Multi ref PUM-A - L / Black (x1), ADI-Trouser Tri strip - L / Black (x1)</t>
  </si>
  <si>
    <t>TR30437</t>
  </si>
  <si>
    <t>Princejutt704@gmail.com Jutt</t>
  </si>
  <si>
    <t>Pha Cloni Block 2. Flat 5. Near Uet Lahore</t>
  </si>
  <si>
    <t>TR30438</t>
  </si>
  <si>
    <t>Shoaib Sadiq</t>
  </si>
  <si>
    <t>Basti Hussaina Bd Sardar Pur Road Kabirwala Kabirwala</t>
  </si>
  <si>
    <t xml:space="preserve">cancel alredy pirchase ker li hain </t>
  </si>
  <si>
    <t>TR30439</t>
  </si>
  <si>
    <t>Nawab Waheed khan Chandio</t>
  </si>
  <si>
    <t>Chandio House Ahsan Colony Phase 2 Larkana Larkana</t>
  </si>
  <si>
    <t>TR30440</t>
  </si>
  <si>
    <t>+9203467763370</t>
  </si>
  <si>
    <t>Gujra road jhang Jhang</t>
  </si>
  <si>
    <t>TR30441</t>
  </si>
  <si>
    <t>muhammad khalid</t>
  </si>
  <si>
    <t>Office 15a, Plot 12c, Behind Hill View Hotel F.7 Markaz Islamabad Islamabad</t>
  </si>
  <si>
    <t>koi nahi aya no answere
 | ↩️ Return Charged: 2026-04-14 | Ref: CPR-95P3C418437 | Fee: 220.98</t>
  </si>
  <si>
    <t>TR30442</t>
  </si>
  <si>
    <t>M nadeem M,nadeem</t>
  </si>
  <si>
    <t>Shary reshom sfdr road near ornteil pblik school mansehra Mansehra Ps City Manshra</t>
  </si>
  <si>
    <t>Mansehra Ps City Manshra</t>
  </si>
  <si>
    <t>confirm  rider na koi call nahi ki 
 | ↩️ Return Charged: 2026-04-10 | Ref: CPR-XWOR8962608 | Fee: 235.70999999999998</t>
  </si>
  <si>
    <t>TR30443</t>
  </si>
  <si>
    <t>Zahid Maqbool</t>
  </si>
  <si>
    <t>House 141 St 2 Chohan Colony Baghatpura, Shad Bagh Lahore</t>
  </si>
  <si>
    <t>confirm 
 | 💰 COD Rec: 2026-03-31 | Ref: CPR-6B0MN221209 | Amt: 3499</t>
  </si>
  <si>
    <t>TR30444</t>
  </si>
  <si>
    <t>Jahanzeb Khan</t>
  </si>
  <si>
    <t>+923369797024</t>
  </si>
  <si>
    <t>Near national bank serai naurang Serai Naurang</t>
  </si>
  <si>
    <t>Serai Naurang</t>
  </si>
  <si>
    <t>cancel alredy order kiya hua haa TR30465</t>
  </si>
  <si>
    <t>TR30445</t>
  </si>
  <si>
    <t>Muhammad Nadeem</t>
  </si>
  <si>
    <t>Pakpattan shrif Pakpattan jumal</t>
  </si>
  <si>
    <t>Pakpattan jumal</t>
  </si>
  <si>
    <t>TR30446</t>
  </si>
  <si>
    <t>amad aleem</t>
  </si>
  <si>
    <t>House 900, Street 26, abu bakar block, phase 8, bahria town Rawalpindi</t>
  </si>
  <si>
    <t>TR30447</t>
  </si>
  <si>
    <t>Mohamed Chamsy</t>
  </si>
  <si>
    <t>+923015215030</t>
  </si>
  <si>
    <t>Secteur F 8-4 Street 51 House 8-B Islamabad</t>
  </si>
  <si>
    <t>TR30448</t>
  </si>
  <si>
    <t>Syed Nusrat Agha</t>
  </si>
  <si>
    <t>Station Road Bacha Khan Chowk Al sadaat Hotel Chowk Hyderabad sindh _ Hyderabad</t>
  </si>
  <si>
    <t>A | X Embroidery LOGO - 3XL / White (x1), A | X Embroidery LOGO - 3XL / Maroon (x1)</t>
  </si>
  <si>
    <t>TR30449</t>
  </si>
  <si>
    <t>Wali Rehman</t>
  </si>
  <si>
    <t>Room No 1 Malakand</t>
  </si>
  <si>
    <t>TR30450</t>
  </si>
  <si>
    <t>Qamar Iqbal</t>
  </si>
  <si>
    <t>House # 30 Block B1 Wapda Town Gujranwala</t>
  </si>
  <si>
    <t xml:space="preserve">
 | 💰 COD Rec: 2026-03-31 | Ref: CPR-6B0MN221209 | Amt: 1848</t>
  </si>
  <si>
    <t>TR30451</t>
  </si>
  <si>
    <t>M.Adnan Shahid</t>
  </si>
  <si>
    <t>Mahmood Associates Aaa Plaza G.10 Markaz Islamabad Islamabad</t>
  </si>
  <si>
    <t>TR30452</t>
  </si>
  <si>
    <t>Muhammad Adnan Shahid</t>
  </si>
  <si>
    <t>+923465404014</t>
  </si>
  <si>
    <t>Mahmood Associate AAA plaza G.10 Markaz Islamabad</t>
  </si>
  <si>
    <t>confirm open to allow 
 | ↩️ Return Charged: 2026-04-10 | Ref: CPR-XWOR8962608 | Fee: 243.08</t>
  </si>
  <si>
    <t>TR30453</t>
  </si>
  <si>
    <t>Talha Arshad</t>
  </si>
  <si>
    <t>H#R-166 1st floor, Salman Garden, Jamia millia road, Malir, Karachi Karachi</t>
  </si>
  <si>
    <t>TR30454</t>
  </si>
  <si>
    <t>Kashif Ali Kashi</t>
  </si>
  <si>
    <t>+9203021004717</t>
  </si>
  <si>
    <t>Street No.12 Mohala Shakrooabad Okara</t>
  </si>
  <si>
    <t>TR30455</t>
  </si>
  <si>
    <t>Noman Noman</t>
  </si>
  <si>
    <t>House Numbr 1 St 4 Super Awan Market Wandala Road Shadara Lahore Shahdara</t>
  </si>
  <si>
    <t>Shahdara</t>
  </si>
  <si>
    <t>confirm  koi nahi aya 
 | ↩️ Return Charged: 2026-04-14 | Ref: CPR-95P3C418437 | Fee: 243.08</t>
  </si>
  <si>
    <t>TR30456</t>
  </si>
  <si>
    <t>Noman Nome</t>
  </si>
  <si>
    <t>Super awan market shadara lahore Lahore</t>
  </si>
  <si>
    <t>TR30457</t>
  </si>
  <si>
    <t>Tanveer Ahmad</t>
  </si>
  <si>
    <t>Reliance cotton mills ferozwattoan Skp</t>
  </si>
  <si>
    <t>Skp</t>
  </si>
  <si>
    <t xml:space="preserve">
r ; not ans 
confirm call pick ker ka anas nahi ker raha 
 | ↩️ Return Charged: 2026-04-07 | Ref: CPR-XT60O810684 | Fee: 220.98</t>
  </si>
  <si>
    <t>TR30458</t>
  </si>
  <si>
    <t>Amir Bux Bhutto</t>
  </si>
  <si>
    <t>Flat No 15 1st SITE Shopping Center Mangho Pir Road Karachi Near Railway Booking Office West Karachi Karachi</t>
  </si>
  <si>
    <t>TR30459</t>
  </si>
  <si>
    <t>Syed mehmood ali shah</t>
  </si>
  <si>
    <t>House No 111 Mohalla Garhi Syedaan I S Hasthnagri Gate Peshawar City Peshawar</t>
  </si>
  <si>
    <t>TR30460</t>
  </si>
  <si>
    <t>Farooq Ahmed</t>
  </si>
  <si>
    <t>Hassan grdan near anwar e madena masjad Kot Abdulmalk</t>
  </si>
  <si>
    <t>Kot Abdulmalk</t>
  </si>
  <si>
    <t>confirm 
 | 💰 COD Rec: 2026-04-03 | Ref: CPR-EP247894165 | Amt: 1848</t>
  </si>
  <si>
    <t>TR30461</t>
  </si>
  <si>
    <t>M Asim</t>
  </si>
  <si>
    <t>+923314242834</t>
  </si>
  <si>
    <t>House no. 123 block c1.faisal town Lahore Lahore</t>
  </si>
  <si>
    <t xml:space="preserve">
 | 💰 COD Rec: 2026-03-31 | Ref: CPR-6B0MN221209 | Amt: 3299</t>
  </si>
  <si>
    <t>TR30462</t>
  </si>
  <si>
    <t>Hafizabad Hafizabad</t>
  </si>
  <si>
    <t>confirm 
 | 💰 COD Rec: 2026-03-31 | Ref: CPR-6B0MN221209 | Amt: 2099</t>
  </si>
  <si>
    <t>TR30463</t>
  </si>
  <si>
    <t>Wajahat Latif</t>
  </si>
  <si>
    <t>TCS Office DIkan DIkhan</t>
  </si>
  <si>
    <t>DIkhan</t>
  </si>
  <si>
    <t>confirm 
 | 💰 COD Rec: 2026-03-31 | Ref: CPR-6B0MN221209 | Amt: 5099</t>
  </si>
  <si>
    <t>Tipping Crew - XL / Black (x1), A | X Embroidery LOGO - XL / Maroon (x1), ADI-Trouser Tri strip - XL / Grey (x1)</t>
  </si>
  <si>
    <t>TR30464</t>
  </si>
  <si>
    <t>Shamail Waseem</t>
  </si>
  <si>
    <t>MCB Tower, 7th Floor, CMU, I.I Chundrigar Road Karachi</t>
  </si>
  <si>
    <t xml:space="preserve">
 | 💰 COD Rec: 2026-04-03 | Ref: CPR-EP247894165 | Amt: 2199</t>
  </si>
  <si>
    <t>TR30465</t>
  </si>
  <si>
    <t>+9203369797024</t>
  </si>
  <si>
    <t>LE7530338726</t>
  </si>
  <si>
    <t>TR30466</t>
  </si>
  <si>
    <t>Khayyam Shakil</t>
  </si>
  <si>
    <t>Gulshan park near Nishat colony Lahore cantt Lahore</t>
  </si>
  <si>
    <t>TR30467</t>
  </si>
  <si>
    <t>Masood Ghallu</t>
  </si>
  <si>
    <t>House no 1/16 Tahir street .ain choke kehkashan colony Chanab nagar dist chiniot</t>
  </si>
  <si>
    <t>Chanab nagar dist chiniot</t>
  </si>
  <si>
    <t>TR30468</t>
  </si>
  <si>
    <t>Ihsan Ali Jamali</t>
  </si>
  <si>
    <t>Deputy Commissioner, Bhakkar</t>
  </si>
  <si>
    <t>TR30469</t>
  </si>
  <si>
    <t>House # M 42/1, Khayaban-e-Ittehad, Phase 7, DHA, Karachi Karachi</t>
  </si>
  <si>
    <t xml:space="preserve">
 | 💰 COD Rec: 2026-03-31 | Ref: CPR-6B0MN221209 | Amt: 3999</t>
  </si>
  <si>
    <t>Basic RL Crew- Cotton - L / Turkish blue (x1), Basic RL Crew- Cotton - L / Dark grey (x1), Basic RL Crew- Cotton - L / light chocolate (x1)</t>
  </si>
  <si>
    <t>TR30470</t>
  </si>
  <si>
    <t>Main salamat Pura road, daroga wala Lahore</t>
  </si>
  <si>
    <t>TR30471</t>
  </si>
  <si>
    <t>Baghbanpura lahore dera gujjran wara sattar town Lahore</t>
  </si>
  <si>
    <t>TR30472</t>
  </si>
  <si>
    <t>Aftab akhundn</t>
  </si>
  <si>
    <t>49/2  saba avenue  phase v ext. Dha karachi Karachi</t>
  </si>
  <si>
    <t>TR30473</t>
  </si>
  <si>
    <t>Bilal Shaukat Ali</t>
  </si>
  <si>
    <t>+923317263979</t>
  </si>
  <si>
    <t>Gali Gosht Market Makan No 8/37 Khanewal</t>
  </si>
  <si>
    <t>TR30474</t>
  </si>
  <si>
    <t>Awais Khan</t>
  </si>
  <si>
    <t>Mohalla arsala khel ghazni khel lakki marwat Lakki Marwat</t>
  </si>
  <si>
    <t>Lakki Marwat</t>
  </si>
  <si>
    <t xml:space="preserve">cancel ma out of city hoo </t>
  </si>
  <si>
    <t>TR30475</t>
  </si>
  <si>
    <t>Fiaz Ali</t>
  </si>
  <si>
    <t>+923008658988</t>
  </si>
  <si>
    <t>Mohala Farooq Abad Street No 15 Near Coca Cola Factory Samundri Road Faisalabad Faisalabad</t>
  </si>
  <si>
    <t>TR30476</t>
  </si>
  <si>
    <t>E-304 3rd floor chapel arcade2 opposite dollmin mall karachi Karachi</t>
  </si>
  <si>
    <t xml:space="preserve">
 | 💰 COD Rec: 2026-04-10 | Ref: CPR-XWOR8962608 | Amt: 2199</t>
  </si>
  <si>
    <t>Multi ref PUM-A - XL / Black (x1)</t>
  </si>
  <si>
    <t>TR30477</t>
  </si>
  <si>
    <t>Paf Base Faisal, Shara E Faisal Karachi Karachi</t>
  </si>
  <si>
    <t>TR30478</t>
  </si>
  <si>
    <t>ali awais</t>
  </si>
  <si>
    <t>near gov girls college,abu bakr masjid street gulbak colony.sarai alamgir distt gujrat sarai alamgir</t>
  </si>
  <si>
    <t>sarai alamgir</t>
  </si>
  <si>
    <t xml:space="preserve">
 | ↩️ Return Charged: 2026-04-03 | Ref: CPR-EP247894165 | Fee: 243.08</t>
  </si>
  <si>
    <t>TR30479</t>
  </si>
  <si>
    <t>Ikhtisham Ahmad</t>
  </si>
  <si>
    <t>Buner tehsil khadukhel totalai Buner</t>
  </si>
  <si>
    <t>Buner</t>
  </si>
  <si>
    <t>office sa receive ker la gaa tcs</t>
  </si>
  <si>
    <t>TR30480</t>
  </si>
  <si>
    <t>Gulraiz Ishtiaq</t>
  </si>
  <si>
    <t>Gang road street no.1 mihallah rasool pura sheikhupura Sheikhupura</t>
  </si>
  <si>
    <t>TR30481</t>
  </si>
  <si>
    <t>Shehzad Khattak</t>
  </si>
  <si>
    <t>House No. 34, Street 59, G-13/2, Islamabad Islamabad</t>
  </si>
  <si>
    <t>TR30482</t>
  </si>
  <si>
    <t>Ammad Akhtar</t>
  </si>
  <si>
    <t>House no 4 Street no 5 Block D SoanGarden Islamabad</t>
  </si>
  <si>
    <t xml:space="preserve">
 | 💰 COD Rec: 2026-03-31 | Ref: CPR-6B0MN221209 | Amt: 6198</t>
  </si>
  <si>
    <t>TR30483</t>
  </si>
  <si>
    <t>House No 1 New By Pass Near Green City Oppsite Bata Shoes Gaggoo Mandi Gaggoo mandi</t>
  </si>
  <si>
    <t>TR30484</t>
  </si>
  <si>
    <t>Huzaifa Hashmi</t>
  </si>
  <si>
    <t>Kl-1070 khola kehal abbottabad Abbottabad</t>
  </si>
  <si>
    <t>TR30485</t>
  </si>
  <si>
    <t>Wajee shah Rizvi</t>
  </si>
  <si>
    <t>+923000445759</t>
  </si>
  <si>
    <t>Al mohib ice factory near toyota showroom national highway P.o Babarloi Sukkur Sukkur</t>
  </si>
  <si>
    <t>TR30486</t>
  </si>
  <si>
    <t>Raja Ehsan</t>
  </si>
  <si>
    <t>Soneri bank limited committee chowk branch Rawalpindi Rawalpindi</t>
  </si>
  <si>
    <t>TR30487</t>
  </si>
  <si>
    <t>Muheez Ahmad</t>
  </si>
  <si>
    <t>Tahsel topi village kalabat ayaz medical store Sawabi</t>
  </si>
  <si>
    <t>TR30488</t>
  </si>
  <si>
    <t>confirm 
 | 💰 COD Rec: 2026-04-03 | Ref: CPR-EP247894165 | Amt: 6549</t>
  </si>
  <si>
    <t>ADI Multi Ref Stripes - M / White (x1), ADI Multi Ref Stripes - M / Black (x1), Imported Scoba Executive Nik Tro - M / Gray (x1)</t>
  </si>
  <si>
    <t>TR30489</t>
  </si>
  <si>
    <t>Tehseen Awan</t>
  </si>
  <si>
    <t>Office # 4, First Floor, Safdar Mension, Fazle Haq Road, Blue Area ISLAMABAD</t>
  </si>
  <si>
    <t xml:space="preserve">
 | 💰 COD Rec: 2026-04-03 | Ref: CPR-EP247894165 | Amt: 4998</t>
  </si>
  <si>
    <t>Tipping Crew - L / Black (x1), Tipping Crew - L / White (x1), Basic Branded Adi Trouser - L / Black (x1)</t>
  </si>
  <si>
    <t>TR30490</t>
  </si>
  <si>
    <t>Zaynab Wahab</t>
  </si>
  <si>
    <t>7-H model town Lahore</t>
  </si>
  <si>
    <t xml:space="preserve">
 | 💰 COD Rec: 2026-03-31 | Ref: CPR-6B0MN221209 | Amt: 5198</t>
  </si>
  <si>
    <t>Multi ref PUM-A - L / White (x1), Multi ref PUM-A - L / Black (x1), Tipping Crew - L / Black (x1)</t>
  </si>
  <si>
    <t>TR30491</t>
  </si>
  <si>
    <t>Numan khakwani</t>
  </si>
  <si>
    <t>House no 3626. Khakwani House. Near Masjid e Khizra Jalilabad Colony Multan</t>
  </si>
  <si>
    <t>TR30492</t>
  </si>
  <si>
    <t>Mazhar Abbas</t>
  </si>
  <si>
    <t>Mohallaha mistria near Eid gha tulamba Tulamba</t>
  </si>
  <si>
    <t>Tulamba</t>
  </si>
  <si>
    <t>TR30493</t>
  </si>
  <si>
    <t>House # 257 F-Block Jubilee Town Lahore Lahore</t>
  </si>
  <si>
    <t>TR30494</t>
  </si>
  <si>
    <t>Muhammad Qadeer</t>
  </si>
  <si>
    <t>house#31 St#1 Sector J Bahria Town Phase-8 Rawalpindi</t>
  </si>
  <si>
    <t>TR30495</t>
  </si>
  <si>
    <t>Maniya Maniya</t>
  </si>
  <si>
    <t>Zahid medical store bhabra market gulberg 3 Lahore Lahore</t>
  </si>
  <si>
    <t>TR30496</t>
  </si>
  <si>
    <t>Yaseen Khalid</t>
  </si>
  <si>
    <t>Attari general store adda pahrianwali khaill shah chok reh phalia disst mandi Bahauddin adda pahrianwali Mandi Bahauddin Adda Pahrianwali</t>
  </si>
  <si>
    <t>Mandi Bahauddin Adda Pahrianwali</t>
  </si>
  <si>
    <t>LE7530274513</t>
  </si>
  <si>
    <t>Basic RL Crew- Cotton - S / Turkish blue (x1)</t>
  </si>
  <si>
    <t>TR30497</t>
  </si>
  <si>
    <t>Ali Noman</t>
  </si>
  <si>
    <t>A | X Embroidery LOGO - 3XL / Biscuit (x1), A | X Embroidery LOGO - 3XL / Maroon (x1)</t>
  </si>
  <si>
    <t>TR30498</t>
  </si>
  <si>
    <t>Haider Ali Cheema</t>
  </si>
  <si>
    <t>House#245, street#07 ,DHA gujranwala rachna villas Dha gujranwala</t>
  </si>
  <si>
    <t>Dha gujranwala</t>
  </si>
  <si>
    <t>TR30499</t>
  </si>
  <si>
    <t>MUNEEB Rafique</t>
  </si>
  <si>
    <t>House No 68 Block E Lane 4 Dimond City Sialkot Cantt Sialkot</t>
  </si>
  <si>
    <t>TR30500</t>
  </si>
  <si>
    <t>Shakir Mirza</t>
  </si>
  <si>
    <t>578 house no 31 street gulbaher block bharia Town lahore Lahore</t>
  </si>
  <si>
    <t>TR30501</t>
  </si>
  <si>
    <t>zeeshan ali</t>
  </si>
  <si>
    <t>+601111526609</t>
  </si>
  <si>
    <t>royal chulan hotel jalan conley kuala lumpur</t>
  </si>
  <si>
    <t>kuala lumpur</t>
  </si>
  <si>
    <t>consignee want parcel in malaysia</t>
  </si>
  <si>
    <t>TR30502</t>
  </si>
  <si>
    <t>Qalab Bhatti</t>
  </si>
  <si>
    <t>+923004223609</t>
  </si>
  <si>
    <t>Quid block home number 869 14 street Bahria town Lahore</t>
  </si>
  <si>
    <t>Bahria town Lahore</t>
  </si>
  <si>
    <t>TR30503</t>
  </si>
  <si>
    <t>Zain sajid sajid</t>
  </si>
  <si>
    <t>Shahdar Town Lahore Lahore</t>
  </si>
  <si>
    <t>confirm 
 | ↩️ Return Charged: 2026-04-03 | Ref: CPR-EP247894165 | Fee: 220.98</t>
  </si>
  <si>
    <t>TR30504</t>
  </si>
  <si>
    <t>Faisal Rao</t>
  </si>
  <si>
    <t>+923131337711</t>
  </si>
  <si>
    <t>SDH-334 ST-23 AFOHS FALCON COMPLEX, NEW MALIR Karachi</t>
  </si>
  <si>
    <t>TR30505</t>
  </si>
  <si>
    <t>Muhammad Kalam</t>
  </si>
  <si>
    <t>+923218299482</t>
  </si>
  <si>
    <t>Airport housing society sector 2 house number 197 Islamabad</t>
  </si>
  <si>
    <t xml:space="preserve">
 | 💰 COD Rec: 2026-04-03 | Ref: CPR-EP247894165 | Amt: 3348</t>
  </si>
  <si>
    <t>TR30506</t>
  </si>
  <si>
    <t>Muhammad Zain</t>
  </si>
  <si>
    <t>House No 575 Block B Johar Town Lhr Lahore</t>
  </si>
  <si>
    <t>TR30507</t>
  </si>
  <si>
    <t>Arif shah Arif shah</t>
  </si>
  <si>
    <t>House no 16/4-A street no. 65 sector G-7/1 Islamabad Islamabad</t>
  </si>
  <si>
    <t>TR30508</t>
  </si>
  <si>
    <t>Syed Lal shah</t>
  </si>
  <si>
    <t>Leopard office dera allah yaar Dera allah yaar</t>
  </si>
  <si>
    <t>Dera allah yaar</t>
  </si>
  <si>
    <t>LE7530274514</t>
  </si>
  <si>
    <t>ADI - EMBOSSED LOGO - L / Black (x1)</t>
  </si>
  <si>
    <t>TR30509</t>
  </si>
  <si>
    <t>jehangir mehmood</t>
  </si>
  <si>
    <t>Uppper Portion U Bank G.t Road Lalamusa Gujrat</t>
  </si>
  <si>
    <t>TR30510</t>
  </si>
  <si>
    <t>Kalash Amin</t>
  </si>
  <si>
    <t>Kehchry road Muhalla police line Sialkot</t>
  </si>
  <si>
    <t>TR30511</t>
  </si>
  <si>
    <t>Northen Gardens house 5 warsak road peshawar Peshawar</t>
  </si>
  <si>
    <t>TR30512</t>
  </si>
  <si>
    <t>House # 5, Street # 12, Jinnah Garden Phase1 Islamabad</t>
  </si>
  <si>
    <t xml:space="preserve">
 | 💰 COD Rec: 2026-03-31 | Ref: CPR-6B0MN221209 | Amt: 6099</t>
  </si>
  <si>
    <t>A | X Embroidery LOGO - 3XL / Navy (x1), Basic Branded Adi Trouser - 2XL / Black (x1), Adi- Hoodie - 2xl / Black (x1)</t>
  </si>
  <si>
    <t>TR30513</t>
  </si>
  <si>
    <t>Farrukh Bashir</t>
  </si>
  <si>
    <t>+923105601994</t>
  </si>
  <si>
    <t>Farrukh Tiles Store Chakari Road Rwp Rawalpindi</t>
  </si>
  <si>
    <t>TR30514</t>
  </si>
  <si>
    <t>zahir khan</t>
  </si>
  <si>
    <t>District: swabi city : topi near topi police station fida khan house topi</t>
  </si>
  <si>
    <t>topi</t>
  </si>
  <si>
    <t xml:space="preserve">
 | 💰 COD Rec: 2026-03-31 | Ref: CPR-6B0MN221209 | Amt: 2599</t>
  </si>
  <si>
    <t>Popcorn Polo - XL / White (x1)</t>
  </si>
  <si>
    <t>TR30515</t>
  </si>
  <si>
    <t>Rafaqat Ali, disposal Road, Bahawalnagar Bahawalnagar</t>
  </si>
  <si>
    <t>TR30516</t>
  </si>
  <si>
    <t>ŸÓÜŚÃF Khàñ</t>
  </si>
  <si>
    <t>+923005641052</t>
  </si>
  <si>
    <t>Empire Road Gami Adda Atd Abbottabad</t>
  </si>
  <si>
    <t xml:space="preserve">cancel nahi to expensive </t>
  </si>
  <si>
    <t>TR30517</t>
  </si>
  <si>
    <t>TR30518</t>
  </si>
  <si>
    <t>Danial Hyder</t>
  </si>
  <si>
    <t>Haider Brothers General Store Ponial Road Gilgit Danial Gilgit</t>
  </si>
  <si>
    <t>LE7530274515</t>
  </si>
  <si>
    <t>TR30519</t>
  </si>
  <si>
    <t>confirm 
 | 💰 COD Rec: 2026-03-31 | Ref: CPR-6B0MN221209 | Amt: 6198</t>
  </si>
  <si>
    <t>Multi ref PUM-A - XL / White (x1), Multi ref PUM-A - XL / Black (x1), Tipping Crew - XL / Black (x1), Tipping Crew - XL / White (x1)</t>
  </si>
  <si>
    <t>TR30520</t>
  </si>
  <si>
    <t>Abu bakar Ch</t>
  </si>
  <si>
    <t>Afzal bait street no 2 house no 465 chak no number 53 2/L okara Okara</t>
  </si>
  <si>
    <t xml:space="preserve">
 | 💰 COD Rec: 2026-03-27 | Ref: CPR-Q9K76465838 | Amt: 3099</t>
  </si>
  <si>
    <t>TR30521</t>
  </si>
  <si>
    <t>Pasha Khan</t>
  </si>
  <si>
    <t>Subhan Clinic Pharmacy 1d1 Nazimabad No 1        arachi Karachi</t>
  </si>
  <si>
    <t>TR30522</t>
  </si>
  <si>
    <t>Aamer Shahzad</t>
  </si>
  <si>
    <t>+923333098997</t>
  </si>
  <si>
    <t>Flat 2Dr Nayyar Clinic Building Usman Ghani Road Sant Nagar Lahore</t>
  </si>
  <si>
    <t xml:space="preserve">
 | ↩️ Return Charged: 2026-04-03 | Ref: CPR-EP247894165 | Fee: 106.72</t>
  </si>
  <si>
    <t>TR30523</t>
  </si>
  <si>
    <t>Aiza Ali</t>
  </si>
  <si>
    <t>House No. F-114, Street 3, Phase 1, Officers Colony, Wah Cantt Wah Cantt</t>
  </si>
  <si>
    <t xml:space="preserve">
 | 💰 COD Rec: 2026-03-27 | Ref: CPR-Q9K76465838 | Amt: 3348</t>
  </si>
  <si>
    <t>TR30524</t>
  </si>
  <si>
    <t>Anwar m.siddiq M.siddiq</t>
  </si>
  <si>
    <t>3-3/52 Asma Home Falat No 501 Manyar Housing Society Near Khalid Bin Walid Road Karachi Block Karachi</t>
  </si>
  <si>
    <t>TR30525</t>
  </si>
  <si>
    <t>Muzammil Rauf</t>
  </si>
  <si>
    <t>Falaknaz excellency, falaknaz head office, opposite sohni apartments, main jinnah avenue opp malir cant check post 6 khi Karachi</t>
  </si>
  <si>
    <t>TR30526</t>
  </si>
  <si>
    <t xml:space="preserve">cancel nahi krna advance </t>
  </si>
  <si>
    <t>TR30527</t>
  </si>
  <si>
    <t>Malik Shakeel</t>
  </si>
  <si>
    <t>Sukhchain Renala khurd</t>
  </si>
  <si>
    <t>TR30528</t>
  </si>
  <si>
    <t>Sukhchain Renala Khurd</t>
  </si>
  <si>
    <t>TR30529</t>
  </si>
  <si>
    <t>TR30530</t>
  </si>
  <si>
    <t>confirm   kisis na rabat nahi kiya 
 | 💰 COD Rec: 2026-04-03 | Ref: CPR-EP247894165 | Amt: 3099</t>
  </si>
  <si>
    <t>TR30531</t>
  </si>
  <si>
    <t>+923004867002</t>
  </si>
  <si>
    <t>Shalimar colony street 15 house 2 bilal chok near masjid khtam Nabyan Multan Multan</t>
  </si>
  <si>
    <t>TR30532</t>
  </si>
  <si>
    <t>Chungi gujjar pura near ghazi grid station Lahore</t>
  </si>
  <si>
    <t>TR30533</t>
  </si>
  <si>
    <t>Touqeer shezad</t>
  </si>
  <si>
    <t>Samenar Street nekapura sialkot Sialkot</t>
  </si>
  <si>
    <t>confirm 
 | 💰 COD Rec: 2026-03-31 | Ref: CPR-6B0MN221209 | Amt: 3099</t>
  </si>
  <si>
    <t>TR30534</t>
  </si>
  <si>
    <t>Ali Shahid</t>
  </si>
  <si>
    <t>293 294 Janah colony Faisalabad Fassil Abad</t>
  </si>
  <si>
    <t>Fassil Abad</t>
  </si>
  <si>
    <t>TR30535</t>
  </si>
  <si>
    <t>Shoaib Raza</t>
  </si>
  <si>
    <t>Bank Al Habib Islamic branch Rasool Nagar Ali pur chatha Wazirabad Ali pur chatha Wazirabad</t>
  </si>
  <si>
    <t>Ali pur chatha Wazirabad</t>
  </si>
  <si>
    <t xml:space="preserve">
 | 💰 COD Rec: 2026-03-31 | Ref: CPR-6B0MN221209 | Amt: 249</t>
  </si>
  <si>
    <t>TR30536</t>
  </si>
  <si>
    <t>Imran rafi Rafi</t>
  </si>
  <si>
    <t>DC colony Gujranwala bolan A74 Gujranwala</t>
  </si>
  <si>
    <t>not ans
 | ↩️ Return Charged: 2026-04-03 | Ref: CPR-EP247894165 | Fee: 200.1</t>
  </si>
  <si>
    <t>TR30537</t>
  </si>
  <si>
    <t>Malik Raza</t>
  </si>
  <si>
    <t>House no 4 street no 1 Civil Hospital Sohdra town Wazirabad Wazirabad</t>
  </si>
  <si>
    <t>TR30538</t>
  </si>
  <si>
    <t>ADI - EMBOSSED LOGO - XL / Olive( Commando Green) (x1)</t>
  </si>
  <si>
    <t>TR30539</t>
  </si>
  <si>
    <t>Qalbi Naqvi.    (Allow to Open</t>
  </si>
  <si>
    <t>Postex office opposite barial num 2, Basement of IDC  lab. Taxila wahcannt</t>
  </si>
  <si>
    <t>Taxila wahcannt</t>
  </si>
  <si>
    <t>TR30540</t>
  </si>
  <si>
    <t>Umair Umair Hassan</t>
  </si>
  <si>
    <t>Muhalla mumtaza bad Mailsi</t>
  </si>
  <si>
    <t>confirm  mujha xl size chaiya 
 | ↩️ Return Charged: 2026-04-07 | Ref: CPR-XT60O810684 | Fee: 220.98</t>
  </si>
  <si>
    <t>TR30541</t>
  </si>
  <si>
    <t>Mudasir Naqvi</t>
  </si>
  <si>
    <t>U Microfinance finance Bank Ltd Near Suzuki showroom university road kohat Kohat</t>
  </si>
  <si>
    <t>TR30542</t>
  </si>
  <si>
    <t>imran qurban</t>
  </si>
  <si>
    <t>Gujranwala Gujranwala</t>
  </si>
  <si>
    <t>TR30543</t>
  </si>
  <si>
    <t>Mehran Tayyab</t>
  </si>
  <si>
    <t>7a-link Capital Road Nr Ghory Wali Khangaah Din Pura Sialkot Sialkot</t>
  </si>
  <si>
    <t xml:space="preserve">
 | ↩️ Return Charged: 2026-04-03 | Ref: CPR-EP247894165 | Fee: 200.1</t>
  </si>
  <si>
    <t>TR30544</t>
  </si>
  <si>
    <t>Muhalh sharukh colni hafizabad rod Gujranwala hafiz karyana stor Gujranwala</t>
  </si>
  <si>
    <t>open to allow 
 | ↩️ Return Charged: 2026-04-03 | Ref: CPR-EP247894165 | Fee: 220.98</t>
  </si>
  <si>
    <t>TR30545</t>
  </si>
  <si>
    <t>Mubeen Ar</t>
  </si>
  <si>
    <t>Allied Bank Head office Kot Lakhpat industrial estate Lahore</t>
  </si>
  <si>
    <t>TR30546</t>
  </si>
  <si>
    <t>Tanveer Ali</t>
  </si>
  <si>
    <t>Bilal colony hussaini Chowk korangi Industrial area Karachi Karachi</t>
  </si>
  <si>
    <t>confirm 
 | 💰 COD Rec: 2026-03-31 | Ref: CPR-6B0MN221209 | Amt: 6297</t>
  </si>
  <si>
    <t>ADI Multi Ref Stripes - M / White (x1), ADI Multi Ref Stripes - M / Black (x1), ADI-Trouser Tri strip - M / Grey (x1), ADI-Trouser Tri strip - M / Black (x1)</t>
  </si>
  <si>
    <t>TR30547</t>
  </si>
  <si>
    <t>Ali Gohar</t>
  </si>
  <si>
    <t>+923213338500</t>
  </si>
  <si>
    <t>Mondiala Ponaich Tehsil Kamoke District Gujranwala Kamoke</t>
  </si>
  <si>
    <t>TR30548</t>
  </si>
  <si>
    <t>Ammar Ahmed</t>
  </si>
  <si>
    <t>+923225912969</t>
  </si>
  <si>
    <t>House 483/A-1, street 4, kaira road, Qureshi Mohallah Lala Musa</t>
  </si>
  <si>
    <t>TR30549</t>
  </si>
  <si>
    <t>Hussain Bakhtiar</t>
  </si>
  <si>
    <t>House 714 Street 6 Sector F8 Phase 6 Hayatabad Peshawar</t>
  </si>
  <si>
    <t>TR30550</t>
  </si>
  <si>
    <t>adnan liaquat</t>
  </si>
  <si>
    <t>Kashmir Milk Shop Near Chandni Chock Rawalakot Poonch</t>
  </si>
  <si>
    <t>Poonch</t>
  </si>
  <si>
    <t>confirm  allow to open 
 | 💰 COD Rec: 2026-03-31 | Ref: CPR-6B0MN221209 | Amt: 1449</t>
  </si>
  <si>
    <t>ADI - EMBOSSED LOGO - XL / Sky (x1)</t>
  </si>
  <si>
    <t>TR30551</t>
  </si>
  <si>
    <t>Khurram Bilal</t>
  </si>
  <si>
    <t>51a Alraheem Garden Phase 4 GT Road Manawan Lahore</t>
  </si>
  <si>
    <t>TR30552</t>
  </si>
  <si>
    <t>Ansar Ali</t>
  </si>
  <si>
    <t>Main bazar daokey street 7 house 7 muridkey district shekhupura Muridkey district shekhupura</t>
  </si>
  <si>
    <t>Muridkey district shekhupura</t>
  </si>
  <si>
    <t xml:space="preserve">cancel   reason pasand nahi ha </t>
  </si>
  <si>
    <t>TR30553</t>
  </si>
  <si>
    <t>Asad Awan</t>
  </si>
  <si>
    <t>Mughal e azam fabrics center civil line road Jhelum near Gombad wali masjid Jhelum</t>
  </si>
  <si>
    <t>TR30554</t>
  </si>
  <si>
    <t>Hidayat Chemist</t>
  </si>
  <si>
    <t>117 St 5 Islamabad</t>
  </si>
  <si>
    <t>confirm +92 333 9714908whatsup 
 | ↩️ Return Charged: 2026-04-07 | Ref: CPR-XT60O810684 | Fee: 243.08</t>
  </si>
  <si>
    <t>TR30555</t>
  </si>
  <si>
    <t>Daniyal Ahsan</t>
  </si>
  <si>
    <t>House no 3, 13/B Civil lines Jauharabad</t>
  </si>
  <si>
    <t>TR30556</t>
  </si>
  <si>
    <t>Ghulam Shabbir Ghulam Shabbir</t>
  </si>
  <si>
    <t>+923116191838</t>
  </si>
  <si>
    <t>Cadet College Kallar Kahar, Rawalpindi-Khushab Road, District Chakwal. .</t>
  </si>
  <si>
    <t xml:space="preserve"> 200 dc advance hain whatsup 
 | 💰 COD Rec: 2026-03-31 | Ref: CPR-6B0MN221209 | Amt: 3000</t>
  </si>
  <si>
    <t>TR30557</t>
  </si>
  <si>
    <t>Bilal Asghar</t>
  </si>
  <si>
    <t>148-a-gulshan-e-hayat Town Amina Park Faisalabad Faisalabad</t>
  </si>
  <si>
    <t>TR30558</t>
  </si>
  <si>
    <t>TR30559</t>
  </si>
  <si>
    <t>+923058236083</t>
  </si>
  <si>
    <t xml:space="preserve">
 | 💰 COD Rec: 2026-03-31 | Ref: CPR-6B0MN221209 | Amt: 2199</t>
  </si>
  <si>
    <t>Multi ref PUM-A - M / Black (x1)</t>
  </si>
  <si>
    <t>TR30560</t>
  </si>
  <si>
    <t>TR29567exchngae 250dc lagani haa 
 | 💰 COD Rec: 2026-03-31 | Ref: CPR-6B0MN221209 | Amt: 250</t>
  </si>
  <si>
    <t>TR30561</t>
  </si>
  <si>
    <t>Umer Khalid</t>
  </si>
  <si>
    <t>55-Z  Street 22 Commercial Area DHA Phase 3 Lahore Lahore</t>
  </si>
  <si>
    <t>TR30562</t>
  </si>
  <si>
    <t>Muhammad Naeem</t>
  </si>
  <si>
    <t>House 133 PAF Academy Risalpur Cantt Risalpur</t>
  </si>
  <si>
    <t>Risalpur</t>
  </si>
  <si>
    <t xml:space="preserve">
 | 💰 COD Rec: 2026-03-31 | Ref: CPR-6B0MN221209 | Amt: 3849</t>
  </si>
  <si>
    <t>ADI Multi Ref Stripes - XL / Black (x1), ADI Multi Ref Stripes - XL / White (x1)</t>
  </si>
  <si>
    <t>TR30563</t>
  </si>
  <si>
    <t>Akbar Ali</t>
  </si>
  <si>
    <t>+923466672774</t>
  </si>
  <si>
    <t>RSDU office AKESP konadass near shah karim hostel Gilgit</t>
  </si>
  <si>
    <t>LE7530274516</t>
  </si>
  <si>
    <t>TR30564</t>
  </si>
  <si>
    <t>Near By Pist Office Jehangira District Nowshera Kpk Nowshera</t>
  </si>
  <si>
    <t>TR30565</t>
  </si>
  <si>
    <t>Kamil Shahid</t>
  </si>
  <si>
    <t>House 180 street 68 f-10/3 Islamabad</t>
  </si>
  <si>
    <t>TR30566</t>
  </si>
  <si>
    <t>Kopra Sambrial</t>
  </si>
  <si>
    <t>dc received   250   confirm 
 | 💰 COD Rec: 2026-04-03 | Ref: CPR-EP247894165 | Amt: 2565</t>
  </si>
  <si>
    <t>TR30567</t>
  </si>
  <si>
    <t>Sikandar Adv</t>
  </si>
  <si>
    <t>Modal City Fase 2 House No 21 Gojra Gojra</t>
  </si>
  <si>
    <t xml:space="preserve">cancel ma bad ma again order karo gaaa </t>
  </si>
  <si>
    <t>TR30568</t>
  </si>
  <si>
    <t>Ali haider mughal</t>
  </si>
  <si>
    <t>Rawalpindi muslim town street no 9 hous no b.t 281 Rawalpindi</t>
  </si>
  <si>
    <t>TR30569</t>
  </si>
  <si>
    <t>Muhammad Asif Asif</t>
  </si>
  <si>
    <t>83a-sultantown Near Lahore Universty Lahore</t>
  </si>
  <si>
    <t>not ans 
 | 💰 COD Rec: 2026-03-31 | Ref: CPR-6B0MN221209 | Amt: 3348</t>
  </si>
  <si>
    <t>TR30570</t>
  </si>
  <si>
    <t>+923009612334</t>
  </si>
  <si>
    <t>TR30571</t>
  </si>
  <si>
    <t>Asim Tahir</t>
  </si>
  <si>
    <t>Ibrahim villas canal road house #6 rainbow bridge near beconhouse Faisalabaad</t>
  </si>
  <si>
    <t>Faisalabaad</t>
  </si>
  <si>
    <t>conifrm 
 | 💰 COD Rec: 2026-03-31 | Ref: CPR-6B0MN221209 | Amt: 2099</t>
  </si>
  <si>
    <t>TR30572</t>
  </si>
  <si>
    <t>confirm 29 ko dispatch kerna haa
 | ↩️ Return Charged: 2026-04-03 | Ref: CPR-EP247894165 | Fee: 220.98</t>
  </si>
  <si>
    <t>TR30573</t>
  </si>
  <si>
    <t>Muhammad Ayyub Khan Khan</t>
  </si>
  <si>
    <t>Ellah Abad theng morr Tehsil Chunian kasur Chunian</t>
  </si>
  <si>
    <t>TR30574</t>
  </si>
  <si>
    <t>Jahanzaib Malik</t>
  </si>
  <si>
    <t>Jahanzaib Orthopaedic Complex And Surgical Hospital Bypass Road Lodhran Lodhran</t>
  </si>
  <si>
    <t>.
 | 💰 COD Rec: 2026-03-31 | Ref: CPR-6B0MN221209 | Amt: 3348</t>
  </si>
  <si>
    <t>TR30575</t>
  </si>
  <si>
    <t>Hasnain Ilyas</t>
  </si>
  <si>
    <t>5-283-k Street 24/1 Dha Phase Lahore</t>
  </si>
  <si>
    <t>confirm 
 | 💰 COD Rec: 2026-03-31 | Ref: CPR-6B0MN221209 | Amt: 1499</t>
  </si>
  <si>
    <t>Basic RL Crew- Cotton - M / Sea green (x1)</t>
  </si>
  <si>
    <t>TR30576</t>
  </si>
  <si>
    <t>+923438511534</t>
  </si>
  <si>
    <t>Ayaz institute of modern sciences Chakdra</t>
  </si>
  <si>
    <t>Chakdra</t>
  </si>
  <si>
    <t>confirm 
 | 💰 COD Rec: 2026-03-31 | Ref: CPR-6B0MN221209 | Amt: 8247</t>
  </si>
  <si>
    <t>Multi ref PUM-A - 3XL / White (x1), ADI Multi Ref Stripes - 3XL / White (x1), ADI Multi Ref Stripes - 3XL / Black (x1), ADI-Trouser Tri strip - XL / Grey (x1), ADI-Trouser Tri strip - XL / Navy Blue (x1)</t>
  </si>
  <si>
    <t>TR30577</t>
  </si>
  <si>
    <t>Abid Rasheed</t>
  </si>
  <si>
    <t>Rasheed Stationery  15 Al-Karim  market  Urdu  bazar Lahore Lahore</t>
  </si>
  <si>
    <t>confirm 
 | 💰 COD Rec: 2026-03-31 | Ref: CPR-6B0MN221209 | Amt: 1899</t>
  </si>
  <si>
    <t>A | X Embroidery LOGO - 2XL / Black (x1)</t>
  </si>
  <si>
    <t>TR30578</t>
  </si>
  <si>
    <t>Altaf Hussain Shah</t>
  </si>
  <si>
    <t>HouseNo: 108/2-1 Lane No; 10 khyabane Rahat Phase No;7 DHA karachi Karachi</t>
  </si>
  <si>
    <t>confirm 
 | 💰 COD Rec: 2026-03-31 | Ref: CPR-6B0MN221209 | Amt: 2199</t>
  </si>
  <si>
    <t>Multi ref PUM-A - 2XL / White (x1)</t>
  </si>
  <si>
    <t>TR30579</t>
  </si>
  <si>
    <t>Zafar Ali</t>
  </si>
  <si>
    <t>Zafar tahir tower melad chowk peshawar Peshawar</t>
  </si>
  <si>
    <t>TR30580</t>
  </si>
  <si>
    <t>Ali Sidhu</t>
  </si>
  <si>
    <t>Herchoki tehsil chunian Kasur</t>
  </si>
  <si>
    <t>TR30581</t>
  </si>
  <si>
    <t>Muzaffar Imran</t>
  </si>
  <si>
    <t>+923467516655</t>
  </si>
  <si>
    <t>Ajwa Avenue near MacDonald by pass Sahiwal punj Sahiwal  Note allow open parcel before payment</t>
  </si>
  <si>
    <t>Sahiwal  Note allow open parcel before payment</t>
  </si>
  <si>
    <t>confirm 
allow to open parcel 
 | 💰 COD Rec: 2026-03-31 | Ref: CPR-6B0MN221209 | Amt: 3348</t>
  </si>
  <si>
    <t>TR30582</t>
  </si>
  <si>
    <t>Naimat Ullah</t>
  </si>
  <si>
    <t>House 4 Umar Street 27 Pirate Ghazi Road Ichra Lahore Lahore</t>
  </si>
  <si>
    <t>confirm 
 | 💰 COD Rec: 2026-03-31 | Ref: CPR-6B0MN221209 | Amt: 3038</t>
  </si>
  <si>
    <t>TR30583</t>
  </si>
  <si>
    <t>Mushtaq ahamad commission shop shop no 31 new grain marketfad rod chiniot Chiniot</t>
  </si>
  <si>
    <t>TR30584</t>
  </si>
  <si>
    <t xml:space="preserve">Mudasir Hussain after 2pm </t>
  </si>
  <si>
    <t>+923190518696</t>
  </si>
  <si>
    <t>Indus lodges (guest room) near zamzama officer mess (ZOM) Allah hu chock vip road army cant panoaqil. pano aqil Sindh.</t>
  </si>
  <si>
    <t>pano aqil Sindh.</t>
  </si>
  <si>
    <t>whatsup 250dc advance haa allow to open 
 | 💰 COD Rec: 2026-03-31 | Ref: CPR-6B0MN221209 | Amt: 2850</t>
  </si>
  <si>
    <t>TR30585</t>
  </si>
  <si>
    <t>Ibrahim Khan</t>
  </si>
  <si>
    <t>تحصیل تانلے والا ضلع فیصل اباد مین سمندری شہر گڑھ فتح شاہ گڑ فتح شاہ</t>
  </si>
  <si>
    <t>گڑ فتح شاہ</t>
  </si>
  <si>
    <t>TR30586</t>
  </si>
  <si>
    <t>Mujtuba Saya Mujtuba Saya</t>
  </si>
  <si>
    <t>+923228242444</t>
  </si>
  <si>
    <t>12/2, kh e Ameer khusro, phase 6, DHA, Karachi</t>
  </si>
  <si>
    <t>whatsup 
 | 💰 COD Rec: 2026-03-31 | Ref: CPR-6B0MN221209 | Amt: 3200</t>
  </si>
  <si>
    <t>TR30587</t>
  </si>
  <si>
    <t>Syed Adeem Ul Hassan Naqvi</t>
  </si>
  <si>
    <t>+923145088172</t>
  </si>
  <si>
    <t>Unique Diaper shop, near Airport chowk, Airport Muzaffarabad, Azad Kashmir Muzaffarabad, Azad Kashmir</t>
  </si>
  <si>
    <t>whatsup 
 | 💰 COD Rec: 2026-03-31 | Ref: CPR-6B0MN221209 | Amt: 1499</t>
  </si>
  <si>
    <t>Basic RL Crew- Cotton - L / light chocolate (x1)</t>
  </si>
  <si>
    <t>TR30588</t>
  </si>
  <si>
    <t>TR29836 exchnage 250 dc lagani ha bass 
 | 💰 COD Rec: 2026-03-31 | Ref: CPR-6B0MN221209 | Amt: 250</t>
  </si>
  <si>
    <t>TR30589</t>
  </si>
  <si>
    <t>abu hurara  farooq</t>
  </si>
  <si>
    <t>+923022221546</t>
  </si>
  <si>
    <t>khan mobile market shop no 20 near old buss stand kurshad kurshad</t>
  </si>
  <si>
    <t>kurshad</t>
  </si>
  <si>
    <t>LE7530274520</t>
  </si>
  <si>
    <t>Multi ref PUM-A - M / White (x1), NIK- Ref LOGO - M / white (x1)</t>
  </si>
  <si>
    <t>TR30590</t>
  </si>
  <si>
    <t>Syed Naseer Hussain</t>
  </si>
  <si>
    <t>+923224910093</t>
  </si>
  <si>
    <t>513- C, Faisal Town Lahore</t>
  </si>
  <si>
    <t>TR30591</t>
  </si>
  <si>
    <t>confirm on wp
 | 💰 COD Rec: 2026-03-31 | Ref: CPR-6B0MN221209 | Amt: 6446</t>
  </si>
  <si>
    <t>ADI Ref Stripes - XL / White (x1), ADI Ref Stripes - XL / Black (x1), Multi ref PUM-A - M / White (x1), Multi ref PUM-A - M / Black (x1)</t>
  </si>
  <si>
    <t>TR30592</t>
  </si>
  <si>
    <t>Bashir Haider</t>
  </si>
  <si>
    <t>CMH PANO aqil Cantt LP store Sukkur</t>
  </si>
  <si>
    <t>confirm 
 | 💰 COD Rec: 2026-04-03 | Ref: CPR-EP247894165 | Amt: 3798</t>
  </si>
  <si>
    <t>Multi ref PUM-A - L / Black (x1), ADI-Trouser Tri strip - L / Navy Blue (x1)</t>
  </si>
  <si>
    <t>TR30593</t>
  </si>
  <si>
    <t>Waheed Ali</t>
  </si>
  <si>
    <t>Islamia Collage Near Muncipal Watar Tank Mahar House Sukkur</t>
  </si>
  <si>
    <t>TR30594</t>
  </si>
  <si>
    <t>+923139554022</t>
  </si>
  <si>
    <t>Takht bhai district mardan pak TAKHT BHAI MARDAN KPK</t>
  </si>
  <si>
    <t>TAKHT BHAI MARDAN KPK</t>
  </si>
  <si>
    <t>confimr 
 | 💰 COD Rec: 2026-04-03 | Ref: CPR-EP247894165 | Amt: 4548</t>
  </si>
  <si>
    <t>Multi ref PUM-A - L / White (x1), Multi ref PUM-A - L / Black (x1), ADI - EMBOSSED LOGO - L / Black (x1)</t>
  </si>
  <si>
    <t>TR30595</t>
  </si>
  <si>
    <t>Yousaf Raza</t>
  </si>
  <si>
    <t>315 m model town extension Lahore Lahore</t>
  </si>
  <si>
    <t xml:space="preserve">cancel shop sa aker la ga </t>
  </si>
  <si>
    <t>TR30596</t>
  </si>
  <si>
    <t>confirm 
 | ↩️ Return Charged: 2026-04-07 | Ref: CPR-XT60O810684 | Fee: 235.70999999999998</t>
  </si>
  <si>
    <t>TR30597</t>
  </si>
  <si>
    <t>Hfz trader near meezan bank hallroad Lahore</t>
  </si>
  <si>
    <t>TR30598</t>
  </si>
  <si>
    <t>Aurangzaib Gujjar</t>
  </si>
  <si>
    <t>Satyina road rachna town 1faislabad  near foji foundition school Faisalabad</t>
  </si>
  <si>
    <t>confrm 
 | ↩️ Return Charged: 2026-04-07 | Ref: CPR-XT60O810684 | Fee: 220.98</t>
  </si>
  <si>
    <t>TR30599</t>
  </si>
  <si>
    <t>EXCHANGE@SHOP10</t>
  </si>
  <si>
    <t>SHOP SA EXCHNGAE KI HAIN TR30181</t>
  </si>
  <si>
    <t>TR30600</t>
  </si>
  <si>
    <t>Hassan Javed</t>
  </si>
  <si>
    <t>House No 301 A Block, Phase 1, Dream Gardens Defense Road Lahore Lahore</t>
  </si>
  <si>
    <t>TR30601</t>
  </si>
  <si>
    <t>+13022233311</t>
  </si>
  <si>
    <t>multan mumtazabad Dr k pas street no1 Multan</t>
  </si>
  <si>
    <t>TR30602</t>
  </si>
  <si>
    <t>Mudassar Mughal</t>
  </si>
  <si>
    <t>Techno Plastic Industry Gala M Adeel Wala Near Rescuu 1122 Pindi Bypass Gujranwala</t>
  </si>
  <si>
    <t>confimr 
 | 💰 COD Rec: 2026-03-31 | Ref: CPR-6B0MN221209 | Amt: 3348</t>
  </si>
  <si>
    <t>TR30603</t>
  </si>
  <si>
    <t>HQ EME centre quetta qantt Quetta</t>
  </si>
  <si>
    <t>TR30604</t>
  </si>
  <si>
    <t>Muslim Bhatti chicken shop near Aqsa mosque Roli road Kotli Azad Kashmir Kotli Ajk Pakistan</t>
  </si>
  <si>
    <t>Kotli Ajk Pakistan</t>
  </si>
  <si>
    <t>TR30605</t>
  </si>
  <si>
    <t>972/a-satellite Town Jhang Jhang</t>
  </si>
  <si>
    <t>confirm on call 
 | 💰 COD Rec: 2026-04-03 | Ref: CPR-EP247894165 | Amt: 3347</t>
  </si>
  <si>
    <t>ADI Multi Ref Stripes - 3XL / Black (x1), ADI Multi Ref Stripes - 3XL / White (x1)</t>
  </si>
  <si>
    <t>TR30606</t>
  </si>
  <si>
    <t>Saim Khalid</t>
  </si>
  <si>
    <t>Farm 86 street no 9 block B gulberg greens ISB Islamabad</t>
  </si>
  <si>
    <t>TR30607</t>
  </si>
  <si>
    <t>Rizwan Saleem</t>
  </si>
  <si>
    <t>Rangpura awan street near jinah public school Sialkot</t>
  </si>
  <si>
    <t>TR30608</t>
  </si>
  <si>
    <t>+923117995655</t>
  </si>
  <si>
    <t>confirm 
 | 💰 COD Rec: 2026-04-07 | Ref: CPR-XT60O810684 | Amt: 4947</t>
  </si>
  <si>
    <t>Multi ref PUM-A - M / White (x1), Multi ref PUM-A - M / Black (x1), ADI-Trouser Tri strip - M / Navy Blue (x1)</t>
  </si>
  <si>
    <t>TR30609</t>
  </si>
  <si>
    <t>Mohammad Faisal</t>
  </si>
  <si>
    <t>Mian abdurehman street Sahafi colony gate no 2 harbance pura lahore Lahore</t>
  </si>
  <si>
    <t>TR30610</t>
  </si>
  <si>
    <t>H.276p.st.185.phase 1.dha Lahore</t>
  </si>
  <si>
    <t>confirm on wp not ans 
 | ↩️ Return Charged: 2026-04-07 | Ref: CPR-XT60O810684 | Fee: 117.86</t>
  </si>
  <si>
    <t>TR30611</t>
  </si>
  <si>
    <t>TR30612</t>
  </si>
  <si>
    <t>Shoukat younas</t>
  </si>
  <si>
    <t>5-afghan Colony ,hospital Road Rahimyarkhan</t>
  </si>
  <si>
    <t>Rahimyarkhan</t>
  </si>
  <si>
    <t>TR30613</t>
  </si>
  <si>
    <t>201/1 B, Green City, Barki Road Lahore</t>
  </si>
  <si>
    <t>TR30614</t>
  </si>
  <si>
    <t>+923004675801</t>
  </si>
  <si>
    <t>Atlas Honda Limited 26/27 Km Lahore Sheikhupura Road Qila Shekhupura</t>
  </si>
  <si>
    <t>TR30615</t>
  </si>
  <si>
    <t>Parkash Dholia</t>
  </si>
  <si>
    <t>+923043699398</t>
  </si>
  <si>
    <t>Pirbhu Nagar banglow no 41 Mirpur Mathelo</t>
  </si>
  <si>
    <t>TR30616</t>
  </si>
  <si>
    <t>EXCHANGE@SHOP09</t>
  </si>
  <si>
    <t xml:space="preserve">exchange @ shop before EID </t>
  </si>
  <si>
    <t>ADI Multi Ref Stripes - 3XL / Black (x1), Multi ref PUM-A - 3XL / Black (x1)</t>
  </si>
  <si>
    <t>TR30617</t>
  </si>
  <si>
    <t>Waseem Irshad</t>
  </si>
  <si>
    <t>130 takbeer block near bhatti market Bahria town Lahore Lahore</t>
  </si>
  <si>
    <t>TR30618</t>
  </si>
  <si>
    <t>Jam Faisal Raiz Jam Faisal Raiz</t>
  </si>
  <si>
    <t>+923006997767</t>
  </si>
  <si>
    <t>Jam Faisal Raiz Advocate mohala qaderabad near katchery chowk Multan, Multan,</t>
  </si>
  <si>
    <t>Multan,</t>
  </si>
  <si>
    <t>WHATSUP 
 | 💰 COD Rec: 2026-03-31 | Ref: CPR-6B0MN221209 | Amt: 2199</t>
  </si>
  <si>
    <t>TR30619</t>
  </si>
  <si>
    <t>Bilal Bilal</t>
  </si>
  <si>
    <t>+923078878774</t>
  </si>
  <si>
    <t>148A gulshan e hayat town Amina park Faisalabad Faisalabad</t>
  </si>
  <si>
    <t xml:space="preserve">cancel alredy order kiya hua tha receive ho gaya haa WHATSUP </t>
  </si>
  <si>
    <t>TR30620</t>
  </si>
  <si>
    <t>Waseem Itshad</t>
  </si>
  <si>
    <t>130 Takbeer block near bhatti market Bahria town Lahore Labore</t>
  </si>
  <si>
    <t>Labore</t>
  </si>
  <si>
    <t>confirm  open to allowstuff acha nhai tha cancel 
 | ↩️ Return Charged: 2026-04-03 | Ref: CPR-EP247894165 | Fee: 132.59</t>
  </si>
  <si>
    <t>TR30621</t>
  </si>
  <si>
    <t>Bilal Virk</t>
  </si>
  <si>
    <t>+923066624240</t>
  </si>
  <si>
    <t>Toleki road dera virkan near hussain marriage hall Kamoke</t>
  </si>
  <si>
    <t>cancel spain chala gaya haa</t>
  </si>
  <si>
    <t>TR30622</t>
  </si>
  <si>
    <t>Syed Tasawar Hussain</t>
  </si>
  <si>
    <t>H No 26 main Bazar Hanif Park Badami Bagh Lahore Lahore</t>
  </si>
  <si>
    <t xml:space="preserve">
 | ↩️ Return Charged: 2026-04-10 | Ref: CPR-XWOR8962608 | Fee: 117.86</t>
  </si>
  <si>
    <t>TR30623</t>
  </si>
  <si>
    <t>jawad ashraf</t>
  </si>
  <si>
    <t>B Block Lahore</t>
  </si>
  <si>
    <t xml:space="preserve"> not ans  confirm 
 | ↩️ Return Charged: 2026-04-10 | Ref: CPR-XWOR8962608 | Fee: 117.86</t>
  </si>
  <si>
    <t>TR30624</t>
  </si>
  <si>
    <t>Government higher secondary school Boys Manga Mandi Multan Road Lahore Manga Mandi Lahore</t>
  </si>
  <si>
    <t>Manga Mandi Lahore</t>
  </si>
  <si>
    <t>TR30625</t>
  </si>
  <si>
    <t>Badil ayyaz kahloon Badil ayyaz</t>
  </si>
  <si>
    <t>Chak No 325jb Dulam Toba Tek Singh</t>
  </si>
  <si>
    <t xml:space="preserve">cancel nahi lena expensive haa and mana purchase ker li hain </t>
  </si>
  <si>
    <t>TR30626</t>
  </si>
  <si>
    <t>+923180554546</t>
  </si>
  <si>
    <t>Shell Petrol Pump Mulhal Mughlan Town Chakwal</t>
  </si>
  <si>
    <t>TR30627</t>
  </si>
  <si>
    <t>Osama Idrees</t>
  </si>
  <si>
    <t>Umer Boys Hostel, Opposite Meezan Bank, F8 Markaz Islamabad</t>
  </si>
  <si>
    <t xml:space="preserve">
 | 💰 COD Rec: 2026-04-03 | Ref: CPR-EP247894165 | Amt: 3099</t>
  </si>
  <si>
    <t>TR30628</t>
  </si>
  <si>
    <t>House no 677 BB block BB sector D bahria town lahore Lahore</t>
  </si>
  <si>
    <t>open to allow 
 | ↩️ Return Charged: 2026-04-03 | Ref: CPR-EP247894165 | Fee: 117.86</t>
  </si>
  <si>
    <t>TR30629</t>
  </si>
  <si>
    <t>Noman Bhatti</t>
  </si>
  <si>
    <t>Partal jhang Syedan Islamabad near qadeer hockey ground Islamabad</t>
  </si>
  <si>
    <t>Bhai Mai UAE aa gya hu ek frnd NE ana ha UAE ab usky hath mangwaao ga idr jese he confirmation hota ha btao ga apko</t>
  </si>
  <si>
    <t>TR30630</t>
  </si>
  <si>
    <t>H. no. 593 near fouji chowk mujtaba canal view Multan, 03027429804 multan</t>
  </si>
  <si>
    <t>again dispatching 
 | 💰 COD Rec: 2026-03-31 | Ref: CPR-6B0MN221209 | Amt: 3699</t>
  </si>
  <si>
    <t>A | X Embroidery LOGO - XL / Pista (x1), Tipping Crew - XL / Black (x1), Tipping Crew - XL / White (x1), ADI Multi Ref Stripes - XL / White (x1)</t>
  </si>
  <si>
    <t>TR30631</t>
  </si>
  <si>
    <t>200 advance hain confirm 
 | 💰 COD Rec: 2026-04-03 | Ref: CPR-EP247894165 | Amt: 5748</t>
  </si>
  <si>
    <t>ADI Ref Stripes - L / White (x1), ADI Ref Stripes - L / Black (x1), Imported Scoba Executive Adi Tro - L / Silver Grey (x1)</t>
  </si>
  <si>
    <t>TR30632</t>
  </si>
  <si>
    <t>Zain Hafeez</t>
  </si>
  <si>
    <t>12th commercial street flat # 806 b block west point tower dha phase 2 extension Karachi</t>
  </si>
  <si>
    <t xml:space="preserve">
 | 💰 COD Rec: 2026-04-10 | Ref: CPR-XWOR8962608 | Amt: 4947</t>
  </si>
  <si>
    <t>ADI-Trouser Tri strip - M / Black (x1), ADI Multi Ref Stripes - M / White (x1), ADI Multi Ref Stripes - M / Black (x1)</t>
  </si>
  <si>
    <t>TR30633</t>
  </si>
  <si>
    <t>confirm 
whatsup 
 | 💰 COD Rec: 2026-03-31 | Ref: CPR-6B0MN221209 | Amt: 1899</t>
  </si>
  <si>
    <t>TR30634</t>
  </si>
  <si>
    <t>+923198361539</t>
  </si>
  <si>
    <t>TR30635</t>
  </si>
  <si>
    <t>Nasir Manzoor</t>
  </si>
  <si>
    <t>Village awan abad post office and tehsil kallar syedan District rawalpindi Kallar syedan</t>
  </si>
  <si>
    <t>Kallar syedan</t>
  </si>
  <si>
    <t>LE7532033074</t>
  </si>
  <si>
    <t xml:space="preserve">lcs confirm awan abad </t>
  </si>
  <si>
    <t>TR30636</t>
  </si>
  <si>
    <t>+92 321 3482045</t>
  </si>
  <si>
    <t>Government Secondary High School Asu Mehta, Sialkot, Pakistan Sialkot</t>
  </si>
  <si>
    <t>250dc received whatsup  not ans 
 | ↩️ Return Charged: 2026-04-10 | Ref: CPR-XWOR8962608 | Fee: 243.08</t>
  </si>
  <si>
    <t>TR30637</t>
  </si>
  <si>
    <t>Alpha Gamma</t>
  </si>
  <si>
    <t>Pakistan Islamabad Sector B 17 Block C1 Street 60 House 102 Islamabad</t>
  </si>
  <si>
    <t>need dry fit shirt 
 | ↩️ Return Charged: 2026-04-10 | Ref: CPR-XWOR8962608 | Fee: 220.98</t>
  </si>
  <si>
    <t>TR30638</t>
  </si>
  <si>
    <t>Kailash Kumar Kailash Kumar</t>
  </si>
  <si>
    <t>+923133691978</t>
  </si>
  <si>
    <t>Five Star Computer kanta, Ghari khero road Near Old Textile mill Shahdadkot ,</t>
  </si>
  <si>
    <t>,</t>
  </si>
  <si>
    <t>LE7530338730</t>
  </si>
  <si>
    <t xml:space="preserve">paid parcel haaa confirm </t>
  </si>
  <si>
    <t>TR30639</t>
  </si>
  <si>
    <t>Shoaib malik Shoaib malik</t>
  </si>
  <si>
    <t>+923221140866</t>
  </si>
  <si>
    <t>Qinchi amer sehdu lahore 314/6e block lahore     Lahore near pakijiz maalll lahore</t>
  </si>
  <si>
    <t>whatsup 
 | 💰 COD Rec: 2026-04-07 | Ref: CPR-XT60O810684 | Amt: 3100</t>
  </si>
  <si>
    <t>Multi ref PUM-A - XL / Black (x1), ADI Ref Stripes - XL / Black (x1)</t>
  </si>
  <si>
    <t>TR30640</t>
  </si>
  <si>
    <t>Sarmad Ali Sarmad bashir</t>
  </si>
  <si>
    <t>Chaprar road adda jhang mor Sailkot</t>
  </si>
  <si>
    <t>TR30641</t>
  </si>
  <si>
    <t>Muhammad Farooq</t>
  </si>
  <si>
    <t>Adiala Rd Rawalpindi</t>
  </si>
  <si>
    <t>TR30642</t>
  </si>
  <si>
    <t>Karakoram lodge khaplu District Ghanche GB Khaplu</t>
  </si>
  <si>
    <t>In Transit</t>
  </si>
  <si>
    <t>TR30643</t>
  </si>
  <si>
    <t>agha sohaib</t>
  </si>
  <si>
    <t>District council office near kachri chowk kasur Kasur</t>
  </si>
  <si>
    <t>confirm
 | 💰 COD Rec: 2026-04-03 | Ref: CPR-EP247894165 | Amt: 3348</t>
  </si>
  <si>
    <t>TR30644</t>
  </si>
  <si>
    <t>irfan younas</t>
  </si>
  <si>
    <t>+923009751872</t>
  </si>
  <si>
    <t>Dubai cafe,palm villas,jhang saddar Jhang</t>
  </si>
  <si>
    <t>confirm 
 | 💰 COD Rec: 2026-04-07 | Ref: CPR-XT60O810684 | Amt: 6798</t>
  </si>
  <si>
    <t>ADI Multi Ref Stripes - L / White (x1), Multi-ref-ADI Trouser winter - Large / Navy (x1), Multi ref PUM-A - L / White (x1), Multi ref PUM-A - L / Black (x1)</t>
  </si>
  <si>
    <t>TR30645</t>
  </si>
  <si>
    <t>H#38, St#25, Safari Homes Sector B, Bahria Town Phase 8 Rawalpindi</t>
  </si>
  <si>
    <t>TR30646</t>
  </si>
  <si>
    <t>Olympia chemicals ltd.warcha Tehsil Qaidabad District khushab Qaidabad</t>
  </si>
  <si>
    <t>Qaidabad</t>
  </si>
  <si>
    <t>TR30647</t>
  </si>
  <si>
    <t>Liaqtabad lalukhet Garibabad bandhani colony Karachi</t>
  </si>
  <si>
    <t>TR30648</t>
  </si>
  <si>
    <t>A-22 Sector 7d/1 North Karachi, Karachi Karachi</t>
  </si>
  <si>
    <t xml:space="preserve">
 | 💰 COD Rec: 2026-04-03 | Ref: CPR-EP247894165 | Amt: 3299</t>
  </si>
  <si>
    <t>TR30649</t>
  </si>
  <si>
    <t>Zeeshan Arif</t>
  </si>
  <si>
    <t>72- F block johar town Lahore</t>
  </si>
  <si>
    <t>junaid saleem</t>
  </si>
  <si>
    <t>68-d-sunflower Society J 1 Johar Town Lahore Lahore</t>
  </si>
  <si>
    <t>confirm 
 | 💰 COD Rec: 2026-04-17 | Ref: CPR-RAGFP443199 | Amt: 3348</t>
  </si>
  <si>
    <t>TR30651</t>
  </si>
  <si>
    <t>TR30652</t>
  </si>
  <si>
    <t>Sheraz Mughal</t>
  </si>
  <si>
    <t>+923363178946</t>
  </si>
  <si>
    <t>White House Street no 4 MB Villas Malik shan street boota road kashmir road Sialkot</t>
  </si>
  <si>
    <t>TR30653</t>
  </si>
  <si>
    <t>TR30654</t>
  </si>
  <si>
    <t>House No. 92, Street No. 2, Fateh Town Okara</t>
  </si>
  <si>
    <t>TR30655</t>
  </si>
  <si>
    <t>Azhar Hussain</t>
  </si>
  <si>
    <t>698-A DHA PHASE 11 RAHBAR SECTOR-1 OPP MCDONALDS PINE AVENUE ROAD. LAHORE</t>
  </si>
  <si>
    <t>TR30656</t>
  </si>
  <si>
    <t>hassan alam</t>
  </si>
  <si>
    <t>Tehsil Bazar juice wali shop near Naeem tailor alam house Sialkot</t>
  </si>
  <si>
    <t>TR30657</t>
  </si>
  <si>
    <t>Hanzla Majeed Hanzla Majeed Hashmi</t>
  </si>
  <si>
    <t>House No 324 Street No 27 Murala Road Helan Tehsile Phalia District Mandi Bhauudin Mandi Bahauddin</t>
  </si>
  <si>
    <t>TR30658</t>
  </si>
  <si>
    <t>Harroon Kiyani</t>
  </si>
  <si>
    <t>Defense Residency DHA 2 Islamabad Near  Giga Mall DHA 2 Gate No 3 Islamabad</t>
  </si>
  <si>
    <t xml:space="preserve">TR30659
not ans </t>
  </si>
  <si>
    <t>TR30659</t>
  </si>
  <si>
    <t>TR30658 not an s</t>
  </si>
  <si>
    <t>TR30660</t>
  </si>
  <si>
    <t>Shoaib Dar</t>
  </si>
  <si>
    <t>Chkriyan Chowk Saad karyana store mangowal west Gujrat</t>
  </si>
  <si>
    <t>TR30661</t>
  </si>
  <si>
    <t>TR30662</t>
  </si>
  <si>
    <t>Mohsin ali khan Mohsin ali khan</t>
  </si>
  <si>
    <t>+923350900931</t>
  </si>
  <si>
    <t>Maira mirpur zaman shaheed street near ibrahim musjid abbottabad .</t>
  </si>
  <si>
    <t>whasup 
 | 💰 COD Rec: 2026-04-07 | Ref: CPR-XT60O810684 | Amt: 8550</t>
  </si>
  <si>
    <t>Multi ref PUM-A - M / White (x1), Multi ref PUM-A - M / Black (x1), Multi ref PUM-A - XL / White (x1), Multi ref PUM-A - XL / Black (x1), Multi ref PUM-A - 2XL / White (x1), Multi ref PUM-A - 2XL / Black (x1)</t>
  </si>
  <si>
    <t>TR30663</t>
  </si>
  <si>
    <t>Habib Ahmed</t>
  </si>
  <si>
    <t>Floor 2nd, T 122 Block 2 Pechs House Karachi</t>
  </si>
  <si>
    <t xml:space="preserve">cancel ker dein wo out of city haa </t>
  </si>
  <si>
    <t>TR30664</t>
  </si>
  <si>
    <t>TR30665</t>
  </si>
  <si>
    <t>T 122 block 2 pechs bhaind zahid nihari 2nd floor Karachi</t>
  </si>
  <si>
    <t>TR30666</t>
  </si>
  <si>
    <t>Ehsan nawaz</t>
  </si>
  <si>
    <t>songhoi Jhulm</t>
  </si>
  <si>
    <t>Jhulm</t>
  </si>
  <si>
    <t xml:space="preserve">cancel 3 shirt 2k ki ker do werna cancel </t>
  </si>
  <si>
    <t>TR30667</t>
  </si>
  <si>
    <t>Kainat Tahir</t>
  </si>
  <si>
    <t>+923365574623</t>
  </si>
  <si>
    <t>Block C_1 house no 66 near triangle park Malir Cantt Bazar Karachi</t>
  </si>
  <si>
    <t xml:space="preserve">
 | 💰 COD Rec: 2026-04-03 | Ref: CPR-EP247894165 | Amt: 3949</t>
  </si>
  <si>
    <t>TR30668</t>
  </si>
  <si>
    <t>Ahmedullah Ahmedullah</t>
  </si>
  <si>
    <t>+923242257769</t>
  </si>
  <si>
    <t>Flat 7/4, tower 5-A, NHS Karsaz Karachi Karachi</t>
  </si>
  <si>
    <t>whatsup 
 | 💰 COD Rec: 2026-04-07 | Ref: CPR-XT60O810684 | Amt: 3099</t>
  </si>
  <si>
    <t>ADI Multi Ref Stripes - M / Black (x1), ADI Multi Ref Stripes - 2XL / Black (x1)</t>
  </si>
  <si>
    <t>Engr.Muhammad Usman Engr.Muhammad Usman</t>
  </si>
  <si>
    <t>+923468680165</t>
  </si>
  <si>
    <t>Hafizabad, Tulip City House No: C-180, Street No:09 Hafizabad</t>
  </si>
  <si>
    <t xml:space="preserve"> whatsup 
 | 💰 COD Rec: 2026-04-17 | Ref: CPR-RAGFP443199 | Amt: 5949</t>
  </si>
  <si>
    <t>ADI Multi Ref Stripes - XL / White (x1), ADI Multi Ref Stripes - XL / Black (x1), ADI Ref Stripes - XL / Black (x1), ADI Multi Ref Stripes - XL / Maroon (x1)</t>
  </si>
  <si>
    <t>TR30670</t>
  </si>
  <si>
    <t>Nasrullah Nasrullah</t>
  </si>
  <si>
    <t>+923337128585</t>
  </si>
  <si>
    <t>people colony jampur near high school boys jampur jampur</t>
  </si>
  <si>
    <t>jampur</t>
  </si>
  <si>
    <t>open to allow whatsup 
 | 💰 COD Rec: 2026-04-10 | Ref: CPR-XWOR8962608 | Amt: 3099</t>
  </si>
  <si>
    <t>TR30671</t>
  </si>
  <si>
    <t>MAHIR AHMAD</t>
  </si>
  <si>
    <t>16/17 DARUL REHMAT WASTI, CHENAB NAGAR Chenab Nagar ( Rabwah )</t>
  </si>
  <si>
    <t>Chenab Nagar ( Rabwah )</t>
  </si>
  <si>
    <t>TR30672</t>
  </si>
  <si>
    <t>Yasir Ayub</t>
  </si>
  <si>
    <t>2nd Floor, Bsc House, State Bank Of Pakistan, I I Chundrigar Road, Karachi Karachi</t>
  </si>
  <si>
    <t>TR30673</t>
  </si>
  <si>
    <t>Abid Hussain</t>
  </si>
  <si>
    <t>Samanabad Bastami road street 37 house 12c near yasir BBQ Lahore</t>
  </si>
  <si>
    <t xml:space="preserve">
 | 💰 COD Rec: 2026-04-03 | Ref: CPR-EP247894165 | Amt: 4947</t>
  </si>
  <si>
    <t>ADI-Trouser Tri strip - XL / Navy Blue (x1), ADI Ref Stripes - XL / White (x1), ADI Ref Stripes - XL / Black (x1)</t>
  </si>
  <si>
    <t>TR30674</t>
  </si>
  <si>
    <t>Abdullah Shamsher</t>
  </si>
  <si>
    <t>Fatima town F block vehari chowk Multam</t>
  </si>
  <si>
    <t>Multam</t>
  </si>
  <si>
    <t xml:space="preserve">
 | ↩️ Return Charged: 2026-04-14 | Ref: CPR-95P3C418437 | Fee: 220.98</t>
  </si>
  <si>
    <t>TR30675</t>
  </si>
  <si>
    <t>Moaizam Muneer</t>
  </si>
  <si>
    <t>Sundar Industrial Estate Gate no 1, Plot no 622, Raiwind Road Lahore Raiwind</t>
  </si>
  <si>
    <t>rider nai aya 
 | ↩️ Return Charged: 2026-04-10 | Ref: CPR-XWOR8962608 | Fee: 243.08</t>
  </si>
  <si>
    <t>TR30676</t>
  </si>
  <si>
    <t>TR30677</t>
  </si>
  <si>
    <t>Suleman Hasan</t>
  </si>
  <si>
    <t>House# K#65 Teli mohalla Chaudhry mola dad road Rawalpindi near fresco sweet opposite thana waris khan Rawalpindi</t>
  </si>
  <si>
    <t>TR30678</t>
  </si>
  <si>
    <t>Hazrat Ali</t>
  </si>
  <si>
    <t>Quetta avenue scheme spini road quetta Quetta</t>
  </si>
  <si>
    <t>confirm 
 | 💰 COD Rec: 2026-04-07 | Ref: CPR-XT60O810684 | Amt: 3099</t>
  </si>
  <si>
    <t>TR30679</t>
  </si>
  <si>
    <t>Abdur Rehman Abdur Rehman</t>
  </si>
  <si>
    <t>Signature boys hostel 7th road near siddique chowk Rawalpindi</t>
  </si>
  <si>
    <t>TR30680</t>
  </si>
  <si>
    <t>confirm 
 | 💰 COD Rec: 2026-04-03 | Ref: CPR-EP247894165 | Amt: 2049</t>
  </si>
  <si>
    <t>ADI Multi Ref Stripes - XL / Black (x1)</t>
  </si>
  <si>
    <t>TR30681</t>
  </si>
  <si>
    <t>Street 2, house 22, MPCHS E11/1 ISLAMABAD</t>
  </si>
  <si>
    <t xml:space="preserve">
 | 💰 COD Rec: 2026-04-03 | Ref: CPR-EP247894165 | Amt: 3349</t>
  </si>
  <si>
    <t>Basic RL Crew- Cotton - XL / Black (x1), Tipping Crew - XL / Black (x1)</t>
  </si>
  <si>
    <t>TR30682</t>
  </si>
  <si>
    <t>Abdul Moiz</t>
  </si>
  <si>
    <t>New Karachi Sindhi hotel sector 5/e house no 156/17 cloud communication Karachi</t>
  </si>
  <si>
    <t>TR30683</t>
  </si>
  <si>
    <t>Mohsin Nawaz</t>
  </si>
  <si>
    <t>PAF Base Shorkot Cantt Jhang</t>
  </si>
  <si>
    <t>confirm
 | 💰 COD Rec: 2026-04-14 | Ref: CPR-95P3C418437 | Amt: 3348</t>
  </si>
  <si>
    <t>TR30684</t>
  </si>
  <si>
    <t>Imran Khanzada</t>
  </si>
  <si>
    <t>Police Post Gujjo, Gujjo City main National Highway Thatta Gujjo City, District Thatta</t>
  </si>
  <si>
    <t>Gujjo City, District Thatta</t>
  </si>
  <si>
    <t>LE7530341170</t>
  </si>
  <si>
    <t>TR30685</t>
  </si>
  <si>
    <t>muhamma naeem</t>
  </si>
  <si>
    <t>Plot 15 The Townhouse Near Hatim F7 Markaz Islamabad Islamabad</t>
  </si>
  <si>
    <t>TR30686</t>
  </si>
  <si>
    <t>cancel mana aj out of city jana haa</t>
  </si>
  <si>
    <t>TR30687</t>
  </si>
  <si>
    <t>Ali Saab</t>
  </si>
  <si>
    <t>379 bahria homes, bahria town Lahore</t>
  </si>
  <si>
    <t>not ans
 | ↩️ Return Charged: 2026-04-07 | Ref: CPR-XT60O810684 | Fee: 117.86</t>
  </si>
  <si>
    <t>TR30688</t>
  </si>
  <si>
    <t>Muhammad Sajid</t>
  </si>
  <si>
    <t>Ghaziabad #2 Street #6 Faisalabad Faisalabad</t>
  </si>
  <si>
    <t>ma out of city hoo 10din bad ao ga 
 | ↩️ Return Charged: 2026-04-07 | Ref: CPR-XT60O810684 | Fee: 243.08</t>
  </si>
  <si>
    <t>TR30689</t>
  </si>
  <si>
    <t>Hasnat khan Khan</t>
  </si>
  <si>
    <t>I&amp;S branch Municipal committee Attock city Attock</t>
  </si>
  <si>
    <t>TR30690</t>
  </si>
  <si>
    <t>Sheraz Khalil</t>
  </si>
  <si>
    <t>289 A new muslim town Lahore</t>
  </si>
  <si>
    <t>TR30691</t>
  </si>
  <si>
    <t>Jawad Hussain</t>
  </si>
  <si>
    <t>Lahory gate Shaikh abad no 1 Peshawar Peshawar</t>
  </si>
  <si>
    <t>confirm no answer 
 | ↩️ Return Charged: 2026-04-14 | Ref: CPR-95P3C418437 | Fee: 235.70999999999998</t>
  </si>
  <si>
    <t>TR30692</t>
  </si>
  <si>
    <t>+923002010780</t>
  </si>
  <si>
    <t>C-15 Econ Plaza PECHS Block 6, plot 16-A, Shahre-E-Faisal Karachi Pakistan Karachi</t>
  </si>
  <si>
    <t xml:space="preserve">power off </t>
  </si>
  <si>
    <t>TR30693</t>
  </si>
  <si>
    <t>Yasar ali shoukat ali</t>
  </si>
  <si>
    <t>+923228485580</t>
  </si>
  <si>
    <t>Village kot mela ram near sua asil ferozpur road lahore Lahore</t>
  </si>
  <si>
    <t>ADI-Trouser Tri strip - L / Navy Blue (x1)</t>
  </si>
  <si>
    <t>TR30694</t>
  </si>
  <si>
    <t>Nadeem Ahmad Nisar</t>
  </si>
  <si>
    <t>Wings Consultants Peshawar</t>
  </si>
  <si>
    <t>confirm 
 | 💰 COD Rec: 2026-04-07 | Ref: CPR-XT60O810684 | Amt: 2049</t>
  </si>
  <si>
    <t>ADI Multi Ref Stripes - 4XL / Maroon (x1)</t>
  </si>
  <si>
    <t>TR30695</t>
  </si>
  <si>
    <t>Kamal Ghumman</t>
  </si>
  <si>
    <t>House 30, Street 1, Sector E, DHA 2 Islamabad</t>
  </si>
  <si>
    <t>TR30696</t>
  </si>
  <si>
    <t>Niazi Computer Shope Bandial Market Near Lari Adda Tehsil Quaidabad District Khushab Punjab Pakistan Quaidabad</t>
  </si>
  <si>
    <t>Quaidabad</t>
  </si>
  <si>
    <t xml:space="preserve">
 | 💰 COD Rec: 2026-04-03 | Ref: CPR-EP247894165 | Amt: 2099</t>
  </si>
  <si>
    <t>TR30697</t>
  </si>
  <si>
    <t>Danyal Khan</t>
  </si>
  <si>
    <t>+923138987988</t>
  </si>
  <si>
    <t>Old Bara Road University Town Town Heights Building Peshawar Peshawar</t>
  </si>
  <si>
    <t>TR30698</t>
  </si>
  <si>
    <t>Pakistan military academy jinnah gate Abbotabad</t>
  </si>
  <si>
    <t>TR30699</t>
  </si>
  <si>
    <t>TANVEER Ahmad</t>
  </si>
  <si>
    <t>House  NO 784 Al Rahman Garden Phase 2 Lahore Block C EXT Lahore</t>
  </si>
  <si>
    <t>TR30700</t>
  </si>
  <si>
    <t>SAGHIR AHMAD</t>
  </si>
  <si>
    <t>Mustafa Market Shop No 2 Bhombli Loser Chik Beli Khan Road Rawat Rawat</t>
  </si>
  <si>
    <t>Rawat</t>
  </si>
  <si>
    <t xml:space="preserve">
 | 💰 COD Rec: 2026-04-03 | Ref: CPR-EP247894165 | Amt: 3798</t>
  </si>
  <si>
    <t>Multi ref PUM-A - XL / White (x1), ADI-Trouser Tri strip - XL / Navy Blue (x1)</t>
  </si>
  <si>
    <t>TR30701</t>
  </si>
  <si>
    <t>GHAFOOR ULLAH</t>
  </si>
  <si>
    <t>+923444824657</t>
  </si>
  <si>
    <t>House No 828 Gali No 43 G-10/4 Islamabad Islamabad</t>
  </si>
  <si>
    <t>TR30702</t>
  </si>
  <si>
    <t>Haroon Saeed</t>
  </si>
  <si>
    <t>Hose # B-71. Dream Garden Housing. Askari Bypass. Multan</t>
  </si>
  <si>
    <t xml:space="preserve">
 | 💰 COD Rec: 2026-04-03 | Ref: CPR-EP247894165 | Amt: 2749</t>
  </si>
  <si>
    <t>TR30703</t>
  </si>
  <si>
    <t>Muzammil Kodvavi</t>
  </si>
  <si>
    <t>703 , Machiyara Tower, Afghan Carpet , Khaliq Uz Zaman Road , Clifton Block Karachi</t>
  </si>
  <si>
    <t>confirm 
 | 💰 COD Rec: 2026-04-14 | Ref: CPR-95P3C418437 | Amt: 3999</t>
  </si>
  <si>
    <t>TR30704</t>
  </si>
  <si>
    <t>Inam Abdullah</t>
  </si>
  <si>
    <t>Skylink travels Skylink travels Jatlan Head Mirpur Azad Kashmir</t>
  </si>
  <si>
    <t>Skylink travels Jatlan Head Mirpur Azad Kashmir</t>
  </si>
  <si>
    <t>TR30706</t>
  </si>
  <si>
    <t>Waseem Khan</t>
  </si>
  <si>
    <t>Chakri road khalid kaloni street 3 rwp Rawalpindi</t>
  </si>
  <si>
    <t>TR30707</t>
  </si>
  <si>
    <t>312- Hussain Block Bahria Town Lahore Lahore</t>
  </si>
  <si>
    <t>1350 payment lagani haa TR29924exchnage 
 | 💰 COD Rec: 2026-04-03 | Ref: CPR-EP247894165 | Amt: 1350</t>
  </si>
  <si>
    <t>Popcorn Polo - XL / White (x1), ADI Multi Ref Stripes - XL / Black (x1), ADI Multi Ref Stripes - 2XL / White (x1)</t>
  </si>
  <si>
    <t>TR30708</t>
  </si>
  <si>
    <t>Hasnain Ali awan</t>
  </si>
  <si>
    <t>Hasnain ali awan , c/o syed raza, Wazir Bakery CMH Road Gamba near Nadra office gamba, Skardu, SKARDU, Gilgit Baltistan, Pakistan Skardu</t>
  </si>
  <si>
    <t>LE7530342381</t>
  </si>
  <si>
    <t>TR30709</t>
  </si>
  <si>
    <t>Old c and w chakia road mansehra Mansehra</t>
  </si>
  <si>
    <t>confirm 
 | 💰 COD Rec: 2026-04-07 | Ref: CPR-XT60O810684 | Amt: 1848</t>
  </si>
  <si>
    <t>ADI-Trouser Tri strip - M / Navy Blue (x1)</t>
  </si>
  <si>
    <t>TR30710</t>
  </si>
  <si>
    <t>Imran Sadiq</t>
  </si>
  <si>
    <t>Askari Bank ltd Sialkot</t>
  </si>
  <si>
    <t>ADI-Trouser Tri strip - XL / Navy Blue (x1), Multi ref PUM-A - XL / White (x1)</t>
  </si>
  <si>
    <t>TR30711</t>
  </si>
  <si>
    <t>Askari bank ltd Sialkot cantr</t>
  </si>
  <si>
    <t>Sialkot cantr</t>
  </si>
  <si>
    <t>TR30712</t>
  </si>
  <si>
    <t>Kashif rayyan</t>
  </si>
  <si>
    <t>+923214003544</t>
  </si>
  <si>
    <t>sslslakakaka Lahore</t>
  </si>
  <si>
    <t>open to allow   nahi lena mana no ans
 | ↩️ Return Charged: 2026-04-14 | Ref: CPR-95P3C418437 | Fee: 117.86</t>
  </si>
  <si>
    <t>TR30713</t>
  </si>
  <si>
    <t>Haris Qureshi</t>
  </si>
  <si>
    <t>Banda Ghazan Khan Supply Abbottabad Abbottabad</t>
  </si>
  <si>
    <t>TR30714</t>
  </si>
  <si>
    <t>Saniya Ali</t>
  </si>
  <si>
    <t>+923212509397</t>
  </si>
  <si>
    <t>Quaideen castle flat no 103 p.e.c.h.s block 2 near Al-ain hospital Karachi</t>
  </si>
  <si>
    <t>TR30715</t>
  </si>
  <si>
    <t>Kashan Raza</t>
  </si>
  <si>
    <t>+923355932902</t>
  </si>
  <si>
    <t>House 25 st 70 jinnah garden Iskamabad</t>
  </si>
  <si>
    <t>Iskamabad</t>
  </si>
  <si>
    <t>ADI-Trouser Tri strip - XL / Black (x1), ADI Multi Ref Stripes - 2XL / White (x1), ADI Multi Ref Stripes - 2XL / Black (x1)</t>
  </si>
  <si>
    <t>TR30716</t>
  </si>
  <si>
    <t>Rana Kamran</t>
  </si>
  <si>
    <t>Shadab Spray Centre Tehsil Shahkot District Nankana Shahkot</t>
  </si>
  <si>
    <t xml:space="preserve">
 | 💰 COD Rec: 2026-04-03 | Ref: CPR-EP247894165 | Amt: 3447</t>
  </si>
  <si>
    <t>ADI-Trouser Tri strip - L / Navy Blue (x1), ADI-Trouser Tri strip - L / Black (x1)</t>
  </si>
  <si>
    <t>TR30717</t>
  </si>
  <si>
    <t>Salar Rehman</t>
  </si>
  <si>
    <t>Rahman Villas, Street5, Rahman Enclave, Lethrar Road Islamabad</t>
  </si>
  <si>
    <t xml:space="preserve">
 | 💰 COD Rec: 2026-04-03 | Ref: CPR-EP247894165 | Amt: 5148</t>
  </si>
  <si>
    <t>Multi ref PUM-A - XL / Black (x1), ADI-Trouser Tri strip - L / Grey (x1), ADI-Trouser Tri strip - L / Black (x1)</t>
  </si>
  <si>
    <t>TR30718</t>
  </si>
  <si>
    <t>Fariha Qureshi</t>
  </si>
  <si>
    <t>Aura saloon E block comershal Awt phase 2 jaatiumrah road raiwind road Lahore Lahore</t>
  </si>
  <si>
    <t>TR30719</t>
  </si>
  <si>
    <t>TR30720</t>
  </si>
  <si>
    <t>Tauheed Ahmad</t>
  </si>
  <si>
    <t>+923015537456</t>
  </si>
  <si>
    <t>Habib bank limited near ghalla mandi jhabran district sheikhupura Jhabbran Mandi</t>
  </si>
  <si>
    <t>Jhabbran Mandi</t>
  </si>
  <si>
    <t xml:space="preserve">confirm ma avail nahi tha </t>
  </si>
  <si>
    <t>TR30721</t>
  </si>
  <si>
    <t>Allow to open Saqib</t>
  </si>
  <si>
    <t>Yaqoob trank store Depalpur Bazar Sahiwal Sahiwal</t>
  </si>
  <si>
    <t>TR30722</t>
  </si>
  <si>
    <t>NAJAF ALI</t>
  </si>
  <si>
    <t>SIALKOT RORAS ROAD MUZAFFERPUR BATTO WALA KHOO SHABIR KARYANA STORE SIALKOT</t>
  </si>
  <si>
    <t>SIALKOT</t>
  </si>
  <si>
    <t>TR30723</t>
  </si>
  <si>
    <t>Bilal Ahmed</t>
  </si>
  <si>
    <t>+923122396553</t>
  </si>
  <si>
    <t>H#C3 survy # 712 jaffar e tayyar society malir karachi Karachi</t>
  </si>
  <si>
    <t>: Muhammad Asim Khan</t>
  </si>
  <si>
    <t>+923217863488</t>
  </si>
  <si>
    <t>house no 70 H block A Taj Pura scheme near swera bakery Lahore City: Lahore Lahore</t>
  </si>
  <si>
    <t xml:space="preserve"> whatsup 
 | 💰 COD Rec: 2026-04-17 | Ref: CPR-RAGFP443199 | Amt: 3099</t>
  </si>
  <si>
    <t>TR30725</t>
  </si>
  <si>
    <t>Chaudhary Muhammad Ahmad</t>
  </si>
  <si>
    <t>R-734 Block 15 FB Area Dastagir Karachi</t>
  </si>
  <si>
    <t>confirm koi nahi aya 
 | ↩️ Return Charged: 2026-04-14 | Ref: CPR-95P3C418437 | Fee: 235.70999999999998</t>
  </si>
  <si>
    <t>TR30726</t>
  </si>
  <si>
    <t>124 Tip-2 Khayaban-e-Amin Lahore Lahore</t>
  </si>
  <si>
    <t>Waqar Naeem</t>
  </si>
  <si>
    <t>American quarter Pathan colony near Dawlance factory Hyderabad Hyderabad</t>
  </si>
  <si>
    <t>confirm on cal 
 | ↩️ Return Charged: 2026-04-17 | Ref: CPR-RAGFP443199 | Fee: 235.70999999999998</t>
  </si>
  <si>
    <t>TR30728</t>
  </si>
  <si>
    <t>House #d-19 Housing Colony Iskandrabad District Mianwali Mianwali</t>
  </si>
  <si>
    <t>TR30729</t>
  </si>
  <si>
    <t>Akhtar Karim</t>
  </si>
  <si>
    <t>Elative residency Islamabad E11/2</t>
  </si>
  <si>
    <t>Islamabad E11/2</t>
  </si>
  <si>
    <t xml:space="preserve">CANCEL MUJHA LAGA FULL TRACK HAA </t>
  </si>
  <si>
    <t>TR30730</t>
  </si>
  <si>
    <t>replacement TR30655     0 amount kerni haa 
mistake by trace packing team</t>
  </si>
  <si>
    <t>TR30731</t>
  </si>
  <si>
    <t xml:space="preserve">replacement TR30556   paid kerna haaa </t>
  </si>
  <si>
    <t>Multi ref PUM-A - M / White (x1), Tipping Crew - M / Black (x1)</t>
  </si>
  <si>
    <t>TR30732</t>
  </si>
  <si>
    <t>Sohail Raahimi</t>
  </si>
  <si>
    <t>Rus Olive Lodge hotel Sundus skardu Skardu</t>
  </si>
  <si>
    <t>LE7531953710</t>
  </si>
  <si>
    <t>Delivery unsuccessful</t>
  </si>
  <si>
    <t>TR30733</t>
  </si>
  <si>
    <t>Malik di hatti chella chok muzaffarabad Azad Kashmir Muzaffarabad</t>
  </si>
  <si>
    <t>TR30734</t>
  </si>
  <si>
    <t>Tariq Hameed</t>
  </si>
  <si>
    <t>1113 fort colony multan cantt Multan</t>
  </si>
  <si>
    <t>TR30735</t>
  </si>
  <si>
    <t>Haseeb Amjad</t>
  </si>
  <si>
    <t>Sk dubai saloon near ubl bank kulowal Sialkot</t>
  </si>
  <si>
    <t>confirm on wp 
 | 💰 COD Rec: 2026-04-07 | Ref: CPR-XT60O810684 | Amt: 3348</t>
  </si>
  <si>
    <t>TR30736</t>
  </si>
  <si>
    <t xml:space="preserve">cancel mujha laga ka sat hshort hain 
</t>
  </si>
  <si>
    <t>TR30737</t>
  </si>
  <si>
    <t>Ali Adeel</t>
  </si>
  <si>
    <t>Muradpur behind graveyard sialkot Sialkot</t>
  </si>
  <si>
    <t>confirm 
 | 💰 COD Rec: 2026-04-10 | Ref: CPR-XWOR8962608 | Amt: 5247</t>
  </si>
  <si>
    <t>Signature Adi-Trouser - L / Black (x1), Multi ref PUM-A - L / White (x1), Multi ref PUM-A - L / Black (x1)</t>
  </si>
  <si>
    <t>TR30738</t>
  </si>
  <si>
    <t>Kashif Ch</t>
  </si>
  <si>
    <t>Paragon city imperial  garden 23 s near Almushraq Store Lahore</t>
  </si>
  <si>
    <t xml:space="preserve">
 | 💰 COD Rec: 2026-04-03 | Ref: CPR-EP247894165 | Amt: 1848</t>
  </si>
  <si>
    <t>TR30739</t>
  </si>
  <si>
    <t>12 Tariq Street Islamia Park Poonch Road Near Kips College Chauburgi Lahore Lahore</t>
  </si>
  <si>
    <t>TR30740</t>
  </si>
  <si>
    <t>+923188350446</t>
  </si>
  <si>
    <t>Chock Shah Abbas Suraj Kund Road Near Kosir Oil Mills - House# 2638/8m Multan</t>
  </si>
  <si>
    <t>TR30741</t>
  </si>
  <si>
    <t>Sameer ata</t>
  </si>
  <si>
    <t>+923443088087</t>
  </si>
  <si>
    <t>Villa No 698 Street 16 precinct 11A Bahria Town Karachi Karachi</t>
  </si>
  <si>
    <t>TR30742</t>
  </si>
  <si>
    <t>Bashar Javed Khan</t>
  </si>
  <si>
    <t>House 53, Street 589, G-13/2 Islamabad</t>
  </si>
  <si>
    <t xml:space="preserve">
 | 💰 COD Rec: 2026-04-10 | Ref: CPR-XWOR8962608 | Amt: 3348</t>
  </si>
  <si>
    <t>TR30743</t>
  </si>
  <si>
    <t>House No 10 Club Road Old Officers Colony Rahim Yar Khan</t>
  </si>
  <si>
    <t>TR30744</t>
  </si>
  <si>
    <t>Flat no.412, violet lines, capital Residencia, e_11/4 Islamabad</t>
  </si>
  <si>
    <t>TR30745</t>
  </si>
  <si>
    <t>+923219513700</t>
  </si>
  <si>
    <t>TR30746</t>
  </si>
  <si>
    <t>H.276p.st.185.phase 1.dha Lhr Lahore</t>
  </si>
  <si>
    <t>TR30747</t>
  </si>
  <si>
    <t>Zohaib khan Changan</t>
  </si>
  <si>
    <t>Changan Karachi Motors Main Super Highway Near Jamali Pull Karachi Karachi</t>
  </si>
  <si>
    <t>TR30748</t>
  </si>
  <si>
    <t>E634/1 Muslim street Gulshan park near Nishat colony Lahore cantt Lahore</t>
  </si>
  <si>
    <t>mujha alredy receive ho gaya haa boll raha consignee 
 | ↩️ Return Charged: 2026-04-10 | Ref: CPR-XWOR8962608 | Fee: 132.59</t>
  </si>
  <si>
    <t>TR30749</t>
  </si>
  <si>
    <t>Muhammad Amin</t>
  </si>
  <si>
    <t>173-d-wapda City Faisalabad</t>
  </si>
  <si>
    <t>TR30750</t>
  </si>
  <si>
    <t>TR30751</t>
  </si>
  <si>
    <t>TR30549exchnage 250 dc lagani ha bass 
 | 💰 COD Rec: 2026-04-07 | Ref: CPR-XT60O810684 | Amt: 250</t>
  </si>
  <si>
    <t>Gullzaib colony street no 30 multan Multan</t>
  </si>
  <si>
    <t>confirm  rider nahi aya 
 | ↩️ Return Charged: 2026-04-17 | Ref: CPR-RAGFP443199 | Fee: 220.98</t>
  </si>
  <si>
    <t>,Muhammad Asif ,Muhammad Asif</t>
  </si>
  <si>
    <t>+923338618033</t>
  </si>
  <si>
    <t>,Quetta cantt  Akram Market Near NBP ATM  City ,Quetta ,Quetta</t>
  </si>
  <si>
    <t>,Quetta</t>
  </si>
  <si>
    <t>whatsup  not ans 
 | ↩️ Return Charged: 2026-04-17 | Ref: CPR-RAGFP443199 | Fee: 235.70999999999998</t>
  </si>
  <si>
    <t>TR30754</t>
  </si>
  <si>
    <t>Dr Hasnat Dr Hasnat</t>
  </si>
  <si>
    <t>+923341798383</t>
  </si>
  <si>
    <t>: House 60/B-1, Model Avenue, Haroonabad City: Haroonabad, District Bahawalnagar Haroonabad, District Bahawalnagar</t>
  </si>
  <si>
    <t>Haroonabad, District Bahawalnagar</t>
  </si>
  <si>
    <t>whatsup 
 | 💰 COD Rec: 2026-04-03 | Ref: CPR-EP247894165 | Amt: 3347</t>
  </si>
  <si>
    <t>TR30755</t>
  </si>
  <si>
    <t>Asif ali Asif ali</t>
  </si>
  <si>
    <t>+923000845045</t>
  </si>
  <si>
    <t>Royale Residencia house number 90 A block Lahore</t>
  </si>
  <si>
    <t>whatsup 
 | 💰 COD Rec: 2026-04-07 | Ref: CPR-XT60O810684 | Amt: 2099</t>
  </si>
  <si>
    <t>ADI Ref Stripes - M / White (x1)</t>
  </si>
  <si>
    <t>TR30756</t>
  </si>
  <si>
    <t>+9203244546729</t>
  </si>
  <si>
    <t>Muzafargarh near fayaz park opposite circuit house Muzafargarh</t>
  </si>
  <si>
    <t>Muzafargarh</t>
  </si>
  <si>
    <t>TR30757</t>
  </si>
  <si>
    <t>tr30016 exchnage only dc lagani haa 250
 | 💰 COD Rec: 2026-04-10 | Ref: CPR-XWOR8962608 | Amt: 250</t>
  </si>
  <si>
    <t>TR30758</t>
  </si>
  <si>
    <t>TR30535exchnage only dc lagani ha 250dc
 | 💰 COD Rec: 2026-04-03 | Ref: CPR-EP247894165 | Amt: 250</t>
  </si>
  <si>
    <t>TR30759</t>
  </si>
  <si>
    <t>TR30135 exchnage only dc lagani ha 250dc
 | 💰 COD Rec: 2026-04-07 | Ref: CPR-XT60O810684 | Amt: 250</t>
  </si>
  <si>
    <t>A | X Embroidery LOGO - XL / Navy (x1), A | X Embroidery LOGO - XL / Pista (x1)</t>
  </si>
  <si>
    <t>TR30760</t>
  </si>
  <si>
    <t>Faisal Star</t>
  </si>
  <si>
    <t>+923025013845</t>
  </si>
  <si>
    <t>St 1, Chiti Kothi Road, Lunda Phatak, Sheikhupura. Qila Shekhupura</t>
  </si>
  <si>
    <t xml:space="preserve">cancel kisi ka liya gift lena tha ma </t>
  </si>
  <si>
    <t>TR30761</t>
  </si>
  <si>
    <t>M shahid M Shahid</t>
  </si>
  <si>
    <t>293 294 janah caloni fsd Fasil abad</t>
  </si>
  <si>
    <t>Fasil abad</t>
  </si>
  <si>
    <t>TR30762</t>
  </si>
  <si>
    <t>293 294 janah caloni fsd Fasil Abad</t>
  </si>
  <si>
    <t>Fasil Abad</t>
  </si>
  <si>
    <t xml:space="preserve">
 | 💰 COD Rec: 2026-04-07 | Ref: CPR-XT60O810684 | Amt: 6198</t>
  </si>
  <si>
    <t>ADI Multi Ref Stripes - M / White (x1), ADI Multi Ref Stripes - M / Black (x1), Tipping Crew - M / Black (x1), Tipping Crew - M / White (x1)</t>
  </si>
  <si>
    <t>TR30763</t>
  </si>
  <si>
    <t>+923157923898</t>
  </si>
  <si>
    <t>Daska p/o khas bharthanwala Daska</t>
  </si>
  <si>
    <t>rider aya tha ma nimaz perh raha tha confirm 
 | ↩️ Return Charged: 2026-04-10 | Ref: CPR-XWOR8962608 | Fee: 220.98</t>
  </si>
  <si>
    <t>TR30764</t>
  </si>
  <si>
    <t>Ch Saddeed</t>
  </si>
  <si>
    <t>D.10 Central Registry Aero Lab Thattoo Hazara Road Hassan Abdal Attock</t>
  </si>
  <si>
    <t>TR30765</t>
  </si>
  <si>
    <t>Muhammad Hadi</t>
  </si>
  <si>
    <t>Super Madina Hotel &amp; Restaurant Mainwali Mianwali</t>
  </si>
  <si>
    <t>confirm 
 | 💰 COD Rec: 2026-04-07 | Ref: CPR-XT60O810684 | Amt: 3299</t>
  </si>
  <si>
    <t>TR30766</t>
  </si>
  <si>
    <t xml:space="preserve">replacemnet TR30586  paid kerni ha 
</t>
  </si>
  <si>
    <t>ADI Multi Ref Stripes - XL / Black (x1), ADI Ref Stripes - XL / Black (x1)</t>
  </si>
  <si>
    <t>TR30767</t>
  </si>
  <si>
    <t>power off not ans 
allow to open TR30345slipt 
 | ↩️ Return Charged: 2026-04-10 | Ref: CPR-XWOR8962608 | Fee: 132.59</t>
  </si>
  <si>
    <t>TR30768</t>
  </si>
  <si>
    <t>Oun Akber Laghari</t>
  </si>
  <si>
    <t>pak tower flat with fps oppozit dowood malll Hyderabad</t>
  </si>
  <si>
    <t>confirm cancel
 | ↩️ Return Charged: 2026-04-14 | Ref: CPR-95P3C418437 | Fee: 235.70999999999998</t>
  </si>
  <si>
    <t>TR30769</t>
  </si>
  <si>
    <t>Warraich house multan rewari wali gali dhanote Dhanote</t>
  </si>
  <si>
    <t>Dhanote</t>
  </si>
  <si>
    <t>confirm lodhra ka ass pass ha ya dhanote town 
 | 💰 COD Rec: 2026-04-07 | Ref: CPR-XT60O810684 | Amt: 1499</t>
  </si>
  <si>
    <t>Basic RL Crew- Cotton - L / Dark grey (x1)</t>
  </si>
  <si>
    <t>TR30770</t>
  </si>
  <si>
    <t>Fasih Faisal</t>
  </si>
  <si>
    <t>B391 Faisal Tahir Center Jinnah chowk opp: Childrens park DSukkur Sukkur</t>
  </si>
  <si>
    <t>TR30771</t>
  </si>
  <si>
    <t>Asif Javed</t>
  </si>
  <si>
    <t>Village Monsora near qabarstan City Noorkot Techil Shakgarh Mega cash nd care noorktot</t>
  </si>
  <si>
    <t>City Noorkot Techil Shakgarh Mega cash nd care noorktot</t>
  </si>
  <si>
    <t>TR30772</t>
  </si>
  <si>
    <t>Shahrukh Mughal</t>
  </si>
  <si>
    <t>House No 201/a Housing Colony Near Railway Phatak Islam Pura Hasanabdal Rawalpindi</t>
  </si>
  <si>
    <t>TR30773</t>
  </si>
  <si>
    <t>Javed Ali</t>
  </si>
  <si>
    <t>House #123 Street 3 Ashraf Garden Raiwind Raiwind</t>
  </si>
  <si>
    <t>A | X Embroidery LOGO - 3XL / Black (x1)</t>
  </si>
  <si>
    <t>Delivery Under Review</t>
  </si>
  <si>
    <t>TR30774</t>
  </si>
  <si>
    <t>Office 401 Building 2C Bukhari Commercial Lane 7 Phase 6 DHA Karachi</t>
  </si>
  <si>
    <t>cancel advance nahi da raha or boll raha haa ka open parcel required haa</t>
  </si>
  <si>
    <t>TR30775</t>
  </si>
  <si>
    <t>irrigation colony near pilot school larkana</t>
  </si>
  <si>
    <t>larkana</t>
  </si>
  <si>
    <t>ADI-Trouser Tri strip - XL / Grey (x1)</t>
  </si>
  <si>
    <t>TR30776</t>
  </si>
  <si>
    <t>MUHAMMAD IRFAN</t>
  </si>
  <si>
    <t>Islamabad G7/3-4 street 237 House no 80 Islamabad</t>
  </si>
  <si>
    <t>250dc advance haa confirm  +30 694 684 5558
 | 💰 COD Rec: 2026-04-07 | Ref: CPR-XT60O810684 | Amt: 3099</t>
  </si>
  <si>
    <t>TR30777</t>
  </si>
  <si>
    <t>Adeeba Khan</t>
  </si>
  <si>
    <t>Near govt.girls high school Fazalabad Kanju swat MINGORA (SWAT)</t>
  </si>
  <si>
    <t>MINGORA (SWAT)</t>
  </si>
  <si>
    <t>TR30778</t>
  </si>
  <si>
    <t>Shayan Jan</t>
  </si>
  <si>
    <t>+923161136885</t>
  </si>
  <si>
    <t>C-43 block-17 Gulshan-e-Iqbal karachi Karachi</t>
  </si>
  <si>
    <t>confirm 
 | 💰 COD Rec: 2026-04-10 | Ref: CPR-XWOR8962608 | Amt: 5000</t>
  </si>
  <si>
    <t>Imported Scoba Executive Nik Tro - M / Silver Grey (x1), Multi ref PUM-A - M / White (x1)</t>
  </si>
  <si>
    <t>TR30779</t>
  </si>
  <si>
    <t>Rayyan Nadeem</t>
  </si>
  <si>
    <t>Hangu bypass road near ali Masjid Hangu</t>
  </si>
  <si>
    <t>Hangu</t>
  </si>
  <si>
    <t xml:space="preserve">power off no wp </t>
  </si>
  <si>
    <t>TR30780</t>
  </si>
  <si>
    <t>Raja Bilal</t>
  </si>
  <si>
    <t>Fazal Hospital Street Dhoke Abdullah Jhelum Jhelum</t>
  </si>
  <si>
    <t>TR30781</t>
  </si>
  <si>
    <t>Mian Usama</t>
  </si>
  <si>
    <t>275Jb painsra faisalabad Faisalabad</t>
  </si>
  <si>
    <t>not ans confirm  usama nahi haa kam gaya hua ha jab ay ga toh receive ker la gaa</t>
  </si>
  <si>
    <t>TR30782</t>
  </si>
  <si>
    <t>Joseph Masih</t>
  </si>
  <si>
    <t>Prince Textile Industry Sialkot Road Near Meezan Bank Chawinda Chawinda</t>
  </si>
  <si>
    <t>open to allow confirm 
 | 💰 COD Rec: 2026-04-14 | Ref: CPR-95P3C418437 | Amt: 6149</t>
  </si>
  <si>
    <t>Multi ref PUM-A - XL / White (x1), Multi ref PUM-A - XL / Black (x1), Imported Scoba Executive Nik Tro - XL / Black (x1)</t>
  </si>
  <si>
    <t>TR30783</t>
  </si>
  <si>
    <t>Ayaz Jadoon</t>
  </si>
  <si>
    <t>Near Masjid Abuzar Ghafari, Sector 7, Phase 2, KDA Kohat. Kohat</t>
  </si>
  <si>
    <t>confrm 
 | 💰 COD Rec: 2026-04-07 | Ref: CPR-XT60O810684 | Amt: 4998</t>
  </si>
  <si>
    <t>ADI - EMBOSSED LOGO - XL / Dark Red(Maroon) (x1), Multi ref PUM-A - XL / White (x1), ADI-Trouser Tri strip - L / Grey (x1)</t>
  </si>
  <si>
    <t>TR30784</t>
  </si>
  <si>
    <t>Dr. Shahid Iqbal</t>
  </si>
  <si>
    <t>+923225573662</t>
  </si>
  <si>
    <t>الرابی سپر سٹور . Rasheed colony st no 1 sadar Bazar no 2 ferozwala road Gujranwala Gujranwala</t>
  </si>
  <si>
    <t>not ans confirm 
 | 💰 COD Rec: 2026-04-14 | Ref: CPR-95P3C418437 | Amt: 3348</t>
  </si>
  <si>
    <t>TR30785</t>
  </si>
  <si>
    <t>Faisal Nawaz</t>
  </si>
  <si>
    <t>No. 3-mc-98 Green Town Street Karachi</t>
  </si>
  <si>
    <t>confirm
 | 💰 COD Rec: 2026-04-07 | Ref: CPR-XT60O810684 | Amt: 3348</t>
  </si>
  <si>
    <t>TR30786</t>
  </si>
  <si>
    <t>Farhan Ghaffar</t>
  </si>
  <si>
    <t>Razi hall nishtar boys hostel room no 81 Multan</t>
  </si>
  <si>
    <t>confirm 
 | 💰 COD Rec: 2026-04-10 | Ref: CPR-XWOR8962608 | Amt: 3644</t>
  </si>
  <si>
    <t>Multi ref PUM-A - 2XL / White (x1), Tipping Crew - XL / Black (x1)</t>
  </si>
  <si>
    <t>TR30787</t>
  </si>
  <si>
    <t>TCS Sehnsa Kotli Azad Kashmir</t>
  </si>
  <si>
    <t>TR30788</t>
  </si>
  <si>
    <t>Malik Ahmad</t>
  </si>
  <si>
    <t>Village jhantla p/o guliana tehsil kharian district gujrat Kharian</t>
  </si>
  <si>
    <t>ADI-Trouser Tri strip - XL / Black (x1)</t>
  </si>
  <si>
    <t>TR30789</t>
  </si>
  <si>
    <t>Ajaz Ahmad</t>
  </si>
  <si>
    <t>Liberty home society nothren by pas multan near alkhidmat centre Multan</t>
  </si>
  <si>
    <t>TR30790</t>
  </si>
  <si>
    <t>+923425561584</t>
  </si>
  <si>
    <t>Rahat abad  street 13 galaxy hostel Peshawar</t>
  </si>
  <si>
    <t>TR30791</t>
  </si>
  <si>
    <t>Usama Riaz</t>
  </si>
  <si>
    <t>+923094343158</t>
  </si>
  <si>
    <t>Pak Electron Beam Irradiation E65 north industrial zone port Qasim karachi Pakistan Karachi</t>
  </si>
  <si>
    <t>TR30792</t>
  </si>
  <si>
    <t>Rashid Mehmood</t>
  </si>
  <si>
    <t>Village nandpur post office verowala teh sambrial dis sialkot Daska</t>
  </si>
  <si>
    <t>Multi ref PUM-A - 4XL / White (x1)</t>
  </si>
  <si>
    <t>TR30793</t>
  </si>
  <si>
    <t>Umar Arif</t>
  </si>
  <si>
    <t>621-G, Hameed Park Johar Town Lahore</t>
  </si>
  <si>
    <t>TR30794</t>
  </si>
  <si>
    <t>Syed Hamza Ajlal Haider</t>
  </si>
  <si>
    <t>Lakhanwal Khurd Teh And Dist Gujrat Gujrat</t>
  </si>
  <si>
    <t>confirm 
 | 💰 COD Rec: 2026-04-07 | Ref: CPR-XT60O810684 | Amt: 5199</t>
  </si>
  <si>
    <t>Basic RL Crew- Cotton - XL / Black (x1), Basic RL Crew- Cotton - XL / Copper (x1), ADI - EMBOSSED LOGO - XL / Sky (x1), Basic RL Crew- Cotton - XL / Royal Mid blue (x1)</t>
  </si>
  <si>
    <t>TR30795</t>
  </si>
  <si>
    <t>New jabot jatlan Mirpur AJK Mirpur Ajk</t>
  </si>
  <si>
    <t>Mirpur Ajk</t>
  </si>
  <si>
    <t>TR30796</t>
  </si>
  <si>
    <t>EXCHANGE@SHOP012</t>
  </si>
  <si>
    <t xml:space="preserve">tr30614 exchnage at shop </t>
  </si>
  <si>
    <t>TR30797</t>
  </si>
  <si>
    <t>New statelite town block Z st 29 Sargodha</t>
  </si>
  <si>
    <t>ADI-Trouser Tri strip - L / Black (x1), Multi ref PUM-A - M / White (x1), Multi ref PUM-A - M / Black (x1)</t>
  </si>
  <si>
    <t>TR30798</t>
  </si>
  <si>
    <t>sheikh aziz</t>
  </si>
  <si>
    <t>house ni 2 church road sahiwal</t>
  </si>
  <si>
    <t>sahiwal</t>
  </si>
  <si>
    <t>TR30799</t>
  </si>
  <si>
    <t>Mahad Mughal</t>
  </si>
  <si>
    <t>(Ghali chaudhry muhammad rafique wali Street no 04 )house no 03 nr masjid bilal muhalla boghra hjipura rd skt Sialkot</t>
  </si>
  <si>
    <t>confirm 
 | 💰 COD Rec: 2026-04-07 | Ref: CPR-XT60O810684 | Amt: 2399</t>
  </si>
  <si>
    <t>Cotton lycra RL - 2XL / Black (x1)</t>
  </si>
  <si>
    <t>TR30800</t>
  </si>
  <si>
    <t>Adnan Hafeez</t>
  </si>
  <si>
    <t>+923198646410</t>
  </si>
  <si>
    <t>Chenone Outlet Rahwali Opposite Prisma Mall Gujranwala</t>
  </si>
  <si>
    <t xml:space="preserve">
 | 💰 COD Rec: 2026-04-10 | Ref: CPR-XWOR8962608 | Amt: 3849</t>
  </si>
  <si>
    <t>ADI Multi Ref Stripes - 2XL / White (x1), ADI Multi Ref Stripes - 2XL / Maroon (x1)</t>
  </si>
  <si>
    <t>TR30801</t>
  </si>
  <si>
    <t>Naeemullah Malik</t>
  </si>
  <si>
    <t>House 438 Street 15 Sector 3 Aechs Rawalpindi</t>
  </si>
  <si>
    <t>TR30802</t>
  </si>
  <si>
    <t>Fahad Hussain</t>
  </si>
  <si>
    <t>Noor Pur Manjho wala Noor Pur Manjho Wala</t>
  </si>
  <si>
    <t>Noor Pur Manjho Wala</t>
  </si>
  <si>
    <t>TR30803</t>
  </si>
  <si>
    <t>Farooq Ahmed Siddiqui</t>
  </si>
  <si>
    <t>D-107 Rufi Lake Drive, Block-18, Gulistan-e-Jouhar Karachi</t>
  </si>
  <si>
    <t>DESIGNER Arma-ni - M / light green (x1), POLO RL - M / Blue (x1), (Premium) Italian Texture Polo - M / Mehroon (x1), ADI Multi Ref Stripes - M / White (x1), ADI Multi Ref Stripes - M / Black (x1)</t>
  </si>
  <si>
    <t>TR30804</t>
  </si>
  <si>
    <t>Al Kareem General Store Sonara Bazar near Papu mobile Resham Galy Kamber Ali Khan 1</t>
  </si>
  <si>
    <t>whatsup 
 | 💰 COD Rec: 2026-04-10 | Ref: CPR-XWOR8962608 | Amt: 5450</t>
  </si>
  <si>
    <t>Popcorn Polo - XL / White (x1), Tipping Crew - XL / White (x1), Tipping Crew - XL / Black (x1)</t>
  </si>
  <si>
    <t>TR30805</t>
  </si>
  <si>
    <t>Muhammad Sheraz</t>
  </si>
  <si>
    <t>Faculty Apartments A-102 IBA Staff Town Karachi University Karachi</t>
  </si>
  <si>
    <t>TR30806</t>
  </si>
  <si>
    <t>Haider rana Rana</t>
  </si>
  <si>
    <t>Ponda Wala chonk pso patrol pump Gujranwala</t>
  </si>
  <si>
    <t>confirm 
 | 💰 COD Rec: 2026-04-07 | Ref: CPR-XT60O810684 | Amt: 3347</t>
  </si>
  <si>
    <t>Multi ref PUM-A - 4XL / Black (x1), Multi ref PUM-A - 4XL / White (x1)</t>
  </si>
  <si>
    <t>TR30807</t>
  </si>
  <si>
    <t>House no 32 street no 19 sector B Qayyumabad karachi Karachi</t>
  </si>
  <si>
    <t>TR30808</t>
  </si>
  <si>
    <t>Lalian Lalian</t>
  </si>
  <si>
    <t>Lalian</t>
  </si>
  <si>
    <t>cancel ma khud 4 futt ka hoo size issue haa</t>
  </si>
  <si>
    <t>TR30809</t>
  </si>
  <si>
    <t>Muhammad Arsalan</t>
  </si>
  <si>
    <t>Liaquatabad c area ghubbary wali Gali Karachi</t>
  </si>
  <si>
    <t xml:space="preserve">
 | 💰 COD Rec: 2026-04-07 | Ref: CPR-XT60O810684 | Amt: 3099</t>
  </si>
  <si>
    <t>TR30810</t>
  </si>
  <si>
    <t>Ali Arsalan</t>
  </si>
  <si>
    <t>House #188/2, Block G, Model Town Lahore</t>
  </si>
  <si>
    <t xml:space="preserve">
 | 💰 COD Rec: 2026-04-14 | Ref: CPR-95P3C418437 | Amt: 4947</t>
  </si>
  <si>
    <t>ADI-Trouser Tri strip - XL / Navy Blue (x1), ADI Multi Ref Stripes - 4XL / White (x1), ADI Multi Ref Stripes - 4XL / Black (x1)</t>
  </si>
  <si>
    <t>TR30811</t>
  </si>
  <si>
    <t>Ayesha shahzad</t>
  </si>
  <si>
    <t>H#469,I-10 Double road,I-10\4 Islamabad</t>
  </si>
  <si>
    <t xml:space="preserve">
 | 💰 COD Rec: 2026-04-07 | Ref: CPR-XT60O810684 | Amt: 2049</t>
  </si>
  <si>
    <t>TR30812</t>
  </si>
  <si>
    <t>Mehar Saddam</t>
  </si>
  <si>
    <t>+923420681474</t>
  </si>
  <si>
    <t>mangowal west Gujrat</t>
  </si>
  <si>
    <t>TR30813</t>
  </si>
  <si>
    <t>Waqas Ali Mirza</t>
  </si>
  <si>
    <t>Ufone office college chowk Near  amana dental  clanic mandibahudin Mandi Bahauddin</t>
  </si>
  <si>
    <t xml:space="preserve">
 | 💰 COD Rec: 2026-04-14 | Ref: CPR-95P3C418437 | Amt: 3348</t>
  </si>
  <si>
    <t>TR30814</t>
  </si>
  <si>
    <t>Ghulam Mustafa Mughal</t>
  </si>
  <si>
    <t>House no A-789 sector 11-A North Karachi Karachi</t>
  </si>
  <si>
    <t xml:space="preserve">
 | 💰 COD Rec: 2026-04-07 | Ref: CPR-XT60O810684 | Amt: 3498</t>
  </si>
  <si>
    <t>A | X Embroidery LOGO - XL / Navy (x1), ADI-Trouser Tri strip - XL / Navy Blue (x1)</t>
  </si>
  <si>
    <t>TR30815</t>
  </si>
  <si>
    <t>cancel ya wrong number haa</t>
  </si>
  <si>
    <t>TR30816</t>
  </si>
  <si>
    <t>Muhammad Shahid Muhammad Shahid</t>
  </si>
  <si>
    <t>+923218200021</t>
  </si>
  <si>
    <t>Delvery Time only Mon to Fri [8.30 am to 4.30 pm] Karachi</t>
  </si>
  <si>
    <t>ADI-Trouser Tri strip - XL / Navy Blue (x1)</t>
  </si>
  <si>
    <t>TR30817</t>
  </si>
  <si>
    <t>Flat 66, 1st Floor, Block C-2, Icon Valley Phase 1, Raiwend Road Lahore Lahore</t>
  </si>
  <si>
    <t>TR30818</t>
  </si>
  <si>
    <t>ch khuram khuram iftikhar</t>
  </si>
  <si>
    <t>Near Gujranwala</t>
  </si>
  <si>
    <t xml:space="preserve">cancel ker dien bhai na order kiya tha </t>
  </si>
  <si>
    <t>TR30819</t>
  </si>
  <si>
    <t>+923125334445</t>
  </si>
  <si>
    <t>250dc received  open to allow
 | 💰 COD Rec: 2026-04-14 | Ref: CPR-95P3C418437 | Amt: 3099</t>
  </si>
  <si>
    <t>TR30820</t>
  </si>
  <si>
    <t>Khuram Rao</t>
  </si>
  <si>
    <t>salimar View Housing Sosity Street 2 mehamod botti Lahore Lahore</t>
  </si>
  <si>
    <t xml:space="preserve">confirm cancel nahi lena </t>
  </si>
  <si>
    <t>TR30821</t>
  </si>
  <si>
    <t>Sabuhi Noorani</t>
  </si>
  <si>
    <t>No. 133-askari 10, Street 5, House Lahore</t>
  </si>
  <si>
    <t xml:space="preserve">
 | 💰 COD Rec: 2026-04-07 | Ref: CPR-XT60O810684 | Amt: 2649</t>
  </si>
  <si>
    <t>ADI - EMBOSSED LOGO - L / Black (x2)</t>
  </si>
  <si>
    <t>TR30822</t>
  </si>
  <si>
    <t>cancel ma bad ma again ordr karo gaaa</t>
  </si>
  <si>
    <t>TR30823</t>
  </si>
  <si>
    <t>E37/4 Peer Colony Walton Road Lahore Cantt Lahore</t>
  </si>
  <si>
    <t>TR30824</t>
  </si>
  <si>
    <t>House 158 street 50 ramghad bazar mughalpura lahore LAHORE</t>
  </si>
  <si>
    <t>TR30825</t>
  </si>
  <si>
    <t>Gehlan chak number 9 pattoki Pattoki</t>
  </si>
  <si>
    <t xml:space="preserve">cancel consigne remarks nahi lena no need </t>
  </si>
  <si>
    <t>TR30826</t>
  </si>
  <si>
    <t>Farhan Hanif</t>
  </si>
  <si>
    <t>+923139858727</t>
  </si>
  <si>
    <t>House 219A street 6 lane 12 Gulraiz phase 2 Rawalpindi</t>
  </si>
  <si>
    <t>TR30827</t>
  </si>
  <si>
    <t>Abdullah atta chakki main zia ul din colony road Depalpur</t>
  </si>
  <si>
    <t>TR30828</t>
  </si>
  <si>
    <t>Fahad Ali</t>
  </si>
  <si>
    <t>Street Numbar 5 Houes Numbar 1 Qusor Pura Lahore Lahore</t>
  </si>
  <si>
    <t xml:space="preserve">
 | ↩️ Return Charged: 2026-04-14 | Ref: CPR-95P3C418437 | Fee: 117.86</t>
  </si>
  <si>
    <t>TR30829</t>
  </si>
  <si>
    <t>Ayaan Phulpoto</t>
  </si>
  <si>
    <t>Ayaan house navidCalony Allied school khaki shah pull Khairpur Mirs</t>
  </si>
  <si>
    <t xml:space="preserve">cancel consignee remarks kal chaiya not possible </t>
  </si>
  <si>
    <t>TR30830</t>
  </si>
  <si>
    <t>+923085720548</t>
  </si>
  <si>
    <t>Abacus Consulting,3rd Floor, Evacuee Trust Complex، Agha Khan Rd, F-5/1 F-5, Islamabad Islamabad</t>
  </si>
  <si>
    <t>TR30831</t>
  </si>
  <si>
    <t>Junaid AnSari</t>
  </si>
  <si>
    <t>+923409377135</t>
  </si>
  <si>
    <t>Village takkar tahsil takhtbhai district mardan Mardan Takht Bai</t>
  </si>
  <si>
    <t>Mardan Takht Bai</t>
  </si>
  <si>
    <t>TR30832</t>
  </si>
  <si>
    <t>Saddam Hussein</t>
  </si>
  <si>
    <t>Rahat commercial phade 6 line 3 plot 24 c 368</t>
  </si>
  <si>
    <t>confirm 
 | 💰 COD Rec: 2026-04-10 | Ref: CPR-XWOR8962608 | Amt: 3099</t>
  </si>
  <si>
    <t>TR30833</t>
  </si>
  <si>
    <t>H#170, main market street, ghauri town, phase 3, islamabad Islamabad</t>
  </si>
  <si>
    <t>amir jamshaid amir jamshaid</t>
  </si>
  <si>
    <t>bahria town phase 8 rawalpindi</t>
  </si>
  <si>
    <t>confirm open to allow required 
 | ↩️ Return Charged: 2026-04-17 | Ref: CPR-RAGFP443199 | Fee: 266.05</t>
  </si>
  <si>
    <t>TR30835</t>
  </si>
  <si>
    <t>Malik Daniyal</t>
  </si>
  <si>
    <t>TALWANDI MUSA KHAN PASRUR ROD ALI SWEET AND BAKAR Gujranwala</t>
  </si>
  <si>
    <t>confirm  quality is not same as show in video 
 | ↩️ Return Charged: 2026-04-14 | Ref: CPR-95P3C418437 | Fee: 243.08</t>
  </si>
  <si>
    <t>TR30836</t>
  </si>
  <si>
    <t>Adnan Shoukat</t>
  </si>
  <si>
    <t>Post office potha tehsil sehnsa district kotli Azad Kashmir Sehnsa</t>
  </si>
  <si>
    <t>Sehnsa</t>
  </si>
  <si>
    <t>LE7532033032</t>
  </si>
  <si>
    <t xml:space="preserve">250dc advance hain </t>
  </si>
  <si>
    <t>TR30837</t>
  </si>
  <si>
    <t>Embossed NIK-E - M / Black (x4), Embossed NIK-E - L / White (x3), Embossed NIK-E - L / Black (x35), Embossed NIK-E - XL / Black (x1), Embossed NIK-E - M / White (x45), Embossed NIK-E - XL / White (x4), Tipping Crew - M / Black (x8), Tipping Crew - XL / White (x8), Tipping Crew - L / Black (x8), Tipping Crew - L / White (x8), Tipping Crew - M / White (x8), Tipping Crew - XL / Black (x8), NIK- Ref LOGO - XL / white (x2), NIK- Ref LOGO - XL / black (x2), NIK- Ref LOGO - 2XL / white (x1), NIK- Ref LOGO - L / black (x2), NIK- Ref LOGO - L / white (x2), NIK- Ref LOGO - M / white (x2), NIK- Ref LOGO - M / black (x2), NIK- Ref LOGO - 2XL / black (x1), ADI Ref Stripes - L / White (x6), ADI Ref Stripes - XL / White (x6), ADI Ref Stripes - M / White (x2), ADI Ref Stripes - L / Black (x6), ADI Ref Stripes - M / Black (x2), ADI Ref Stripes - XL / Black (x6), (Premium) Italian Texture Polo - L / Mehroon (x1), (Premium) Italian Texture Polo - L / Sky (x1), (Premium) Italian Texture Polo - L / Purple (x1), (Premium) Italian Texture Polo - L / Grey (x1), (Premium) Italian Texture Polo - L / Olive (x1), ADI Multi Ref Stripes - L / Black (x1), ADI Multi Ref Stripes - L / White (x1), ADI Multi Ref Stripes - M / Black (x1), ADI Multi Ref Stripes - XL / White (x1), ADI Multi Ref Stripes - M / Gray (x1), ADI Multi Ref Stripes - XL / Black (x1), ADI Multi Ref Stripes - M / White (x1)</t>
  </si>
  <si>
    <t>TR30838</t>
  </si>
  <si>
    <t>Sarfraz Ahmed</t>
  </si>
  <si>
    <t>Sarfraz Ahmed  Head Islamic Credit Risk, Bank Alfalah Ltd Shadman Branch  2nd Floor  88, Shadman-1,, LAHORE. Lahore</t>
  </si>
  <si>
    <t xml:space="preserve">
 | 💰 COD Rec: 2026-04-10 | Ref: CPR-XWOR8962608 | Amt: 3099</t>
  </si>
  <si>
    <t>TR30839</t>
  </si>
  <si>
    <t>Zulfiqar Mahmood</t>
  </si>
  <si>
    <t>113 A Phase 5 DHA Lahore Cantt Will Check Before Payment</t>
  </si>
  <si>
    <t>Lahore Cantt Will Check Before Payment</t>
  </si>
  <si>
    <t>allow to open 
 | 💰 COD Rec: 2026-04-14 | Ref: CPR-95P3C418437 | Amt: 3348</t>
  </si>
  <si>
    <t>TR30840</t>
  </si>
  <si>
    <t>ANWER KHAN</t>
  </si>
  <si>
    <t>B2 NOORABAD APARTMENT GULSHAN IQBAL BLOCK 14 Karachi</t>
  </si>
  <si>
    <t>Kindly cancel it  I am out of station thanks</t>
  </si>
  <si>
    <t>TR30841</t>
  </si>
  <si>
    <t>House 325 street 12 bahria phase 4 rawalpindi Rawalpindi</t>
  </si>
  <si>
    <t>TR30842</t>
  </si>
  <si>
    <t>House no 21 block F old rizvia society near Ghadeer chowk karachi Karachi</t>
  </si>
  <si>
    <t>TR30843</t>
  </si>
  <si>
    <t>usman ghani ghani</t>
  </si>
  <si>
    <t>delhi sadagranbrad no 3 Karachi</t>
  </si>
  <si>
    <t>TR30844</t>
  </si>
  <si>
    <t>Shahzadaziz Aziz</t>
  </si>
  <si>
    <t>Essa plaza fazal chok mirpur ajk Mirpur ajk</t>
  </si>
  <si>
    <t>Mirpur ajk</t>
  </si>
  <si>
    <t>confirm 
 | 💰 COD Rec: 2026-04-07 | Ref: CPR-XT60O810684 | Amt: 2649</t>
  </si>
  <si>
    <t>ADI - EMBOSSED LOGO - M / Bottle green (x2)</t>
  </si>
  <si>
    <t>TR30845</t>
  </si>
  <si>
    <t>G N Shah cloth thul shahi Bazaar Thull</t>
  </si>
  <si>
    <t>Thull</t>
  </si>
  <si>
    <t>TR30846</t>
  </si>
  <si>
    <t>Rana Asad</t>
  </si>
  <si>
    <t>Hafeez center gullbarg 3 Lahore</t>
  </si>
  <si>
    <t xml:space="preserve">cancel nahi lena mana shalwar order ki haa </t>
  </si>
  <si>
    <t>TR30847</t>
  </si>
  <si>
    <t>Mohala Bhai Khail Aman Abad Mardan Khas Mardan</t>
  </si>
  <si>
    <t>TR30848</t>
  </si>
  <si>
    <t>Hayatabad phase 6 sector f10 street 14 Peshawar</t>
  </si>
  <si>
    <t xml:space="preserve">cancel ya faisal khan ka number nahi ha </t>
  </si>
  <si>
    <t>TR30849</t>
  </si>
  <si>
    <t>Univercity town old bara road saif resedency 8th floor f814 flat Peshawar</t>
  </si>
  <si>
    <t>TR30850</t>
  </si>
  <si>
    <t>Tallha Jamshed</t>
  </si>
  <si>
    <t>Aman dental clinic building flat no 7 floor no 3 satellite town b block Rawalpindi</t>
  </si>
  <si>
    <t>En-Route to Islamabad warehouse</t>
  </si>
  <si>
    <t>Ahmad Shah</t>
  </si>
  <si>
    <t>House no 14 street no 20 rahmanpura whadat road Lahore</t>
  </si>
  <si>
    <t>confirm 
 | ↩️ Return Charged: 2026-04-17 | Ref: CPR-RAGFP443199 | Fee: 128.99</t>
  </si>
  <si>
    <t>TR30852</t>
  </si>
  <si>
    <t>Gujrat Rd, near Faysal Bank, opposite Mudassar Printing Press &amp; Ashraf Autos, Pahrianwali, 50430 Phalia</t>
  </si>
  <si>
    <t>TR30853</t>
  </si>
  <si>
    <t>Baber Khan</t>
  </si>
  <si>
    <t>1531 Road 72 Sector F DHA1 Islamabad</t>
  </si>
  <si>
    <t>TR30854</t>
  </si>
  <si>
    <t>Jaweriya Shahid</t>
  </si>
  <si>
    <t>+923133044340</t>
  </si>
  <si>
    <t>House No 211 near ideal School Ayub Colony Latifabad unit 11 Hyderabad Sindh</t>
  </si>
  <si>
    <t>Hyderabad Sindh</t>
  </si>
  <si>
    <t>TR30855</t>
  </si>
  <si>
    <t>House no 140 near Qureshi Dairy mehar Ali socaity Latifabad unit 11 Hyderabad Sindh</t>
  </si>
  <si>
    <t>TR30856</t>
  </si>
  <si>
    <t>Umair Baig</t>
  </si>
  <si>
    <t>F291, street 2, DHA phase 6 Lahore Lahore</t>
  </si>
  <si>
    <t xml:space="preserve">CONFIRM </t>
  </si>
  <si>
    <t>TR30857</t>
  </si>
  <si>
    <t>+923335775705</t>
  </si>
  <si>
    <t>danish mobile , shop no 6 , ibrahim arcade , talagang road ,chakwal chakwal</t>
  </si>
  <si>
    <t>TR30858</t>
  </si>
  <si>
    <t>Haris qureshi Haris qureshi</t>
  </si>
  <si>
    <t>+923317064648</t>
  </si>
  <si>
    <t>22 number bhutta colony house number 2644/1f  Multan Multan</t>
  </si>
  <si>
    <t>Multi ref PUM-A - 2XL / Black (x1), ADI Multi Ref Stripes - 2XL / White (x1)</t>
  </si>
  <si>
    <t>TR30859</t>
  </si>
  <si>
    <t>Muhammad Asif Riaz Muhammad Asif Riaz</t>
  </si>
  <si>
    <t>+923008484799</t>
  </si>
  <si>
    <t>House No 657 Block Gulmohar Sector C Street No 13 Bahria Town Lahore Lahore</t>
  </si>
  <si>
    <t>whatsup
 | 💰 COD Rec: 2026-04-07 | Ref: CPR-XT60O810684 | Amt: 3100</t>
  </si>
  <si>
    <t>TR30860</t>
  </si>
  <si>
    <t>Syed sada Hussain Syed sada Hussain</t>
  </si>
  <si>
    <t>+923456685777</t>
  </si>
  <si>
    <t>PowerUp Energy solutions 18-km skp road plot #16 gatwala tool plaza Faisalabad near nimra mill ,</t>
  </si>
  <si>
    <t>whatsup 
 | 💰 COD Rec: 2026-04-07 | Ref: CPR-XT60O810684 | Amt: 6600</t>
  </si>
  <si>
    <t>A | X Embroidery LOGO - 2XL / American Blue (x1), A | X Embroidery LOGO - 2XL / White (x1), A | X Embroidery LOGO - 2XL / Grey (x1), A | X Embroidery LOGO - 2XL / Olive (x1)</t>
  </si>
  <si>
    <t>TR30861</t>
  </si>
  <si>
    <t>+923424799695</t>
  </si>
  <si>
    <t>Village Dongi tehseel Barnala Distic Bhimber Azad Kashmir Kote jamel</t>
  </si>
  <si>
    <t>Kote jamel</t>
  </si>
  <si>
    <t>TR30862</t>
  </si>
  <si>
    <t>Syed Adnan Ali</t>
  </si>
  <si>
    <t>Riaz bakers Kuza bandai swat tehsil kabal district swat 48355</t>
  </si>
  <si>
    <t>TR30863</t>
  </si>
  <si>
    <t>Sayed Akhlaque Hyder Shah</t>
  </si>
  <si>
    <t>Banglow C-97 Gulistan e Sajjad Qasimabad Hyderabad Hyderabad</t>
  </si>
  <si>
    <t>Naseer Ahmad</t>
  </si>
  <si>
    <t>Dogar maker band rod shera kot Lahre</t>
  </si>
  <si>
    <t>Lahre</t>
  </si>
  <si>
    <t>confirm 
 | ↩️ Return Charged: 2026-04-17 | Ref: CPR-RAGFP443199 | Fee: 117.86</t>
  </si>
  <si>
    <t>TR30865</t>
  </si>
  <si>
    <t xml:space="preserve">TR30385 replacement paid haa </t>
  </si>
  <si>
    <t>TR30866</t>
  </si>
  <si>
    <t>House Number 15 street 27 Sector J Dha Phase 2 Islamabad Islamabad</t>
  </si>
  <si>
    <t>TR30867</t>
  </si>
  <si>
    <t>Saif Ali Saif Ali</t>
  </si>
  <si>
    <t>+923224350938</t>
  </si>
  <si>
    <t>House no 205 block 5 sector d2 green Town Lahore Lahore</t>
  </si>
  <si>
    <t>whatsup 250dc advance haa consignee want open parcel 
 | ↩️ Return Charged: 2026-04-14 | Ref: CPR-95P3C418437 | Fee: 117.86</t>
  </si>
  <si>
    <t>TR30868</t>
  </si>
  <si>
    <t>Usman Ashfaq</t>
  </si>
  <si>
    <t>03018777117-rahim Market Belgium Chowk Shop =5 Rahim Yar Khan</t>
  </si>
  <si>
    <t>confirm allow to open 
 | 💰 COD Rec: 2026-04-14 | Ref: CPR-95P3C418437 | Amt: 1899</t>
  </si>
  <si>
    <t>A | X Embroidery LOGO - 3XL / Pista (x1)</t>
  </si>
  <si>
    <t>TR30869</t>
  </si>
  <si>
    <t>M.Hamza M. Hamza</t>
  </si>
  <si>
    <t>Lahore gajju matha tiba wala pul ali fancy factory Lahore</t>
  </si>
  <si>
    <t>confirm on wp 
 | 💰 COD Rec: 2026-04-10 | Ref: CPR-XWOR8962608 | Amt: 1449</t>
  </si>
  <si>
    <t>ADI - EMBOSSED LOGO - L / Zinc Blue (x1)</t>
  </si>
  <si>
    <t>TR30870</t>
  </si>
  <si>
    <t>Aimal Ahmad Aimal Ahmad</t>
  </si>
  <si>
    <t>+923151555688</t>
  </si>
  <si>
    <t>Civic center bahria town phase 4 plaza number 117 Islamabad Islamabad</t>
  </si>
  <si>
    <t>whatsup 
 | 💰 COD Rec: 2026-04-10 | Ref: CPR-XWOR8962608 | Amt: 3099</t>
  </si>
  <si>
    <t>ADI Multi Ref Stripes - L / Black (x1), ADI Ref Stripes - L / White (x1)</t>
  </si>
  <si>
    <t>TR30871</t>
  </si>
  <si>
    <t>exchange@shop11</t>
  </si>
  <si>
    <t xml:space="preserve">shop sa exchnage ki haaaaTR29191exchnage 1 shirt 3xl to 2xl </t>
  </si>
  <si>
    <t>TR30872</t>
  </si>
  <si>
    <t>Hassan Jamil</t>
  </si>
  <si>
    <t>Lahore Shadman Gor 3 p&amp;D and S&amp;GAD suites flar no 121 Lahore</t>
  </si>
  <si>
    <t xml:space="preserve">
 | 💰 COD Rec: 2026-04-07 | Ref: CPR-XT60O810684 | Amt: 1848</t>
  </si>
  <si>
    <t>TR30873</t>
  </si>
  <si>
    <t>Syed Tahir Hussain</t>
  </si>
  <si>
    <t>Shaheen Complex, 1st Floor, JS BANK Karachi</t>
  </si>
  <si>
    <t xml:space="preserve">
 | 💰 COD Rec: 2026-04-07 | Ref: CPR-XT60O810684 | Amt: 3048</t>
  </si>
  <si>
    <t>ADI - EMBOSSED LOGO - L / Black (x1), ADI-Trouser Tri strip - L / Black (x1)</t>
  </si>
  <si>
    <t>TR30874</t>
  </si>
  <si>
    <t>Yaseen Ch</t>
  </si>
  <si>
    <t>Nasir road Abdullah street Sialkot</t>
  </si>
  <si>
    <t xml:space="preserve">cancel sister na order kiya tha ab nahi lena </t>
  </si>
  <si>
    <t>TR30875</t>
  </si>
  <si>
    <t>Asimraza Raza</t>
  </si>
  <si>
    <t>Gujrat Gujrat</t>
  </si>
  <si>
    <t xml:space="preserve">cancel mana pura set ordser kiya tha </t>
  </si>
  <si>
    <t>TR30876</t>
  </si>
  <si>
    <t>syed Abdul Rehman</t>
  </si>
  <si>
    <t>House no 112 alkreem housing society tajpura Lahore Lahore</t>
  </si>
  <si>
    <t xml:space="preserve">
 | 💰 COD Rec: 2026-04-07 | Ref: CPR-XT60O810684 | Amt: 3398</t>
  </si>
  <si>
    <t>TR30877</t>
  </si>
  <si>
    <t>Ehsan Ullah</t>
  </si>
  <si>
    <t>Molana Zafar Ali Khan Wazirabad</t>
  </si>
  <si>
    <t>confirm 
 | 💰 COD Rec: 2026-04-07 | Ref: CPR-XT60O810684 | Amt: 4999</t>
  </si>
  <si>
    <t>Imported Scoba Executive Nik Tro - XL / Gray (x1), A | X Embroidery LOGO - XL / Black (x1)</t>
  </si>
  <si>
    <t>TR30878</t>
  </si>
  <si>
    <t>Muhammad Sarmad</t>
  </si>
  <si>
    <t>House 111 B Rafi Gardens Madahali Road Sahiwal Sahiwal</t>
  </si>
  <si>
    <t xml:space="preserve">
 | 💰 COD Rec: 2026-04-14 | Ref: CPR-95P3C418437 | Amt: 3398</t>
  </si>
  <si>
    <t>TR30879</t>
  </si>
  <si>
    <t>Al- Tibri - Hostel - Hyderabad -Jamshoro - Room No :24 Hyderabad -Jamshoro</t>
  </si>
  <si>
    <t>Hyderabad -Jamshoro</t>
  </si>
  <si>
    <t>TR30880</t>
  </si>
  <si>
    <t>Muhla Munlocham Kabal Swat Kpk Swat</t>
  </si>
  <si>
    <t>LE7531953714</t>
  </si>
  <si>
    <t xml:space="preserve">tcs/lcs </t>
  </si>
  <si>
    <t>ADI-Trouser Tri strip - M / Black (x1)</t>
  </si>
  <si>
    <t>TR30881</t>
  </si>
  <si>
    <t>Sulaiman Durrani</t>
  </si>
  <si>
    <t>House no 10 Park Avenue Road University Town Peshawar</t>
  </si>
  <si>
    <t>confirm 
 | 💰 COD Rec: 2026-04-14 | Ref: CPR-95P3C418437 | Amt: 3398</t>
  </si>
  <si>
    <t>TR30882</t>
  </si>
  <si>
    <t>Ahmed Mansoor</t>
  </si>
  <si>
    <t>540-k Block sabzazar Lahore</t>
  </si>
  <si>
    <t>confirm 
 | 💰 COD Rec: 2026-04-07 | Ref: CPR-XT60O810684 | Amt: 3398</t>
  </si>
  <si>
    <t>TR30883</t>
  </si>
  <si>
    <t>Mian Zeeshan</t>
  </si>
  <si>
    <t>ملتان چونگی چونک  وحدت روڈ لاہور Lahore</t>
  </si>
  <si>
    <t>confirm 
 | 💰 COD Rec: 2026-04-10 | Ref: CPR-XWOR8962608 | Amt: 3398</t>
  </si>
  <si>
    <t>TR30884</t>
  </si>
  <si>
    <t>Flat No 412, Violet lines, Capital residencia, E-11/4, Islamabad Islamabad</t>
  </si>
  <si>
    <t>confirm 
 | 💰 COD Rec: 2026-04-10 | Ref: CPR-XWOR8962608 | Amt: 2849</t>
  </si>
  <si>
    <t>TR30885</t>
  </si>
  <si>
    <t>67 F1  Joher Towan Lahore</t>
  </si>
  <si>
    <t>koi nahi aya ap reattempyt ker dein 
 | ↩️ Return Charged: 2026-04-14 | Ref: CPR-95P3C418437 | Fee: 117.86</t>
  </si>
  <si>
    <t>TR30886</t>
  </si>
  <si>
    <t>+9203004368639</t>
  </si>
  <si>
    <t>35-Tipu Block, New Garden Town, Main Ferozepur Road, Lahore, Pakistan. Lahore</t>
  </si>
  <si>
    <t>TR30887</t>
  </si>
  <si>
    <t>Noman 09</t>
  </si>
  <si>
    <t>Tcs office liaqaut pur Liaqaut pur</t>
  </si>
  <si>
    <t>Liaqaut pur</t>
  </si>
  <si>
    <t xml:space="preserve">cancel nahi confirm </t>
  </si>
  <si>
    <t>TR30888</t>
  </si>
  <si>
    <t>Zeeshan Sardar</t>
  </si>
  <si>
    <t>Life zone lb Toba</t>
  </si>
  <si>
    <t>Toba</t>
  </si>
  <si>
    <t>TR30889</t>
  </si>
  <si>
    <t>+923254721823</t>
  </si>
  <si>
    <t>Sanabil hostel Ali town Lahore Lahore</t>
  </si>
  <si>
    <t>TR30890</t>
  </si>
  <si>
    <t>محسن رضا خان محسن رضا خان</t>
  </si>
  <si>
    <t>+923067124605</t>
  </si>
  <si>
    <t>ورنمنٹ ایسوسی ایٹ کالج آف کامرس شور کوٹ ضلع جھنگ جھنگ</t>
  </si>
  <si>
    <t>جھنگ</t>
  </si>
  <si>
    <t xml:space="preserve">whatsup cancel nahi lena </t>
  </si>
  <si>
    <t>TR30891</t>
  </si>
  <si>
    <t>+923017101040</t>
  </si>
  <si>
    <t>Susan Road Faisalabad</t>
  </si>
  <si>
    <t>confirm open to allow 
 | 💰 COD Rec: 2026-04-10 | Ref: CPR-XWOR8962608 | Amt: 1898</t>
  </si>
  <si>
    <t>TR30892</t>
  </si>
  <si>
    <t>Rameez Saim</t>
  </si>
  <si>
    <t>Mavia cloth shop shahi bazar near nwab bartan store Darya khan mari</t>
  </si>
  <si>
    <t>Darya khan mari</t>
  </si>
  <si>
    <t>CONFIRM 
 | 💰 COD Rec: 2026-04-14 | Ref: CPR-95P3C418437 | Amt: 4998</t>
  </si>
  <si>
    <t>ADI Multi Ref Stripes - 2XL / White (x1), ADI Multi Ref Stripes - 2XL / Black (x1), Multi-ref-ADI Trouser winter - XL / Navy (x1)</t>
  </si>
  <si>
    <t>TR30893</t>
  </si>
  <si>
    <t>Nouman Abbas</t>
  </si>
  <si>
    <t>Indus hospital jubilee town lahore Lahore</t>
  </si>
  <si>
    <t>TR30894</t>
  </si>
  <si>
    <t>Hussain Ali</t>
  </si>
  <si>
    <t>Dassu Komila</t>
  </si>
  <si>
    <t>Komila</t>
  </si>
  <si>
    <t xml:space="preserve">tcs / lcs
Not possible on this location Throught any available Courier </t>
  </si>
  <si>
    <t>TR30895</t>
  </si>
  <si>
    <t>Muhammad Zubair</t>
  </si>
  <si>
    <t>CB1001, Street 7, Kashmir Market, Afshan colony Rawalpindi</t>
  </si>
  <si>
    <t>+44 7879 036516confirm on wp 
 | 💰 COD Rec: 2026-04-14 | Ref: CPR-95P3C418437 | Amt: 12850</t>
  </si>
  <si>
    <t>Imported Scoba Executive Nik Tro - XL / Silver Grey (x1), DESIGNER Arma-ni - M / light green (x1), A | X Embroidery LOGO - M / Navy (x2), A | X Embroidery LOGO - XL / Navy (x1), ADI - EMBOSSED LOGO - M / Grey (x1), ADI - EMBOSSED LOGO - XL / Black (x1), ADI - EMBOSSED LOGO - M / Black (x1)</t>
  </si>
  <si>
    <t>TR30896</t>
  </si>
  <si>
    <t>House 946 Bahira Avenue Phase 7 Bahira town Rawalpindi</t>
  </si>
  <si>
    <t>TR30897</t>
  </si>
  <si>
    <t>+923195972476</t>
  </si>
  <si>
    <t>TR30898</t>
  </si>
  <si>
    <t>Gilbert John Bhatti</t>
  </si>
  <si>
    <t>+923224842589</t>
  </si>
  <si>
    <t>H # 6, St # 6-C, Modern Colony Kot Lakhpat Moulana Shoukat Ali Road Lahore</t>
  </si>
  <si>
    <t>confirm open to allow 
 | 💰 COD Rec: 2026-04-14 | Ref: CPR-95P3C418437 | Amt: 4997</t>
  </si>
  <si>
    <t>ADI-Trouser Tri strip - XL / Black (x1), ADI Multi Ref Stripes - XL / White (x1), ADI Multi Ref Stripes - XL / Black (x1)</t>
  </si>
  <si>
    <t>TR30899</t>
  </si>
  <si>
    <t>Muhammad Shoaib raffique</t>
  </si>
  <si>
    <t>+923144035561</t>
  </si>
  <si>
    <t>Mineral Development office sha yhzaman town jhangi abbottabad Abbottabad</t>
  </si>
  <si>
    <t>TR30900</t>
  </si>
  <si>
    <t>Balahisar Fort Peshawar</t>
  </si>
  <si>
    <t>TR30901</t>
  </si>
  <si>
    <t>Office 6 Floor 3rd Islamabad</t>
  </si>
  <si>
    <t>TR30902</t>
  </si>
  <si>
    <t>مبشر بھٹی</t>
  </si>
  <si>
    <t>Near city hospital pakpatan road Minchinabad Minchinabad</t>
  </si>
  <si>
    <t>confirm   not ans 
 | ↩️ Return Charged: 2026-04-17 | Ref: CPR-RAGFP443199 | Fee: 241.86</t>
  </si>
  <si>
    <t>TR30904</t>
  </si>
  <si>
    <t>A/59 Shah Faisal Colony Block 2 Near Cmi School Karachi. Karachi</t>
  </si>
  <si>
    <t>Hamza asif</t>
  </si>
  <si>
    <t>7th road street 2 house#75 Rawalpindi Rawalpindi</t>
  </si>
  <si>
    <t>confirm  open to allow 
 | ↩️ Return Charged: 2026-04-17 | Ref: CPR-RAGFP443199 | Fee: 241.86</t>
  </si>
  <si>
    <t>TR30906</t>
  </si>
  <si>
    <t>Jawed Suleman</t>
  </si>
  <si>
    <t>LA-4C-2/2 block 22, Fb Ind area Karachi</t>
  </si>
  <si>
    <t>confirm 
 | 💰 COD Rec: 2026-04-10 | Ref: CPR-XWOR8962608 | Amt: 1898</t>
  </si>
  <si>
    <t>TR30907</t>
  </si>
  <si>
    <t>Jinna Colony Post Office Road Faisalabad Sm Polister Shk Mudasir Faisalabad</t>
  </si>
  <si>
    <t>TR30908</t>
  </si>
  <si>
    <t>Mian Umer Zuhaib</t>
  </si>
  <si>
    <t>Haslanwala Marble Factory, Gujrat Road, Adda Pharianwalo, Tehsil Phalia, District Mandi Bahauddin Mandi Bahauddin</t>
  </si>
  <si>
    <t>LE7531961605</t>
  </si>
  <si>
    <t>TR30909</t>
  </si>
  <si>
    <t>Bank Alfalah UP more branch near Al haaj Akhter Pakwan center Nagan Chowrangi Karachi Karachi</t>
  </si>
  <si>
    <t>TR30910</t>
  </si>
  <si>
    <t>Burhan Ali Sulehria</t>
  </si>
  <si>
    <t>Village alianwali post office chowbara tehsil pasrur district Sialkot Sialkot</t>
  </si>
  <si>
    <t xml:space="preserve">cancel nahi lena mera dost na order ki thi apsa but quality achi nahi thi is liya mana bhi nahi leni </t>
  </si>
  <si>
    <t>TR30911</t>
  </si>
  <si>
    <t>Muhammad Umair</t>
  </si>
  <si>
    <t>Arsh-e-Bahar valley Near Nadra Office Adiyala Road Rawalpindi</t>
  </si>
  <si>
    <t>confirm 
 | 💰 COD Rec: 2026-04-10 | Ref: CPR-XWOR8962608 | Amt: 3149</t>
  </si>
  <si>
    <t>TR30912</t>
  </si>
  <si>
    <t>haibat Khan</t>
  </si>
  <si>
    <t>House 97, St. 86 sector G-8/1 Islamabad</t>
  </si>
  <si>
    <t>Saifabbasi Abbasi</t>
  </si>
  <si>
    <t>Islamabad. Khana pull sanam chock street 9 abbasi  house Islamabad</t>
  </si>
  <si>
    <t>confirm
 | ↩️ Return Charged: 2026-04-17 | Ref: CPR-RAGFP443199 | Fee: 241.86</t>
  </si>
  <si>
    <t>TR30914</t>
  </si>
  <si>
    <t>Sharjeel Gohar</t>
  </si>
  <si>
    <t>Gujrat Jewellers Main Bazar Wazirabad Wazirabad</t>
  </si>
  <si>
    <t>confirm 
 | 💰 COD Rec: 2026-04-10 | Ref: CPR-XWOR8962608 | Amt: 7548</t>
  </si>
  <si>
    <t>Tipping Crew - XL / Black (x1), Tipping Crew - XL / White (x1), ADI-Trouser Tri strip - XL / Black (x1), Multi ref PUM-A - XL / White (x1), Multi ref PUM-A - XL / Black (x1)</t>
  </si>
  <si>
    <t>TR30915</t>
  </si>
  <si>
    <t>Madina town talagang road Chakwal</t>
  </si>
  <si>
    <t>TR30916</t>
  </si>
  <si>
    <t>Israr Ali</t>
  </si>
  <si>
    <t>Shamim medical complex Lahore</t>
  </si>
  <si>
    <t>confirm 
 | 💰 COD Rec: 2026-04-10 | Ref: CPR-XWOR8962608 | Amt: 1499</t>
  </si>
  <si>
    <t>ADI - EMBOSSED LOGO - M / Bottle green (x1)</t>
  </si>
  <si>
    <t>TR30917</t>
  </si>
  <si>
    <t>Muhammad Rashid Khan</t>
  </si>
  <si>
    <t>Dera Ghazi Khan Quetta Rod Sakhi Sarwar Hbl Bank Dera Ghazi Khan. Tcs Karna He</t>
  </si>
  <si>
    <t>Dera Ghazi Khan. Tcs Karna He</t>
  </si>
  <si>
    <t>ADI-Trouser Tri strip - XL / Black (x1), Multi ref PUM-A - XL / White (x1), Multi ref PUM-A - XL / Black (x1)</t>
  </si>
  <si>
    <t>TR30918</t>
  </si>
  <si>
    <t>Naeem Khan</t>
  </si>
  <si>
    <t>Mari Regional Office, KP, opposite RPO Office. Bannu Cantonment. Bannu city</t>
  </si>
  <si>
    <t>Bannu city</t>
  </si>
  <si>
    <t>TR30919</t>
  </si>
  <si>
    <t>Data Sweet House Near General Bus Stand Kot addu</t>
  </si>
  <si>
    <t>TR30920</t>
  </si>
  <si>
    <t>Taimoor Riaz</t>
  </si>
  <si>
    <t>Fwo camp Abbottab</t>
  </si>
  <si>
    <t>Abbottab</t>
  </si>
  <si>
    <t>TR30921</t>
  </si>
  <si>
    <t>Fwo camp near paris marquee mor Eminabad gujranwala Gujranwala</t>
  </si>
  <si>
    <t>TR30922</t>
  </si>
  <si>
    <t>Rizwan Ali</t>
  </si>
  <si>
    <t>City gilgit tehsil danyore saleem pco Gilgit</t>
  </si>
  <si>
    <t>TR30923</t>
  </si>
  <si>
    <t>Zain Ul abdin</t>
  </si>
  <si>
    <t>+923216983293</t>
  </si>
  <si>
    <t>185 C Broadway commercial Dha phase 8, lahore Lahore</t>
  </si>
  <si>
    <t>TR30924</t>
  </si>
  <si>
    <t>Ahmad Muaaz</t>
  </si>
  <si>
    <t>Systems head office, E1 Sehjpal dha phase 8 lahore Lahore</t>
  </si>
  <si>
    <t>confirm 
 | 💰 COD Rec: 2026-04-10 | Ref: CPR-XWOR8962608 | Amt: 4997</t>
  </si>
  <si>
    <t>TR30925</t>
  </si>
  <si>
    <t>Musa Saadàt</t>
  </si>
  <si>
    <t>194 FF DHA phase 4 Lahore</t>
  </si>
  <si>
    <t xml:space="preserve">cancel nahi lena not confirm </t>
  </si>
  <si>
    <t>Muhammad Arfan</t>
  </si>
  <si>
    <t>کوٹلی مغلاں نزد ماسٹر سٹی گوجرنوالہ</t>
  </si>
  <si>
    <t>گوجرنوالہ</t>
  </si>
  <si>
    <t>confirm not same as show in video 
 | ↩️ Return Charged: 2026-04-17 | Ref: CPR-RAGFP443199 | Fee: 378.90999999999997</t>
  </si>
  <si>
    <t>TR30927</t>
  </si>
  <si>
    <t>Shaal Pharmacy Main Golimar Chowk Brewery Rd Quetta Quetta</t>
  </si>
  <si>
    <t>TR30928</t>
  </si>
  <si>
    <t>G5b Lahore</t>
  </si>
  <si>
    <t>confirm  not an s
 | ↩️ Return Charged: 2026-04-14 | Ref: CPR-95P3C418437 | Fee: 128.99</t>
  </si>
  <si>
    <t>TR30929</t>
  </si>
  <si>
    <t>+923412594066</t>
  </si>
  <si>
    <t>Kpk Swat</t>
  </si>
  <si>
    <t>confirm 
 | 💰 COD Rec: 2026-04-10 | Ref: CPR-XWOR8962608 | Amt: 2149</t>
  </si>
  <si>
    <t>TR30930</t>
  </si>
  <si>
    <t>Mohalla fatu Pura bn. Street no.1 , house no.1 , near to jamia Masjid Abdullah Gujrat</t>
  </si>
  <si>
    <t>TR30931</t>
  </si>
  <si>
    <t>Habib Ahmad</t>
  </si>
  <si>
    <t>Model town link road street 2 house 5 muhammadpura link road near fine pizza family resturent Lahore</t>
  </si>
  <si>
    <t>confirm 
 | 💰 COD Rec: 2026-04-14 | Ref: CPR-95P3C418437 | Amt: 4049</t>
  </si>
  <si>
    <t>ADI Multi Ref Stripes - M / Black (x1), Multi ref PUM-A - M / Black (x1)</t>
  </si>
  <si>
    <t>TR30932</t>
  </si>
  <si>
    <t>House number 5 street number 2 muhammadpura Model town link road Pahore</t>
  </si>
  <si>
    <t>Pahore</t>
  </si>
  <si>
    <t xml:space="preserve">TR30931
combine cancel </t>
  </si>
  <si>
    <t>TR30933</t>
  </si>
  <si>
    <t>Muhammad Fahad</t>
  </si>
  <si>
    <t>Street 10, Plot 89 , Sector I-9/2 Islamabd Islamabad</t>
  </si>
  <si>
    <t>TR30934</t>
  </si>
  <si>
    <t>Waseems Waseem</t>
  </si>
  <si>
    <t>City okara satghara morr fyslabaad road City okara</t>
  </si>
  <si>
    <t>City okara</t>
  </si>
  <si>
    <t>Confirm 
 | 💰 COD Rec: 2026-04-14 | Ref: CPR-95P3C418437 | Amt: 3398</t>
  </si>
  <si>
    <t>Amir Pirzada</t>
  </si>
  <si>
    <t>Q79 Pull Shah nazar Dewan Jamia masjid road Rawalpindi Rawalpindi</t>
  </si>
  <si>
    <t>confirm 
 | 💰 COD Rec: 2026-04-17 | Ref: CPR-RAGFP443199 | Amt: 2249</t>
  </si>
  <si>
    <t>TR30936</t>
  </si>
  <si>
    <t>mirza hamid</t>
  </si>
  <si>
    <t>Street 01 rizwan garden canal road Lahore</t>
  </si>
  <si>
    <t>TR30937</t>
  </si>
  <si>
    <t>Mohib Naeem</t>
  </si>
  <si>
    <t>H#23 , street 2 , old shami road , peshawar cantt Peshawar</t>
  </si>
  <si>
    <t>confirm 
 | 💰 COD Rec: 2026-04-14 | Ref: CPR-95P3C418437 | Amt: 3449</t>
  </si>
  <si>
    <t>Multi ref PUM-A - L / Black (x1), ADI - EMBOSSED LOGO - L / Black (x1)</t>
  </si>
  <si>
    <t>TR30938</t>
  </si>
  <si>
    <t>Nasir Husien</t>
  </si>
  <si>
    <t>Daska rod gile Ali baba wale masjad Ramza Sialkot</t>
  </si>
  <si>
    <t xml:space="preserve"> cancel mana koi order nahi kiya </t>
  </si>
  <si>
    <t>TR30939</t>
  </si>
  <si>
    <t xml:space="preserve">cancel this one previous receive nahi hua is liya order kiya tha </t>
  </si>
  <si>
    <t>TR30940</t>
  </si>
  <si>
    <t>Banglow No A4, Abro house 1st street sachal villas Larkana</t>
  </si>
  <si>
    <t>TR30941</t>
  </si>
  <si>
    <t>TR30942</t>
  </si>
  <si>
    <t>Muhammed Usman Muhammed Usman</t>
  </si>
  <si>
    <t>Arifwala chak 167e.b Arifwala</t>
  </si>
  <si>
    <t>confirm 
 | 💰 COD Rec: 2026-04-10 | Ref: CPR-XWOR8962608 | Amt: 1949</t>
  </si>
  <si>
    <t>A | X Embroidery LOGO - M / White (x1)</t>
  </si>
  <si>
    <t>TR30943</t>
  </si>
  <si>
    <t>Leapard office ( call when arrived at station )  Ali Pur</t>
  </si>
  <si>
    <t>TR30944</t>
  </si>
  <si>
    <t>Naseer Hussain Shah</t>
  </si>
  <si>
    <t>koti sadat surrani bannu Bann</t>
  </si>
  <si>
    <t>Bann</t>
  </si>
  <si>
    <t xml:space="preserve">ORDER CANCELLED BY CUSTOMER DUE TO LATE IN STOCK 
PAID AMOUNT IS REFUNED </t>
  </si>
  <si>
    <t>TR30945</t>
  </si>
  <si>
    <t>Muhammad Qaiser Janjua</t>
  </si>
  <si>
    <t>Reginal Trade Head Faisalabad</t>
  </si>
  <si>
    <t>Sidra Mohsin</t>
  </si>
  <si>
    <t>15/2 9th zamzama street phase 5 Karachi</t>
  </si>
  <si>
    <t>confirm 
 | 💰 COD Rec: 2026-04-17 | Ref: CPR-RAGFP443199 | Amt: 5297</t>
  </si>
  <si>
    <t>TR30947</t>
  </si>
  <si>
    <t>irfan shaukat</t>
  </si>
  <si>
    <t>Basim PCO, Muhalla kalyamabad, Dhoke Hassu, RAWALPINDI</t>
  </si>
  <si>
    <t>confim 
 | 💰 COD Rec: 2026-04-14 | Ref: CPR-95P3C418437 | Amt: 3398</t>
  </si>
  <si>
    <t>TR30948</t>
  </si>
  <si>
    <t>Bilal Sheikh</t>
  </si>
  <si>
    <t>Sadar Karachi raja gazamfar ali rod Karachi</t>
  </si>
  <si>
    <t>TR30949</t>
  </si>
  <si>
    <t>Tameer Hussain Tameer</t>
  </si>
  <si>
    <t>MCB Bank Lahori Mohallah Larkana 1138 Larkana</t>
  </si>
  <si>
    <t>ADI-Trouser Tri strip - M / Grey (x1)</t>
  </si>
  <si>
    <t>TR30950</t>
  </si>
  <si>
    <t>Sherzaib Amazai</t>
  </si>
  <si>
    <t>Abaseen marble factory main mango pir road near Naya nazimabad Karachi</t>
  </si>
  <si>
    <t xml:space="preserve">notr ans  confirm </t>
  </si>
  <si>
    <t>TR30951</t>
  </si>
  <si>
    <t>Zaman Ali</t>
  </si>
  <si>
    <t>Ajmal Garden Colony Phase I Plot No. 43, Shatab Ghara Road, Sialkot SIALKOT</t>
  </si>
  <si>
    <t>TR30952</t>
  </si>
  <si>
    <t>+923114007017</t>
  </si>
  <si>
    <t>Moazzam Butt electric store 10 b hyber Bara Market Shah Alam Lahore Lahore</t>
  </si>
  <si>
    <t>Zafar Khan</t>
  </si>
  <si>
    <t>AA 34 DHA homes phase 5 Lahore</t>
  </si>
  <si>
    <t>confirm consignee want to open parcel 
 | ↩️ Return Charged: 2026-04-17 | Ref: CPR-RAGFP443199 | Fee: 128.99</t>
  </si>
  <si>
    <t>TR30954</t>
  </si>
  <si>
    <t>+923357510530</t>
  </si>
  <si>
    <t>House no 77 shami Road New cantt Dera Ismail Khan Dera Ismail Khan</t>
  </si>
  <si>
    <t>TR30955</t>
  </si>
  <si>
    <t>Nisar Ali Nisar Ali</t>
  </si>
  <si>
    <t>New caloni sahpur chakar Shahpur chakr</t>
  </si>
  <si>
    <t>Shahpur chakr</t>
  </si>
  <si>
    <t>tcs kal pick ker la gaa</t>
  </si>
  <si>
    <t>Basic RL Crew- Plus Size - 2XL / Black (x1)</t>
  </si>
  <si>
    <t>TR30956</t>
  </si>
  <si>
    <t>Samman Harris</t>
  </si>
  <si>
    <t>Hno439s/2a river avenue street 4 gulraiz 4 Rawalpindi</t>
  </si>
  <si>
    <t>confirm 
 | 💰 COD Rec: 2026-04-10 | Ref: CPR-XWOR8962608 | Amt: 2699</t>
  </si>
  <si>
    <t>ADI - EMBOSSED LOGO - M / Sky (x1), ADI - EMBOSSED LOGO - M / Dark Red(Maroon) (x1)</t>
  </si>
  <si>
    <t>TR30957</t>
  </si>
  <si>
    <t>Ahsan Ali</t>
  </si>
  <si>
    <t>28A Pasco Society Lahore</t>
  </si>
  <si>
    <t>TR30958</t>
  </si>
  <si>
    <t>House#B33 3rd floor nearest mirah tower ayesha manzil fb b area karachi Karachi</t>
  </si>
  <si>
    <t>open to allow 
 | 💰 COD Rec: 2026-04-14 | Ref: CPR-95P3C418437 | Amt: 3398</t>
  </si>
  <si>
    <t>Ahsan Jutt</t>
  </si>
  <si>
    <t>Main gate maqbara jahangir ravi califton shahdara lahore Lahore</t>
  </si>
  <si>
    <t>confirm ma rawalpndi aya hua hoo 
 | ↩️ Return Charged: 2026-04-17 | Ref: CPR-RAGFP443199 | Fee: 128.99</t>
  </si>
  <si>
    <t>TR30960</t>
  </si>
  <si>
    <t>Farooq Haider</t>
  </si>
  <si>
    <t>+923013072260</t>
  </si>
  <si>
    <t>Shah g mobile center tandliawala Tandliawala</t>
  </si>
  <si>
    <t>Tandliawala</t>
  </si>
  <si>
    <t>ADI - EMBOSSED LOGO - L / Sky (x1)</t>
  </si>
  <si>
    <t>TR30961</t>
  </si>
  <si>
    <t>Nabeel Ilyas</t>
  </si>
  <si>
    <t>Gulshan Ali Town Vehari</t>
  </si>
  <si>
    <t xml:space="preserve">confrm yahi address haa </t>
  </si>
  <si>
    <t>TR30962</t>
  </si>
  <si>
    <t>Karachi howksbay road mauripur javed bahria kr 47 Karachi</t>
  </si>
  <si>
    <t>TR30963</t>
  </si>
  <si>
    <t>House 230, street 28, overseas sector 5, phase 8, bahria town Rawalpindi</t>
  </si>
  <si>
    <t>ADI-Trouser Tri strip - L / Grey (x1), ADI Ref Stripes - L / White (x1), ADI Ref Stripes - L / Black (x1)</t>
  </si>
  <si>
    <t>Mohsin Iqbal Iqbal</t>
  </si>
  <si>
    <t>Ugoki Raod Javed Cash&amp;carry Shpo Sialkot</t>
  </si>
  <si>
    <t>confirm  not ans 
 | ↩️ Return Charged: 2026-04-17 | Ref: CPR-RAGFP443199 | Fee: 266.05</t>
  </si>
  <si>
    <t>TR30965</t>
  </si>
  <si>
    <t>Haider Amin</t>
  </si>
  <si>
    <t>Amin House,near Aiz acdemy,Ravi Town,Kamalia Kamalia</t>
  </si>
  <si>
    <t>Multi ref PUM-A - L / Black (x1), Imported Scoba Executive Nik Tro - M / Silver Grey (x1)</t>
  </si>
  <si>
    <t>Jamal ud din hostel 5 uet peshawar near coffee shop Peshawar</t>
  </si>
  <si>
    <t>confirm  not ans 
 | ↩️ Return Charged: 2026-04-17 | Ref: CPR-RAGFP443199 | Fee: 257.98</t>
  </si>
  <si>
    <t>TR30967</t>
  </si>
  <si>
    <t>MOQ no 13/1, Tippu Sultan Road, Multan Cantt Multan</t>
  </si>
  <si>
    <t>TR30968</t>
  </si>
  <si>
    <t>F8 markaz islamabad Islambad</t>
  </si>
  <si>
    <t>Usman Ghani</t>
  </si>
  <si>
    <t>House No-646, Syed Wazir Ali Street,ali Park, Badian Road Lahore Cantt</t>
  </si>
  <si>
    <t>Lahore Cantt</t>
  </si>
  <si>
    <t>confirm  open ker ka deliver ker dein 
 | ↩️ Return Charged: 2026-04-17 | Ref: CPR-RAGFP443199 | Fee: 128.99</t>
  </si>
  <si>
    <t>TR30970</t>
  </si>
  <si>
    <t>Adnan Aziz</t>
  </si>
  <si>
    <t>House No. 101, Block- C, Iqbal Avenue Phase 3cabal Road Lahore. Lahore</t>
  </si>
  <si>
    <t>TR30971</t>
  </si>
  <si>
    <t>Ilyas Mirwani</t>
  </si>
  <si>
    <t>Flat No 1305, Tower 2 , Royal Icon Tower block 13D3 Gulshan Iqbal Karachi Karachi</t>
  </si>
  <si>
    <t>confirm 
 | 💰 COD Rec: 2026-04-10 | Ref: CPR-XWOR8962608 | Amt: 1798</t>
  </si>
  <si>
    <t>TR30972</t>
  </si>
  <si>
    <t>Adil Mehmood</t>
  </si>
  <si>
    <t>Malik traders midh ranjha shop no 1 Sargodha</t>
  </si>
  <si>
    <t>TR30973</t>
  </si>
  <si>
    <t>House No 06 Street No 02  Sabza Zar Colony Near Ali Park Opposite side Thana Sadar Rahim Yar Khan Rahim Yar Khan</t>
  </si>
  <si>
    <t>TR30974</t>
  </si>
  <si>
    <t>Bahria Town, Umar Block, Phase8, Street#41 HouseNo:511 Rawalpindi</t>
  </si>
  <si>
    <t>confirm 
 | 💰 COD Rec: 2026-04-10 | Ref: CPR-XWOR8962608 | Amt: 3297</t>
  </si>
  <si>
    <t>ADI - EMBOSSED LOGO - M / Mustard (x1), ADI - EMBOSSED LOGO - M / Zinc Blue (x1)</t>
  </si>
  <si>
    <t>Muneer Ahmed Brohi</t>
  </si>
  <si>
    <t>Kundan Restaurant,Khanpur Rd, Shikarpur, Pakistan Shikarpur</t>
  </si>
  <si>
    <t>confirm 
 | 💰 COD Rec: 2026-04-17 | Ref: CPR-RAGFP443199 | Amt: 3398</t>
  </si>
  <si>
    <t>TR30976</t>
  </si>
  <si>
    <t>Plot 42-43, pearl Heights , Buisness square, gulberg greens, Islamabad Pakistan Islamabad</t>
  </si>
  <si>
    <t>TR30977</t>
  </si>
  <si>
    <t>Dost Muhammad</t>
  </si>
  <si>
    <t>Dumba goth super highway byco pump palari filing station Karachi</t>
  </si>
  <si>
    <t>ahsan ali ahsan ali</t>
  </si>
  <si>
    <t>+923216097368</t>
  </si>
  <si>
    <t>main super market Ali Twon sargodha rod fsd. Abdullah Garments  City: faisalabad faisalabad</t>
  </si>
  <si>
    <t>whatsup 
 | ↩️ Return Charged: 2026-04-17 | Ref: CPR-RAGFP443199 | Fee: 241.86</t>
  </si>
  <si>
    <t>TR30979</t>
  </si>
  <si>
    <t>Muhammad Riaz Shehram</t>
  </si>
  <si>
    <t>+923006145926</t>
  </si>
  <si>
    <t>Office #11, 3 rd Floor, Abdullah Trade Centrr Courts Road, Sialkot Sialkot</t>
  </si>
  <si>
    <t>whatsup
 | 💰 COD Rec: 2026-04-10 | Ref: CPR-XWOR8962608 | Amt: 1949</t>
  </si>
  <si>
    <t>TR30980</t>
  </si>
  <si>
    <t>Shoaib Alam</t>
  </si>
  <si>
    <t>Headquarters Civil Aviation Authority Terminal 1 JIAP Karachi near PIA Mosque in front of UBL Bank Karachi South</t>
  </si>
  <si>
    <t>confirm 
 | 💰 COD Rec: 2026-04-14 | Ref: CPR-95P3C418437 | Amt: 2249</t>
  </si>
  <si>
    <t>TR30981</t>
  </si>
  <si>
    <t>Mustafa Mustafa</t>
  </si>
  <si>
    <t>Karachi hawksbay mauripur javed bahria kr 47 street Karachi</t>
  </si>
  <si>
    <t>TR30982</t>
  </si>
  <si>
    <t>Adnan Jd</t>
  </si>
  <si>
    <t>h # 112 St # 17 Spring North Bahria Phase 7 Rawalpindi</t>
  </si>
  <si>
    <t xml:space="preserve">allow to open  rider nahi aya </t>
  </si>
  <si>
    <t>TR30983</t>
  </si>
  <si>
    <t>TR30984</t>
  </si>
  <si>
    <t>Bhit shah Shahi bazar Matiari</t>
  </si>
  <si>
    <t>Matiari</t>
  </si>
  <si>
    <t>TR30985</t>
  </si>
  <si>
    <t>Taufique Aziz</t>
  </si>
  <si>
    <t>House # S-173, Ayyubia staff Lane 8, Phasep 7 Ext. DHA Karachi</t>
  </si>
  <si>
    <t>ADI - EMBOSSED LOGO - XL / White (x1)</t>
  </si>
  <si>
    <t>TR30986</t>
  </si>
  <si>
    <t>TR30987</t>
  </si>
  <si>
    <t>Shahbaz Zaman</t>
  </si>
  <si>
    <t>ونہار جیولرز میانی اڈا تحصیل کلر کہار ڈسٹرکٹ چکوال میانی</t>
  </si>
  <si>
    <t>میانی</t>
  </si>
  <si>
    <t xml:space="preserve">cancel nahi lena mana kisi or sa mangwa liya haa </t>
  </si>
  <si>
    <t>Wasif Jutt</t>
  </si>
  <si>
    <t>+923283001100</t>
  </si>
  <si>
    <t>Shila sheikh from manala Faisal town Manala Bada</t>
  </si>
  <si>
    <t>Manala Bada</t>
  </si>
  <si>
    <t xml:space="preserve">  not ans 
confirm  open to allo w
 | ↩️ Return Charged: 2026-04-17 | Ref: CPR-RAGFP443199 | Fee: 241.86</t>
  </si>
  <si>
    <t>TR30989</t>
  </si>
  <si>
    <t>2 DSF Battalion PPL Sui Gas Fields Sui</t>
  </si>
  <si>
    <t>TR30990</t>
  </si>
  <si>
    <t>AbdurRehman AbdurRehman</t>
  </si>
  <si>
    <t>+923322017400</t>
  </si>
  <si>
    <t>:  Pechs block 3 plot 16 banglow number 4 modern housing society City: Karachi Karachi</t>
  </si>
  <si>
    <t xml:space="preserve">whatsup 
paid parcel haa </t>
  </si>
  <si>
    <t>ADI - EMBOSSED LOGO - M / Olive( Commando Green) (x1), ADI - EMBOSSED LOGO - M / Black (x1)</t>
  </si>
  <si>
    <t>TR30991</t>
  </si>
  <si>
    <t>mahnoor mir</t>
  </si>
  <si>
    <t>House no 30 mian Mir road upper mall scheme opposite zaman park. Lahore</t>
  </si>
  <si>
    <t>TR30992</t>
  </si>
  <si>
    <t>Ayaz Ahmed Hamed</t>
  </si>
  <si>
    <t>Village Post Office Gulyana District Gujrat Taseel Kharian Gujrat</t>
  </si>
  <si>
    <t>TR30993</t>
  </si>
  <si>
    <t>+923130740545</t>
  </si>
  <si>
    <t>Postal Kacha Mali Kheil Teh:paharpur,district:dera Ismail Khan,prov:kpk Dera Ismail Khan</t>
  </si>
  <si>
    <t>cancel TR31055 alredy order kiya hua haa</t>
  </si>
  <si>
    <t>TR30994</t>
  </si>
  <si>
    <t>+923061300368</t>
  </si>
  <si>
    <t>Chak Gillan Gharbi Near Sultan Palace Daska</t>
  </si>
  <si>
    <t>TR30995</t>
  </si>
  <si>
    <t>Shahbaz Rana</t>
  </si>
  <si>
    <t>رانا شہباز اختر ولد رانا عباد علی خاں مکان نمبر 732 گلی نمبر 12 حیات آباد چیچہ وطنی Chichawatni</t>
  </si>
  <si>
    <t xml:space="preserve">confirm allow to open </t>
  </si>
  <si>
    <t>TR30996</t>
  </si>
  <si>
    <t>Abid hassan khan</t>
  </si>
  <si>
    <t>33c-pcsir Society Opf Lahore</t>
  </si>
  <si>
    <t>TR30997</t>
  </si>
  <si>
    <t>Mohsin riaz</t>
  </si>
  <si>
    <t>Haslipur Road japan Town Street near by masque House no 66 Bahawalpur</t>
  </si>
  <si>
    <t>TR30998</t>
  </si>
  <si>
    <t>Faizan Rehmat</t>
  </si>
  <si>
    <t>Jan mobiles bilour plaza, peshawar Peshawar</t>
  </si>
  <si>
    <t>TR30999</t>
  </si>
  <si>
    <t>Islampur mohallah ward no 3 near kamran ghani agency Thatga</t>
  </si>
  <si>
    <t>Thatga</t>
  </si>
  <si>
    <t>Samiullah Bin Ejaz</t>
  </si>
  <si>
    <t>Ibrahim Fibres Ltd, Polyester Plant Faisalabad</t>
  </si>
  <si>
    <t>confirm 
 | 💰 COD Rec: 2026-04-17 | Ref: CPR-RAGFP443199 | Amt: 6297</t>
  </si>
  <si>
    <t>Multi ref PUM-A - L / White (x1), Multi ref PUM-A - L / Black (x1), ADI-Trouser Tri strip - L / Navy Blue (x1), ADI-Trouser Tri strip - L / Black (x1)</t>
  </si>
  <si>
    <t>TR31001</t>
  </si>
  <si>
    <t>Muhammad Muhammad taimour</t>
  </si>
  <si>
    <t>+923710089170</t>
  </si>
  <si>
    <t>No 2-illamaiqbal Town Street Sargodha</t>
  </si>
  <si>
    <t>TR31002</t>
  </si>
  <si>
    <t>Ninty Two Civil Lines Gulistan Road Sahiwal Sahiwal</t>
  </si>
  <si>
    <t>Mohsin Shaikh</t>
  </si>
  <si>
    <t>F Block North Nazimabad Karachi Karachi</t>
  </si>
  <si>
    <t>confirm 
 | 💰 COD Rec: 2026-04-17 | Ref: CPR-RAGFP443199 | Amt: 3397</t>
  </si>
  <si>
    <t>TR31004</t>
  </si>
  <si>
    <t>Irfan Naveed</t>
  </si>
  <si>
    <t>Toba Tek Singh - Faiz Colony Street No 1 Near Madina Masjid Toba Tek Singh</t>
  </si>
  <si>
    <t>confirm 
 | 💰 COD Rec: 2026-04-14 | Ref: CPR-95P3C418437 | Amt: 2299</t>
  </si>
  <si>
    <t>Basic RL Crew- Cotton - M / Royal Orange (x1), Basic RL Crew- Cotton - M / Sea green (x1)</t>
  </si>
  <si>
    <t>TR30308 replacement paid haa</t>
  </si>
  <si>
    <t>TR31006</t>
  </si>
  <si>
    <t>shahbaz shakir shahbaz shakir</t>
  </si>
  <si>
    <t>+923016962400</t>
  </si>
  <si>
    <t>Ahmad tredrz near fesail mover adda parmat road jatoi tehseel jatoi disstrikk muzfrghar muzafafrghar</t>
  </si>
  <si>
    <t>muzafafrghar</t>
  </si>
  <si>
    <t>whatsup 
 | 💰 COD Rec: 2026-04-14 | Ref: CPR-95P3C418437 | Amt: 5200</t>
  </si>
  <si>
    <t>A | X Embroidery LOGO - XL / American Blue (x1), A | X Embroidery LOGO - XL / White (x1), A | X Embroidery LOGO - XL / Olive (x1)</t>
  </si>
  <si>
    <t>TR31007</t>
  </si>
  <si>
    <t>Awan Waris</t>
  </si>
  <si>
    <t>71D st #3 Sec4 Airport housing society rawalpindi RAWALPINDI</t>
  </si>
  <si>
    <t>confirm 
 | 💰 COD Rec: 2026-04-14 | Ref: CPR-95P3C418437 | Amt: 2997</t>
  </si>
  <si>
    <t>TR31008</t>
  </si>
  <si>
    <t>Hassan Sohail</t>
  </si>
  <si>
    <t>177-R block model town Lahore</t>
  </si>
  <si>
    <t>confirm 
 | 💰 COD Rec: 2026-04-10 | Ref: CPR-XWOR8962608 | Amt: 1899</t>
  </si>
  <si>
    <t>ADI Ref Stripes - 2XL / Black (x1)</t>
  </si>
  <si>
    <t>TR31009</t>
  </si>
  <si>
    <t>husnain shahid husnain shahid</t>
  </si>
  <si>
    <t>+923367165402</t>
  </si>
  <si>
    <t>Bashir Ahmed Patwari house, Near Z.R bakers ,Rangers Road, sahowali sialkot cantt. sialkot cantt</t>
  </si>
  <si>
    <t>sialkot cantt</t>
  </si>
  <si>
    <t>LE7532032651</t>
  </si>
  <si>
    <t xml:space="preserve">whatsup tcs / lcs </t>
  </si>
  <si>
    <t>Multi ref PUM-A - XL / White (x1), ADI Multi Ref Stripes - XL / Maroon (x1), ADI Ref Stripes - XL / Black (x1)</t>
  </si>
  <si>
    <t>TR31010</t>
  </si>
  <si>
    <t>Muhammad Arshad Malik</t>
  </si>
  <si>
    <t>Flat 4, Pak Kashmir Plaza, Street 3 ghouri garden Islamabad Islamabad</t>
  </si>
  <si>
    <t>confirm 
 | 💰 COD Rec: 2026-04-14 | Ref: CPR-95P3C418437 | Amt: 3397</t>
  </si>
  <si>
    <t>Multi ref PUM-A - 3XL / Black (x1), Multi ref PUM-A - 3XL / White (x1)</t>
  </si>
  <si>
    <t>TR31011</t>
  </si>
  <si>
    <t>Ansar Shah</t>
  </si>
  <si>
    <t>Alsyed Traders 198 New Grain Market Dijkot Road Faisalabad</t>
  </si>
  <si>
    <t>whatsup  allow to open 
 | 💰 COD Rec: 2026-04-10 | Ref: CPR-XWOR8962608 | Amt: 2797</t>
  </si>
  <si>
    <t>ADI - EMBOSSED LOGO - XL / Sky (x1), ADI - EMBOSSED LOGO - XL / Olive( Commando Green) (x1)</t>
  </si>
  <si>
    <t>Kashif amin Kashif amin</t>
  </si>
  <si>
    <t>+923051418519</t>
  </si>
  <si>
    <t>Mohid commotion 71.B green market arifwala  Arifwala Arifwala</t>
  </si>
  <si>
    <t>whatsup  allow to open not ans 
 | ↩️ Return Charged: 2026-04-17 | Ref: CPR-RAGFP443199 | Fee: 241.86</t>
  </si>
  <si>
    <t>TR31013</t>
  </si>
  <si>
    <t>Naimat Colony No.1 Faislabad</t>
  </si>
  <si>
    <t>ADI-Trouser Tri strip - XL / Grey (x1), ADI-Trouser Tri strip - XL / Navy Blue (x1)</t>
  </si>
  <si>
    <t>TR31014</t>
  </si>
  <si>
    <t>Dr Tahir Asghar</t>
  </si>
  <si>
    <t>+923343814091</t>
  </si>
  <si>
    <t>House #1719/a, Jinnah Block, Street #5, New Shalimar Colony, Bosan Road, Multan, Pakistan Multan</t>
  </si>
  <si>
    <t>confirm
 | 💰 COD Rec: 2026-04-14 | Ref: CPR-95P3C418437 | Amt: 6698</t>
  </si>
  <si>
    <t>Multi ref PUM-A - XL / Black (x1), Multi ref PUM-A - XL / White (x1), ADI Multi Ref Stripes - XL / Navy Blue (x1), ADI Multi Ref Stripes - XL / Maroon (x1)</t>
  </si>
  <si>
    <t>TR31015</t>
  </si>
  <si>
    <t>TR31016</t>
  </si>
  <si>
    <t>Zebbi Jutt</t>
  </si>
  <si>
    <t>03066419230 Bharia Orchard</t>
  </si>
  <si>
    <t>Bharia Orchard</t>
  </si>
  <si>
    <t>ADI-Trouser Tri strip - M / Black (x2)</t>
  </si>
  <si>
    <t>TR31017</t>
  </si>
  <si>
    <t>Ch waqas Jutt</t>
  </si>
  <si>
    <t>Usman Diagnostic Centre Near Akbar Shadi Hall Cricket Stadium Sheikhupura Qila Shekhupura</t>
  </si>
  <si>
    <t xml:space="preserve">paid parcel haa </t>
  </si>
  <si>
    <t>TR31018</t>
  </si>
  <si>
    <t>Muhammad muzamil malik Muhammad muzamil malik</t>
  </si>
  <si>
    <t>+923161469921</t>
  </si>
  <si>
    <t>1045 C Dha Phase 6 street 18 lahore Lahore</t>
  </si>
  <si>
    <t>whatsup paid haa ya parcel</t>
  </si>
  <si>
    <t>TR31019</t>
  </si>
  <si>
    <t>Zahid Khalid</t>
  </si>
  <si>
    <t>Mehmoodabad 1 number karachi Karachi</t>
  </si>
  <si>
    <t>Sir cencel kr dayn</t>
  </si>
  <si>
    <t>TR31020</t>
  </si>
  <si>
    <t>Ahmad Raza</t>
  </si>
  <si>
    <t>+923147360648</t>
  </si>
  <si>
    <t>Asif Ali mutton shop Opposite direction of go pump badiyaan road Lahore cannt Lahore</t>
  </si>
  <si>
    <t xml:space="preserve">
 | 💰 COD Rec: 2026-04-14 | Ref: CPR-95P3C418437 | Amt: 2898</t>
  </si>
  <si>
    <t>(Premium) Italian Texture Polo - M / Grey (x1)</t>
  </si>
  <si>
    <t>Aawais Aawais</t>
  </si>
  <si>
    <t>+923157925301</t>
  </si>
  <si>
    <t>Circular road tcs office daska Daska</t>
  </si>
  <si>
    <t>not ans whatsup 250dc advance ha 
 | ↩️ Return Charged: 2026-04-17 | Ref: CPR-RAGFP443199 | Fee: 241.86</t>
  </si>
  <si>
    <t>TR31022</t>
  </si>
  <si>
    <t>Chaudri photo studio sial mor chowk Kot momin</t>
  </si>
  <si>
    <t>Kot momin</t>
  </si>
  <si>
    <t>A | X Embroidery LOGO - XL / Pista (x1), A | X Embroidery LOGO - XL / Bottle Green (x1)</t>
  </si>
  <si>
    <t>TR31023</t>
  </si>
  <si>
    <t>Asad Chak 54</t>
  </si>
  <si>
    <t>Kot Radha Kishen only leopard allowed to open Kot Radha Kishen</t>
  </si>
  <si>
    <t>Kot Radha Kishen</t>
  </si>
  <si>
    <t>LE7532110658</t>
  </si>
  <si>
    <t xml:space="preserve">open to allow lcs </t>
  </si>
  <si>
    <t>uncollected</t>
  </si>
  <si>
    <t>TR31024</t>
  </si>
  <si>
    <t>Rehan Saeed</t>
  </si>
  <si>
    <t>50 A block eme socity lahore Lahore</t>
  </si>
  <si>
    <t xml:space="preserve">cancel ya confirm nahi haa </t>
  </si>
  <si>
    <t>TR31025</t>
  </si>
  <si>
    <t>0-shabqadar Ghareebabad Tehsil Shabqadar District Charsadda Charsadda</t>
  </si>
  <si>
    <t>LE7532032653</t>
  </si>
  <si>
    <t xml:space="preserve">confirm shabqadar </t>
  </si>
  <si>
    <t>TR31026</t>
  </si>
  <si>
    <t>Sohaib Khan</t>
  </si>
  <si>
    <t>Flat number 202 city center faisal hill Taxila</t>
  </si>
  <si>
    <t xml:space="preserve">cancel alredy order kiya hua haa </t>
  </si>
  <si>
    <t>TR31027</t>
  </si>
  <si>
    <t>Basti chanran moza Daim wala tehsil Ahmad pur east Bwp Ahmad pur east</t>
  </si>
  <si>
    <t>TR31028</t>
  </si>
  <si>
    <t xml:space="preserve">
 | 💰 COD Rec: 2026-04-14 | Ref: CPR-95P3C418437 | Amt: 1798</t>
  </si>
  <si>
    <t>ADI - EMBOSSED LOGO - M / Sky (x1)</t>
  </si>
  <si>
    <t>TR31029</t>
  </si>
  <si>
    <t>Abubakar Abubakar</t>
  </si>
  <si>
    <t>4c zafar ali road gulberg 5 lahore</t>
  </si>
  <si>
    <t xml:space="preserve">
 | 💰 COD Rec: 2026-04-14 | Ref: CPR-95P3C418437 | Amt: 2099</t>
  </si>
  <si>
    <t>TR31030</t>
  </si>
  <si>
    <t>Anas Ghori</t>
  </si>
  <si>
    <t>F/551 korangi no 4 near police station Karachi</t>
  </si>
  <si>
    <t xml:space="preserve">
 | 💰 COD Rec: 2026-04-14 | Ref: CPR-95P3C418437 | Amt: 2797</t>
  </si>
  <si>
    <t>ADI - EMBOSSED LOGO - M / Dark Red(Maroon) (x1), ADI - EMBOSSED LOGO - M / Sky (x1)</t>
  </si>
  <si>
    <t>Kabeer Hussain Rathore</t>
  </si>
  <si>
    <t>H no SA-261 St no 9 muhala sadiqabad rawalpindi Rawalpindi</t>
  </si>
  <si>
    <t xml:space="preserve">
 | 💰 COD Rec: 2026-04-17 | Ref: CPR-RAGFP443199 | Amt: 1798</t>
  </si>
  <si>
    <t>Rizwan Ahmed Rizwan Ahmed</t>
  </si>
  <si>
    <t>Shop No 8,9 Sheikh Rasheed Market New Sarafa Bazar Rawalpindi Rawalpindi</t>
  </si>
  <si>
    <t xml:space="preserve">
 | 💰 COD Rec: 2026-04-17 | Ref: CPR-RAGFP443199 | Amt: 3399</t>
  </si>
  <si>
    <t>ADI Multi Ref Stripes - XL / Navy Blue (x1), ADI Multi Ref Stripes - XL / Maroon (x1)</t>
  </si>
  <si>
    <t>TR31033</t>
  </si>
  <si>
    <t>Mohsin Khalid</t>
  </si>
  <si>
    <t>100 al madina avenue college road township lahore Lahore</t>
  </si>
  <si>
    <t>TR31034</t>
  </si>
  <si>
    <t>Junaid Iqbal</t>
  </si>
  <si>
    <t>+923003093545</t>
  </si>
  <si>
    <t>B #04, Gulistan-e-Dastagir Colony, Hala Naka Road, Hyderabad, Sindh Hyderabad</t>
  </si>
  <si>
    <t>TR31035</t>
  </si>
  <si>
    <t>Circular Road Old City Mailsi District Vehari Mailsi</t>
  </si>
  <si>
    <t>TR31036</t>
  </si>
  <si>
    <t>Saqib Siddiqui</t>
  </si>
  <si>
    <t>Ada muneer haveli near Mustafa Masjid Hala new street #1 house #2 Hala New</t>
  </si>
  <si>
    <t>Hala New</t>
  </si>
  <si>
    <t xml:space="preserve">
 | 💰 COD Rec: 2026-04-14 | Ref: CPR-95P3C418437 | Amt: 2299</t>
  </si>
  <si>
    <t>Basic RL Crew- Cotton - M / Turkish blue (x1), Basic RL Crew- Cotton - M / Royal Orange (x1)</t>
  </si>
  <si>
    <t>TR31037</t>
  </si>
  <si>
    <t>Muhammad Irfan Bashir</t>
  </si>
  <si>
    <t>+923009629743</t>
  </si>
  <si>
    <t>Office No 7 Gujrat</t>
  </si>
  <si>
    <t>confirm 
 | 💰 COD Rec: 2026-04-14 | Ref: CPR-95P3C418437 | Amt: 3395</t>
  </si>
  <si>
    <t>TR31038</t>
  </si>
  <si>
    <t>sarib khan khan</t>
  </si>
  <si>
    <t>flat202 city center Faisal hill taxila</t>
  </si>
  <si>
    <t>taxila</t>
  </si>
  <si>
    <t>confirm 
 | 💰 COD Rec: 2026-04-14 | Ref: CPR-95P3C418437 | Amt: 4499</t>
  </si>
  <si>
    <t>Popcorn Polo - L / Beige (x1), Popcorn Polo - L / White (x1)</t>
  </si>
  <si>
    <t>TR31039</t>
  </si>
  <si>
    <t>TR31040</t>
  </si>
  <si>
    <t>Shahzaib Hassan</t>
  </si>
  <si>
    <t>Farzan Clinic Gojra Road Jhang Sadar Jhang</t>
  </si>
  <si>
    <t>exchange
 | 💰 COD Rec: 2026-04-14 | Ref: CPR-95P3C418437 | Amt: 299</t>
  </si>
  <si>
    <t>TR31041</t>
  </si>
  <si>
    <t>Aqib Ali</t>
  </si>
  <si>
    <t>Zafarwal Dhamthal</t>
  </si>
  <si>
    <t>Dhamthal</t>
  </si>
  <si>
    <t>TR31042</t>
  </si>
  <si>
    <t>+923158802380</t>
  </si>
  <si>
    <t>Old college road mandian new lahore electric store abbottabad Abbottabad</t>
  </si>
  <si>
    <t>TR31043</t>
  </si>
  <si>
    <t>Salim Khan</t>
  </si>
  <si>
    <t>House no. CB 1/A, Opposite Kohistan Enclave, G T Road Wah</t>
  </si>
  <si>
    <t>confirm 
 | 💰 COD Rec: 2026-04-14 | Ref: CPR-95P3C418437 | Amt: 3399</t>
  </si>
  <si>
    <t>ADI Multi Ref Stripes - XL / Navy Blue (x1), ADI Multi Ref Stripes - XL / White (x1)</t>
  </si>
  <si>
    <t>TR31044</t>
  </si>
  <si>
    <t>Zeeshan Waheed</t>
  </si>
  <si>
    <t>574 G block Al Rehman Garden Phase 2</t>
  </si>
  <si>
    <t>Al Rehman Garden Phase 2</t>
  </si>
  <si>
    <t xml:space="preserve">cancelnahi lena phala bhi order kiya thaa doursa number SA wo kisi kam ka nahi tha </t>
  </si>
  <si>
    <t>TR31045</t>
  </si>
  <si>
    <t>Asif Hussain</t>
  </si>
  <si>
    <t>Billa pan shop faisal town moon market lahore Lahore</t>
  </si>
  <si>
    <t>TR31046</t>
  </si>
  <si>
    <t>Muhammad Nahyan</t>
  </si>
  <si>
    <t>House 34, Street 12 , H block , New City Phase 2 Wah Cantt Wah Cantt</t>
  </si>
  <si>
    <t xml:space="preserve">
 | 💰 COD Rec: 2026-04-14 | Ref: CPR-95P3C418437 | Amt: 2948</t>
  </si>
  <si>
    <t>A | X Embroidery LOGO - L / White (x1), ADI - EMBOSSED LOGO - L / Sky (x1)</t>
  </si>
  <si>
    <t>TR31047</t>
  </si>
  <si>
    <t>Ufone franchises Bismillah market near gernal bus stand phalia road Mandi Bahauddin</t>
  </si>
  <si>
    <t xml:space="preserve">
 | 💰 COD Rec: 2026-04-14 | Ref: CPR-95P3C418437 | Amt: 3397</t>
  </si>
  <si>
    <t>TR31048</t>
  </si>
  <si>
    <t>Country boys hostel Umt Lahore Lahore</t>
  </si>
  <si>
    <t xml:space="preserve">
 | 💰 COD Rec: 2026-04-14 | Ref: CPR-95P3C418437 | Amt: 3999</t>
  </si>
  <si>
    <t>TR31049</t>
  </si>
  <si>
    <t>Zain Ali</t>
  </si>
  <si>
    <t>Shop num G-09 ground floor dolmen center tariq road  Karachi Karachi</t>
  </si>
  <si>
    <t>Multi ref PUM-A - L / Black (x1), Multi ref PUM-A - L / White (x1)</t>
  </si>
  <si>
    <t>TR31050</t>
  </si>
  <si>
    <t>Mohajar  colony nezid Girjha Ghar fazil high school Khairpur tamawali</t>
  </si>
  <si>
    <t>Khairpur tamawali</t>
  </si>
  <si>
    <t>Mian Ameer Umar</t>
  </si>
  <si>
    <t>+923007950535</t>
  </si>
  <si>
    <t>Al-khair City House No 43 Street No 2 Number Okara</t>
  </si>
  <si>
    <t>TR31052</t>
  </si>
  <si>
    <t>Ali Hasnain</t>
  </si>
  <si>
    <t>Vill+po Bhoa Hassan Tehsil Phalia Dist M.b Din Mandi Bahauddin</t>
  </si>
  <si>
    <t>confirm 
 | 💰 COD Rec: 2026-04-14 | Ref: CPR-95P3C418437 | Amt: 5196</t>
  </si>
  <si>
    <t>Multi ref PUM-A - XL / Black (x1), Multi ref PUM-A - XL / White (x2)</t>
  </si>
  <si>
    <t>TR31053</t>
  </si>
  <si>
    <t>Kamran Aslam</t>
  </si>
  <si>
    <t>House No 162 Street No 6 Phase 4B Ghauri Town Islamabad</t>
  </si>
  <si>
    <t xml:space="preserve">
 | 💰 COD Rec: 2026-04-14 | Ref: CPR-95P3C418437 | Amt: 2249</t>
  </si>
  <si>
    <t>NIK- Ref LOGO - L / black (x1)</t>
  </si>
  <si>
    <t>TR31054</t>
  </si>
  <si>
    <t>Rana Munawar Rana Munawar</t>
  </si>
  <si>
    <t>Hahmdabad narang mandi Narang mandi</t>
  </si>
  <si>
    <t>Narang mandi</t>
  </si>
  <si>
    <t xml:space="preserve">  rider nahi aya confirm </t>
  </si>
  <si>
    <t>ADI-Trouser Tri strip - XL / Navy Blue (x1), ADI-Trouser Tri strip - XL / Grey (x1)</t>
  </si>
  <si>
    <t>TR31055</t>
  </si>
  <si>
    <t>Kachi pki mor kundian(leopard currier office) Kundian</t>
  </si>
  <si>
    <t>Kundian</t>
  </si>
  <si>
    <t>LE7532032939</t>
  </si>
  <si>
    <t>Multi ref PUM-A - L / Black (x1), Multi ref PUM-A - M / White (x1)</t>
  </si>
  <si>
    <t>TR31056</t>
  </si>
  <si>
    <t>Satiana Bangla Faisalabad</t>
  </si>
  <si>
    <t>TR31057</t>
  </si>
  <si>
    <t>Asif Hussain Shah</t>
  </si>
  <si>
    <t>Office # E9 5th Floor Masood Arcade ijp road Rawalpindi Rawalpindi</t>
  </si>
  <si>
    <t xml:space="preserve">
 | 💰 COD Rec: 2026-04-14 | Ref: CPR-95P3C418437 | Amt: 3099</t>
  </si>
  <si>
    <t>A | X Embroidery LOGO - L / Sky (x1), A | X Embroidery LOGO - L / White (x1)</t>
  </si>
  <si>
    <t>TR31058</t>
  </si>
  <si>
    <t>Muhammad Zaid</t>
  </si>
  <si>
    <t>House 86 st 3 Abu bakar block madina town harbanspura lahore Lahore</t>
  </si>
  <si>
    <t>confirm 
 | 💰 COD Rec: 2026-04-14 | Ref: CPR-95P3C418437 | Amt: 2099</t>
  </si>
  <si>
    <t>ADI Multi Ref Stripes - L / Gray (x1)</t>
  </si>
  <si>
    <t>TR31059</t>
  </si>
  <si>
    <t>M Umair I.</t>
  </si>
  <si>
    <t>House No 494 B Block Master City Gujranwala</t>
  </si>
  <si>
    <t>confirm 
 | 💰 COD Rec: 2026-04-14 | Ref: CPR-95P3C418437 | Amt: 2098</t>
  </si>
  <si>
    <t>Multi ref PUM-A - 2XL / Black (x1)</t>
  </si>
  <si>
    <t>TR31060</t>
  </si>
  <si>
    <t>Sumbal A</t>
  </si>
  <si>
    <t>+923225543454</t>
  </si>
  <si>
    <t>Fazal appartments , faiz riad near maja rica, muslim town Lahore</t>
  </si>
  <si>
    <t>Multi ref PUM-A - 3XL / Black (x1)</t>
  </si>
  <si>
    <t>TR31061</t>
  </si>
  <si>
    <t>Abbaskhalil Khalil</t>
  </si>
  <si>
    <t>House no 13 Jamal ud din Afghani road near momin khan mosque university town Peshawar Peshawar</t>
  </si>
  <si>
    <t>TR31062</t>
  </si>
  <si>
    <t>RAVI SOLANKI</t>
  </si>
  <si>
    <t>House no A-5 Mir Hussainabad Hyderabad Hyderabad</t>
  </si>
  <si>
    <t xml:space="preserve">confirmon wp </t>
  </si>
  <si>
    <t>TR31063</t>
  </si>
  <si>
    <t>Ahsan Rafique</t>
  </si>
  <si>
    <t>House#13, street# 12 block A soan garden islamabad Islamabad</t>
  </si>
  <si>
    <t>TR31064</t>
  </si>
  <si>
    <t>Uzair Altaf</t>
  </si>
  <si>
    <t>9-darul Hina Building Paper Market Pakistan Chowk Karachi</t>
  </si>
  <si>
    <t xml:space="preserve">shirt ka color damage tha </t>
  </si>
  <si>
    <t>Abdul Wahab</t>
  </si>
  <si>
    <t>House 174,Street 35, khayaban-e- Qasim,DHA Phase 8 Karachi Karachi</t>
  </si>
  <si>
    <t>confirm 100 advance hain 
 | 💰 COD Rec: 2026-04-17 | Ref: CPR-RAGFP443199 | Amt: 13522</t>
  </si>
  <si>
    <t>Popcorn Polo - M / Black (x1), Popcorn Polo - M / White (x1), Imported Scoba Executive Nik Tro - M / Black (x1), Imported Scoba Executive Nik Tro - M / Silver Grey (x1), Multi ref PUM-A - M / White (x1), Multi ref PUM-A - M / Black (x1)</t>
  </si>
  <si>
    <t>TR31066</t>
  </si>
  <si>
    <t>Husnain Jani</t>
  </si>
  <si>
    <t>10 D block 10 D F6 super market Markaz Islamabad Islamabad</t>
  </si>
  <si>
    <t>TR31067</t>
  </si>
  <si>
    <t>Usmanali Shaukat</t>
  </si>
  <si>
    <t>98 tipu block new garden town Lahore</t>
  </si>
  <si>
    <t xml:space="preserve">
 | 💰 COD Rec: 2026-04-14 | Ref: CPR-95P3C418437 | Amt: 2649</t>
  </si>
  <si>
    <t>Popcorn Polo - L / olive (x1)</t>
  </si>
  <si>
    <t>TR31068</t>
  </si>
  <si>
    <t>Abdul Karim Abdul Karim</t>
  </si>
  <si>
    <t>+923453901968</t>
  </si>
  <si>
    <t>Sub Registrar office sukkur near Mukhtiarkar  office, shalimar sukkur Sindh .</t>
  </si>
  <si>
    <t>whatsup 
 | 💰 COD Rec: 2026-04-14 | Ref: CPR-95P3C418437 | Amt: 4796</t>
  </si>
  <si>
    <t>ADI - EMBOSSED LOGO - L / Sky (x1), ADI - EMBOSSED LOGO - L / Olive( Commando Green) (x1), ADI - EMBOSSED LOGO - L / Mustard (x1)</t>
  </si>
  <si>
    <t>TR31069</t>
  </si>
  <si>
    <t>Zeeshan Akhtar</t>
  </si>
  <si>
    <t>Ahmed street near Shama clinic shakriyal Rawalpindi Shakriyal Rawalpindi</t>
  </si>
  <si>
    <t>Shakriyal Rawalpindi</t>
  </si>
  <si>
    <t>Aamir Jacko</t>
  </si>
  <si>
    <t>Qamar general store gujranwala DC road ismaeel street sodaqar house st 4 gujranwala Gujranwala</t>
  </si>
  <si>
    <t>size chota haaa 
 | ↩️ Return Charged: 2026-04-17 | Ref: CPR-RAGFP443199 | Fee: 241.86</t>
  </si>
  <si>
    <t>TR31071</t>
  </si>
  <si>
    <t>Saif Ashraf</t>
  </si>
  <si>
    <t>House 203; Street 2; Sector F10/3 Islamabad</t>
  </si>
  <si>
    <t>ADI - EMBOSSED LOGO - XL / Dark Red(Maroon) (x1), ADI - EMBOSSED LOGO - XL / Zinc Blue (x1)</t>
  </si>
  <si>
    <t>Waleed Wasif</t>
  </si>
  <si>
    <t>127/2 F block street 5 phase 5 DHA Lahore</t>
  </si>
  <si>
    <t>confirm  rider nai aya 
 | 💰 COD Rec: 2026-04-17 | Ref: CPR-RAGFP443199 | Amt: 3599</t>
  </si>
  <si>
    <t>A | X Embroidery LOGO - 3XL / Biscuit (x1), A | X Embroidery LOGO - 3XL / Navy (x1)</t>
  </si>
  <si>
    <t>TR31073</t>
  </si>
  <si>
    <t>B52 Bagh e korangi Karachi</t>
  </si>
  <si>
    <t>TR31074</t>
  </si>
  <si>
    <t>Yasir Hussain</t>
  </si>
  <si>
    <t>Pak Kashmir Trader Shope No Gf 27 Taj Chember Plaza Plza Near Askr Bank Badami Bagh Auto Parts Market Lahore Lahorr</t>
  </si>
  <si>
    <t>Lahorr</t>
  </si>
  <si>
    <t xml:space="preserve">not ans  no wp </t>
  </si>
  <si>
    <t>Multi ref PUM-A - L / White (x2)</t>
  </si>
  <si>
    <t>TR31075</t>
  </si>
  <si>
    <t>Atiq Raza</t>
  </si>
  <si>
    <t>House#49, Block E2, Awt Phase 2, Near to Adda Plot Lahore Lahore</t>
  </si>
  <si>
    <t>47- J Model Town Lahore</t>
  </si>
  <si>
    <t>confirm 
 | 💰 COD Rec: 2026-04-17 | Ref: CPR-RAGFP443199 | Amt: 1949</t>
  </si>
  <si>
    <t>A | X Embroidery LOGO - 3XL / Biscuit (x1)</t>
  </si>
  <si>
    <t>TR31077</t>
  </si>
  <si>
    <t>Madina town talagang road chakwal chakwal</t>
  </si>
  <si>
    <t>Sobia Ramzan</t>
  </si>
  <si>
    <t>House no 1280 street 32 phase 4 bahria town Rawalpindi Rawalpindi</t>
  </si>
  <si>
    <t>confirm 
 | 💰 COD Rec: 2026-04-17 | Ref: CPR-RAGFP443199 | Amt: 1798</t>
  </si>
  <si>
    <t>ADI - EMBOSSED LOGO - L / Mustard (x1)</t>
  </si>
  <si>
    <t>TR31079</t>
  </si>
  <si>
    <t>+923332882562</t>
  </si>
  <si>
    <t>House no77 har Chand roy colony walkart road Mirpurkhas .</t>
  </si>
  <si>
    <t>Yasir Iqbal Yasir Iqbal</t>
  </si>
  <si>
    <t>+923055112277</t>
  </si>
  <si>
    <t>ADS Enterprises Basement Bank of Punjab Near KFC Mirpur (AJ&amp;K) .</t>
  </si>
  <si>
    <t>300 advance haa confirm open to allo w
 | 💰 COD Rec: 2026-04-17 | Ref: CPR-RAGFP443199 | Amt: 1599</t>
  </si>
  <si>
    <t>Muhammad sajid Khan</t>
  </si>
  <si>
    <t>C28, B, 24th Commercial street, phase 2 EXT Dha karachi</t>
  </si>
  <si>
    <t>confirm 
 | 💰 COD Rec: 2026-04-17 | Ref: CPR-RAGFP443199 | Amt: 3599</t>
  </si>
  <si>
    <t>A | X Embroidery LOGO - 3XL / Pista (x1), A | X Embroidery LOGO - 3XL / Biscuit (x1)</t>
  </si>
  <si>
    <t>TR31082</t>
  </si>
  <si>
    <t>LE7532110660</t>
  </si>
  <si>
    <t>ADI Ref Stripes - M / Black (x1)</t>
  </si>
  <si>
    <t>Muhammad Fiaz</t>
  </si>
  <si>
    <t>402 office al raheem tower ii Chundigar road karachi Karachi</t>
  </si>
  <si>
    <t>allow to open 
 | 💰 COD Rec: 2026-04-17 | Ref: CPR-RAGFP443199 | Amt: 3099</t>
  </si>
  <si>
    <t>A | X Embroidery LOGO - XL / Maroon (x1), A | X Embroidery LOGO - XL / Pista (x1)</t>
  </si>
  <si>
    <t>TR31084</t>
  </si>
  <si>
    <t>mohalla lakan wala kotmomin dist sargodha kotmomin</t>
  </si>
  <si>
    <t>kotmomin</t>
  </si>
  <si>
    <t>confirm 
 | 💰 COD Rec: 2026-04-17 | Ref: CPR-RAGFP443199 | Amt: 2948</t>
  </si>
  <si>
    <t>A | X Embroidery LOGO - M / Bottle Green (x1), ADI - EMBOSSED LOGO - M / Sky (x1)</t>
  </si>
  <si>
    <t>Mian Abdul Rafi</t>
  </si>
  <si>
    <t>Mian Rafi G 302 G Block Main Boulevard New City Phase Ll Wah Wah</t>
  </si>
  <si>
    <t>confirm 
 | 💰 COD Rec: 2026-04-17 | Ref: CPR-RAGFP443199 | Amt: 3099</t>
  </si>
  <si>
    <t>A | X Embroidery LOGO - L / Black (x1), A | X Embroidery LOGO - L / Maroon (x1)</t>
  </si>
  <si>
    <t>Usman Jahangir</t>
  </si>
  <si>
    <t>Falt No 02 Ali tower 3rd Floor Sector F2 opposite city hospital Mirpur azad kashmir</t>
  </si>
  <si>
    <t>Mirpur azad kashmir</t>
  </si>
  <si>
    <t>A | X Embroidery LOGO - M / Pista (x1), A | X Embroidery LOGO - M / American Blue (x1)</t>
  </si>
  <si>
    <t>TR31088</t>
  </si>
  <si>
    <t>Agha Ali</t>
  </si>
  <si>
    <t>The Educators Alamdar Campus. Alamdar Road Quetta</t>
  </si>
  <si>
    <t>ADI - EMBOSSED LOGO - XL / Sky (x1), ADI - EMBOSSED LOGO - XL / White (x1)</t>
  </si>
  <si>
    <t>TR31089</t>
  </si>
  <si>
    <t>Office Karachi</t>
  </si>
  <si>
    <t>TR31090</t>
  </si>
  <si>
    <t>Mohallah shaikhanwala nazad darbar safer sultan Bhera</t>
  </si>
  <si>
    <t>TR31091</t>
  </si>
  <si>
    <t>IT Services Department GIFT University Gujranwala</t>
  </si>
  <si>
    <t>ADI Multi Ref Stripes - 4XL / Navy Blue (x1), ADI Multi Ref Stripes - 4XL / Black (x1)</t>
  </si>
  <si>
    <t>Fatima Tanveer</t>
  </si>
  <si>
    <t>111-chenab Block Allama Town Lahore Lahore</t>
  </si>
  <si>
    <t>confirm 
 | 💰 COD Rec: 2026-04-17 | Ref: CPR-RAGFP443199 | Amt: 3997</t>
  </si>
  <si>
    <t>ADI-Trouser Tri strip - L / Grey (x1), (Premium) Italian Texture Polo - L / Grey (x1)</t>
  </si>
  <si>
    <t>TR31093</t>
  </si>
  <si>
    <t>Ali Steel Works , Outside Lahori Gate , Circular Road City Peshawar Peshawar</t>
  </si>
  <si>
    <t>TR31094</t>
  </si>
  <si>
    <t>Abdullah Khattak</t>
  </si>
  <si>
    <t>House 2, Street 17, Sector F9, Phase 6 - Hayatabad Peshawar</t>
  </si>
  <si>
    <t>confirm 
 | 💰 COD Rec: 2026-04-14 | Ref: CPR-95P3C418437 | Amt: 2797</t>
  </si>
  <si>
    <t>ADI - EMBOSSED LOGO - XL / Navy blue (x1), ADI - EMBOSSED LOGO - XL / Sky (x1)</t>
  </si>
  <si>
    <t>Shop no 6 gohar rabi centre sir Syed road Karachi</t>
  </si>
  <si>
    <t>confirm 
 | 💰 COD Rec: 2026-04-17 | Ref: CPR-RAGFP443199 | Amt: 2797</t>
  </si>
  <si>
    <t>ADI - EMBOSSED LOGO - XL / Zinc Blue (x1), ADI - EMBOSSED LOGO - XL / Dark Red(Maroon) (x1)</t>
  </si>
  <si>
    <t>TR31096</t>
  </si>
  <si>
    <t>Ghulam Mujtaba Khan</t>
  </si>
  <si>
    <t>Qayum and elahi sons kashmir road opposite superior college sialko Sialkot</t>
  </si>
  <si>
    <t>confirm on wp 
 | 💰 COD Rec: 2026-04-14 | Ref: CPR-95P3C418437 | Amt: 2149</t>
  </si>
  <si>
    <t>TR31097</t>
  </si>
  <si>
    <t>Shoaib Rasool Bhatti Shoaib Rasool Bhatti</t>
  </si>
  <si>
    <t>District Hafizabad Jalal Pur Bhattian Yusif Iran Store Jalal Pur Bhattian Near Askari Bank</t>
  </si>
  <si>
    <t>Jalal Pur Bhattian Yusif Iran Store Jalal Pur Bhattian Near Askari Bank</t>
  </si>
  <si>
    <t>confirm 
 | 💰 COD Rec: 2026-04-14 | Ref: CPR-95P3C418437 | Amt: 2149</t>
  </si>
  <si>
    <t>TR31098</t>
  </si>
  <si>
    <t>muhammad naveed</t>
  </si>
  <si>
    <t>Ward no. 3 golarchi Golarchi</t>
  </si>
  <si>
    <t xml:space="preserve">cancel mujha laga ka trouser bhi haa is ka sath </t>
  </si>
  <si>
    <t>Sajjad Raza</t>
  </si>
  <si>
    <t>Gulshan e Sadat colony GOJRA GOJRA</t>
  </si>
  <si>
    <t>GOJRA</t>
  </si>
  <si>
    <t>confirm 
 | 💰 COD Rec: 2026-04-17 | Ref: CPR-RAGFP443199 | Amt: 2099</t>
  </si>
  <si>
    <t>ADI Multi Ref Stripes - XL / Gray (x1)</t>
  </si>
  <si>
    <t>TR31100</t>
  </si>
  <si>
    <t>Asfar ahmed</t>
  </si>
  <si>
    <t>owais afsar kiryana store matiari near by pass  matiari</t>
  </si>
  <si>
    <t>matiari</t>
  </si>
  <si>
    <t>ADI - EMBOSSED LOGO - M / Navy blue (x1), ADI - EMBOSSED LOGO - M / Black (x1)</t>
  </si>
  <si>
    <t>TR31101</t>
  </si>
  <si>
    <t>Muhammad Naseer</t>
  </si>
  <si>
    <t>house 48 street 7 nai abadi marrir hassan  Rawalpindi</t>
  </si>
  <si>
    <t>TR31102</t>
  </si>
  <si>
    <t>Ahtisham Akram</t>
  </si>
  <si>
    <t>Kot Radha Kishan Kot Radha Kishan</t>
  </si>
  <si>
    <t>Master photo state man Bazar syedwala to jarawala Syedwala</t>
  </si>
  <si>
    <t>Syedwala</t>
  </si>
  <si>
    <t>open to allow 
 | 💰 COD Rec: 2026-04-17 | Ref: CPR-RAGFP443199 | Amt: 2098</t>
  </si>
  <si>
    <t>TR31104</t>
  </si>
  <si>
    <t>Tahir Khan</t>
  </si>
  <si>
    <t>Saddique Lace, Bismillah Plza Shop No 13 Post Office Road Wah Cantt Wah Cantt</t>
  </si>
  <si>
    <t>Multi ref PUM-A - 3XL / Black (x1), Multi ref PUM-A - 2XL / White (x1)</t>
  </si>
  <si>
    <t>TR31105</t>
  </si>
  <si>
    <t>WAQAS ALI</t>
  </si>
  <si>
    <t>Sahara Medical college narowal hostel 1 room 20 Narowal</t>
  </si>
  <si>
    <t>TR31106</t>
  </si>
  <si>
    <t xml:space="preserve">cancel ma out of city ja raha hoo ap cance ker dein </t>
  </si>
  <si>
    <t>Peerzada Clinic And Maternity Home Noor Pur Road Head Raj Kan Head Raj Khan  Tehsil Yazman</t>
  </si>
  <si>
    <t>Head Raj Khan  Tehsil Yazman</t>
  </si>
  <si>
    <t>whatsup 
 | 💰 COD Rec: 2026-04-17 | Ref: CPR-RAGFP443199 | Amt: 3348</t>
  </si>
  <si>
    <t>TR31108</t>
  </si>
  <si>
    <t>Ahmad Ahmad</t>
  </si>
  <si>
    <t>+923449300062</t>
  </si>
  <si>
    <t>mall road cantt plaza mardan Telenor franchise .</t>
  </si>
  <si>
    <t xml:space="preserve">whatsup cancel 15 ko flight haa </t>
  </si>
  <si>
    <t>TR31109</t>
  </si>
  <si>
    <t>Fatima Jinnah Gate Near Qadir Pur Raan, Multan Multan</t>
  </si>
  <si>
    <t>Sir ye order cancel kr dein</t>
  </si>
  <si>
    <t>Tariq javed Tariq javed</t>
  </si>
  <si>
    <t>+923334433370</t>
  </si>
  <si>
    <t>370 DD st6 ph4 DHA lahore  03334433370 lahore</t>
  </si>
  <si>
    <t>whatsup 
 | 💰 COD Rec: 2026-04-17 | Ref: CPR-RAGFP443199 | Amt: 3300</t>
  </si>
  <si>
    <t>A | X Embroidery LOGO - XL / Sky (x1), A | X Embroidery LOGO - XL / Pista (x1)</t>
  </si>
  <si>
    <t>Hashmat Ali Hashmat Ali</t>
  </si>
  <si>
    <t>+923335554111</t>
  </si>
  <si>
    <t>wahab mobile center Ada bazar sherpao, Tehsil Tangi District Charsadda Charsadda</t>
  </si>
  <si>
    <t>whatsup 
 | 💰 COD Rec: 2026-04-17 | Ref: CPR-RAGFP443199 | Amt: 3100</t>
  </si>
  <si>
    <t>TR31112</t>
  </si>
  <si>
    <t>Fauji foundation hospital, Near RA baazar, Bedian Road Lahore Lahore</t>
  </si>
  <si>
    <t>TR31113</t>
  </si>
  <si>
    <t>Saeed Khan</t>
  </si>
  <si>
    <t>nonarian ghulshen ravi lahore lahore</t>
  </si>
  <si>
    <t>cancel shop sa a ker la gaa</t>
  </si>
  <si>
    <t>Multi ref PUM-A - XL / Black (x1), Embossed NIK-E - XL / Black (x1), ADI Multi Ref Stripes - XL / Gray (x1)</t>
  </si>
  <si>
    <t>TR31114</t>
  </si>
  <si>
    <t>Noman Zafar</t>
  </si>
  <si>
    <t>+923152184809</t>
  </si>
  <si>
    <t>House Number A1/212 Block C Naya Nazimabad Karachi</t>
  </si>
  <si>
    <t>ADI-Trouser Tri strip - L / Grey (x1), ADI-Trouser Tri strip - L / Navy Blue (x1)</t>
  </si>
  <si>
    <t>TR31115</t>
  </si>
  <si>
    <t>H 80 St 3 Sector E Dha ph 2 Islamabad</t>
  </si>
  <si>
    <t xml:space="preserve">    not ans confirm nhi ker raha  ma bad ma call kerta hoo +92 303 5002020 </t>
  </si>
  <si>
    <t>TR31116</t>
  </si>
  <si>
    <t>Asim Naeem</t>
  </si>
  <si>
    <t>+923232664653</t>
  </si>
  <si>
    <t>Flat No 301, 3rd floor, united castle apartments, gulshan e iqbal, block 10, near Sindbad Karachi</t>
  </si>
  <si>
    <t>Shanayal Javaid</t>
  </si>
  <si>
    <t>+923228662255</t>
  </si>
  <si>
    <t>P24 Saigol Plaza 1st Floor Motogmery Bazaar Clock Tower Faisalabad Faisalabad</t>
  </si>
  <si>
    <t>A | X Embroidery LOGO - XL / Pista (x1)</t>
  </si>
  <si>
    <t>House No 340 Street No 4 Ghani Park Sargodha Sargodha</t>
  </si>
  <si>
    <t>confrm 
 | 💰 COD Rec: 2026-04-17 | Ref: CPR-RAGFP443199 | Amt: 3099</t>
  </si>
  <si>
    <t>A | X Embroidery LOGO - 2XL / Pista (x1), A | X Embroidery LOGO - 2XL / Navy (x1)</t>
  </si>
  <si>
    <t>TR31119</t>
  </si>
  <si>
    <t>Naematullah jamali</t>
  </si>
  <si>
    <t>Sindh Agriculture University tandojam boys hostel Tandojam</t>
  </si>
  <si>
    <t>TR31120</t>
  </si>
  <si>
    <t>Phase 6 street 7 sector f 9 house 609 hayatabd peshawar Peshawar</t>
  </si>
  <si>
    <t>TR31121</t>
  </si>
  <si>
    <t>V-23/1,16th East Street Phase 1 Dha Karachi</t>
  </si>
  <si>
    <t>TR31122</t>
  </si>
  <si>
    <t>Malik Faizan</t>
  </si>
  <si>
    <t>Moh chowk sirajn Near dera Mian Naseer khan Bhatti Pindi Bhattian</t>
  </si>
  <si>
    <t>A | X Embroidery LOGO - M / Maroon (x1), A | X Embroidery LOGO - M / Navy (x1)</t>
  </si>
  <si>
    <t>TR31123</t>
  </si>
  <si>
    <t>M Fayaz</t>
  </si>
  <si>
    <t>Azhar Residences Main GT Road okara House No103 zeshan block Okara</t>
  </si>
  <si>
    <t>ADI - EMBOSSED LOGO - XL / Bottle green (x1)</t>
  </si>
  <si>
    <t>TR31124</t>
  </si>
  <si>
    <t>Ali mobile shop near Serena hotel jutial gilgit Gilgit</t>
  </si>
  <si>
    <t>ADI-Trouser Tri strip - M / Black (x1), ADI-Trouser Tri strip - M / Navy Blue (x1)</t>
  </si>
  <si>
    <t>TR31125</t>
  </si>
  <si>
    <t>Moazzam Boota</t>
  </si>
  <si>
    <t>Alraheem complex near alnoor marriage hall, china chowk (sublime chowk), Sialkot Sialkot</t>
  </si>
  <si>
    <t>Muhammad Adnan khan Adnan khan</t>
  </si>
  <si>
    <t>Islamabad Gulbarg Green.. ubl bank Islamabad</t>
  </si>
  <si>
    <t>A | X Embroidery LOGO - XL / Maroon (x1), A | X Embroidery LOGO - XL / Bottle Green (x1)</t>
  </si>
  <si>
    <t>TR31127</t>
  </si>
  <si>
    <t>mohsin shareef</t>
  </si>
  <si>
    <t>House no 67 block D near Bank alflh arifwala Arifwala</t>
  </si>
  <si>
    <t>ADI - EMBOSSED LOGO - L / Bottle green (x1)</t>
  </si>
  <si>
    <t>Zeshan Mazhar</t>
  </si>
  <si>
    <t>Leafcot textiles office#206 2nd floor mall of faisalabad 208 chak road near kashmir bridge Faisalabad</t>
  </si>
  <si>
    <t>confirm 
 | 💰 COD Rec: 2026-04-17 | Ref: CPR-RAGFP443199 | Amt: 3399</t>
  </si>
  <si>
    <t>TR31129</t>
  </si>
  <si>
    <t>Aon Abbas</t>
  </si>
  <si>
    <t>+923332051610</t>
  </si>
  <si>
    <t>Faraz line, FC Lockhut, Nawakilli Road Near FC Hospital , Quetta Quetta</t>
  </si>
  <si>
    <t>ADI - EMBOSSED LOGO - L / Sky (x1), ADI - EMBOSSED LOGO - L / White (x1)</t>
  </si>
  <si>
    <t>TR31130</t>
  </si>
  <si>
    <t>Sarosh Tanoli</t>
  </si>
  <si>
    <t>+923358453335</t>
  </si>
  <si>
    <t>Habibmetro Bank, F-7 Markaz Islamabad</t>
  </si>
  <si>
    <t>TR31131</t>
  </si>
  <si>
    <t>Hussain Mazhar</t>
  </si>
  <si>
    <t>B-172 Sayedna Norrudin Road Shabbirabad Karachi Karachi</t>
  </si>
  <si>
    <t>A | X Embroidery LOGO - XL / Maroon (x1), A | X Embroidery LOGO - XL / Sky (x1)</t>
  </si>
  <si>
    <t>TR31132</t>
  </si>
  <si>
    <t>Uzair malik malik</t>
  </si>
  <si>
    <t>294b-pakarab Farozpur Road Lahore Lahore</t>
  </si>
  <si>
    <t>ADI Multi Ref Stripes - M / Gray (x1), ADI Multi Ref Stripes - M / White (x1)</t>
  </si>
  <si>
    <t>TR31133</t>
  </si>
  <si>
    <t>Islam nagar sabowal road near nsar butt kriyana store Gujrat</t>
  </si>
  <si>
    <t>A | X Embroidery LOGO - L / Black (x1)</t>
  </si>
  <si>
    <t>TR31134</t>
  </si>
  <si>
    <t>Agga Rashid</t>
  </si>
  <si>
    <t>15 Griffin officer colony Mughal pura Lahore</t>
  </si>
  <si>
    <t>confirm allow to open 
 | 💰 COD Rec: 2026-04-17 | Ref: CPR-RAGFP443199 | Amt: 3099</t>
  </si>
  <si>
    <t>A | X Embroidery LOGO - XL / Maroon (x1), A | X Embroidery LOGO - 2XL / Grey (x1)</t>
  </si>
  <si>
    <t>TR31136</t>
  </si>
  <si>
    <t>Miani Miani</t>
  </si>
  <si>
    <t>Miani</t>
  </si>
  <si>
    <t>ADI Ref Stripes - L / Black (x1)</t>
  </si>
  <si>
    <t>TR31137</t>
  </si>
  <si>
    <t>Muhala bahadar pura (teh) pasrur Sialkot</t>
  </si>
  <si>
    <t>TR31138</t>
  </si>
  <si>
    <t>confirm yahi addres haa</t>
  </si>
  <si>
    <t>A | X Embroidery LOGO - XL / Olive (x1), A | X Embroidery LOGO - XL / Navy (x1), ADI-Trouser Tri strip - L / Navy Blue (x1), ADI-Trouser Tri strip - L / Black (x1)</t>
  </si>
  <si>
    <t>TR31139</t>
  </si>
  <si>
    <t>Saif trainer</t>
  </si>
  <si>
    <t>Azhar mahoomd cricket ground bismallah market ISLAMABAD</t>
  </si>
  <si>
    <t>Hamza Farooq</t>
  </si>
  <si>
    <t>Mian farooq oil traders nishter chowk fanoos cenma road near punjab iron store Sadiq</t>
  </si>
  <si>
    <t>Sadiq</t>
  </si>
  <si>
    <t>Multi ref PUM-A - XL / Black (x2)</t>
  </si>
  <si>
    <t>TR31141</t>
  </si>
  <si>
    <t>Irfan Haider</t>
  </si>
  <si>
    <t>Flat No 13 4A Jinnah Complex near COMSAT university Islamabad</t>
  </si>
  <si>
    <t xml:space="preserve">confirm allow to oepn </t>
  </si>
  <si>
    <t>A | X Embroidery LOGO - M / Navy (x1), A | X Embroidery LOGO - M / Pista (x1)</t>
  </si>
  <si>
    <t>TR31142</t>
  </si>
  <si>
    <t>Ghulam Abbas bhatti</t>
  </si>
  <si>
    <t>State Life Sector Office Near Punjab College Raiwind Raiwind</t>
  </si>
  <si>
    <t>Muhammad Amin ud din</t>
  </si>
  <si>
    <t>House number 74 Street 3 Block G Royal Orchard Multan MULTAN</t>
  </si>
  <si>
    <t>A | X Embroidery LOGO - 2XL / White (x1), A | X Embroidery LOGO - 2XL / Maroon (x1)</t>
  </si>
  <si>
    <t>TR31144</t>
  </si>
  <si>
    <t xml:space="preserve">cancel nahi lena advance nahi ker raha </t>
  </si>
  <si>
    <t>TR31145</t>
  </si>
  <si>
    <t>Farhad Yaseen</t>
  </si>
  <si>
    <t>Jamali house banglow#2 district council nawab shah Nawab Shah</t>
  </si>
  <si>
    <t>Nawab Shah</t>
  </si>
  <si>
    <t>TR31146</t>
  </si>
  <si>
    <t>House no 8 street no 14 ghorey shah road gujjar Pura lahore Lahore</t>
  </si>
  <si>
    <t>ADI - EMBOSSED LOGO - L / White (x1), ADI - EMBOSSED LOGO - L / Sky (x1)</t>
  </si>
  <si>
    <t>wahab ch</t>
  </si>
  <si>
    <t>Old grain market near abl bank khanpur chaudhary traders khanpur</t>
  </si>
  <si>
    <t>khanpur</t>
  </si>
  <si>
    <t>confirm
 | 💰 COD Rec: 2026-04-17 | Ref: CPR-RAGFP443199 | Amt: 3545</t>
  </si>
  <si>
    <t>ADI Multi Ref Stripes - XL / Navy Blue (x1), ADI Multi Ref Stripes - XL / Black (x1)</t>
  </si>
  <si>
    <t>TR31148</t>
  </si>
  <si>
    <t>Asad Habib Habib</t>
  </si>
  <si>
    <t>Neelum pol gas Bank Square Chatter domell muzaffarabad Muzaffarabad</t>
  </si>
  <si>
    <t>TR31149</t>
  </si>
  <si>
    <t>Ali Hashmi</t>
  </si>
  <si>
    <t>+923214234432</t>
  </si>
  <si>
    <t>149 C Street 3 PCHS DHA Ghazi Road Lahore</t>
  </si>
  <si>
    <t xml:space="preserve">allow to open </t>
  </si>
  <si>
    <t>TR31150</t>
  </si>
  <si>
    <t>Murtaza Ahmed</t>
  </si>
  <si>
    <t>House 71, Sunset Avenue, Phase 1, Bahria Town Rawalpindi</t>
  </si>
  <si>
    <t>A | X Embroidery LOGO - XL / White (x1), A | X Embroidery LOGO - XL / Black (x1)</t>
  </si>
  <si>
    <t>TR31152</t>
  </si>
  <si>
    <t>Rahat Khakwani</t>
  </si>
  <si>
    <t>dha Phase8 Block U House No 500 Street no 30 Lahore</t>
  </si>
  <si>
    <t>Tipping Crew - L / Black (x1), Tipping Crew - L / White (x1), ADI - EMBOSSED LOGO - L / White (x1), ADI - EMBOSSED LOGO - L / Sky (x1)</t>
  </si>
  <si>
    <t>Margall town phce 1 street 3 home 351 Islammbad</t>
  </si>
  <si>
    <t>Islammbad</t>
  </si>
  <si>
    <t>TR31154</t>
  </si>
  <si>
    <t>Sufyan Khan</t>
  </si>
  <si>
    <t>Umar khan road backside of haqqani masjid street no 23 house no 233 gulshan siknderabad karachi Karachi</t>
  </si>
  <si>
    <t>A | X Embroidery LOGO - M / White (x1), A | X Embroidery LOGO - M / Sky (x1)</t>
  </si>
  <si>
    <t>Plot 4C5 Lane 1, D.H.A. Phase 8 Zulfiqar &amp; Al Murtaza Commercial Area Phase 8 DHA, Karachi Karachi</t>
  </si>
  <si>
    <t>confirm
 | 💰 COD Rec: 2026-04-17 | Ref: CPR-RAGFP443199 | Amt: 3099</t>
  </si>
  <si>
    <t>A | X Embroidery LOGO - XL / Sky (x1), A | X Embroidery LOGO - XL / Bottle Green (x1)</t>
  </si>
  <si>
    <t>Noor Hayat</t>
  </si>
  <si>
    <t>Dream tiles paint and sanitary stoor bhoa Hassan nazd waseem hospital Phalia</t>
  </si>
  <si>
    <t>slipt 
 | 💰 COD Rec: 2026-04-17 | Ref: CPR-RAGFP443199 | Amt: 5898</t>
  </si>
  <si>
    <t>Tipping Crew - XL / Black (x1), Tipping Crew - XL / White (x1), ADI-Trouser Tri strip - XL / Black (x1), ADI-Trouser Tri strip - XL / Navy Blue (x1)</t>
  </si>
  <si>
    <t>AMJAD FAROOQ</t>
  </si>
  <si>
    <t>House # B17-916-1.Faizababad Near Sangum general store Gujrat Gujrat</t>
  </si>
  <si>
    <t>TR31158</t>
  </si>
  <si>
    <t>sultan khan</t>
  </si>
  <si>
    <t>House No 22-B Noor ul Haq Colony Near Ahmed General Store Bahawalpur Bahawalpur</t>
  </si>
  <si>
    <t>ADI - EMBOSSED LOGO - XL / Bottle green (x1), ADI - EMBOSSED LOGO - XL / Sky (x1)</t>
  </si>
  <si>
    <t>TR31159</t>
  </si>
  <si>
    <t>Arif Ahmed</t>
  </si>
  <si>
    <t>1 A hajrabad shah faisal colony no 3 Karachi</t>
  </si>
  <si>
    <t>ADI - EMBOSSED LOGO - XL / Zinc Blue (x1)</t>
  </si>
  <si>
    <t>773 Gulmohar sector C street #14 bahria town lahore Lagire</t>
  </si>
  <si>
    <t>Lagire</t>
  </si>
  <si>
    <t>confirm open to allow 
 | 💰 COD Rec: 2026-04-17 | Ref: CPR-RAGFP443199 | Amt: 3099</t>
  </si>
  <si>
    <t>A | X Embroidery LOGO - 2XL / Sky (x1), A | X Embroidery LOGO - 2XL / Biscuit (x1)</t>
  </si>
  <si>
    <t>TR31161</t>
  </si>
  <si>
    <t>Shoaib Ahmad</t>
  </si>
  <si>
    <t>House No 1105 Street 11 Fort Colony Mtn Cantt Multan</t>
  </si>
  <si>
    <t>ADI Ref Stripes - 2XL / Black (x1), ADI Ref Stripes - XL / White (x1)</t>
  </si>
  <si>
    <t>ayaz misbah</t>
  </si>
  <si>
    <t>House no A7 block 12 FB AREA GULBERG KARACHI Karachi</t>
  </si>
  <si>
    <t>ADI Multi Ref Stripes - XL / Black (x1), ADI Multi Ref Stripes - XL / Gray (x1)</t>
  </si>
  <si>
    <t>TR31163</t>
  </si>
  <si>
    <t>Mumtazabad multan near imam bargah Multan</t>
  </si>
  <si>
    <t>Abid Latif Khan</t>
  </si>
  <si>
    <t>House 1, Street 6, Sector A, Phase 5, Dhai, Islamabad Islamabad</t>
  </si>
  <si>
    <t>TR31165</t>
  </si>
  <si>
    <t>Aamir Chaudhry</t>
  </si>
  <si>
    <t>House No 125, BLOCK A, Bismillah Housing Scheme, GT ROAD MANAWA Lahore</t>
  </si>
  <si>
    <t xml:space="preserve">cancel 19 ko flight haa to late </t>
  </si>
  <si>
    <t>TR31166</t>
  </si>
  <si>
    <t>Abdul Wahab Faisal Gulzar</t>
  </si>
  <si>
    <t>53/2-l Main Road Okara Faisal Gulzar House Okara</t>
  </si>
  <si>
    <t xml:space="preserve">confirm  koi nahi aya </t>
  </si>
  <si>
    <t>TR31167</t>
  </si>
  <si>
    <t>Fahad Shakeel</t>
  </si>
  <si>
    <t>Manga Bipass Lahore Manga Mandi</t>
  </si>
  <si>
    <t>Manga Mandi</t>
  </si>
  <si>
    <t>ADI - EMBOSSED LOGO - M / Grey (x1)</t>
  </si>
  <si>
    <t>Musa Sehban</t>
  </si>
  <si>
    <t>Apartment A2, Ground Floor, Grace Center, near Mubarak Masjid. Gizri. Phase 4. DHA Karachi</t>
  </si>
  <si>
    <t>confirm 
 | 💰 COD Rec: 2026-04-17 | Ref: CPR-RAGFP443199 | Amt: 2997</t>
  </si>
  <si>
    <t>ADI-Trouser Tri strip - L / Navy Blue (x1), ADI-Trouser Tri strip - L / Grey (x1)</t>
  </si>
  <si>
    <t>TR31169</t>
  </si>
  <si>
    <t>Ward No. 18 Street 12 Muzaffarabad</t>
  </si>
  <si>
    <t>TR31170</t>
  </si>
  <si>
    <t>Ehtesham Asmat</t>
  </si>
  <si>
    <t>+923475792665</t>
  </si>
  <si>
    <t>VILLAGE SHAH PUR, P.O; CHECHIAN BAHOWAL, TEH;&amp; DISTT; GUJRAT, Gujrat</t>
  </si>
  <si>
    <t>LE7532110662</t>
  </si>
  <si>
    <t xml:space="preserve"> lcs 
open to allow </t>
  </si>
  <si>
    <t>BRANDED TH - M / grey (x1), BRANDED TH - M / Chocolate (x1), Popcorn Polo - M / Navy (x1), Popcorn Polo - M / mehroon (x1)</t>
  </si>
  <si>
    <t>Khurram Chauhan</t>
  </si>
  <si>
    <t>Cybernet Pvt Ltd. Plot-89. St-10. I-9/2 Islamabad</t>
  </si>
  <si>
    <t>confirm
 | 💰 COD Rec: 2026-04-17 | Ref: CPR-RAGFP443199 | Amt: 2797</t>
  </si>
  <si>
    <t>ADI - EMBOSSED LOGO - XL / Zinc Blue (x1), ADI - EMBOSSED LOGO - XL / Sky (x1)</t>
  </si>
  <si>
    <t>Faheem Jutt</t>
  </si>
  <si>
    <t>House 178 beef block Ghos Garden Phase 4 Manawa Lahore Lahore</t>
  </si>
  <si>
    <t>confirm 
 | 💰 COD Rec: 2026-04-17 | Ref: CPR-RAGFP443199 | Amt: 2098</t>
  </si>
  <si>
    <t>sajid Arshad</t>
  </si>
  <si>
    <t>D36, Fatima Fertilizer company limited mukhtar Garh Sadiqabad</t>
  </si>
  <si>
    <t>open to allow 
 | 💰 COD Rec: 2026-04-17 | Ref: CPR-RAGFP443199 | Amt: 4997</t>
  </si>
  <si>
    <t>(Premium) Italian Texture Polo - L / Grey (x1), (Premium) Italian Texture Polo - L / Mehroon (x1)</t>
  </si>
  <si>
    <t>Tanveer Anjum</t>
  </si>
  <si>
    <t>Askari Bank Near Chakdara Interchange Thana Batkhela. Malakand</t>
  </si>
  <si>
    <t>confirm
 | 💰 COD Rec: 2026-04-17 | Ref: CPR-RAGFP443199 | Amt: 3399</t>
  </si>
  <si>
    <t>TR31175</t>
  </si>
  <si>
    <t>Dr Usama( allow to open) Naseer</t>
  </si>
  <si>
    <t>Capital veterinary clinic oposit punjab cash carry Rawalpindi</t>
  </si>
  <si>
    <t>Rashid Hussain Chaudhry</t>
  </si>
  <si>
    <t>B-124 ( 1st Floor ), 12th Street, Block 5, Saadi Town Karachi</t>
  </si>
  <si>
    <t>Rana Imran Rana imran</t>
  </si>
  <si>
    <t>House number 2026 Street number 12 Azam town near Maria sch Karachi</t>
  </si>
  <si>
    <t>A | X Embroidery LOGO - 2XL / Navy (x1), A | X Embroidery LOGO - 2XL / Sky (x1)</t>
  </si>
  <si>
    <t>TR31178</t>
  </si>
  <si>
    <t>MINAL SOHAIL</t>
  </si>
  <si>
    <t>Flat G1, Plot RS52 53, Rafi pride2 housing society, Jamia Millia road, Malir. Karachi</t>
  </si>
  <si>
    <t>confirm 
No needed anymore Kindly cancel this order</t>
  </si>
  <si>
    <t>TR31179</t>
  </si>
  <si>
    <t>MUZAFAR ALAM</t>
  </si>
  <si>
    <t>Swat Mingora Kanjo segram chok</t>
  </si>
  <si>
    <t>Kanjo segram chok</t>
  </si>
  <si>
    <t>TR31180</t>
  </si>
  <si>
    <t>Tehsil Road Nowshera Nowshera</t>
  </si>
  <si>
    <t>ADI - EMBOSSED LOGO - L / Bottle green (x1), ADI - EMBOSSED LOGO - L / Dark Red(Maroon) (x1)</t>
  </si>
  <si>
    <t>Muhammad Shariq Mukarram</t>
  </si>
  <si>
    <t>E 107 unit 2, Gulshan Iqbal block 7 Karachi</t>
  </si>
  <si>
    <t>confirm 
 | 💰 COD Rec: 2026-04-17 | Ref: CPR-RAGFP443199 | Amt: 3198</t>
  </si>
  <si>
    <t>ADI-Trouser Tri strip - L / Grey (x1), ADI Multi Ref Stripes - XL / Maroon (x1)</t>
  </si>
  <si>
    <t>TR31182</t>
  </si>
  <si>
    <t>Wasif Sialvi</t>
  </si>
  <si>
    <t>Super Gm Food Point Main Bazar Lalamusa Lalamusa</t>
  </si>
  <si>
    <t>Abdullah Rao</t>
  </si>
  <si>
    <t>MCS,cadet hostel ,lalazar,opposite to station headquaters,rawalpindi Rawalpindi</t>
  </si>
  <si>
    <t>confirm 
 | 💰 COD Rec: 2026-04-17 | Ref: CPR-RAGFP443199 | Amt: 2898</t>
  </si>
  <si>
    <t>(Premium) Italian Texture Polo - M / Sky (x1)</t>
  </si>
  <si>
    <t>TR31184</t>
  </si>
  <si>
    <t>Sohail Kamboh</t>
  </si>
  <si>
    <t>+923369970194</t>
  </si>
  <si>
    <t>AMC mess Abid majeed road Rawalpindi Rawalpindi</t>
  </si>
  <si>
    <t>Imported Scoba Executive Nik Tro - L / Gray (x1), ADI Multi Ref Stripes - M / Gray (x1), ADI Multi Ref Stripes - M / Navy Blue (x1), ADI-Trouser Tri strip - L / Navy Blue (x1), ADI-Trouser Tri strip - M / Black (x1)</t>
  </si>
  <si>
    <t>TR31185</t>
  </si>
  <si>
    <t>Shop Sargodha</t>
  </si>
  <si>
    <t>ADI Multi Ref Stripes - XL / Maroon (x1), ADI Multi Ref Stripes - XL / White (x1)</t>
  </si>
  <si>
    <t>Moien ud din Chishty Moien ud din Chishty</t>
  </si>
  <si>
    <t>49 A bridge colony cantt Lahore</t>
  </si>
  <si>
    <t>confirm 
 | 💰 COD Rec: 2026-04-17 | Ref: CPR-RAGFP443199 | Amt: 2049</t>
  </si>
  <si>
    <t>TR31187</t>
  </si>
  <si>
    <t>Imran Zafar</t>
  </si>
  <si>
    <t>House No.11, Chenab Block, Allama Iqbal Town Lahore</t>
  </si>
  <si>
    <t>Usman zahid</t>
  </si>
  <si>
    <t>House No 267 Street No 6th Khayabane Tufail Shaheed Phase 7 Extension Dha Karachi Karachi</t>
  </si>
  <si>
    <t>A | X Embroidery LOGO - XL / Biscuit (x1), A | X Embroidery LOGO - XL / American Blue (x1)</t>
  </si>
  <si>
    <t>ABDUL GHAFFAR</t>
  </si>
  <si>
    <t>+923434444123</t>
  </si>
  <si>
    <t>House no. 6, Street no. 1-A, Amir town Harbans pura Lahore Lahore</t>
  </si>
  <si>
    <t>confirm
 | 💰 COD Rec: 2026-04-17 | Ref: CPR-RAGFP443199 | Amt: 6499</t>
  </si>
  <si>
    <t>ADI Multi Ref Stripes - XL / White (x1), ADI Multi Ref Stripes - XL / Black (x1), NIK- Ref LOGO - XL / black (x1), NIK- Ref LOGO - XL / white (x1)</t>
  </si>
  <si>
    <t>Siddique Channa</t>
  </si>
  <si>
    <t>H BAKERS &amp; SWEET, Jamshoro Society Phase 1, Jamshoro University Jamshoro</t>
  </si>
  <si>
    <t>TR31191</t>
  </si>
  <si>
    <t>Syed Shaffin</t>
  </si>
  <si>
    <t>110-e street 6 dha phase 5 Lahore</t>
  </si>
  <si>
    <t>ADI Multi Ref Stripes - L / Navy Blue (x1), ADI Multi Ref Stripes - L / Gray (x1)</t>
  </si>
  <si>
    <t>Misbah Rehman</t>
  </si>
  <si>
    <t>B 185 Block 10 Nasirabad F.b Area Karachi</t>
  </si>
  <si>
    <t>Abu Huraira</t>
  </si>
  <si>
    <t>13-c Bismillah Housing Society Lahore Cantt Quadruple</t>
  </si>
  <si>
    <t>Quadruple</t>
  </si>
  <si>
    <t>confirm 
 | 💰 COD Rec: 2026-04-17 | Ref: CPR-RAGFP443199 | Amt: 2999</t>
  </si>
  <si>
    <t>TR31194</t>
  </si>
  <si>
    <t>Zohaib tahir Tahir</t>
  </si>
  <si>
    <t>(owner)zohaib Karyana And General Store Danna Faizabad Near Almanzar Filling Station Kotli</t>
  </si>
  <si>
    <t>Makan number 61 Gali number 3 muhla Fareed colony phatak number 6 makbra mor shahdara lahore Lahore</t>
  </si>
  <si>
    <t>confirm 
 | 💰 COD Rec: 2026-04-17 | Ref: CPR-RAGFP443199 | Amt: 1898</t>
  </si>
  <si>
    <t>TR31196</t>
  </si>
  <si>
    <t>Mohsin (advance payment) Raza</t>
  </si>
  <si>
    <t>Ms mobile meer markeet haidri chowk nowshera virkan Gujranwala</t>
  </si>
  <si>
    <t>sadi Ahmed sadi Ahmed</t>
  </si>
  <si>
    <t>+923465112101</t>
  </si>
  <si>
    <t>Nowshera gt roda Gloria Jeans coffee Hakeem building kpk ,</t>
  </si>
  <si>
    <t>whatsup
 | 💰 COD Rec: 2026-04-17 | Ref: CPR-RAGFP443199 | Amt: 3297</t>
  </si>
  <si>
    <t>ADI - EMBOSSED LOGO - L / Sky (x1), ADI - EMBOSSED LOGO - L / Mustard (x1)</t>
  </si>
  <si>
    <t>Dars Pesticides Agency Near Pakistan Computer Kanta Bustan Road Kunri District Umerkot Mirpur Khas</t>
  </si>
  <si>
    <t>TR31199</t>
  </si>
  <si>
    <t>Cornel Waqas</t>
  </si>
  <si>
    <t>Army school of logistcs kuldana farooq block Murree</t>
  </si>
  <si>
    <t>TR31200</t>
  </si>
  <si>
    <t>Omair Misbah</t>
  </si>
  <si>
    <t>+923046664830</t>
  </si>
  <si>
    <t>R9 Khayban E Rizwan Phase 7 Dha Karachi</t>
  </si>
  <si>
    <t>ADI - EMBOSSED LOGO - XL / Black (x1)</t>
  </si>
  <si>
    <t>Imran Ali Halepoto</t>
  </si>
  <si>
    <t>A-37/2 Princetown Phase 2 , Hyderabad</t>
  </si>
  <si>
    <t>Shahid Hanif</t>
  </si>
  <si>
    <t>+923245137172</t>
  </si>
  <si>
    <t>House# 01, Street # 1, Sector B, DHA 1, rawalpindi rawalpindi</t>
  </si>
  <si>
    <t>Fayyaz akram Fayyaz akram</t>
  </si>
  <si>
    <t>0300 3920647</t>
  </si>
  <si>
    <t>49 hh street 2 phase 4 dha lahore</t>
  </si>
  <si>
    <t xml:space="preserve">whatsup ( marked as paid by rehman ) </t>
  </si>
  <si>
    <t>ADI Multi Ref Stripes - 3XL / Black (x1), ADI Multi Ref Stripes - 3XL / Navy Blue (x1)</t>
  </si>
  <si>
    <t>Attiq ur Rehman Attiq ur Rehman</t>
  </si>
  <si>
    <t>+923180457752</t>
  </si>
  <si>
    <t>91 b2 Gulzar house Hussain chowk Gulbarg 3 lahore lahore</t>
  </si>
  <si>
    <t>whatsup 
 | 💰 COD Rec: 2026-04-17 | Ref: CPR-RAGFP443199 | Amt: 2049</t>
  </si>
  <si>
    <t>TR31205</t>
  </si>
  <si>
    <t xml:space="preserve">whatsup  not ans </t>
  </si>
  <si>
    <t>ADI Ref Stripes - L / White (x1), Multi ref PUM-A - L / White (x1), Multi ref PUM-A - L / Black (x1)</t>
  </si>
  <si>
    <t>TR31206</t>
  </si>
  <si>
    <t>+923215070521</t>
  </si>
  <si>
    <t>Apartment 303 3rd Floor Square 17 Plaza (Bank Alfalah Building) B Block Main Commercial Multi Gardens B-17 Islamabad Islamabad</t>
  </si>
  <si>
    <t>TR31207</t>
  </si>
  <si>
    <t>Syeda Ambreen Murtaza</t>
  </si>
  <si>
    <t>Villa 103 , st 69, road 16, Precinct 12, Ali block KARACHI</t>
  </si>
  <si>
    <t>TR31208</t>
  </si>
  <si>
    <t>New Punjab Medical Store Khairpur Tamewali Bahawalpur</t>
  </si>
  <si>
    <t xml:space="preserve">cancel nahi lena ma advance nahi karo gaa </t>
  </si>
  <si>
    <t>(Premium) Italian Texture Polo - L / Sky (x1)</t>
  </si>
  <si>
    <t>TR31209</t>
  </si>
  <si>
    <t>Shaban Gujjar</t>
  </si>
  <si>
    <t>Barnala Azad Kashmir Barnala</t>
  </si>
  <si>
    <t>Barnala</t>
  </si>
  <si>
    <t>TR31210</t>
  </si>
  <si>
    <t>Mudassar Malik</t>
  </si>
  <si>
    <t>+923404393427</t>
  </si>
  <si>
    <t>Nhmp Complex Babu Sabu Lahore Lahore</t>
  </si>
  <si>
    <t>A | X Embroidery LOGO - M / Sky (x1), A | X Embroidery LOGO - M / Maroon (x1)</t>
  </si>
  <si>
    <t>TR31211</t>
  </si>
  <si>
    <t>Muhammad Abdullah Amjad Muhammad Abdullah Amjad</t>
  </si>
  <si>
    <t>house 17 Street 109 Block E tauseef area phase 1 Jinnah Garden Islamabad Islamabad</t>
  </si>
  <si>
    <t xml:space="preserve">cancel  nahi lena mood change </t>
  </si>
  <si>
    <t>TR31212</t>
  </si>
  <si>
    <t>Shahreen Shahzad</t>
  </si>
  <si>
    <t>S-31,11th East Street Phase 1 Dha Khi Karachi</t>
  </si>
  <si>
    <t>Saqib Ali</t>
  </si>
  <si>
    <t>All Masoom Decoration Center Pirmahal</t>
  </si>
  <si>
    <t>TR31214</t>
  </si>
  <si>
    <t>Muhammad Samad</t>
  </si>
  <si>
    <t>Mahajrabad.  sadeeq street.. st no 17 ..H.no 4 near quba masjid multan Road lahore Lahore</t>
  </si>
  <si>
    <t>TR31215</t>
  </si>
  <si>
    <t>Hasnat Khawaja</t>
  </si>
  <si>
    <t>Newways Industries, Shitab Garha near Dawn Bagh Sialkot</t>
  </si>
  <si>
    <t>ADI - EMBOSSED LOGO - L / Olive( Commando Green) (x1), ADI - EMBOSSED LOGO - L / Black (x1)</t>
  </si>
  <si>
    <t>TR31216</t>
  </si>
  <si>
    <t>cancel mujha laga ka full track haa</t>
  </si>
  <si>
    <t>hamza khan</t>
  </si>
  <si>
    <t>5-no-stop Kahna Nau Lahore Cantt.</t>
  </si>
  <si>
    <t>TR31218</t>
  </si>
  <si>
    <t>Zafar Abbas</t>
  </si>
  <si>
    <t>Madena taion faroqia Rod Ahata Tahsel Taxila</t>
  </si>
  <si>
    <t>Tahsel Taxila</t>
  </si>
  <si>
    <t xml:space="preserve">confirm open to allow </t>
  </si>
  <si>
    <t>Kumail Haider</t>
  </si>
  <si>
    <t>Street No.13, House No. P-1083, Mansoorabad, Faisalabad Faisalabad</t>
  </si>
  <si>
    <t>A | X Embroidery LOGO - L / Bottle Green (x1)</t>
  </si>
  <si>
    <t>185 C, Main Broadway Commercial, DHA Phase 8, Lahore Lahore</t>
  </si>
  <si>
    <t>Multi ref PUM-A - 3XL / White (x2)</t>
  </si>
  <si>
    <t>TR31221</t>
  </si>
  <si>
    <t>TR31222</t>
  </si>
  <si>
    <t>+923014991131</t>
  </si>
  <si>
    <t>House no 4385 tulip block street no 2 park view city lahore lahore</t>
  </si>
  <si>
    <t>Booked</t>
  </si>
  <si>
    <t>House No 16 St No 16 Tezab Ahata Swami Nagar Lagore Lahore</t>
  </si>
  <si>
    <t>NIK- Ref LOGO - XL / white (x1)</t>
  </si>
  <si>
    <t>TR31224</t>
  </si>
  <si>
    <t>Faraz ali Faraz ali</t>
  </si>
  <si>
    <t>+923012999660</t>
  </si>
  <si>
    <t>3/4 firdous coloney nazimabad Karachi Karachi</t>
  </si>
  <si>
    <t>TR31225</t>
  </si>
  <si>
    <t>Najam Abbas Najam Abbas</t>
  </si>
  <si>
    <t>+923085958100</t>
  </si>
  <si>
    <t>Near bank of Punjab hajiwala  Karianwala road hajiwala District Gujrat</t>
  </si>
  <si>
    <t>District Gujrat</t>
  </si>
  <si>
    <t>Multi ref PUM-A - M / White (x1), ADI Ref Stripes - M / White (x1)</t>
  </si>
  <si>
    <t>2nd Floor, Bsc House, State Bank Of Pakistan, I I Chundrigar Road, Karachi Karachi Karachi</t>
  </si>
  <si>
    <t>TR30672 replacement  paid bhejna haa</t>
  </si>
  <si>
    <t>ADI Multi Ref Stripes - XL / Gray (x1), ADI Multi Ref Stripes - XL / White (x1)</t>
  </si>
  <si>
    <t>confirm 
 | 💰 COD Rec: 2026-04-17 | Ref: CPR-RAGFP443199 | Amt: 4997</t>
  </si>
  <si>
    <t>(Premium) Italian Texture Polo - 2Xl / Purple (x1), (Premium) Italian Texture Polo - 2Xl / Mehroon (x1)</t>
  </si>
  <si>
    <t>TR31228</t>
  </si>
  <si>
    <t>Faras Dossani</t>
  </si>
  <si>
    <t>Memon Plaza, phase 2, flat no B-45,  Gulshan Iqbal, Karachi Karachi</t>
  </si>
  <si>
    <t>ADI - EMBOSSED LOGO - M / Olive( Commando Green) (x1), ADI - EMBOSSED LOGO - M / Sky (x1)</t>
  </si>
  <si>
    <t>Hot N Spicy, Fast Track Plaza Tariq Market F-10/2 Islamabad</t>
  </si>
  <si>
    <t>confirm 
 | 💰 COD Rec: 2026-04-17 | Ref: CPR-RAGFP443199 | Amt: 6299</t>
  </si>
  <si>
    <t>(Premium) Italian Texture Polo - Xl / Sky (x1), Tipping Crew - XL / White (x1), Tipping Crew - XL / Black (x1)</t>
  </si>
  <si>
    <t>TR31230</t>
  </si>
  <si>
    <t>Muhammad Tauseef</t>
  </si>
  <si>
    <t>Gadoon Industrial State Swabi</t>
  </si>
  <si>
    <t>TR31231</t>
  </si>
  <si>
    <t>Rouqyya Zafar</t>
  </si>
  <si>
    <t>House 9 khyber colony 1 Peshawar Peshawar</t>
  </si>
  <si>
    <t>Multi ref PUM-A - L / White (x1), ADI-Trouser Tri strip - M / Navy Blue (x1), ADI-Trouser Tri strip - M / Black (x1)</t>
  </si>
  <si>
    <t>TR31232</t>
  </si>
  <si>
    <t>Aamir Ali Halepoto</t>
  </si>
  <si>
    <t>House # A-37/2, Phase 2 Princetown, Qasimabad, Hyderabad, Sindh. Hyderabad</t>
  </si>
  <si>
    <t>Multi ref PUM-A - L / White (x1), ADI Ref Stripes - L / Black (x1)</t>
  </si>
  <si>
    <t>TR31233</t>
  </si>
  <si>
    <t>ali ahsan (Umair order ) important</t>
  </si>
  <si>
    <t>dispatch through najaf Lahore</t>
  </si>
  <si>
    <t>delivery via local BUS</t>
  </si>
  <si>
    <t>Tipping Crew - XL / Black (x1), A | X Embroidery LOGO - XL / Bottle Green (x1), (Premium) Italian Texture Polo - Xl / Purple (x1), ownstyle bill (2 shirts 2 trouser ) (x1), ADI Multi Ref Stripes - XL / Gray (x1)</t>
  </si>
  <si>
    <t>TR31234</t>
  </si>
  <si>
    <t>Humza Ali Ali</t>
  </si>
  <si>
    <t>Zia Store, Plot 1-B, Block 6, Liaqatabad near Qadri Nalli Biryani Karachi</t>
  </si>
  <si>
    <t>ADI - EMBOSSED LOGO - XL / Black (x1), ADI - EMBOSSED LOGO - XL / Sky (x1)</t>
  </si>
  <si>
    <t>TR31235</t>
  </si>
  <si>
    <t>ADI - EMBOSSED LOGO - M / White (x1), ADI - EMBOSSED LOGO - M / Black (x1)</t>
  </si>
  <si>
    <t>TR31236</t>
  </si>
  <si>
    <t>Shahzeb Kumbhar</t>
  </si>
  <si>
    <t>District badin city kadhan ali bandar road Kadhan</t>
  </si>
  <si>
    <t>Kadhan</t>
  </si>
  <si>
    <t>TR31237</t>
  </si>
  <si>
    <t>Umair Amjad</t>
  </si>
  <si>
    <t>148-d, Awt Phase 1 Lahore</t>
  </si>
  <si>
    <t>Please cancel it...</t>
  </si>
  <si>
    <t>TR31238</t>
  </si>
  <si>
    <t>Abdul razzaq Mian</t>
  </si>
  <si>
    <t>Mian Shadi Cotton Factory Mamonkanjan Tensile Tandlianwala District Faisalabad Faisalabad</t>
  </si>
  <si>
    <t>(Premium) Italian Texture Polo - 2Xl / Sky (x1)</t>
  </si>
  <si>
    <t>TR31239</t>
  </si>
  <si>
    <t>Sohaib Saeed</t>
  </si>
  <si>
    <t>A-282 Sector 11b North karachi near babul islam masjid, Karachi Karachi</t>
  </si>
  <si>
    <t>A | X Embroidery LOGO - L / American Blue (x1), A | X Embroidery LOGO - L / Bottle Green (x1)</t>
  </si>
  <si>
    <t>TR31240</t>
  </si>
  <si>
    <t>TR31241</t>
  </si>
  <si>
    <t xml:space="preserve">confrm on call </t>
  </si>
  <si>
    <t>ADI-Trouser Tri strip - L / Navy Blue (x1), ADI-Trouser Tri strip - L / Grey (x1), Imported Scoba Executive Nik Tro - L / Gray (x1), Tipping Crew - L / White (x1), Tipping Crew - L / Black (x1)</t>
  </si>
  <si>
    <t>TR31242</t>
  </si>
  <si>
    <t>TR31243</t>
  </si>
  <si>
    <t>ADI - EMBOSSED LOGO - L / Olive( Commando Green) (x1)</t>
  </si>
  <si>
    <t>TR31244</t>
  </si>
  <si>
    <t>Zunnurain Syed</t>
  </si>
  <si>
    <t>H#127, St#13, Abdullah Garden, Chak Shehzad Islamabad</t>
  </si>
  <si>
    <t>ADI - EMBOSSED LOGO - M / Black (x1), ADI - EMBOSSED LOGO - M / White (x1)</t>
  </si>
  <si>
    <t>TR31245</t>
  </si>
  <si>
    <t>: Ayesha Nadeem : Ayesha Nadeem</t>
  </si>
  <si>
    <t>+923008602565</t>
  </si>
  <si>
    <t>77 Nadeem agri engineering near railway crossing. Sargodha Sargodha</t>
  </si>
  <si>
    <t xml:space="preserve">whatsup paid parcel haa
</t>
  </si>
  <si>
    <t>Hussain Hussain</t>
  </si>
  <si>
    <t>+923368333234</t>
  </si>
  <si>
    <t>: House no 9, Haroon Street, Banigala, Islamabad Islamabad</t>
  </si>
  <si>
    <t>TR31247</t>
  </si>
  <si>
    <t>Sajid Ahmad</t>
  </si>
  <si>
    <t>Mohallah Alisherzai near Azam Chishti Masjid Pawaka Peshawar</t>
  </si>
  <si>
    <t>confirm .</t>
  </si>
  <si>
    <t>LTC Shahzad Inayat LTC Shahzad Inayat</t>
  </si>
  <si>
    <t>+923334822844</t>
  </si>
  <si>
    <t>11 Med Regt Arty  Mangla Cantt Mangla Cantt</t>
  </si>
  <si>
    <t>Mangla Cantt</t>
  </si>
  <si>
    <t xml:space="preserve">whatsup paid parcel haa </t>
  </si>
  <si>
    <t>A | X Embroidery LOGO - M / American Blue (x1), A | X Embroidery LOGO - M / White (x1)</t>
  </si>
  <si>
    <t>in wp 
 | 💰 COD Rec: 2026-04-17 | Ref: CPR-RAGFP443199 | Amt: 4998</t>
  </si>
  <si>
    <t>Adi Winter Trouser - Xl / Blue (x1), A | X Embroidery LOGO - 2XL / Navy (x1), A | X Embroidery LOGO - 2XL / White (x1)</t>
  </si>
  <si>
    <t>TR31250</t>
  </si>
  <si>
    <t>Mian Shoaib</t>
  </si>
  <si>
    <t>New Lack Hardware And Paint Store Opposite bldia office Taxila</t>
  </si>
  <si>
    <t>TR31251</t>
  </si>
  <si>
    <t>+923079893932</t>
  </si>
  <si>
    <t>Shahdara post office street no 2 lasani electrition shop Shahdara Lahore</t>
  </si>
  <si>
    <t>TR31252</t>
  </si>
  <si>
    <t>yaqoob anjum</t>
  </si>
  <si>
    <t>254B Punjab Co Operative Housing Society Ghazi Road Lahore Cantt Lahore</t>
  </si>
  <si>
    <t xml:space="preserve">TR29657 exchnage 2199 previous parcel ka paid haa </t>
  </si>
  <si>
    <t>A | X Embroidery LOGO - XL / Navy (x1), A | X Embroidery LOGO - XL / American Blue (x1)</t>
  </si>
  <si>
    <t>TR31253</t>
  </si>
  <si>
    <t>Wajahat Awan Wajahat Awan</t>
  </si>
  <si>
    <t>+923305413103</t>
  </si>
  <si>
    <t>Bilal Medical Store Opposite GPO Talagang Distt Chakwal Talagang</t>
  </si>
  <si>
    <t>Tipping Crew - M / Black (x1), Tipping Crew - M / White (x1), ADI-Trouser Tri strip - M / Navy Blue (x1), ADI-Trouser Tri strip - M / Grey (x1)</t>
  </si>
  <si>
    <t>TR31254</t>
  </si>
  <si>
    <t>Samiullah Ganwas</t>
  </si>
  <si>
    <t>Aziz pansar store nasirabad Nasirabad district kambar shahdadkot</t>
  </si>
  <si>
    <t>Nasirabad district kambar shahdadkot</t>
  </si>
  <si>
    <t>ADI Ref Stripes - 2XL / White (x1)</t>
  </si>
  <si>
    <t>TR31255</t>
  </si>
  <si>
    <t>Rabshan Nazif</t>
  </si>
  <si>
    <t>11 Office , Awan tower adjacent to mercy hospital thekal peshawar Peshawar</t>
  </si>
  <si>
    <t>TR31256</t>
  </si>
  <si>
    <t>Rizwan Zaki</t>
  </si>
  <si>
    <t>FL-1 Karachi</t>
  </si>
  <si>
    <t>ADI Multi Ref Stripes - 3XL / Maroon (x1), ADI Multi Ref Stripes - 3XL / Navy Blue (x1), ADI Multi Ref Stripes - 3XL / White (x1)</t>
  </si>
  <si>
    <t>TR31257</t>
  </si>
  <si>
    <t>Chaudary Shabi</t>
  </si>
  <si>
    <t>Punjab Housing Society Adyala Road Rawalpindi</t>
  </si>
  <si>
    <t>TR31258</t>
  </si>
  <si>
    <t>Anss Rauf</t>
  </si>
  <si>
    <t>No 239-house Sahiwal</t>
  </si>
  <si>
    <t>ADI Multi Ref Stripes - M / Navy Blue (x1), ADI Multi Ref Stripes - M / White (x1)</t>
  </si>
  <si>
    <t>TR31259</t>
  </si>
  <si>
    <t>Mirza Waseem</t>
  </si>
  <si>
    <t>Shah-e- hamdain milk shop doultala Doultala</t>
  </si>
  <si>
    <t>Doultala</t>
  </si>
  <si>
    <t xml:space="preserve">confirm  call pick ker ka jawab nahi da raha </t>
  </si>
  <si>
    <t>TR31260</t>
  </si>
  <si>
    <t>Waqas Tanveer</t>
  </si>
  <si>
    <t>House Number 122 Vally Homes Near Mirpur Apartments Mirpur Azad Kashmir Mirpur Azad Kashmir</t>
  </si>
  <si>
    <t>ADI-Trouser Tri strip - XL / Grey (x1), A | X Embroidery LOGO - 2XL / White (x1)</t>
  </si>
  <si>
    <t>TR31261</t>
  </si>
  <si>
    <t>+923036793564</t>
  </si>
  <si>
    <t xml:space="preserve">already ordered in black color X2 
black required </t>
  </si>
  <si>
    <t>ADI-Trouser Tri strip - L / Navy Blue (x2)</t>
  </si>
  <si>
    <t>TR31262</t>
  </si>
  <si>
    <t>Chuadhry Shahbaz</t>
  </si>
  <si>
    <t>Revive pharmacy near dewan mall odharwal Chakwal</t>
  </si>
  <si>
    <t>TR31263</t>
  </si>
  <si>
    <t>zeeshan haider</t>
  </si>
  <si>
    <t>Gondal street opposite fazal cloth mill jhang road muzaffargarh Muzaffargarh</t>
  </si>
  <si>
    <t>TR31264</t>
  </si>
  <si>
    <t>House No: N-339, Block 12, Gulistan-e-Johar Karachi</t>
  </si>
  <si>
    <t>Multi ref PUM-A - L / Black (x1), Multi ref PUM-A - L / White (x1), Multi ref PUM-A - M / Black (x1), Multi ref PUM-A - M / White (x1)</t>
  </si>
  <si>
    <t>TR31265</t>
  </si>
  <si>
    <t xml:space="preserve">alow to open </t>
  </si>
  <si>
    <t>TR31266</t>
  </si>
  <si>
    <t>Wasiuddin Ahmed Wasiuddin Ahmed</t>
  </si>
  <si>
    <t>+923062780557</t>
  </si>
  <si>
    <t>House No. R-246 Pink Residency, Gulistan e Jauhar Block 8A, Karachi. karachi</t>
  </si>
  <si>
    <t>ADI - EMBOSSED LOGO - L / White (x1), ADI - EMBOSSED LOGO - L / Mustard (x1)</t>
  </si>
  <si>
    <t>TR31267</t>
  </si>
  <si>
    <t>Wahab Subzwari Wahab Subzwari</t>
  </si>
  <si>
    <t>+923222101758</t>
  </si>
  <si>
    <t>Apartment 59 Tower 23 Precinct 19 Bahria Town Karachi karachi</t>
  </si>
  <si>
    <t>Shahid Azeem</t>
  </si>
  <si>
    <t>Ittehad Chemicals Ltd, 39-Empress Road, Lahore. Lahore</t>
  </si>
  <si>
    <t xml:space="preserve">
 | 💰 COD Rec: 2026-04-17 | Ref: CPR-RAGFP443199 | Amt: 3149</t>
  </si>
  <si>
    <t>TR31269</t>
  </si>
  <si>
    <t>Talha Waraich</t>
  </si>
  <si>
    <t>Street 41, G 10/4 G-10 Islamabad</t>
  </si>
  <si>
    <t>A | X Embroidery LOGO - XL / Olive (x1), A | X Embroidery LOGO - XL / Black (x1), A | X Embroidery LOGO - XL / Pista (x1), A | X Embroidery LOGO - XL / American Blue (x1)</t>
  </si>
  <si>
    <t>TR31270</t>
  </si>
  <si>
    <t>Anas Khan Awan</t>
  </si>
  <si>
    <t>Saif associates head office town residency building University town peshawar</t>
  </si>
  <si>
    <t>University town peshawar</t>
  </si>
  <si>
    <t>TR31271</t>
  </si>
  <si>
    <t>M. Akhlaq M. Akhlaq</t>
  </si>
  <si>
    <t>+923244263668</t>
  </si>
  <si>
    <t>Dera zulfiqar bhatti near net sol new air port road lhr Lahore</t>
  </si>
  <si>
    <t xml:space="preserve">delievry advance haa  open to allow </t>
  </si>
  <si>
    <t>ADI Multi Ref Stripes - L / White (x1), ADI-Trouser Tri strip - L / Navy Blue (x1)</t>
  </si>
  <si>
    <t>TR31272</t>
  </si>
  <si>
    <t>ADI Multi Ref Stripes - 4XL / Black (x2)</t>
  </si>
  <si>
    <t>TR31273</t>
  </si>
  <si>
    <t>local@shop01</t>
  </si>
  <si>
    <t>paid order local purchased 
previous order id TR30582</t>
  </si>
  <si>
    <t>BIG size POLO pk (x4), BIG SIZE TROUSER JERSSY (x2)</t>
  </si>
  <si>
    <t>TR31274</t>
  </si>
  <si>
    <t>Muhammad Zia Ur Rehman</t>
  </si>
  <si>
    <t>52S-Block B statelife housing society lahore Lahore</t>
  </si>
  <si>
    <t>TR31275</t>
  </si>
  <si>
    <t>Usama Malik</t>
  </si>
  <si>
    <t>+923354114330</t>
  </si>
  <si>
    <t>190 Ahmed Yar Block Mustafa Town Wahdat Road Lahore Lahore</t>
  </si>
  <si>
    <t>ADI - EMBOSSED LOGO - XL / Sky (x1), ADI - EMBOSSED LOGO - XL / Navy blue (x1)</t>
  </si>
  <si>
    <t>TR31276</t>
  </si>
  <si>
    <t>Saqib zaheer Zaheer ahmad</t>
  </si>
  <si>
    <t>Health zone pharmacy harppa station dist sahiwal Dist Sahiwal</t>
  </si>
  <si>
    <t>Dist Sahiwal</t>
  </si>
  <si>
    <t>TR31277</t>
  </si>
  <si>
    <t>Ittehad Chemicals Ltd, 39-Empress Road, Lahore LAHORE</t>
  </si>
  <si>
    <t>ADI Multi Ref Stripes - M / White (x1), ADI Multi Ref Stripes - M / Navy Blue (x1), ADI-Trouser Tri strip - L / Navy Blue (x1)</t>
  </si>
  <si>
    <t>TR31278</t>
  </si>
  <si>
    <t>TR31279</t>
  </si>
  <si>
    <t>ADI - EMBOSSED LOGO - XL / Sky (x1), ADI - EMBOSSED LOGO - XL / Black (x1)</t>
  </si>
  <si>
    <t>TR31280</t>
  </si>
  <si>
    <t xml:space="preserve">TR31040exchnage only dc lagani ha </t>
  </si>
  <si>
    <t>ADI - EMBOSSED LOGO - L / Sky (x1), ADI - EMBOSSED LOGO - L / Maroon (x1)</t>
  </si>
  <si>
    <t>TR31281</t>
  </si>
  <si>
    <t>M Imran M Imran</t>
  </si>
  <si>
    <t>+923006531770</t>
  </si>
  <si>
    <t>Munciple Colony Jaranwala. Jaranwala.</t>
  </si>
  <si>
    <t>Jaranwala.</t>
  </si>
  <si>
    <t>tcs / lcs   delivery advance haa 300</t>
  </si>
  <si>
    <t>TR31282</t>
  </si>
  <si>
    <t>Warda Malik</t>
  </si>
  <si>
    <t>408 eden lane 2 lahore Lahore</t>
  </si>
  <si>
    <t>TR31283</t>
  </si>
  <si>
    <t>Sadam Hussain Khuhawar</t>
  </si>
  <si>
    <t>Basic RL Crew- Cotton - M / Dark grey (x1), Basic RL Crew- Cotton - M / light chocolate (x1)</t>
  </si>
  <si>
    <t>TR31284</t>
  </si>
  <si>
    <t>طارق احمد منیر سیال</t>
  </si>
  <si>
    <t>+923435550560</t>
  </si>
  <si>
    <t>ابراھیم ٹریول نزد پاسپورٹ آفس کوٹلی آزاد کشمیر Kotli (ajk)</t>
  </si>
  <si>
    <t>Kotli (ajk)</t>
  </si>
  <si>
    <t>TR31285</t>
  </si>
  <si>
    <t>Arslan Waris</t>
  </si>
  <si>
    <t>+923057327760</t>
  </si>
  <si>
    <t>Bin sohan cash &amp; carry near bhatti farm hier bedian road lahore Lahore</t>
  </si>
  <si>
    <t>A | X Embroidery LOGO - XL / American Blue (x1), A | X Embroidery LOGO - XL / Olive (x1)</t>
  </si>
  <si>
    <t>TR31286</t>
  </si>
  <si>
    <t>Abdullah Masood</t>
  </si>
  <si>
    <t>Bharia town phase 2 street 46 house number 778 Rawalpindi</t>
  </si>
  <si>
    <t>TR31287</t>
  </si>
  <si>
    <t>Raja Sabih</t>
  </si>
  <si>
    <t>Al shifa desi dua khana guliana road kharian Kharian</t>
  </si>
  <si>
    <t>NIK- Ref LOGO - 3XL / black (x1), NIK- Ref LOGO - 3XL / white (x1)</t>
  </si>
  <si>
    <t>TR31288</t>
  </si>
  <si>
    <t>Zain Ul Abdin</t>
  </si>
  <si>
    <t>185-C, Main Broadway Commercial, DHA Phase 8, Lahore Lahore</t>
  </si>
  <si>
    <t>ADI Multi Ref Stripes - 3XL / White (x4)</t>
  </si>
  <si>
    <t>TR31289</t>
  </si>
  <si>
    <t>Sakhawat Ali</t>
  </si>
  <si>
    <t>+923325070069</t>
  </si>
  <si>
    <t>Saadi street 114 Mangral Town Rawalpindi Near Fazaia Colony Rawalpindi Rawalpindi</t>
  </si>
  <si>
    <t>Basic RL Crew- Cotton - L / Black (x1), Basic RL Crew- Cotton - L / Turkish blue (x1)</t>
  </si>
  <si>
    <t>TR31290</t>
  </si>
  <si>
    <t>Habib Mushtaq</t>
  </si>
  <si>
    <t>Akbar Road Sabazi Mandi Okara Okara</t>
  </si>
  <si>
    <t>TR31291</t>
  </si>
  <si>
    <t>TR31292</t>
  </si>
  <si>
    <t>Fawad ullah Fawad ullah</t>
  </si>
  <si>
    <t>+923130505251</t>
  </si>
  <si>
    <t>Hammad sports peshawar opposite to gymkhana ground . Government college peshawar peshawar</t>
  </si>
  <si>
    <t xml:space="preserve"> paid parcel haa whatsup </t>
  </si>
  <si>
    <t>ADI Multi Ref Stripes - XL / White (x1), ADI Multi Ref Stripes - XL / Black (x1), Multi ref PUM-A - XL / White (x1)</t>
  </si>
  <si>
    <t>TR31293</t>
  </si>
  <si>
    <t>پنجاب پولیس ساجد علی si</t>
  </si>
  <si>
    <t>+923000351737</t>
  </si>
  <si>
    <t>ساکن محلہ سعید نگر  خانقاہ ڈوگراں روڈ نزد برف والا کاخانہ صفدراباد ضلع شیخو پورہ شیخو پورہ</t>
  </si>
  <si>
    <t>شیخو پورہ</t>
  </si>
  <si>
    <t>TR31294</t>
  </si>
  <si>
    <t>Aftab Ahmed</t>
  </si>
  <si>
    <t>+923079122765</t>
  </si>
  <si>
    <t>District Attock thseel hazro ghour ghushti Hazro Attock</t>
  </si>
  <si>
    <t>Hazro Attock</t>
  </si>
  <si>
    <t>TR31295</t>
  </si>
  <si>
    <t>Al Shifa Hospital Destrict Bagh Azad Kashmir Pakistan Bagh</t>
  </si>
  <si>
    <t>TR31296</t>
  </si>
  <si>
    <t>Barish Khan</t>
  </si>
  <si>
    <t>Gat1, Mr1, B Block. Street 1, Raees Center, B17, Islamabad Islamabad</t>
  </si>
  <si>
    <t>TR31297</t>
  </si>
  <si>
    <t>Qamar Khan</t>
  </si>
  <si>
    <t>Faisal house Lahore Cantt</t>
  </si>
  <si>
    <t>TR31298</t>
  </si>
  <si>
    <t>Nawaz Raza</t>
  </si>
  <si>
    <t>Kot khawaja sheed street 7 house no 8  Lahore Lahore</t>
  </si>
  <si>
    <t>TR31299</t>
  </si>
  <si>
    <t>Mr Saqlain 03325003319</t>
  </si>
  <si>
    <t>Line D house no 17 Abu Bakar Block bahria phase 8 Rawalpindi Rawalpindi</t>
  </si>
  <si>
    <t>A | X Embroidery LOGO - M / Bottle Green (x1), A | X Embroidery LOGO - M / Biscuit (x1)</t>
  </si>
  <si>
    <t>TR31300</t>
  </si>
  <si>
    <t>Akbar Khilji</t>
  </si>
  <si>
    <t>Shop No 24 Iqbal Market Near Habib Cold Storage Soldier Bazar Karachi Karachi</t>
  </si>
  <si>
    <t>TR31301</t>
  </si>
  <si>
    <t>Adnan Habib</t>
  </si>
  <si>
    <t>+923313311696</t>
  </si>
  <si>
    <t>House no 8/379 Mohallah Islam Pura Rang pura Road Opposite Police station Sialkot Sialkot</t>
  </si>
  <si>
    <t>TR31302</t>
  </si>
  <si>
    <t>Anjum Rauf</t>
  </si>
  <si>
    <t>294-neelum.block Allama Iqbal Town Lahore Lahore</t>
  </si>
  <si>
    <t>TR31303</t>
  </si>
  <si>
    <t>Abbas Ali</t>
  </si>
  <si>
    <t>Fazal mall near machli Chowk Gujrat Gujrat</t>
  </si>
  <si>
    <t>Multi ref PUM-A - M / White (x2)</t>
  </si>
  <si>
    <t>TR31304</t>
  </si>
  <si>
    <t>District Bajaur Tahsil Salarzai Peshawar</t>
  </si>
  <si>
    <t>TR31305</t>
  </si>
  <si>
    <t>Saram Bilal</t>
  </si>
  <si>
    <t>146/B furniture bazar Sahiwal Sahiwal</t>
  </si>
  <si>
    <t>ADI Multi Ref Stripes - L / Gray (x1), ADI Multi Ref Stripes - L / Black (x1)</t>
  </si>
  <si>
    <t>TR31306</t>
  </si>
  <si>
    <t>Umar Malik</t>
  </si>
  <si>
    <t>H#10 D, street #6, lane # 1, Rasool Town, Gulraiz Phase 2 Rawalpindi</t>
  </si>
  <si>
    <t>Multi ref PUM-A - L / White (x1), Basic RL Crew- Cotton - XL / Royal Mid blue (x1), Basic RL Crew- Cotton - XL / Black (x1), Basic RL Crew- Cotton - XL / Mustard (x1)</t>
  </si>
  <si>
    <t>TR31307</t>
  </si>
  <si>
    <t>Taif Abbasi</t>
  </si>
  <si>
    <t>Gori town phase 4a street 26 house no 705 islamabad Islamabad</t>
  </si>
  <si>
    <t>TR31308</t>
  </si>
  <si>
    <t>Waqas Ashraf</t>
  </si>
  <si>
    <t>123 B,Jasmin block Sector C Bahria town LHR Lahore</t>
  </si>
  <si>
    <t>TR31309</t>
  </si>
  <si>
    <t>House #70 D Block Lahore press club housing society harbanspura Lahire</t>
  </si>
  <si>
    <t>Lahire</t>
  </si>
  <si>
    <t>TR31310</t>
  </si>
  <si>
    <t>Rana Usman</t>
  </si>
  <si>
    <t>+923117129750</t>
  </si>
  <si>
    <t>Kalaske Gujranwala</t>
  </si>
  <si>
    <t>TR31311</t>
  </si>
  <si>
    <t>Saddiq Khan</t>
  </si>
  <si>
    <t>Ittifaq 2 Total filling station near dhq hospital gojra road Jhang Jhang</t>
  </si>
  <si>
    <t>Multi ref PUM-A - 4XL / Black (x1), Basic RL Crew- Plus Size - 3XL / Dark Grey (x1)</t>
  </si>
  <si>
    <t>TR31312</t>
  </si>
  <si>
    <t>Saima Qaiser</t>
  </si>
  <si>
    <t>Mohalla sher shahi, near adda Tam Tam, jalalpur Jattan Gujrat Gujrat</t>
  </si>
  <si>
    <t>TR31313</t>
  </si>
  <si>
    <t>Abdul Sattar</t>
  </si>
  <si>
    <t>House 296D Rahwali Cantt Gujranwala</t>
  </si>
  <si>
    <t>TR31314</t>
  </si>
  <si>
    <t>Temoor ch Ch</t>
  </si>
  <si>
    <t>K 603 Street No 21 Phase 6 Lahore Pakistan Lahore</t>
  </si>
  <si>
    <t>TR31315</t>
  </si>
  <si>
    <t>TR31316</t>
  </si>
  <si>
    <t>Muhammad Maaz</t>
  </si>
  <si>
    <t>+923029348833</t>
  </si>
  <si>
    <t>ADI Multi Ref Stripes - M / Black (x1), ADI Multi Ref Stripes - M / White (x1)</t>
  </si>
  <si>
    <t>TR31317</t>
  </si>
  <si>
    <t>Karbath Lahore</t>
  </si>
  <si>
    <t>Multi ref PUM-A - M / Black (x2), Multi ref PUM-A - M / White (x2)</t>
  </si>
  <si>
    <t>TR31318</t>
  </si>
  <si>
    <t>Quratulain Aini</t>
  </si>
  <si>
    <t>Ent department,  CMH Abbottabad.  Abbottabad road Abbottabad</t>
  </si>
  <si>
    <t>ADI Multi Ref Stripes - M / Maroon (x1)</t>
  </si>
  <si>
    <t>TR31319</t>
  </si>
  <si>
    <t>Khalid Ismaeel</t>
  </si>
  <si>
    <t>Shada Lund D G Khan Punjab Shadan Lound</t>
  </si>
  <si>
    <t>Shadan Lound</t>
  </si>
  <si>
    <t>TR31320</t>
  </si>
  <si>
    <t>Ths kharian district Gujrat Dinga</t>
  </si>
  <si>
    <t>TR31321</t>
  </si>
  <si>
    <t>Muhammad Zaid Ilyas</t>
  </si>
  <si>
    <t>4d-urfi Centre Bank Alfalah F-10 Markaz Islamabad. Islamabad</t>
  </si>
  <si>
    <t>TR31322</t>
  </si>
  <si>
    <t>Adnan Moin</t>
  </si>
  <si>
    <t>Area C 1, House# 641, Landhi # 2, Karachi. Karachi</t>
  </si>
  <si>
    <t>TR31323</t>
  </si>
  <si>
    <t>Abas khan Bahrain Swat</t>
  </si>
  <si>
    <t>Bahrain Swat</t>
  </si>
  <si>
    <t>TR31324</t>
  </si>
  <si>
    <t>Affan Waheed</t>
  </si>
  <si>
    <t>The Logistics International suite 314 2nd floor al khalil centre kashmir road Sialkot</t>
  </si>
  <si>
    <t>TR31325</t>
  </si>
  <si>
    <t>Adnan khadim</t>
  </si>
  <si>
    <t>Madina Air Travels Murarian Chowk Kotla Arab Ali Khan Tehsil Kharian District Gujrat Gujrat</t>
  </si>
  <si>
    <t>Adi- Hoodie - XL / Black (x1), Multi ref PUM-A - L / Black (x1), Multi ref PUM-A - L / White (x1)</t>
  </si>
  <si>
    <t>TR31326</t>
  </si>
  <si>
    <t>Ahmad Baig</t>
  </si>
  <si>
    <t>408 N Sabzazar Lahore</t>
  </si>
  <si>
    <t>TR31327</t>
  </si>
  <si>
    <t>Muhammad Zaheer</t>
  </si>
  <si>
    <t>St 7 house num 13 bilal town khana dak islamabad Islamabad</t>
  </si>
  <si>
    <t>Date Shortcuts</t>
  </si>
  <si>
    <t>Delivery Status Options</t>
  </si>
  <si>
    <t>View Name</t>
  </si>
  <si>
    <t>Preset</t>
  </si>
  <si>
    <t>Start Date</t>
  </si>
  <si>
    <t>End Date</t>
  </si>
  <si>
    <t>Keyword</t>
  </si>
  <si>
    <t>Live Display Name</t>
  </si>
  <si>
    <t>Sort By</t>
  </si>
  <si>
    <t>Saved Headers</t>
  </si>
  <si>
    <t>Today</t>
  </si>
  <si>
    <t>All Statuses</t>
  </si>
  <si>
    <t>Yesterday</t>
  </si>
  <si>
    <t>[NEEDS ADJUSTMENT]</t>
  </si>
  <si>
    <t>Newest First</t>
  </si>
  <si>
    <t>Last 7 Days</t>
  </si>
  <si>
    <t>[RUN SYSTEM AUDIT]</t>
  </si>
  <si>
    <t>Oldest First</t>
  </si>
  <si>
    <t>Last 30 Days</t>
  </si>
  <si>
    <t>[ACTIVE PIPELINE]</t>
  </si>
  <si>
    <t>Highest Price</t>
  </si>
  <si>
    <t>This Month</t>
  </si>
  <si>
    <t>[GHOST PIPELINE]</t>
  </si>
  <si>
    <t>Lowest Price</t>
  </si>
  <si>
    <t>Last Month</t>
  </si>
  <si>
    <t>This Year</t>
  </si>
  <si>
    <t>Custom Range</t>
  </si>
  <si>
    <t>Unbooked, uncollected, Un-Assigned By Me</t>
  </si>
  <si>
    <t>Return received at Insta Hub, Return In-Transit, Delivery unsuccessful</t>
  </si>
  <si>
    <t>umair</t>
  </si>
  <si>
    <t>⚡ umair</t>
  </si>
  <si>
    <t>Delivery Under Review, Attempted</t>
  </si>
  <si>
    <t>Fake</t>
  </si>
  <si>
    <t>⚡ Fake</t>
  </si>
  <si>
    <t>["Order ID","Date","Customer Name","Phone","City","Price","Paid Amount","Pending Balance","Delivery Status","Courier","Tracking Number","Refrance Number","notes"]</t>
  </si>
  <si>
    <t>Adj last month</t>
  </si>
  <si>
    <t>adjust</t>
  </si>
  <si>
    <t>⚡ Adj last month</t>
  </si>
  <si>
    <t>["Order ID","Date","Customer Name","Phone","City","Price","Paid Amount","Pending Balance","Delivery Status","Courier","Tracking Number","Refrance Number","notes","Payment Ref"]</t>
  </si>
  <si>
    <t>Month return</t>
  </si>
  <si>
    <t>⚡ Month return</t>
  </si>
  <si>
    <t>["Order ID","Date","Customer Name","Phone","City","Price","Delivery Status","Courier","Tracking Number","Refrance Number","Courier Fee","notes"]</t>
  </si>
  <si>
    <t>DEC</t>
  </si>
  <si>
    <t>XLOOKUP(</t>
  </si>
  <si>
    <t>$A2,</t>
  </si>
  <si>
    <t>XLOOKUP("Tracking Number", Orders!$1:$1, Orders!$A:$ZZ),</t>
  </si>
  <si>
    <t>XLOOKUP("Courier Fee", Orders!$1:$1, Orders!$A:$ZZ),</t>
  </si>
  <si>
    <t>Not Found</t>
  </si>
  <si>
    <t>)</t>
  </si>
  <si>
    <t>Type</t>
  </si>
  <si>
    <t>Total Expense</t>
  </si>
  <si>
    <t>Ref (File)</t>
  </si>
  <si>
    <t>jjhdsjfhs</t>
  </si>
  <si>
    <t>Raw Address</t>
  </si>
  <si>
    <t>Cleaned Address</t>
  </si>
  <si>
    <t>City Match</t>
  </si>
  <si>
    <t>History</t>
  </si>
  <si>
    <t>PostEx Note</t>
  </si>
  <si>
    <t>Sync Status</t>
  </si>
  <si>
    <t>WhatsApp Group</t>
  </si>
  <si>
    <t>📝 Shopify Note</t>
  </si>
  <si>
    <t>👥 Team Instructions</t>
  </si>
  <si>
    <t>delivery under review</t>
  </si>
  <si>
    <t>Request Time</t>
  </si>
  <si>
    <t>Latest Status</t>
  </si>
  <si>
    <t>Verdict (The Truth)</t>
  </si>
  <si>
    <t>Time-To-Fail (Duration)</t>
  </si>
  <si>
    <t>Evidence (Enroute -&gt; Attempt)</t>
  </si>
  <si>
    <t>⚙️ SETTINGS:</t>
  </si>
  <si>
    <t>🛒 SHOPIFY ACTION:</t>
  </si>
  <si>
    <t>Update Internal ERP?</t>
  </si>
  <si>
    <t>Restock &amp; Refund 0.00?</t>
  </si>
  <si>
    <t>TRACKING NUMBER (Scan Here)</t>
  </si>
  <si>
    <t>ERP STATUS</t>
  </si>
  <si>
    <t>SHOPIFY STATUS</t>
  </si>
  <si>
    <t>NOTES / ERRORS</t>
  </si>
  <si>
    <t>FILTER MODE:</t>
  </si>
  <si>
    <t>Focus Mode</t>
  </si>
  <si>
    <t>TARGET AGE:</t>
  </si>
  <si>
    <t>Day 7+</t>
  </si>
  <si>
    <t>MSG STRATEGY:</t>
  </si>
  <si>
    <t>✅ Displaying: 188 Orders</t>
  </si>
  <si>
    <t>Day 0
14</t>
  </si>
  <si>
    <t>Day 1
15</t>
  </si>
  <si>
    <t>Day 2
1</t>
  </si>
  <si>
    <t>Day 3
0</t>
  </si>
  <si>
    <t>Day 4
7</t>
  </si>
  <si>
    <t>Day 5
8</t>
  </si>
  <si>
    <t>Day 6
17</t>
  </si>
  <si>
    <t>Day 7+
188</t>
  </si>
  <si>
    <t>⏳ Days</t>
  </si>
  <si>
    <t>🖼️ Item</t>
  </si>
  <si>
    <t>WhatsApp (Click)</t>
  </si>
  <si>
    <t>Shopify Link</t>
  </si>
  <si>
    <t>Current Status</t>
  </si>
  <si>
    <t>Shopify Live Tags</t>
  </si>
  <si>
    <t>✅ Order Confirmed</t>
  </si>
  <si>
    <t>❌ Order Canceled</t>
  </si>
  <si>
    <t>⚠ NO WhatsApp</t>
  </si>
  <si>
    <t>LHE, ⚠ Confirmation Pending</t>
  </si>
  <si>
    <t>⚠ Confirmation Pending</t>
  </si>
  <si>
    <t>LHE</t>
  </si>
  <si>
    <t>No Img</t>
  </si>
  <si>
    <t>Error</t>
  </si>
  <si>
    <t>Ready to Book</t>
  </si>
  <si>
    <t>Track</t>
  </si>
  <si>
    <t>Diff</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</si>
</sst>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HH:mm"/>
    <numFmt numFmtId="165" formatCode="m/d/yy"/>
    <numFmt numFmtId="166" formatCode="m/d/yyyy"/>
    <numFmt numFmtId="167" formatCode="m-d"/>
    <numFmt numFmtId="168" formatCode="mmm d"/>
    <numFmt numFmtId="169" formatCode="mmmm d"/>
    <numFmt numFmtId="170" formatCode="m/d/yyyy h:mm:ss"/>
    <numFmt numFmtId="171" formatCode="yyyy-mm-dd"/>
    <numFmt numFmtId="172" formatCode="d mmm"/>
  </numFmts>
  <fonts count="21">
    <font>
      <sz val="10.0"/>
      <color rgb="FF000000"/>
      <name val="Arial"/>
      <scheme val="minor"/>
    </font>
    <font>
      <b/>
      <color rgb="FFFFFFFF"/>
      <name val="Arial"/>
      <scheme val="minor"/>
    </font>
    <font>
      <color theme="1"/>
      <name val="Arial"/>
      <scheme val="minor"/>
    </font>
    <font>
      <u/>
      <color rgb="FF0000FF"/>
    </font>
    <font>
      <b/>
      <color theme="1"/>
      <name val="Arial"/>
      <scheme val="minor"/>
    </font>
    <font>
      <color theme="1"/>
      <name val="Arial"/>
    </font>
    <font>
      <sz val="12.0"/>
      <color rgb="FF212529"/>
      <name val="-apple-system"/>
    </font>
    <font>
      <b/>
      <color rgb="FF000000"/>
      <name val="Arial"/>
      <scheme val="minor"/>
    </font>
    <font>
      <u/>
      <color rgb="FF0000FF"/>
    </font>
    <font>
      <u/>
      <color rgb="FF0000FF"/>
    </font>
    <font>
      <b/>
      <sz val="11.0"/>
      <color theme="1"/>
      <name val="Calibri"/>
    </font>
    <font>
      <b/>
      <color theme="1"/>
      <name val="Arial"/>
    </font>
    <font>
      <sz val="11.0"/>
      <color theme="1"/>
      <name val="Arial"/>
    </font>
    <font>
      <sz val="11.0"/>
      <color theme="1"/>
      <name val="Calibri"/>
    </font>
    <font>
      <sz val="11.0"/>
      <color rgb="FF000000"/>
      <name val="Calibri"/>
    </font>
    <font>
      <u/>
      <color rgb="FF0000FF"/>
    </font>
    <font>
      <color rgb="FF303030"/>
      <name val="Inter"/>
    </font>
    <font>
      <color rgb="FF000000"/>
      <name val="Calibri"/>
    </font>
    <font>
      <color rgb="FF212529"/>
      <name val="&quot;Segoe UI&quot;"/>
    </font>
    <font>
      <color rgb="FFFF0000"/>
      <name val="Arial"/>
      <scheme val="minor"/>
    </font>
    <font>
      <i/>
      <sz val="8.0"/>
      <color theme="1"/>
      <name val="Arial"/>
      <scheme val="minor"/>
    </font>
  </fonts>
  <fills count="36">
    <fill>
      <patternFill patternType="none"/>
    </fill>
    <fill>
      <patternFill patternType="lightGray"/>
    </fill>
    <fill>
      <patternFill patternType="solid">
        <fgColor rgb="FF274E13"/>
        <bgColor rgb="FF274E13"/>
      </patternFill>
    </fill>
    <fill>
      <patternFill patternType="solid">
        <fgColor rgb="FFD9EAD3"/>
        <bgColor rgb="FFD9EAD3"/>
      </patternFill>
    </fill>
    <fill>
      <patternFill patternType="solid">
        <fgColor rgb="FFE6B8AF"/>
        <bgColor rgb="FFE6B8AF"/>
      </patternFill>
    </fill>
    <fill>
      <patternFill patternType="solid">
        <fgColor rgb="FFFCE5CD"/>
        <bgColor rgb="FFFCE5CD"/>
      </patternFill>
    </fill>
    <fill>
      <patternFill patternType="solid">
        <fgColor rgb="FFFF0000"/>
        <bgColor rgb="FFFF0000"/>
      </patternFill>
    </fill>
    <fill>
      <patternFill patternType="solid">
        <fgColor rgb="FFFFFFFF"/>
        <bgColor rgb="FFFFFFFF"/>
      </patternFill>
    </fill>
    <fill>
      <patternFill patternType="solid">
        <fgColor rgb="FFF4F4F4"/>
        <bgColor rgb="FFF4F4F4"/>
      </patternFill>
    </fill>
    <fill>
      <patternFill patternType="solid">
        <fgColor rgb="FFF4CCCC"/>
        <bgColor rgb="FFF4CCCC"/>
      </patternFill>
    </fill>
    <fill>
      <patternFill patternType="solid">
        <fgColor rgb="FFCFE2F3"/>
        <bgColor rgb="FFCFE2F3"/>
      </patternFill>
    </fill>
    <fill>
      <patternFill patternType="solid">
        <fgColor rgb="FFEA9999"/>
        <bgColor rgb="FFEA9999"/>
      </patternFill>
    </fill>
    <fill>
      <patternFill patternType="solid">
        <fgColor rgb="FFFFE599"/>
        <bgColor rgb="FFFFE599"/>
      </patternFill>
    </fill>
    <fill>
      <patternFill patternType="solid">
        <fgColor rgb="FF434343"/>
        <bgColor rgb="FF434343"/>
      </patternFill>
    </fill>
    <fill>
      <patternFill patternType="solid">
        <fgColor rgb="FFEFEFEF"/>
        <bgColor rgb="FFEFEFEF"/>
      </patternFill>
    </fill>
    <fill>
      <patternFill patternType="solid">
        <fgColor rgb="FFFFF2CC"/>
        <bgColor rgb="FFFFF2CC"/>
      </patternFill>
    </fill>
    <fill>
      <patternFill patternType="solid">
        <fgColor rgb="FF00FFFF"/>
        <bgColor rgb="FF00FFFF"/>
      </patternFill>
    </fill>
    <fill>
      <patternFill patternType="solid">
        <fgColor rgb="FF8064A2"/>
        <bgColor rgb="FF8064A2"/>
      </patternFill>
    </fill>
    <fill>
      <patternFill patternType="solid">
        <fgColor rgb="FFB4A7D6"/>
        <bgColor rgb="FFB4A7D6"/>
      </patternFill>
    </fill>
    <fill>
      <patternFill patternType="solid">
        <fgColor rgb="FFD0E0E3"/>
        <bgColor rgb="FFD0E0E3"/>
      </patternFill>
    </fill>
    <fill>
      <patternFill patternType="solid">
        <fgColor rgb="FFFFFF00"/>
        <bgColor rgb="FFFFFF00"/>
      </patternFill>
    </fill>
    <fill>
      <patternFill patternType="solid">
        <fgColor rgb="FFFF9900"/>
        <bgColor rgb="FFFF9900"/>
      </patternFill>
    </fill>
    <fill>
      <patternFill patternType="solid">
        <fgColor rgb="FFB6D7A8"/>
        <bgColor rgb="FFB6D7A8"/>
      </patternFill>
    </fill>
    <fill>
      <patternFill patternType="solid">
        <fgColor rgb="FFD9D9D9"/>
        <bgColor rgb="FFD9D9D9"/>
      </patternFill>
    </fill>
    <fill>
      <patternFill patternType="solid">
        <fgColor rgb="FFC6EFCE"/>
        <bgColor rgb="FFC6EFCE"/>
      </patternFill>
    </fill>
    <fill>
      <patternFill patternType="solid">
        <fgColor rgb="FFF3F3F3"/>
        <bgColor rgb="FFF3F3F3"/>
      </patternFill>
    </fill>
    <fill>
      <patternFill patternType="solid">
        <fgColor rgb="FF4C1130"/>
        <bgColor rgb="FF4C1130"/>
      </patternFill>
    </fill>
    <fill>
      <patternFill patternType="solid">
        <fgColor rgb="FF4A86E8"/>
        <bgColor rgb="FF4A86E8"/>
      </patternFill>
    </fill>
    <fill>
      <patternFill patternType="solid">
        <fgColor rgb="FF0C9C48"/>
        <bgColor rgb="FF0C9C48"/>
      </patternFill>
    </fill>
    <fill>
      <patternFill patternType="solid">
        <fgColor rgb="FF33B054"/>
        <bgColor rgb="FF33B054"/>
      </patternFill>
    </fill>
    <fill>
      <patternFill patternType="solid">
        <fgColor rgb="FF7DC945"/>
        <bgColor rgb="FF7DC945"/>
      </patternFill>
    </fill>
    <fill>
      <patternFill patternType="solid">
        <fgColor rgb="FFF5CE42"/>
        <bgColor rgb="FFF5CE42"/>
      </patternFill>
    </fill>
    <fill>
      <patternFill patternType="solid">
        <fgColor rgb="FFF59E42"/>
        <bgColor rgb="FFF59E42"/>
      </patternFill>
    </fill>
    <fill>
      <patternFill patternType="solid">
        <fgColor rgb="FFF57842"/>
        <bgColor rgb="FFF57842"/>
      </patternFill>
    </fill>
    <fill>
      <patternFill patternType="solid">
        <fgColor rgb="FFE04E36"/>
        <bgColor rgb="FFE04E36"/>
      </patternFill>
    </fill>
    <fill>
      <patternFill patternType="solid">
        <fgColor rgb="FFC72626"/>
        <bgColor rgb="FFC72626"/>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2">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shrinkToFit="0" wrapText="1"/>
    </xf>
    <xf borderId="0" fillId="0" fontId="2" numFmtId="0" xfId="0" applyFont="1"/>
    <xf borderId="0" fillId="0" fontId="3" numFmtId="0" xfId="0" applyFont="1"/>
    <xf borderId="0" fillId="0" fontId="4" numFmtId="0" xfId="0" applyAlignment="1" applyFont="1">
      <alignment horizontal="right" readingOrder="0"/>
    </xf>
    <xf borderId="0" fillId="3" fontId="4" numFmtId="0" xfId="0" applyAlignment="1" applyFill="1" applyFont="1">
      <alignment horizontal="center" readingOrder="0"/>
    </xf>
    <xf borderId="0" fillId="4" fontId="4" numFmtId="0" xfId="0" applyAlignment="1" applyFill="1" applyFont="1">
      <alignment readingOrder="0"/>
    </xf>
    <xf borderId="0" fillId="5" fontId="4" numFmtId="0" xfId="0" applyAlignment="1" applyFill="1" applyFont="1">
      <alignment readingOrder="0"/>
    </xf>
    <xf borderId="0" fillId="0" fontId="4" numFmtId="0" xfId="0" applyAlignment="1" applyFont="1">
      <alignment readingOrder="0"/>
    </xf>
    <xf borderId="0" fillId="6" fontId="1" numFmtId="0" xfId="0" applyAlignment="1" applyFill="1" applyFont="1">
      <alignment readingOrder="0"/>
    </xf>
    <xf borderId="0" fillId="7" fontId="5" numFmtId="0" xfId="0" applyAlignment="1" applyFill="1" applyFont="1">
      <alignment readingOrder="0" vertical="bottom"/>
    </xf>
    <xf borderId="0" fillId="7" fontId="5" numFmtId="0" xfId="0" applyAlignment="1" applyFont="1">
      <alignment horizontal="right" readingOrder="0" vertical="bottom"/>
    </xf>
    <xf borderId="0" fillId="8" fontId="6" numFmtId="165" xfId="0" applyAlignment="1" applyFill="1" applyFont="1" applyNumberFormat="1">
      <alignment readingOrder="0" vertical="bottom"/>
    </xf>
    <xf borderId="0" fillId="5" fontId="2" numFmtId="0" xfId="0" applyAlignment="1" applyFont="1">
      <alignment readingOrder="0"/>
    </xf>
    <xf borderId="0" fillId="5" fontId="2" numFmtId="0" xfId="0" applyAlignment="1" applyFont="1">
      <alignment readingOrder="0"/>
    </xf>
    <xf borderId="0" fillId="3" fontId="2" numFmtId="0" xfId="0" applyAlignment="1" applyFont="1">
      <alignment readingOrder="0"/>
    </xf>
    <xf borderId="0" fillId="5" fontId="2" numFmtId="0" xfId="0" applyFont="1"/>
    <xf borderId="0" fillId="7" fontId="5" numFmtId="0" xfId="0" applyAlignment="1" applyFont="1">
      <alignment horizontal="right" readingOrder="0" vertical="bottom"/>
    </xf>
    <xf borderId="0" fillId="9" fontId="2" numFmtId="0" xfId="0" applyAlignment="1" applyFill="1" applyFont="1">
      <alignment readingOrder="0"/>
    </xf>
    <xf borderId="0" fillId="7" fontId="2" numFmtId="0" xfId="0" applyFont="1"/>
    <xf borderId="0" fillId="10" fontId="4" numFmtId="0" xfId="0" applyAlignment="1" applyFill="1" applyFont="1">
      <alignment readingOrder="0"/>
    </xf>
    <xf borderId="0" fillId="11" fontId="2" numFmtId="0" xfId="0" applyAlignment="1" applyFill="1" applyFont="1">
      <alignment readingOrder="0"/>
    </xf>
    <xf borderId="0" fillId="11" fontId="2" numFmtId="0" xfId="0" applyAlignment="1" applyFont="1">
      <alignment readingOrder="0"/>
    </xf>
    <xf borderId="0" fillId="11" fontId="2" numFmtId="14" xfId="0" applyAlignment="1" applyFont="1" applyNumberFormat="1">
      <alignment readingOrder="0"/>
    </xf>
    <xf borderId="0" fillId="11" fontId="2" numFmtId="0" xfId="0" applyFont="1"/>
    <xf borderId="0" fillId="12" fontId="2" numFmtId="0" xfId="0" applyAlignment="1" applyFill="1" applyFont="1">
      <alignment readingOrder="0"/>
    </xf>
    <xf borderId="0" fillId="12" fontId="2" numFmtId="0" xfId="0" applyAlignment="1" applyFont="1">
      <alignment readingOrder="0"/>
    </xf>
    <xf borderId="0" fillId="12" fontId="2" numFmtId="14" xfId="0" applyAlignment="1" applyFont="1" applyNumberFormat="1">
      <alignment readingOrder="0"/>
    </xf>
    <xf borderId="0" fillId="12" fontId="2" numFmtId="0" xfId="0" applyFont="1"/>
    <xf borderId="0" fillId="11" fontId="2" numFmtId="0" xfId="0" applyFont="1"/>
    <xf borderId="0" fillId="0" fontId="2" numFmtId="0" xfId="0" applyFont="1"/>
    <xf borderId="0" fillId="0" fontId="2" numFmtId="14" xfId="0" applyFont="1" applyNumberFormat="1"/>
    <xf borderId="0" fillId="13" fontId="1" numFmtId="0" xfId="0" applyAlignment="1" applyFill="1" applyFont="1">
      <alignment readingOrder="0"/>
    </xf>
    <xf borderId="0" fillId="13" fontId="1" numFmtId="0" xfId="0" applyAlignment="1" applyFont="1">
      <alignment horizontal="center" readingOrder="0" vertical="center"/>
    </xf>
    <xf borderId="0" fillId="14" fontId="7" numFmtId="0" xfId="0" applyAlignment="1" applyFill="1" applyFont="1">
      <alignment horizontal="center" readingOrder="0" vertical="center"/>
    </xf>
    <xf borderId="0" fillId="7" fontId="2" numFmtId="0" xfId="0" applyAlignment="1" applyFont="1">
      <alignment horizontal="center" vertical="center"/>
    </xf>
    <xf borderId="0" fillId="15" fontId="2" numFmtId="0" xfId="0" applyAlignment="1" applyFill="1" applyFont="1">
      <alignment readingOrder="0" shrinkToFit="0" vertical="center" wrapText="0"/>
    </xf>
    <xf borderId="0" fillId="15" fontId="2" numFmtId="166" xfId="0" applyAlignment="1" applyFont="1" applyNumberFormat="1">
      <alignment readingOrder="0" shrinkToFit="0" vertical="center" wrapText="0"/>
    </xf>
    <xf borderId="0" fillId="15" fontId="2" numFmtId="3" xfId="0" applyAlignment="1" applyFont="1" applyNumberFormat="1">
      <alignment readingOrder="0" shrinkToFit="0" vertical="center" wrapText="0"/>
    </xf>
    <xf borderId="0" fillId="3" fontId="4" numFmtId="0" xfId="0" applyAlignment="1" applyFont="1">
      <alignment shrinkToFit="0" wrapText="0"/>
    </xf>
    <xf borderId="0" fillId="14" fontId="4" numFmtId="0" xfId="0" applyAlignment="1" applyFont="1">
      <alignment horizontal="right" readingOrder="0" vertical="center"/>
    </xf>
    <xf borderId="0" fillId="3" fontId="4" numFmtId="0" xfId="0" applyAlignment="1" applyFont="1">
      <alignment readingOrder="0" vertical="center"/>
    </xf>
    <xf borderId="0" fillId="10" fontId="4" numFmtId="0" xfId="0" applyAlignment="1" applyFont="1">
      <alignment vertical="center"/>
    </xf>
    <xf borderId="0" fillId="9" fontId="4" numFmtId="0" xfId="0" applyAlignment="1" applyFont="1">
      <alignment vertical="center"/>
    </xf>
    <xf borderId="0" fillId="15" fontId="4" numFmtId="0" xfId="0" applyAlignment="1" applyFont="1">
      <alignment vertical="center"/>
    </xf>
    <xf borderId="0" fillId="14" fontId="4" numFmtId="0" xfId="0" applyAlignment="1" applyFont="1">
      <alignment vertical="center"/>
    </xf>
    <xf borderId="0" fillId="10" fontId="4" numFmtId="0" xfId="0" applyFont="1"/>
    <xf borderId="0" fillId="7" fontId="8" numFmtId="0" xfId="0" applyFont="1"/>
    <xf borderId="0" fillId="7" fontId="2" numFmtId="14" xfId="0" applyAlignment="1" applyFont="1" applyNumberFormat="1">
      <alignment readingOrder="0"/>
    </xf>
    <xf borderId="0" fillId="7" fontId="2" numFmtId="0" xfId="0" applyAlignment="1" applyFont="1">
      <alignment readingOrder="0"/>
    </xf>
    <xf borderId="0" fillId="7" fontId="2" numFmtId="0" xfId="0" applyAlignment="1" applyFont="1">
      <alignment readingOrder="0"/>
    </xf>
    <xf borderId="0" fillId="7" fontId="9" numFmtId="0" xfId="0" applyAlignment="1" applyFont="1">
      <alignment readingOrder="0"/>
    </xf>
    <xf borderId="0" fillId="7" fontId="2" numFmtId="0" xfId="0" applyAlignment="1" applyFont="1">
      <alignment readingOrder="0"/>
    </xf>
    <xf borderId="0" fillId="16" fontId="5" numFmtId="0" xfId="0" applyAlignment="1" applyFill="1" applyFont="1">
      <alignment vertical="bottom"/>
    </xf>
    <xf borderId="0" fillId="16" fontId="10" numFmtId="1" xfId="0" applyAlignment="1" applyFont="1" applyNumberFormat="1">
      <alignment horizontal="center" vertical="bottom"/>
    </xf>
    <xf borderId="0" fillId="16" fontId="10" numFmtId="0" xfId="0" applyAlignment="1" applyFont="1">
      <alignment horizontal="center" vertical="bottom"/>
    </xf>
    <xf borderId="0" fillId="17" fontId="10" numFmtId="10" xfId="0" applyAlignment="1" applyFill="1" applyFont="1" applyNumberFormat="1">
      <alignment horizontal="center" vertical="bottom"/>
    </xf>
    <xf borderId="0" fillId="17" fontId="10" numFmtId="1" xfId="0" applyAlignment="1" applyFont="1" applyNumberFormat="1">
      <alignment horizontal="center" vertical="bottom"/>
    </xf>
    <xf borderId="0" fillId="17" fontId="10" numFmtId="1" xfId="0" applyAlignment="1" applyFont="1" applyNumberFormat="1">
      <alignment horizontal="center" vertical="bottom"/>
    </xf>
    <xf borderId="0" fillId="18" fontId="10" numFmtId="1" xfId="0" applyAlignment="1" applyFill="1" applyFont="1" applyNumberFormat="1">
      <alignment horizontal="center" vertical="bottom"/>
    </xf>
    <xf borderId="0" fillId="18" fontId="10" numFmtId="4" xfId="0" applyAlignment="1" applyFont="1" applyNumberFormat="1">
      <alignment horizontal="center" vertical="bottom"/>
    </xf>
    <xf borderId="0" fillId="18" fontId="10" numFmtId="0" xfId="0" applyAlignment="1" applyFont="1">
      <alignment horizontal="center" vertical="bottom"/>
    </xf>
    <xf borderId="0" fillId="3" fontId="10" numFmtId="1" xfId="0" applyAlignment="1" applyFont="1" applyNumberFormat="1">
      <alignment horizontal="center" vertical="bottom"/>
    </xf>
    <xf borderId="0" fillId="16" fontId="10" numFmtId="4" xfId="0" applyAlignment="1" applyFont="1" applyNumberFormat="1">
      <alignment horizontal="center" vertical="bottom"/>
    </xf>
    <xf borderId="0" fillId="16" fontId="5" numFmtId="10" xfId="0" applyAlignment="1" applyFont="1" applyNumberFormat="1">
      <alignment vertical="bottom"/>
    </xf>
    <xf borderId="0" fillId="16" fontId="5" numFmtId="1" xfId="0" applyAlignment="1" applyFont="1" applyNumberFormat="1">
      <alignment vertical="bottom"/>
    </xf>
    <xf borderId="0" fillId="0" fontId="2" numFmtId="10" xfId="0" applyFont="1" applyNumberFormat="1"/>
    <xf borderId="0" fillId="19" fontId="10" numFmtId="0" xfId="0" applyAlignment="1" applyFill="1" applyFont="1">
      <alignment vertical="bottom"/>
    </xf>
    <xf borderId="0" fillId="19" fontId="5" numFmtId="1" xfId="0" applyAlignment="1" applyFont="1" applyNumberFormat="1">
      <alignment vertical="bottom"/>
    </xf>
    <xf borderId="0" fillId="19" fontId="5" numFmtId="0" xfId="0" applyAlignment="1" applyFont="1">
      <alignment vertical="bottom"/>
    </xf>
    <xf borderId="0" fillId="19" fontId="5" numFmtId="10" xfId="0" applyAlignment="1" applyFont="1" applyNumberFormat="1">
      <alignment vertical="bottom"/>
    </xf>
    <xf borderId="0" fillId="19" fontId="5" numFmtId="1" xfId="0" applyAlignment="1" applyFont="1" applyNumberFormat="1">
      <alignment vertical="bottom"/>
    </xf>
    <xf borderId="0" fillId="19" fontId="10" numFmtId="1" xfId="0" applyAlignment="1" applyFont="1" applyNumberFormat="1">
      <alignment horizontal="right" vertical="bottom"/>
    </xf>
    <xf borderId="0" fillId="19" fontId="5" numFmtId="4" xfId="0" applyAlignment="1" applyFont="1" applyNumberFormat="1">
      <alignment vertical="bottom"/>
    </xf>
    <xf borderId="0" fillId="3" fontId="10" numFmtId="1" xfId="0" applyAlignment="1" applyFont="1" applyNumberFormat="1">
      <alignment horizontal="right" vertical="bottom"/>
    </xf>
    <xf borderId="0" fillId="19" fontId="10" numFmtId="4" xfId="0" applyAlignment="1" applyFont="1" applyNumberFormat="1">
      <alignment horizontal="center" vertical="bottom"/>
    </xf>
    <xf borderId="0" fillId="19" fontId="10" numFmtId="4" xfId="0" applyAlignment="1" applyFont="1" applyNumberFormat="1">
      <alignment horizontal="right" vertical="bottom"/>
    </xf>
    <xf borderId="0" fillId="19" fontId="10" numFmtId="1" xfId="0" applyAlignment="1" applyFont="1" applyNumberFormat="1">
      <alignment horizontal="center" vertical="bottom"/>
    </xf>
    <xf borderId="0" fillId="19" fontId="11" numFmtId="1" xfId="0" applyAlignment="1" applyFont="1" applyNumberFormat="1">
      <alignment vertical="bottom"/>
    </xf>
    <xf borderId="0" fillId="19" fontId="11" numFmtId="0" xfId="0" applyAlignment="1" applyFont="1">
      <alignment vertical="bottom"/>
    </xf>
    <xf borderId="0" fillId="19" fontId="10" numFmtId="10" xfId="0" applyAlignment="1" applyFont="1" applyNumberFormat="1">
      <alignment horizontal="right" vertical="bottom"/>
    </xf>
    <xf borderId="0" fillId="19" fontId="10" numFmtId="1" xfId="0" applyAlignment="1" applyFont="1" applyNumberFormat="1">
      <alignment horizontal="right" vertical="bottom"/>
    </xf>
    <xf borderId="0" fillId="19" fontId="11" numFmtId="4" xfId="0" applyAlignment="1" applyFont="1" applyNumberFormat="1">
      <alignment vertical="bottom"/>
    </xf>
    <xf borderId="0" fillId="19" fontId="10" numFmtId="0" xfId="0" applyAlignment="1" applyFont="1">
      <alignment horizontal="right" vertical="bottom"/>
    </xf>
    <xf borderId="0" fillId="19" fontId="11" numFmtId="10" xfId="0" applyAlignment="1" applyFont="1" applyNumberFormat="1">
      <alignment vertical="bottom"/>
    </xf>
    <xf borderId="0" fillId="0" fontId="4" numFmtId="10" xfId="0" applyFont="1" applyNumberFormat="1"/>
    <xf borderId="0" fillId="0" fontId="4" numFmtId="0" xfId="0" applyFont="1"/>
    <xf borderId="0" fillId="0" fontId="4" numFmtId="1" xfId="0" applyFont="1" applyNumberFormat="1"/>
    <xf borderId="0" fillId="0" fontId="4" numFmtId="1" xfId="0" applyFont="1" applyNumberFormat="1"/>
    <xf borderId="0" fillId="0" fontId="10" numFmtId="0" xfId="0" applyAlignment="1" applyFont="1">
      <alignment vertical="bottom"/>
    </xf>
    <xf borderId="0" fillId="20" fontId="10" numFmtId="1" xfId="0" applyAlignment="1" applyFill="1" applyFont="1" applyNumberFormat="1">
      <alignment readingOrder="0" vertical="bottom"/>
    </xf>
    <xf borderId="0" fillId="20" fontId="10" numFmtId="0" xfId="0" applyAlignment="1" applyFont="1">
      <alignment readingOrder="0" vertical="bottom"/>
    </xf>
    <xf borderId="0" fillId="20" fontId="10" numFmtId="1" xfId="0" applyAlignment="1" applyFont="1" applyNumberFormat="1">
      <alignment vertical="bottom"/>
    </xf>
    <xf borderId="0" fillId="20" fontId="10" numFmtId="1" xfId="0" applyAlignment="1" applyFont="1" applyNumberFormat="1">
      <alignment vertical="bottom"/>
    </xf>
    <xf borderId="0" fillId="0" fontId="10" numFmtId="4" xfId="0" applyAlignment="1" applyFont="1" applyNumberFormat="1">
      <alignment readingOrder="0" vertical="bottom"/>
    </xf>
    <xf borderId="0" fillId="20" fontId="10" numFmtId="4" xfId="0" applyAlignment="1" applyFont="1" applyNumberFormat="1">
      <alignment vertical="bottom"/>
    </xf>
    <xf borderId="1" fillId="3" fontId="10" numFmtId="1" xfId="0" applyAlignment="1" applyBorder="1" applyFont="1" applyNumberFormat="1">
      <alignment vertical="bottom"/>
    </xf>
    <xf borderId="0" fillId="19" fontId="10" numFmtId="4" xfId="0" applyAlignment="1" applyFont="1" applyNumberFormat="1">
      <alignment vertical="bottom"/>
    </xf>
    <xf borderId="0" fillId="21" fontId="10" numFmtId="4" xfId="0" applyAlignment="1" applyFill="1" applyFont="1" applyNumberFormat="1">
      <alignment vertical="bottom"/>
    </xf>
    <xf borderId="0" fillId="21" fontId="10" numFmtId="1" xfId="0" applyAlignment="1" applyFont="1" applyNumberFormat="1">
      <alignment vertical="bottom"/>
    </xf>
    <xf borderId="0" fillId="19" fontId="10" numFmtId="1" xfId="0" applyAlignment="1" applyFont="1" applyNumberFormat="1">
      <alignment vertical="bottom"/>
    </xf>
    <xf borderId="0" fillId="19" fontId="10" numFmtId="0" xfId="0" applyAlignment="1" applyFont="1">
      <alignment readingOrder="0" vertical="bottom"/>
    </xf>
    <xf borderId="0" fillId="19" fontId="10" numFmtId="1" xfId="0" applyAlignment="1" applyFont="1" applyNumberFormat="1">
      <alignment readingOrder="0" vertical="bottom"/>
    </xf>
    <xf borderId="0" fillId="7" fontId="12" numFmtId="16" xfId="0" applyAlignment="1" applyFont="1" applyNumberFormat="1">
      <alignment horizontal="right" readingOrder="0" vertical="bottom"/>
    </xf>
    <xf borderId="0" fillId="0" fontId="13" numFmtId="1" xfId="0" applyAlignment="1" applyFont="1" applyNumberFormat="1">
      <alignment horizontal="right" vertical="bottom"/>
    </xf>
    <xf borderId="0" fillId="0" fontId="13" numFmtId="0" xfId="0" applyAlignment="1" applyFont="1">
      <alignment horizontal="right" vertical="bottom"/>
    </xf>
    <xf borderId="0" fillId="7" fontId="13" numFmtId="10" xfId="0" applyAlignment="1" applyFont="1" applyNumberFormat="1">
      <alignment horizontal="right" vertical="bottom"/>
    </xf>
    <xf borderId="0" fillId="7" fontId="13" numFmtId="1" xfId="0" applyAlignment="1" applyFont="1" applyNumberFormat="1">
      <alignment horizontal="right" vertical="bottom"/>
    </xf>
    <xf borderId="0" fillId="0" fontId="13" numFmtId="4" xfId="0" applyAlignment="1" applyFont="1" applyNumberFormat="1">
      <alignment horizontal="right" vertical="bottom"/>
    </xf>
    <xf borderId="2" fillId="7" fontId="14" numFmtId="0" xfId="0" applyAlignment="1" applyBorder="1" applyFont="1">
      <alignment horizontal="left" readingOrder="0" shrinkToFit="0" wrapText="0"/>
    </xf>
    <xf borderId="0" fillId="0" fontId="5" numFmtId="0" xfId="0" applyAlignment="1" applyFont="1">
      <alignment vertical="bottom"/>
    </xf>
    <xf borderId="0" fillId="0" fontId="13" numFmtId="1" xfId="0" applyAlignment="1" applyFont="1" applyNumberFormat="1">
      <alignment horizontal="right" readingOrder="0" vertical="bottom"/>
    </xf>
    <xf borderId="0" fillId="0" fontId="13" numFmtId="0" xfId="0" applyAlignment="1" applyFont="1">
      <alignment horizontal="right" readingOrder="0" vertical="bottom"/>
    </xf>
    <xf borderId="0" fillId="3" fontId="13" numFmtId="1" xfId="0" applyAlignment="1" applyFont="1" applyNumberFormat="1">
      <alignment horizontal="right" vertical="bottom"/>
    </xf>
    <xf borderId="0" fillId="7" fontId="13" numFmtId="2" xfId="0" applyAlignment="1" applyFont="1" applyNumberFormat="1">
      <alignment horizontal="center" vertical="bottom"/>
    </xf>
    <xf borderId="0" fillId="7" fontId="13" numFmtId="1" xfId="0" applyAlignment="1" applyFont="1" applyNumberFormat="1">
      <alignment horizontal="center" vertical="bottom"/>
    </xf>
    <xf borderId="0" fillId="7" fontId="13" numFmtId="1" xfId="0" applyAlignment="1" applyFont="1" applyNumberFormat="1">
      <alignment horizontal="center" vertical="bottom"/>
    </xf>
    <xf borderId="0" fillId="0" fontId="13" numFmtId="10" xfId="0" applyAlignment="1" applyFont="1" applyNumberFormat="1">
      <alignment horizontal="right" vertical="bottom"/>
    </xf>
    <xf borderId="0" fillId="0" fontId="13" numFmtId="1" xfId="0" applyAlignment="1" applyFont="1" applyNumberFormat="1">
      <alignment horizontal="right" vertical="bottom"/>
    </xf>
    <xf borderId="0" fillId="0" fontId="2" numFmtId="1" xfId="0" applyFont="1" applyNumberFormat="1"/>
    <xf borderId="0" fillId="0" fontId="2" numFmtId="1" xfId="0" applyAlignment="1" applyFont="1" applyNumberFormat="1">
      <alignment readingOrder="0"/>
    </xf>
    <xf borderId="0" fillId="15" fontId="2" numFmtId="0" xfId="0" applyAlignment="1" applyFont="1">
      <alignment readingOrder="0"/>
    </xf>
    <xf borderId="0" fillId="0" fontId="5" numFmtId="1" xfId="0" applyAlignment="1" applyFont="1" applyNumberFormat="1">
      <alignment vertical="bottom"/>
    </xf>
    <xf borderId="0" fillId="0" fontId="5" numFmtId="10" xfId="0" applyAlignment="1" applyFont="1" applyNumberFormat="1">
      <alignment vertical="bottom"/>
    </xf>
    <xf borderId="0" fillId="0" fontId="5" numFmtId="1" xfId="0" applyAlignment="1" applyFont="1" applyNumberFormat="1">
      <alignment vertical="bottom"/>
    </xf>
    <xf borderId="0" fillId="0" fontId="5" numFmtId="4" xfId="0" applyAlignment="1" applyFont="1" applyNumberFormat="1">
      <alignment vertical="bottom"/>
    </xf>
    <xf borderId="0" fillId="0" fontId="5" numFmtId="3" xfId="0" applyAlignment="1" applyFont="1" applyNumberFormat="1">
      <alignment vertical="bottom"/>
    </xf>
    <xf borderId="0" fillId="3" fontId="5" numFmtId="0" xfId="0" applyAlignment="1" applyFont="1">
      <alignment vertical="bottom"/>
    </xf>
    <xf borderId="0" fillId="0" fontId="10" numFmtId="2" xfId="0" applyAlignment="1" applyFont="1" applyNumberFormat="1">
      <alignment vertical="bottom"/>
    </xf>
    <xf borderId="0" fillId="0" fontId="13" numFmtId="10" xfId="0" applyAlignment="1" applyFont="1" applyNumberFormat="1">
      <alignment vertical="bottom"/>
    </xf>
    <xf borderId="0" fillId="0" fontId="13" numFmtId="1" xfId="0" applyAlignment="1" applyFont="1" applyNumberFormat="1">
      <alignment vertical="bottom"/>
    </xf>
    <xf borderId="0" fillId="0" fontId="10" numFmtId="167" xfId="0" applyAlignment="1" applyFont="1" applyNumberFormat="1">
      <alignment horizontal="right" vertical="bottom"/>
    </xf>
    <xf borderId="0" fillId="0" fontId="13" numFmtId="1" xfId="0" applyAlignment="1" applyFont="1" applyNumberFormat="1">
      <alignment horizontal="center" vertical="bottom"/>
    </xf>
    <xf borderId="0" fillId="0" fontId="13" numFmtId="2" xfId="0" applyAlignment="1" applyFont="1" applyNumberFormat="1">
      <alignment horizontal="center" vertical="bottom"/>
    </xf>
    <xf borderId="0" fillId="0" fontId="13" numFmtId="2" xfId="0" applyAlignment="1" applyFont="1" applyNumberFormat="1">
      <alignment horizontal="right" vertical="bottom"/>
    </xf>
    <xf borderId="0" fillId="0" fontId="5" numFmtId="2" xfId="0" applyAlignment="1" applyFont="1" applyNumberFormat="1">
      <alignment vertical="bottom"/>
    </xf>
    <xf borderId="0" fillId="0" fontId="2" numFmtId="1" xfId="0" applyFont="1" applyNumberFormat="1"/>
    <xf borderId="0" fillId="3" fontId="2" numFmtId="0" xfId="0" applyFont="1"/>
    <xf borderId="0" fillId="20" fontId="10" numFmtId="10" xfId="0" applyAlignment="1" applyFont="1" applyNumberFormat="1">
      <alignment vertical="bottom"/>
    </xf>
    <xf borderId="0" fillId="0" fontId="10" numFmtId="4" xfId="0" applyAlignment="1" applyFont="1" applyNumberFormat="1">
      <alignment vertical="bottom"/>
    </xf>
    <xf borderId="0" fillId="0" fontId="10" numFmtId="0" xfId="0" applyAlignment="1" applyFont="1">
      <alignment horizontal="right" readingOrder="0" vertical="bottom"/>
    </xf>
    <xf borderId="0" fillId="7" fontId="12" numFmtId="16" xfId="0" applyAlignment="1" applyFont="1" applyNumberFormat="1">
      <alignment horizontal="right" vertical="bottom"/>
    </xf>
    <xf borderId="0" fillId="0" fontId="5" numFmtId="0" xfId="0" applyAlignment="1" applyFont="1">
      <alignment readingOrder="0" vertical="bottom"/>
    </xf>
    <xf borderId="0" fillId="0" fontId="4" numFmtId="10" xfId="0" applyAlignment="1" applyFont="1" applyNumberFormat="1">
      <alignment readingOrder="0"/>
    </xf>
    <xf borderId="0" fillId="19" fontId="10" numFmtId="10" xfId="0" applyAlignment="1" applyFont="1" applyNumberFormat="1">
      <alignment readingOrder="0" vertical="bottom"/>
    </xf>
    <xf borderId="0" fillId="20" fontId="10" numFmtId="1" xfId="0" applyAlignment="1" applyFont="1" applyNumberFormat="1">
      <alignment readingOrder="0" vertical="bottom"/>
    </xf>
    <xf borderId="0" fillId="20" fontId="10" numFmtId="4" xfId="0" applyAlignment="1" applyFont="1" applyNumberFormat="1">
      <alignment readingOrder="0" vertical="bottom"/>
    </xf>
    <xf borderId="1" fillId="22" fontId="10" numFmtId="1" xfId="0" applyAlignment="1" applyBorder="1" applyFill="1" applyFont="1" applyNumberFormat="1">
      <alignment vertical="bottom"/>
    </xf>
    <xf borderId="0" fillId="9" fontId="10" numFmtId="1" xfId="0" applyAlignment="1" applyFont="1" applyNumberFormat="1">
      <alignment readingOrder="0" vertical="bottom"/>
    </xf>
    <xf borderId="0" fillId="9" fontId="4" numFmtId="0" xfId="0" applyAlignment="1" applyFont="1">
      <alignment readingOrder="0"/>
    </xf>
    <xf borderId="0" fillId="0" fontId="2" numFmtId="168" xfId="0" applyAlignment="1" applyFont="1" applyNumberFormat="1">
      <alignment readingOrder="0"/>
    </xf>
    <xf borderId="0" fillId="0" fontId="2" numFmtId="1" xfId="0" applyAlignment="1" applyFont="1" applyNumberFormat="1">
      <alignment readingOrder="0"/>
    </xf>
    <xf borderId="0" fillId="0" fontId="2" numFmtId="0" xfId="0" applyAlignment="1" applyFont="1">
      <alignment readingOrder="0"/>
    </xf>
    <xf borderId="0" fillId="0" fontId="2" numFmtId="10" xfId="0" applyAlignment="1" applyFont="1" applyNumberFormat="1">
      <alignment readingOrder="0"/>
    </xf>
    <xf borderId="0" fillId="0" fontId="2" numFmtId="1" xfId="0" applyAlignment="1" applyFont="1" applyNumberFormat="1">
      <alignment readingOrder="0"/>
    </xf>
    <xf borderId="0" fillId="0" fontId="2" numFmtId="4" xfId="0" applyAlignment="1" applyFont="1" applyNumberFormat="1">
      <alignment readingOrder="0"/>
    </xf>
    <xf borderId="0" fillId="0" fontId="2" numFmtId="4" xfId="0" applyFont="1" applyNumberFormat="1"/>
    <xf borderId="0" fillId="0" fontId="15" numFmtId="168" xfId="0" applyAlignment="1" applyFont="1" applyNumberFormat="1">
      <alignment readingOrder="0"/>
    </xf>
    <xf borderId="0" fillId="0" fontId="2" numFmtId="1" xfId="0" applyAlignment="1" applyFont="1" applyNumberFormat="1">
      <alignment horizontal="right"/>
    </xf>
    <xf borderId="0" fillId="0" fontId="2" numFmtId="0" xfId="0" applyAlignment="1" applyFont="1">
      <alignment horizontal="right"/>
    </xf>
    <xf borderId="0" fillId="0" fontId="2" numFmtId="169" xfId="0" applyAlignment="1" applyFont="1" applyNumberFormat="1">
      <alignment readingOrder="0"/>
    </xf>
    <xf borderId="0" fillId="22" fontId="2" numFmtId="0" xfId="0" applyFont="1"/>
    <xf borderId="0" fillId="9" fontId="2" numFmtId="0" xfId="0" applyFont="1"/>
    <xf borderId="0" fillId="0" fontId="2" numFmtId="170" xfId="0" applyAlignment="1" applyFont="1" applyNumberFormat="1">
      <alignment readingOrder="0"/>
    </xf>
    <xf borderId="0" fillId="3" fontId="4" numFmtId="0" xfId="0" applyAlignment="1" applyFont="1">
      <alignment readingOrder="0"/>
    </xf>
    <xf borderId="0" fillId="0" fontId="2" numFmtId="171" xfId="0" applyAlignment="1" applyFont="1" applyNumberFormat="1">
      <alignment readingOrder="0"/>
    </xf>
    <xf borderId="0" fillId="23" fontId="2" numFmtId="0" xfId="0" applyAlignment="1" applyFill="1" applyFont="1">
      <alignment readingOrder="0"/>
    </xf>
    <xf borderId="0" fillId="3" fontId="2" numFmtId="0" xfId="0" applyAlignment="1" applyFont="1">
      <alignment readingOrder="0"/>
    </xf>
    <xf borderId="0" fillId="0" fontId="2" numFmtId="14" xfId="0" applyAlignment="1" applyFont="1" applyNumberFormat="1">
      <alignment readingOrder="0"/>
    </xf>
    <xf quotePrefix="1" borderId="0" fillId="0" fontId="2" numFmtId="0" xfId="0" applyAlignment="1" applyFont="1">
      <alignment readingOrder="0"/>
    </xf>
    <xf borderId="0" fillId="24" fontId="2" numFmtId="0" xfId="0" applyAlignment="1" applyFill="1" applyFont="1">
      <alignment readingOrder="0"/>
    </xf>
    <xf borderId="0" fillId="0" fontId="2" numFmtId="0" xfId="0" applyAlignment="1" applyFont="1">
      <alignment readingOrder="0"/>
    </xf>
    <xf borderId="0" fillId="3" fontId="16" numFmtId="3" xfId="0" applyAlignment="1" applyFont="1" applyNumberFormat="1">
      <alignment readingOrder="0"/>
    </xf>
    <xf borderId="0" fillId="25" fontId="4" numFmtId="0" xfId="0" applyAlignment="1" applyFill="1" applyFont="1">
      <alignment readingOrder="0"/>
    </xf>
    <xf borderId="0" fillId="15" fontId="4" numFmtId="0" xfId="0" applyAlignment="1" applyFont="1">
      <alignment readingOrder="0"/>
    </xf>
    <xf borderId="0" fillId="0" fontId="2" numFmtId="172" xfId="0" applyAlignment="1" applyFont="1" applyNumberFormat="1">
      <alignment readingOrder="0"/>
    </xf>
    <xf borderId="0" fillId="7" fontId="13" numFmtId="0" xfId="0" applyAlignment="1" applyFont="1">
      <alignment horizontal="right" readingOrder="0" vertical="bottom"/>
    </xf>
    <xf borderId="0" fillId="7" fontId="13" numFmtId="0" xfId="0" applyAlignment="1" applyFont="1">
      <alignment readingOrder="0" vertical="bottom"/>
    </xf>
    <xf borderId="0" fillId="7" fontId="13" numFmtId="166" xfId="0" applyAlignment="1" applyFont="1" applyNumberFormat="1">
      <alignment horizontal="right" readingOrder="0" vertical="bottom"/>
    </xf>
    <xf borderId="0" fillId="0" fontId="17" numFmtId="0" xfId="0" applyAlignment="1" applyFont="1">
      <alignment horizontal="center" readingOrder="0"/>
    </xf>
    <xf borderId="0" fillId="0" fontId="14" numFmtId="0" xfId="0" applyAlignment="1" applyFont="1">
      <alignment readingOrder="0" shrinkToFit="0" vertical="bottom" wrapText="0"/>
    </xf>
    <xf borderId="0" fillId="0" fontId="18" numFmtId="165" xfId="0" applyAlignment="1" applyFont="1" applyNumberFormat="1">
      <alignment horizontal="right" readingOrder="0" shrinkToFit="0" vertical="bottom" wrapText="0"/>
    </xf>
    <xf borderId="0" fillId="0" fontId="14" numFmtId="0" xfId="0" applyAlignment="1" applyFont="1">
      <alignment horizontal="right" readingOrder="0" shrinkToFit="0" vertical="bottom" wrapText="0"/>
    </xf>
    <xf borderId="0" fillId="0" fontId="18" numFmtId="166" xfId="0" applyAlignment="1" applyFont="1" applyNumberFormat="1">
      <alignment horizontal="right" readingOrder="0" shrinkToFit="0" vertical="bottom" wrapText="0"/>
    </xf>
    <xf borderId="0" fillId="6" fontId="2" numFmtId="0" xfId="0" applyAlignment="1" applyFont="1">
      <alignment readingOrder="0"/>
    </xf>
    <xf borderId="0" fillId="0" fontId="19" numFmtId="0" xfId="0" applyAlignment="1" applyFont="1">
      <alignment readingOrder="0"/>
    </xf>
    <xf borderId="0" fillId="26" fontId="1" numFmtId="0" xfId="0" applyAlignment="1" applyFill="1" applyFont="1">
      <alignment readingOrder="0"/>
    </xf>
    <xf borderId="0" fillId="0" fontId="20" numFmtId="0" xfId="0" applyAlignment="1" applyFont="1">
      <alignment readingOrder="0"/>
    </xf>
    <xf borderId="0" fillId="27" fontId="1" numFmtId="0" xfId="0" applyAlignment="1" applyFill="1" applyFont="1">
      <alignment readingOrder="0"/>
    </xf>
    <xf borderId="0" fillId="15" fontId="2" numFmtId="49" xfId="0" applyFont="1" applyNumberFormat="1"/>
    <xf borderId="0" fillId="28" fontId="1" numFmtId="0" xfId="0" applyAlignment="1" applyFill="1" applyFont="1">
      <alignment horizontal="center" readingOrder="0" shrinkToFit="0" wrapText="1"/>
    </xf>
    <xf borderId="0" fillId="29" fontId="1" numFmtId="0" xfId="0" applyAlignment="1" applyFill="1" applyFont="1">
      <alignment horizontal="center" readingOrder="0" shrinkToFit="0" wrapText="1"/>
    </xf>
    <xf borderId="0" fillId="30" fontId="1" numFmtId="0" xfId="0" applyAlignment="1" applyFill="1" applyFont="1">
      <alignment horizontal="center" readingOrder="0" shrinkToFit="0" wrapText="1"/>
    </xf>
    <xf borderId="0" fillId="31" fontId="1" numFmtId="0" xfId="0" applyAlignment="1" applyFill="1" applyFont="1">
      <alignment horizontal="center" readingOrder="0" shrinkToFit="0" wrapText="1"/>
    </xf>
    <xf borderId="0" fillId="32" fontId="1" numFmtId="0" xfId="0" applyAlignment="1" applyFill="1" applyFont="1">
      <alignment horizontal="center" readingOrder="0" shrinkToFit="0" wrapText="1"/>
    </xf>
    <xf borderId="0" fillId="33" fontId="1" numFmtId="0" xfId="0" applyAlignment="1" applyFill="1" applyFont="1">
      <alignment horizontal="center" readingOrder="0" shrinkToFit="0" wrapText="1"/>
    </xf>
    <xf borderId="0" fillId="34" fontId="1" numFmtId="0" xfId="0" applyAlignment="1" applyFill="1" applyFont="1">
      <alignment horizontal="center" readingOrder="0" shrinkToFit="0" wrapText="1"/>
    </xf>
    <xf borderId="0" fillId="35" fontId="1" numFmtId="0" xfId="0" applyAlignment="1" applyFill="1" applyFont="1">
      <alignment horizontal="center" readingOrder="0" shrinkToFit="0" wrapText="1"/>
    </xf>
  </cellXfs>
  <cellStyles count="1">
    <cellStyle xfId="0" name="Normal" builtinId="0"/>
  </cellStyles>
  <dxfs count="4">
    <dxf>
      <font/>
      <fill>
        <patternFill patternType="solid">
          <fgColor rgb="FFD5A6BD"/>
          <bgColor rgb="FFD5A6BD"/>
        </patternFill>
      </fill>
      <border/>
    </dxf>
    <dxf>
      <font/>
      <fill>
        <patternFill patternType="solid">
          <fgColor rgb="FFEA9999"/>
          <bgColor rgb="FFEA9999"/>
        </patternFill>
      </fill>
      <border/>
    </dxf>
    <dxf>
      <font/>
      <fill>
        <patternFill patternType="solid">
          <fgColor rgb="FFFFF2CC"/>
          <bgColor rgb="FFFFF2CC"/>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54.38"/>
    <col customWidth="1" min="5" max="5" width="25.13"/>
    <col customWidth="1" min="9" max="9" width="37.63"/>
    <col customWidth="1" min="10" max="10" width="24.75"/>
    <col customWidth="1" min="12" max="12" width="31.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v>2.4120050021639E13</v>
      </c>
      <c r="B2" s="2" t="s">
        <v>14</v>
      </c>
      <c r="C2" s="2">
        <v>3.14394498E9</v>
      </c>
      <c r="D2" s="2" t="s">
        <v>15</v>
      </c>
      <c r="E2" s="2" t="s">
        <v>16</v>
      </c>
      <c r="F2" s="3">
        <v>2749.0</v>
      </c>
      <c r="G2" s="2" t="s">
        <v>17</v>
      </c>
      <c r="H2" s="4">
        <v>46067.83451822917</v>
      </c>
      <c r="I2" s="5" t="s">
        <v>18</v>
      </c>
      <c r="J2" s="2" t="s">
        <v>19</v>
      </c>
      <c r="K2" s="6"/>
      <c r="M2" s="6"/>
      <c r="N2" s="7" t="str">
        <f t="shared" ref="N2:N9" si="1">HYPERLINK("https://api.whatsapp.com/send?text=" &amp; ENCODEURL("🚨 *PostEx Attempt Follow-up*" &amp; CHAR(10) &amp; "📦 Tracking: " &amp; A2 &amp; CHAR(10) &amp; "❌ Issue: " &amp; G2 &amp; CHAR(10) &amp; "💬 CS Update: " &amp; L2), "📲 Send to Courier")</f>
        <v>📲 Send to Courier</v>
      </c>
    </row>
    <row r="3">
      <c r="A3" s="2">
        <v>2.3120050021855E13</v>
      </c>
      <c r="B3" s="2" t="s">
        <v>20</v>
      </c>
      <c r="C3" s="2">
        <v>3.394849051E9</v>
      </c>
      <c r="D3" s="2" t="s">
        <v>21</v>
      </c>
      <c r="E3" s="2" t="s">
        <v>22</v>
      </c>
      <c r="F3" s="3">
        <v>3099.0</v>
      </c>
      <c r="G3" s="2" t="s">
        <v>17</v>
      </c>
      <c r="H3" s="4">
        <v>46070.65567006945</v>
      </c>
      <c r="I3" s="5" t="s">
        <v>23</v>
      </c>
      <c r="J3" s="2" t="s">
        <v>24</v>
      </c>
      <c r="K3" s="6"/>
      <c r="M3" s="6"/>
      <c r="N3" s="7" t="str">
        <f t="shared" si="1"/>
        <v>📲 Send to Courier</v>
      </c>
    </row>
    <row r="4">
      <c r="A4" s="2">
        <v>2.7120050021727E13</v>
      </c>
      <c r="B4" s="2" t="s">
        <v>25</v>
      </c>
      <c r="C4" s="2">
        <v>3.245751049E9</v>
      </c>
      <c r="D4" s="2" t="s">
        <v>26</v>
      </c>
      <c r="E4" s="2" t="s">
        <v>27</v>
      </c>
      <c r="F4" s="3">
        <v>3099.0</v>
      </c>
      <c r="G4" s="2" t="s">
        <v>17</v>
      </c>
      <c r="H4" s="4">
        <v>46066.563756874995</v>
      </c>
      <c r="I4" s="5" t="s">
        <v>28</v>
      </c>
      <c r="J4" s="2" t="s">
        <v>29</v>
      </c>
      <c r="K4" s="6"/>
      <c r="M4" s="6"/>
      <c r="N4" s="7" t="str">
        <f t="shared" si="1"/>
        <v>📲 Send to Courier</v>
      </c>
    </row>
    <row r="5">
      <c r="A5" s="2">
        <v>2.6120050021847E13</v>
      </c>
      <c r="B5" s="2" t="s">
        <v>30</v>
      </c>
      <c r="C5" s="2">
        <v>3.425169661E9</v>
      </c>
      <c r="D5" s="2" t="s">
        <v>31</v>
      </c>
      <c r="E5" s="2" t="s">
        <v>27</v>
      </c>
      <c r="F5" s="3">
        <v>3099.0</v>
      </c>
      <c r="G5" s="2" t="s">
        <v>17</v>
      </c>
      <c r="H5" s="4">
        <v>46070.65570386574</v>
      </c>
      <c r="I5" s="5" t="s">
        <v>23</v>
      </c>
      <c r="J5" s="2" t="s">
        <v>32</v>
      </c>
      <c r="K5" s="6"/>
      <c r="M5" s="6"/>
      <c r="N5" s="7" t="str">
        <f t="shared" si="1"/>
        <v>📲 Send to Courier</v>
      </c>
    </row>
    <row r="6">
      <c r="A6" s="2">
        <v>2.2120050021869E13</v>
      </c>
      <c r="B6" s="2" t="s">
        <v>33</v>
      </c>
      <c r="C6" s="2">
        <v>3.236551086E9</v>
      </c>
      <c r="D6" s="2" t="s">
        <v>34</v>
      </c>
      <c r="E6" s="2" t="s">
        <v>35</v>
      </c>
      <c r="F6" s="3">
        <v>2749.0</v>
      </c>
      <c r="G6" s="2" t="s">
        <v>17</v>
      </c>
      <c r="H6" s="4">
        <v>46070.65570408565</v>
      </c>
      <c r="I6" s="5" t="s">
        <v>36</v>
      </c>
      <c r="J6" s="2" t="s">
        <v>37</v>
      </c>
      <c r="K6" s="6"/>
      <c r="M6" s="6"/>
      <c r="N6" s="7" t="str">
        <f t="shared" si="1"/>
        <v>📲 Send to Courier</v>
      </c>
    </row>
    <row r="7">
      <c r="A7" s="2">
        <v>2.2120050021862E13</v>
      </c>
      <c r="B7" s="2" t="s">
        <v>38</v>
      </c>
      <c r="C7" s="2">
        <v>3.224142431E9</v>
      </c>
      <c r="D7" s="2" t="s">
        <v>39</v>
      </c>
      <c r="E7" s="2" t="s">
        <v>40</v>
      </c>
      <c r="F7" s="3">
        <v>3348.0</v>
      </c>
      <c r="G7" s="2" t="s">
        <v>17</v>
      </c>
      <c r="H7" s="4">
        <v>46067.665941087966</v>
      </c>
      <c r="I7" s="5" t="s">
        <v>41</v>
      </c>
      <c r="J7" s="2" t="s">
        <v>42</v>
      </c>
      <c r="K7" s="6"/>
      <c r="M7" s="6"/>
      <c r="N7" s="7" t="str">
        <f t="shared" si="1"/>
        <v>📲 Send to Courier</v>
      </c>
    </row>
    <row r="8">
      <c r="A8" s="2">
        <v>2.2120050021879E13</v>
      </c>
      <c r="B8" s="2" t="s">
        <v>43</v>
      </c>
      <c r="C8" s="2">
        <v>3.212447691E9</v>
      </c>
      <c r="D8" s="2" t="s">
        <v>44</v>
      </c>
      <c r="E8" s="2" t="s">
        <v>45</v>
      </c>
      <c r="F8" s="3">
        <v>4599.0</v>
      </c>
      <c r="G8" s="2" t="s">
        <v>17</v>
      </c>
      <c r="H8" s="4">
        <v>46070.655704398145</v>
      </c>
      <c r="I8" s="5" t="s">
        <v>46</v>
      </c>
      <c r="J8" s="2" t="s">
        <v>47</v>
      </c>
      <c r="K8" s="6"/>
      <c r="M8" s="6"/>
      <c r="N8" s="7" t="str">
        <f t="shared" si="1"/>
        <v>📲 Send to Courier</v>
      </c>
    </row>
    <row r="9">
      <c r="A9" s="2">
        <v>2.5120050021888E13</v>
      </c>
      <c r="B9" s="2" t="s">
        <v>48</v>
      </c>
      <c r="C9" s="2">
        <v>3.004031405E9</v>
      </c>
      <c r="D9" s="2" t="s">
        <v>49</v>
      </c>
      <c r="E9" s="2" t="s">
        <v>50</v>
      </c>
      <c r="F9" s="3">
        <v>3348.0</v>
      </c>
      <c r="G9" s="2" t="s">
        <v>17</v>
      </c>
      <c r="H9" s="4">
        <v>46070.65572418981</v>
      </c>
      <c r="I9" s="5" t="s">
        <v>51</v>
      </c>
      <c r="J9" s="2" t="s">
        <v>52</v>
      </c>
      <c r="K9" s="6"/>
      <c r="M9" s="6"/>
      <c r="N9" s="7" t="str">
        <f t="shared" si="1"/>
        <v>📲 Send to Courier</v>
      </c>
    </row>
  </sheetData>
  <dataValidations>
    <dataValidation type="list" allowBlank="1" sqref="K2:K9">
      <formula1>"Rescheduled,Address Updated,No Answer,Cancelled,Fake Attempt"</formula1>
    </dataValidation>
    <dataValidation type="list" allowBlank="1" sqref="M2:M9">
      <formula1>"⬆️ Push to Shopify"</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18.88"/>
    <col customWidth="1" min="10" max="10" width="27.63"/>
    <col customWidth="1" min="15" max="15" width="14.13"/>
  </cols>
  <sheetData>
    <row r="1">
      <c r="A1" s="8" t="s">
        <v>53</v>
      </c>
      <c r="B1" s="9" t="s">
        <v>54</v>
      </c>
    </row>
    <row r="2">
      <c r="A2" s="10" t="s">
        <v>55</v>
      </c>
      <c r="B2" s="10" t="s">
        <v>56</v>
      </c>
      <c r="C2" s="10" t="s">
        <v>57</v>
      </c>
      <c r="D2" s="10" t="s">
        <v>5</v>
      </c>
      <c r="E2" s="10" t="s">
        <v>58</v>
      </c>
      <c r="F2" s="10" t="s">
        <v>59</v>
      </c>
      <c r="G2" s="10" t="s">
        <v>7</v>
      </c>
      <c r="H2" s="11" t="s">
        <v>60</v>
      </c>
      <c r="I2" s="11" t="s">
        <v>61</v>
      </c>
      <c r="J2" s="11" t="s">
        <v>62</v>
      </c>
      <c r="K2" s="11" t="s">
        <v>63</v>
      </c>
      <c r="L2" s="11" t="s">
        <v>64</v>
      </c>
      <c r="M2" s="11" t="s">
        <v>65</v>
      </c>
      <c r="N2" s="12" t="s">
        <v>66</v>
      </c>
      <c r="O2" s="12" t="s">
        <v>67</v>
      </c>
      <c r="P2" s="12" t="s">
        <v>68</v>
      </c>
      <c r="Q2" s="13" t="s">
        <v>69</v>
      </c>
    </row>
    <row r="3">
      <c r="A3" s="14" t="s">
        <v>70</v>
      </c>
      <c r="B3" s="15">
        <v>2.4120050023622E13</v>
      </c>
      <c r="C3" s="14" t="s">
        <v>71</v>
      </c>
      <c r="D3" s="15">
        <v>3149.0</v>
      </c>
      <c r="E3" s="15">
        <v>254.95</v>
      </c>
      <c r="F3" s="14" t="s">
        <v>72</v>
      </c>
      <c r="G3" s="16">
        <v>46129.0</v>
      </c>
      <c r="H3" s="17" t="s">
        <v>73</v>
      </c>
      <c r="I3" s="18">
        <v>3149.0</v>
      </c>
      <c r="J3" s="19" t="s">
        <v>74</v>
      </c>
      <c r="K3" s="17" t="s">
        <v>75</v>
      </c>
      <c r="L3" s="18">
        <v>2894.05</v>
      </c>
      <c r="M3" s="20"/>
      <c r="N3" s="6">
        <f t="array" ref="N3">XLOOKUP($B3, XLOOKUP("Tracking Number", Orders!$1:$1, Orders!$A:$AAA), XLOOKUP("Courier Fee", Orders!$1:$1, Orders!$A:$AAA), "Not Found")</f>
        <v>254.95</v>
      </c>
      <c r="O3" s="6">
        <f t="shared" ref="O3:O705" si="1">E3*4%</f>
        <v>10.198</v>
      </c>
      <c r="P3" s="6">
        <f t="shared" ref="P3:P705" si="2">SUM(N3:O3)</f>
        <v>265.148</v>
      </c>
    </row>
    <row r="4">
      <c r="A4" s="14" t="s">
        <v>76</v>
      </c>
      <c r="B4" s="21">
        <v>2.5120050023598E13</v>
      </c>
      <c r="C4" s="14" t="s">
        <v>71</v>
      </c>
      <c r="D4" s="21">
        <v>4998.0</v>
      </c>
      <c r="E4" s="21">
        <v>578.8299999999999</v>
      </c>
      <c r="F4" s="14" t="s">
        <v>72</v>
      </c>
      <c r="G4" s="16">
        <v>46129.0</v>
      </c>
      <c r="H4" s="17" t="s">
        <v>73</v>
      </c>
      <c r="I4" s="18">
        <v>4998.0</v>
      </c>
      <c r="J4" s="19" t="s">
        <v>74</v>
      </c>
      <c r="K4" s="17" t="s">
        <v>75</v>
      </c>
      <c r="L4" s="18">
        <v>4419.17</v>
      </c>
      <c r="M4" s="20"/>
      <c r="N4" s="6">
        <f t="array" ref="N4">XLOOKUP($B4, XLOOKUP("Tracking Number", Orders!$1:$1, Orders!$A:$AAA), XLOOKUP("Courier Fee", Orders!$1:$1, Orders!$A:$AAA), "Not Found")</f>
        <v>578.83</v>
      </c>
      <c r="O4" s="6">
        <f t="shared" si="1"/>
        <v>23.1532</v>
      </c>
      <c r="P4" s="6">
        <f t="shared" si="2"/>
        <v>601.9832</v>
      </c>
    </row>
    <row r="5">
      <c r="A5" s="14" t="s">
        <v>77</v>
      </c>
      <c r="B5" s="21">
        <v>2.4120050023592E13</v>
      </c>
      <c r="C5" s="14" t="s">
        <v>71</v>
      </c>
      <c r="D5" s="21">
        <v>6299.0</v>
      </c>
      <c r="E5" s="21">
        <v>518.01</v>
      </c>
      <c r="F5" s="14" t="s">
        <v>72</v>
      </c>
      <c r="G5" s="16">
        <v>46129.0</v>
      </c>
      <c r="H5" s="17" t="s">
        <v>73</v>
      </c>
      <c r="I5" s="18">
        <v>6299.0</v>
      </c>
      <c r="J5" s="19" t="s">
        <v>74</v>
      </c>
      <c r="K5" s="17" t="s">
        <v>75</v>
      </c>
      <c r="L5" s="18">
        <v>5780.99</v>
      </c>
      <c r="M5" s="20"/>
      <c r="N5" s="6">
        <f t="array" ref="N5">XLOOKUP($B5, XLOOKUP("Tracking Number", Orders!$1:$1, Orders!$A:$AAA), XLOOKUP("Courier Fee", Orders!$1:$1, Orders!$A:$AAA), "Not Found")</f>
        <v>518.01</v>
      </c>
      <c r="O5" s="6">
        <f t="shared" si="1"/>
        <v>20.7204</v>
      </c>
      <c r="P5" s="6">
        <f t="shared" si="2"/>
        <v>538.7304</v>
      </c>
    </row>
    <row r="6">
      <c r="A6" s="14" t="s">
        <v>78</v>
      </c>
      <c r="B6" s="21">
        <v>2.4120050023593E13</v>
      </c>
      <c r="C6" s="14" t="s">
        <v>71</v>
      </c>
      <c r="D6" s="21">
        <v>4997.0</v>
      </c>
      <c r="E6" s="21">
        <v>465.93</v>
      </c>
      <c r="F6" s="14" t="s">
        <v>72</v>
      </c>
      <c r="G6" s="16">
        <v>46129.0</v>
      </c>
      <c r="H6" s="17" t="s">
        <v>73</v>
      </c>
      <c r="I6" s="18">
        <v>4997.0</v>
      </c>
      <c r="J6" s="19" t="s">
        <v>74</v>
      </c>
      <c r="K6" s="17" t="s">
        <v>75</v>
      </c>
      <c r="L6" s="18">
        <v>4531.07</v>
      </c>
      <c r="M6" s="20"/>
      <c r="N6" s="6">
        <f t="array" ref="N6">XLOOKUP($B6, XLOOKUP("Tracking Number", Orders!$1:$1, Orders!$A:$AAA), XLOOKUP("Courier Fee", Orders!$1:$1, Orders!$A:$AAA), "Not Found")</f>
        <v>465.93</v>
      </c>
      <c r="O6" s="6">
        <f t="shared" si="1"/>
        <v>18.6372</v>
      </c>
      <c r="P6" s="6">
        <f t="shared" si="2"/>
        <v>484.5672</v>
      </c>
    </row>
    <row r="7">
      <c r="A7" s="14" t="s">
        <v>79</v>
      </c>
      <c r="B7" s="21">
        <v>2.6120050023565E13</v>
      </c>
      <c r="C7" s="14" t="s">
        <v>71</v>
      </c>
      <c r="D7" s="21">
        <v>2249.0</v>
      </c>
      <c r="E7" s="21">
        <v>218.95</v>
      </c>
      <c r="F7" s="14" t="s">
        <v>72</v>
      </c>
      <c r="G7" s="16">
        <v>46129.0</v>
      </c>
      <c r="H7" s="17" t="s">
        <v>73</v>
      </c>
      <c r="I7" s="18">
        <v>2249.0</v>
      </c>
      <c r="J7" s="19" t="s">
        <v>74</v>
      </c>
      <c r="K7" s="17" t="s">
        <v>75</v>
      </c>
      <c r="L7" s="18">
        <v>2030.05</v>
      </c>
      <c r="M7" s="20"/>
      <c r="N7" s="6">
        <f t="array" ref="N7">XLOOKUP($B7, XLOOKUP("Tracking Number", Orders!$1:$1, Orders!$A:$AAA), XLOOKUP("Courier Fee", Orders!$1:$1, Orders!$A:$AAA), "Not Found")</f>
        <v>218.95</v>
      </c>
      <c r="O7" s="6">
        <f t="shared" si="1"/>
        <v>8.758</v>
      </c>
      <c r="P7" s="6">
        <f t="shared" si="2"/>
        <v>227.708</v>
      </c>
    </row>
    <row r="8">
      <c r="A8" s="14" t="s">
        <v>80</v>
      </c>
      <c r="B8" s="21">
        <v>2.7120050023569E13</v>
      </c>
      <c r="C8" s="14" t="s">
        <v>71</v>
      </c>
      <c r="D8" s="21">
        <v>3397.0</v>
      </c>
      <c r="E8" s="21">
        <v>264.87</v>
      </c>
      <c r="F8" s="14" t="s">
        <v>72</v>
      </c>
      <c r="G8" s="16">
        <v>46129.0</v>
      </c>
      <c r="H8" s="17" t="s">
        <v>73</v>
      </c>
      <c r="I8" s="18">
        <v>3397.0</v>
      </c>
      <c r="J8" s="19" t="s">
        <v>74</v>
      </c>
      <c r="K8" s="17" t="s">
        <v>75</v>
      </c>
      <c r="L8" s="18">
        <v>3132.13</v>
      </c>
      <c r="M8" s="20"/>
      <c r="N8" s="6">
        <f t="array" ref="N8">XLOOKUP($B8, XLOOKUP("Tracking Number", Orders!$1:$1, Orders!$A:$AAA), XLOOKUP("Courier Fee", Orders!$1:$1, Orders!$A:$AAA), "Not Found")</f>
        <v>264.87</v>
      </c>
      <c r="O8" s="6">
        <f t="shared" si="1"/>
        <v>10.5948</v>
      </c>
      <c r="P8" s="6">
        <f t="shared" si="2"/>
        <v>275.4648</v>
      </c>
    </row>
    <row r="9">
      <c r="A9" s="14" t="s">
        <v>81</v>
      </c>
      <c r="B9" s="21">
        <v>2.6120050023566E13</v>
      </c>
      <c r="C9" s="14" t="s">
        <v>71</v>
      </c>
      <c r="D9" s="21">
        <v>1949.0</v>
      </c>
      <c r="E9" s="21">
        <v>319.82000000000005</v>
      </c>
      <c r="F9" s="14" t="s">
        <v>72</v>
      </c>
      <c r="G9" s="16">
        <v>46129.0</v>
      </c>
      <c r="H9" s="17" t="s">
        <v>73</v>
      </c>
      <c r="I9" s="18">
        <v>1949.0</v>
      </c>
      <c r="J9" s="19" t="s">
        <v>74</v>
      </c>
      <c r="K9" s="17" t="s">
        <v>75</v>
      </c>
      <c r="L9" s="18">
        <v>1629.1799999999998</v>
      </c>
      <c r="M9" s="20"/>
      <c r="N9" s="6">
        <f t="array" ref="N9">XLOOKUP($B9, XLOOKUP("Tracking Number", Orders!$1:$1, Orders!$A:$AAA), XLOOKUP("Courier Fee", Orders!$1:$1, Orders!$A:$AAA), "Not Found")</f>
        <v>319.82</v>
      </c>
      <c r="O9" s="6">
        <f t="shared" si="1"/>
        <v>12.7928</v>
      </c>
      <c r="P9" s="6">
        <f t="shared" si="2"/>
        <v>332.6128</v>
      </c>
    </row>
    <row r="10">
      <c r="A10" s="14" t="s">
        <v>82</v>
      </c>
      <c r="B10" s="21">
        <v>2.4120050023567E13</v>
      </c>
      <c r="C10" s="14" t="s">
        <v>71</v>
      </c>
      <c r="D10" s="21">
        <v>1949.0</v>
      </c>
      <c r="E10" s="21">
        <v>206.95</v>
      </c>
      <c r="F10" s="14" t="s">
        <v>72</v>
      </c>
      <c r="G10" s="16">
        <v>46129.0</v>
      </c>
      <c r="H10" s="17" t="s">
        <v>73</v>
      </c>
      <c r="I10" s="18">
        <v>1949.0</v>
      </c>
      <c r="J10" s="19" t="s">
        <v>74</v>
      </c>
      <c r="K10" s="17" t="s">
        <v>75</v>
      </c>
      <c r="L10" s="18">
        <v>1742.05</v>
      </c>
      <c r="M10" s="20"/>
      <c r="N10" s="6">
        <f t="array" ref="N10">XLOOKUP($B10, XLOOKUP("Tracking Number", Orders!$1:$1, Orders!$A:$AAA), XLOOKUP("Courier Fee", Orders!$1:$1, Orders!$A:$AAA), "Not Found")</f>
        <v>206.95</v>
      </c>
      <c r="O10" s="6">
        <f t="shared" si="1"/>
        <v>8.278</v>
      </c>
      <c r="P10" s="6">
        <f t="shared" si="2"/>
        <v>215.228</v>
      </c>
    </row>
    <row r="11">
      <c r="A11" s="14" t="s">
        <v>83</v>
      </c>
      <c r="B11" s="21">
        <v>2.512005002357E13</v>
      </c>
      <c r="C11" s="14" t="s">
        <v>71</v>
      </c>
      <c r="D11" s="21">
        <v>2098.0</v>
      </c>
      <c r="E11" s="21">
        <v>325.78</v>
      </c>
      <c r="F11" s="14" t="s">
        <v>72</v>
      </c>
      <c r="G11" s="16">
        <v>46129.0</v>
      </c>
      <c r="H11" s="17" t="s">
        <v>73</v>
      </c>
      <c r="I11" s="18">
        <v>2098.0</v>
      </c>
      <c r="J11" s="19" t="s">
        <v>74</v>
      </c>
      <c r="K11" s="17" t="s">
        <v>75</v>
      </c>
      <c r="L11" s="18">
        <v>1772.22</v>
      </c>
      <c r="M11" s="20"/>
      <c r="N11" s="6">
        <f t="array" ref="N11">XLOOKUP($B11, XLOOKUP("Tracking Number", Orders!$1:$1, Orders!$A:$AAA), XLOOKUP("Courier Fee", Orders!$1:$1, Orders!$A:$AAA), "Not Found")</f>
        <v>325.78</v>
      </c>
      <c r="O11" s="6">
        <f t="shared" si="1"/>
        <v>13.0312</v>
      </c>
      <c r="P11" s="6">
        <f t="shared" si="2"/>
        <v>338.8112</v>
      </c>
    </row>
    <row r="12">
      <c r="A12" s="14" t="s">
        <v>84</v>
      </c>
      <c r="B12" s="21">
        <v>2.3120050023579E13</v>
      </c>
      <c r="C12" s="14" t="s">
        <v>71</v>
      </c>
      <c r="D12" s="21">
        <v>2049.0</v>
      </c>
      <c r="E12" s="21">
        <v>210.95</v>
      </c>
      <c r="F12" s="14" t="s">
        <v>72</v>
      </c>
      <c r="G12" s="16">
        <v>46129.0</v>
      </c>
      <c r="H12" s="17" t="s">
        <v>73</v>
      </c>
      <c r="I12" s="18">
        <v>2049.0</v>
      </c>
      <c r="J12" s="19" t="s">
        <v>74</v>
      </c>
      <c r="K12" s="17" t="s">
        <v>75</v>
      </c>
      <c r="L12" s="18">
        <v>1838.05</v>
      </c>
      <c r="M12" s="20"/>
      <c r="N12" s="6">
        <f t="array" ref="N12">XLOOKUP($B12, XLOOKUP("Tracking Number", Orders!$1:$1, Orders!$A:$AAA), XLOOKUP("Courier Fee", Orders!$1:$1, Orders!$A:$AAA), "Not Found")</f>
        <v>210.95</v>
      </c>
      <c r="O12" s="6">
        <f t="shared" si="1"/>
        <v>8.438</v>
      </c>
      <c r="P12" s="6">
        <f t="shared" si="2"/>
        <v>219.388</v>
      </c>
    </row>
    <row r="13">
      <c r="A13" s="14" t="s">
        <v>85</v>
      </c>
      <c r="B13" s="21">
        <v>2.412005002358E13</v>
      </c>
      <c r="C13" s="14" t="s">
        <v>71</v>
      </c>
      <c r="D13" s="21">
        <v>2999.0</v>
      </c>
      <c r="E13" s="21">
        <v>377.94000000000005</v>
      </c>
      <c r="F13" s="14" t="s">
        <v>72</v>
      </c>
      <c r="G13" s="16">
        <v>46129.0</v>
      </c>
      <c r="H13" s="17" t="s">
        <v>73</v>
      </c>
      <c r="I13" s="18">
        <v>2999.0</v>
      </c>
      <c r="J13" s="19" t="s">
        <v>74</v>
      </c>
      <c r="K13" s="17" t="s">
        <v>75</v>
      </c>
      <c r="L13" s="18">
        <v>2621.06</v>
      </c>
      <c r="M13" s="20"/>
      <c r="N13" s="6">
        <f t="array" ref="N13">XLOOKUP($B13, XLOOKUP("Tracking Number", Orders!$1:$1, Orders!$A:$AAA), XLOOKUP("Courier Fee", Orders!$1:$1, Orders!$A:$AAA), "Not Found")</f>
        <v>377.94</v>
      </c>
      <c r="O13" s="6">
        <f t="shared" si="1"/>
        <v>15.1176</v>
      </c>
      <c r="P13" s="6">
        <f t="shared" si="2"/>
        <v>393.0576</v>
      </c>
    </row>
    <row r="14">
      <c r="A14" s="14" t="s">
        <v>86</v>
      </c>
      <c r="B14" s="21">
        <v>2.1120050023523E13</v>
      </c>
      <c r="C14" s="14" t="s">
        <v>71</v>
      </c>
      <c r="D14" s="21">
        <v>2099.0</v>
      </c>
      <c r="E14" s="21">
        <v>341.94000000000005</v>
      </c>
      <c r="F14" s="14" t="s">
        <v>72</v>
      </c>
      <c r="G14" s="16">
        <v>46129.0</v>
      </c>
      <c r="H14" s="17" t="s">
        <v>73</v>
      </c>
      <c r="I14" s="18">
        <v>2099.0</v>
      </c>
      <c r="J14" s="19" t="s">
        <v>74</v>
      </c>
      <c r="K14" s="17" t="s">
        <v>75</v>
      </c>
      <c r="L14" s="18">
        <v>1757.06</v>
      </c>
      <c r="M14" s="20"/>
      <c r="N14" s="6">
        <f t="array" ref="N14">XLOOKUP($B14, XLOOKUP("Tracking Number", Orders!$1:$1, Orders!$A:$AAA), XLOOKUP("Courier Fee", Orders!$1:$1, Orders!$A:$AAA), "Not Found")</f>
        <v>341.94</v>
      </c>
      <c r="O14" s="6">
        <f t="shared" si="1"/>
        <v>13.6776</v>
      </c>
      <c r="P14" s="6">
        <f t="shared" si="2"/>
        <v>355.6176</v>
      </c>
    </row>
    <row r="15">
      <c r="A15" s="14" t="s">
        <v>87</v>
      </c>
      <c r="B15" s="21">
        <v>2.9120050023571E13</v>
      </c>
      <c r="C15" s="14" t="s">
        <v>71</v>
      </c>
      <c r="D15" s="21">
        <v>3297.0</v>
      </c>
      <c r="E15" s="21">
        <v>389.86</v>
      </c>
      <c r="F15" s="14" t="s">
        <v>72</v>
      </c>
      <c r="G15" s="16">
        <v>46129.0</v>
      </c>
      <c r="H15" s="17" t="s">
        <v>73</v>
      </c>
      <c r="I15" s="18">
        <v>3297.0</v>
      </c>
      <c r="J15" s="19" t="s">
        <v>74</v>
      </c>
      <c r="K15" s="17" t="s">
        <v>75</v>
      </c>
      <c r="L15" s="18">
        <v>2907.14</v>
      </c>
      <c r="M15" s="20"/>
      <c r="N15" s="6">
        <f t="array" ref="N15">XLOOKUP($B15, XLOOKUP("Tracking Number", Orders!$1:$1, Orders!$A:$AAA), XLOOKUP("Courier Fee", Orders!$1:$1, Orders!$A:$AAA), "Not Found")</f>
        <v>389.86</v>
      </c>
      <c r="O15" s="6">
        <f t="shared" si="1"/>
        <v>15.5944</v>
      </c>
      <c r="P15" s="6">
        <f t="shared" si="2"/>
        <v>405.4544</v>
      </c>
    </row>
    <row r="16">
      <c r="A16" s="14" t="s">
        <v>88</v>
      </c>
      <c r="B16" s="21">
        <v>2.1120050023534E13</v>
      </c>
      <c r="C16" s="14" t="s">
        <v>71</v>
      </c>
      <c r="D16" s="21">
        <v>1898.0</v>
      </c>
      <c r="E16" s="21">
        <v>317.78</v>
      </c>
      <c r="F16" s="14" t="s">
        <v>72</v>
      </c>
      <c r="G16" s="16">
        <v>46129.0</v>
      </c>
      <c r="H16" s="17" t="s">
        <v>73</v>
      </c>
      <c r="I16" s="18">
        <v>1898.0</v>
      </c>
      <c r="J16" s="19" t="s">
        <v>74</v>
      </c>
      <c r="K16" s="17" t="s">
        <v>75</v>
      </c>
      <c r="L16" s="18">
        <v>1580.22</v>
      </c>
      <c r="M16" s="20"/>
      <c r="N16" s="6">
        <f t="array" ref="N16">XLOOKUP($B16, XLOOKUP("Tracking Number", Orders!$1:$1, Orders!$A:$AAA), XLOOKUP("Courier Fee", Orders!$1:$1, Orders!$A:$AAA), "Not Found")</f>
        <v>317.78</v>
      </c>
      <c r="O16" s="6">
        <f t="shared" si="1"/>
        <v>12.7112</v>
      </c>
      <c r="P16" s="6">
        <f t="shared" si="2"/>
        <v>330.4912</v>
      </c>
    </row>
    <row r="17">
      <c r="A17" s="14" t="s">
        <v>89</v>
      </c>
      <c r="B17" s="21">
        <v>2.3120050023535E13</v>
      </c>
      <c r="C17" s="14" t="s">
        <v>71</v>
      </c>
      <c r="D17" s="21">
        <v>2999.0</v>
      </c>
      <c r="E17" s="21">
        <v>248.95</v>
      </c>
      <c r="F17" s="14" t="s">
        <v>72</v>
      </c>
      <c r="G17" s="16">
        <v>46129.0</v>
      </c>
      <c r="H17" s="17" t="s">
        <v>73</v>
      </c>
      <c r="I17" s="18">
        <v>2999.0</v>
      </c>
      <c r="J17" s="19" t="s">
        <v>74</v>
      </c>
      <c r="K17" s="17" t="s">
        <v>75</v>
      </c>
      <c r="L17" s="18">
        <v>2750.05</v>
      </c>
      <c r="M17" s="20"/>
      <c r="N17" s="6">
        <f t="array" ref="N17">XLOOKUP($B17, XLOOKUP("Tracking Number", Orders!$1:$1, Orders!$A:$AAA), XLOOKUP("Courier Fee", Orders!$1:$1, Orders!$A:$AAA), "Not Found")</f>
        <v>248.95</v>
      </c>
      <c r="O17" s="6">
        <f t="shared" si="1"/>
        <v>9.958</v>
      </c>
      <c r="P17" s="6">
        <f t="shared" si="2"/>
        <v>258.908</v>
      </c>
    </row>
    <row r="18">
      <c r="A18" s="14" t="s">
        <v>90</v>
      </c>
      <c r="B18" s="21">
        <v>2.1120050023548E13</v>
      </c>
      <c r="C18" s="14" t="s">
        <v>71</v>
      </c>
      <c r="D18" s="21">
        <v>1949.0</v>
      </c>
      <c r="E18" s="21">
        <v>335.94000000000005</v>
      </c>
      <c r="F18" s="14" t="s">
        <v>72</v>
      </c>
      <c r="G18" s="16">
        <v>46129.0</v>
      </c>
      <c r="H18" s="17" t="s">
        <v>73</v>
      </c>
      <c r="I18" s="18">
        <v>1949.0</v>
      </c>
      <c r="J18" s="19" t="s">
        <v>74</v>
      </c>
      <c r="K18" s="17" t="s">
        <v>75</v>
      </c>
      <c r="L18" s="18">
        <v>1613.06</v>
      </c>
      <c r="M18" s="20"/>
      <c r="N18" s="6">
        <f t="array" ref="N18">XLOOKUP($B18, XLOOKUP("Tracking Number", Orders!$1:$1, Orders!$A:$AAA), XLOOKUP("Courier Fee", Orders!$1:$1, Orders!$A:$AAA), "Not Found")</f>
        <v>335.94</v>
      </c>
      <c r="O18" s="6">
        <f t="shared" si="1"/>
        <v>13.4376</v>
      </c>
      <c r="P18" s="6">
        <f t="shared" si="2"/>
        <v>349.3776</v>
      </c>
    </row>
    <row r="19">
      <c r="A19" s="14" t="s">
        <v>91</v>
      </c>
      <c r="B19" s="21">
        <v>2.4120050023542E13</v>
      </c>
      <c r="C19" s="14" t="s">
        <v>71</v>
      </c>
      <c r="D19" s="21">
        <v>2098.0</v>
      </c>
      <c r="E19" s="21">
        <v>341.9</v>
      </c>
      <c r="F19" s="14" t="s">
        <v>72</v>
      </c>
      <c r="G19" s="16">
        <v>46129.0</v>
      </c>
      <c r="H19" s="17" t="s">
        <v>73</v>
      </c>
      <c r="I19" s="18">
        <v>2098.0</v>
      </c>
      <c r="J19" s="19" t="s">
        <v>74</v>
      </c>
      <c r="K19" s="17" t="s">
        <v>75</v>
      </c>
      <c r="L19" s="18">
        <v>1756.1</v>
      </c>
      <c r="M19" s="20"/>
      <c r="N19" s="6">
        <f t="array" ref="N19">XLOOKUP($B19, XLOOKUP("Tracking Number", Orders!$1:$1, Orders!$A:$AAA), XLOOKUP("Courier Fee", Orders!$1:$1, Orders!$A:$AAA), "Not Found")</f>
        <v>341.9</v>
      </c>
      <c r="O19" s="6">
        <f t="shared" si="1"/>
        <v>13.676</v>
      </c>
      <c r="P19" s="6">
        <f t="shared" si="2"/>
        <v>355.576</v>
      </c>
    </row>
    <row r="20">
      <c r="A20" s="14" t="s">
        <v>92</v>
      </c>
      <c r="B20" s="21">
        <v>2.8120050023525E13</v>
      </c>
      <c r="C20" s="14" t="s">
        <v>71</v>
      </c>
      <c r="D20" s="21">
        <v>6499.0</v>
      </c>
      <c r="E20" s="21">
        <v>405.08000000000004</v>
      </c>
      <c r="F20" s="14" t="s">
        <v>72</v>
      </c>
      <c r="G20" s="16">
        <v>46129.0</v>
      </c>
      <c r="H20" s="17" t="s">
        <v>73</v>
      </c>
      <c r="I20" s="18">
        <v>6499.0</v>
      </c>
      <c r="J20" s="19" t="s">
        <v>74</v>
      </c>
      <c r="K20" s="17" t="s">
        <v>75</v>
      </c>
      <c r="L20" s="18">
        <v>6093.92</v>
      </c>
      <c r="M20" s="20"/>
      <c r="N20" s="6">
        <f t="array" ref="N20">XLOOKUP($B20, XLOOKUP("Tracking Number", Orders!$1:$1, Orders!$A:$AAA), XLOOKUP("Courier Fee", Orders!$1:$1, Orders!$A:$AAA), "Not Found")</f>
        <v>405.08</v>
      </c>
      <c r="O20" s="6">
        <f t="shared" si="1"/>
        <v>16.2032</v>
      </c>
      <c r="P20" s="6">
        <f t="shared" si="2"/>
        <v>421.2832</v>
      </c>
    </row>
    <row r="21">
      <c r="A21" s="14" t="s">
        <v>93</v>
      </c>
      <c r="B21" s="21">
        <v>2.2120050023536E13</v>
      </c>
      <c r="C21" s="14" t="s">
        <v>71</v>
      </c>
      <c r="D21" s="21">
        <v>3099.0</v>
      </c>
      <c r="E21" s="21">
        <v>398.07000000000005</v>
      </c>
      <c r="F21" s="14" t="s">
        <v>72</v>
      </c>
      <c r="G21" s="16">
        <v>46129.0</v>
      </c>
      <c r="H21" s="17" t="s">
        <v>73</v>
      </c>
      <c r="I21" s="18">
        <v>3099.0</v>
      </c>
      <c r="J21" s="19" t="s">
        <v>74</v>
      </c>
      <c r="K21" s="17" t="s">
        <v>75</v>
      </c>
      <c r="L21" s="18">
        <v>2700.93</v>
      </c>
      <c r="M21" s="20"/>
      <c r="N21" s="6">
        <f t="array" ref="N21">XLOOKUP($B21, XLOOKUP("Tracking Number", Orders!$1:$1, Orders!$A:$AAA), XLOOKUP("Courier Fee", Orders!$1:$1, Orders!$A:$AAA), "Not Found")</f>
        <v>398.07</v>
      </c>
      <c r="O21" s="6">
        <f t="shared" si="1"/>
        <v>15.9228</v>
      </c>
      <c r="P21" s="6">
        <f t="shared" si="2"/>
        <v>413.9928</v>
      </c>
    </row>
    <row r="22">
      <c r="A22" s="14" t="s">
        <v>94</v>
      </c>
      <c r="B22" s="21">
        <v>2.7120050023572E13</v>
      </c>
      <c r="C22" s="14" t="s">
        <v>71</v>
      </c>
      <c r="D22" s="21">
        <v>2049.0</v>
      </c>
      <c r="E22" s="21">
        <v>210.95</v>
      </c>
      <c r="F22" s="14" t="s">
        <v>72</v>
      </c>
      <c r="G22" s="16">
        <v>46129.0</v>
      </c>
      <c r="H22" s="17" t="s">
        <v>73</v>
      </c>
      <c r="I22" s="18">
        <v>2049.0</v>
      </c>
      <c r="J22" s="19" t="s">
        <v>74</v>
      </c>
      <c r="K22" s="17" t="s">
        <v>75</v>
      </c>
      <c r="L22" s="18">
        <v>1838.05</v>
      </c>
      <c r="M22" s="20"/>
      <c r="N22" s="6">
        <f t="array" ref="N22">XLOOKUP($B22, XLOOKUP("Tracking Number", Orders!$1:$1, Orders!$A:$AAA), XLOOKUP("Courier Fee", Orders!$1:$1, Orders!$A:$AAA), "Not Found")</f>
        <v>210.95</v>
      </c>
      <c r="O22" s="6">
        <f t="shared" si="1"/>
        <v>8.438</v>
      </c>
      <c r="P22" s="6">
        <f t="shared" si="2"/>
        <v>219.388</v>
      </c>
    </row>
    <row r="23">
      <c r="A23" s="14" t="s">
        <v>95</v>
      </c>
      <c r="B23" s="21">
        <v>2.2120050023549E13</v>
      </c>
      <c r="C23" s="14" t="s">
        <v>71</v>
      </c>
      <c r="D23" s="21">
        <v>2898.0</v>
      </c>
      <c r="E23" s="21">
        <v>357.78</v>
      </c>
      <c r="F23" s="14" t="s">
        <v>72</v>
      </c>
      <c r="G23" s="16">
        <v>46129.0</v>
      </c>
      <c r="H23" s="17" t="s">
        <v>73</v>
      </c>
      <c r="I23" s="18">
        <v>2898.0</v>
      </c>
      <c r="J23" s="19" t="s">
        <v>74</v>
      </c>
      <c r="K23" s="17" t="s">
        <v>75</v>
      </c>
      <c r="L23" s="18">
        <v>2540.2200000000003</v>
      </c>
      <c r="M23" s="20"/>
      <c r="N23" s="6">
        <f t="array" ref="N23">XLOOKUP($B23, XLOOKUP("Tracking Number", Orders!$1:$1, Orders!$A:$AAA), XLOOKUP("Courier Fee", Orders!$1:$1, Orders!$A:$AAA), "Not Found")</f>
        <v>357.78</v>
      </c>
      <c r="O23" s="6">
        <f t="shared" si="1"/>
        <v>14.3112</v>
      </c>
      <c r="P23" s="6">
        <f t="shared" si="2"/>
        <v>372.0912</v>
      </c>
    </row>
    <row r="24">
      <c r="A24" s="14" t="s">
        <v>96</v>
      </c>
      <c r="B24" s="21">
        <v>2.9120050023527E13</v>
      </c>
      <c r="C24" s="14" t="s">
        <v>71</v>
      </c>
      <c r="D24" s="21">
        <v>3198.0</v>
      </c>
      <c r="E24" s="21">
        <v>402.03</v>
      </c>
      <c r="F24" s="14" t="s">
        <v>72</v>
      </c>
      <c r="G24" s="16">
        <v>46129.0</v>
      </c>
      <c r="H24" s="17" t="s">
        <v>73</v>
      </c>
      <c r="I24" s="18">
        <v>3198.0</v>
      </c>
      <c r="J24" s="19" t="s">
        <v>74</v>
      </c>
      <c r="K24" s="17" t="s">
        <v>75</v>
      </c>
      <c r="L24" s="18">
        <v>2795.9700000000003</v>
      </c>
      <c r="M24" s="20"/>
      <c r="N24" s="6">
        <f t="array" ref="N24">XLOOKUP($B24, XLOOKUP("Tracking Number", Orders!$1:$1, Orders!$A:$AAA), XLOOKUP("Courier Fee", Orders!$1:$1, Orders!$A:$AAA), "Not Found")</f>
        <v>402.03</v>
      </c>
      <c r="O24" s="6">
        <f t="shared" si="1"/>
        <v>16.0812</v>
      </c>
      <c r="P24" s="6">
        <f t="shared" si="2"/>
        <v>418.1112</v>
      </c>
    </row>
    <row r="25">
      <c r="A25" s="14" t="s">
        <v>97</v>
      </c>
      <c r="B25" s="21">
        <v>2.8120050023538E13</v>
      </c>
      <c r="C25" s="14" t="s">
        <v>71</v>
      </c>
      <c r="D25" s="21">
        <v>3099.0</v>
      </c>
      <c r="E25" s="21">
        <v>398.07000000000005</v>
      </c>
      <c r="F25" s="14" t="s">
        <v>72</v>
      </c>
      <c r="G25" s="16">
        <v>46129.0</v>
      </c>
      <c r="H25" s="17" t="s">
        <v>73</v>
      </c>
      <c r="I25" s="18">
        <v>3099.0</v>
      </c>
      <c r="J25" s="19" t="s">
        <v>74</v>
      </c>
      <c r="K25" s="17" t="s">
        <v>75</v>
      </c>
      <c r="L25" s="18">
        <v>2700.93</v>
      </c>
      <c r="M25" s="20"/>
      <c r="N25" s="6">
        <f t="array" ref="N25">XLOOKUP($B25, XLOOKUP("Tracking Number", Orders!$1:$1, Orders!$A:$AAA), XLOOKUP("Courier Fee", Orders!$1:$1, Orders!$A:$AAA), "Not Found")</f>
        <v>398.07</v>
      </c>
      <c r="O25" s="6">
        <f t="shared" si="1"/>
        <v>15.9228</v>
      </c>
      <c r="P25" s="6">
        <f t="shared" si="2"/>
        <v>413.9928</v>
      </c>
    </row>
    <row r="26">
      <c r="A26" s="14" t="s">
        <v>98</v>
      </c>
      <c r="B26" s="21">
        <v>2.7120050023539E13</v>
      </c>
      <c r="C26" s="14" t="s">
        <v>71</v>
      </c>
      <c r="D26" s="21">
        <v>1949.0</v>
      </c>
      <c r="E26" s="21">
        <v>335.94000000000005</v>
      </c>
      <c r="F26" s="14" t="s">
        <v>72</v>
      </c>
      <c r="G26" s="16">
        <v>46129.0</v>
      </c>
      <c r="H26" s="17" t="s">
        <v>73</v>
      </c>
      <c r="I26" s="18">
        <v>1949.0</v>
      </c>
      <c r="J26" s="19" t="s">
        <v>74</v>
      </c>
      <c r="K26" s="17" t="s">
        <v>75</v>
      </c>
      <c r="L26" s="18">
        <v>1613.06</v>
      </c>
      <c r="M26" s="20"/>
      <c r="N26" s="6">
        <f t="array" ref="N26">XLOOKUP($B26, XLOOKUP("Tracking Number", Orders!$1:$1, Orders!$A:$AAA), XLOOKUP("Courier Fee", Orders!$1:$1, Orders!$A:$AAA), "Not Found")</f>
        <v>335.94</v>
      </c>
      <c r="O26" s="6">
        <f t="shared" si="1"/>
        <v>13.4376</v>
      </c>
      <c r="P26" s="6">
        <f t="shared" si="2"/>
        <v>349.3776</v>
      </c>
    </row>
    <row r="27">
      <c r="A27" s="14" t="s">
        <v>99</v>
      </c>
      <c r="B27" s="21">
        <v>2.1120050023502E13</v>
      </c>
      <c r="C27" s="14" t="s">
        <v>71</v>
      </c>
      <c r="D27" s="21">
        <v>3399.0</v>
      </c>
      <c r="E27" s="21">
        <v>393.94000000000005</v>
      </c>
      <c r="F27" s="14" t="s">
        <v>72</v>
      </c>
      <c r="G27" s="16">
        <v>46129.0</v>
      </c>
      <c r="H27" s="17" t="s">
        <v>73</v>
      </c>
      <c r="I27" s="18">
        <v>3399.0</v>
      </c>
      <c r="J27" s="19" t="s">
        <v>74</v>
      </c>
      <c r="K27" s="17" t="s">
        <v>75</v>
      </c>
      <c r="L27" s="18">
        <v>3005.06</v>
      </c>
      <c r="M27" s="20"/>
      <c r="N27" s="6">
        <f t="array" ref="N27">XLOOKUP($B27, XLOOKUP("Tracking Number", Orders!$1:$1, Orders!$A:$AAA), XLOOKUP("Courier Fee", Orders!$1:$1, Orders!$A:$AAA), "Not Found")</f>
        <v>393.94</v>
      </c>
      <c r="O27" s="6">
        <f t="shared" si="1"/>
        <v>15.7576</v>
      </c>
      <c r="P27" s="6">
        <f t="shared" si="2"/>
        <v>409.6976</v>
      </c>
    </row>
    <row r="28">
      <c r="A28" s="14" t="s">
        <v>100</v>
      </c>
      <c r="B28" s="21">
        <v>2.7120050023503E13</v>
      </c>
      <c r="C28" s="14" t="s">
        <v>71</v>
      </c>
      <c r="D28" s="21">
        <v>4997.0</v>
      </c>
      <c r="E28" s="21">
        <v>465.93</v>
      </c>
      <c r="F28" s="14" t="s">
        <v>72</v>
      </c>
      <c r="G28" s="16">
        <v>46129.0</v>
      </c>
      <c r="H28" s="17" t="s">
        <v>73</v>
      </c>
      <c r="I28" s="18">
        <v>4997.0</v>
      </c>
      <c r="J28" s="19" t="s">
        <v>74</v>
      </c>
      <c r="K28" s="17" t="s">
        <v>75</v>
      </c>
      <c r="L28" s="18">
        <v>4531.07</v>
      </c>
      <c r="M28" s="20"/>
      <c r="N28" s="6">
        <f t="array" ref="N28">XLOOKUP($B28, XLOOKUP("Tracking Number", Orders!$1:$1, Orders!$A:$AAA), XLOOKUP("Courier Fee", Orders!$1:$1, Orders!$A:$AAA), "Not Found")</f>
        <v>465.93</v>
      </c>
      <c r="O28" s="6">
        <f t="shared" si="1"/>
        <v>18.6372</v>
      </c>
      <c r="P28" s="6">
        <f t="shared" si="2"/>
        <v>484.5672</v>
      </c>
    </row>
    <row r="29">
      <c r="A29" s="14" t="s">
        <v>101</v>
      </c>
      <c r="B29" s="21">
        <v>2.912005002354E13</v>
      </c>
      <c r="C29" s="14" t="s">
        <v>71</v>
      </c>
      <c r="D29" s="21">
        <v>2098.0</v>
      </c>
      <c r="E29" s="21">
        <v>212.91000000000003</v>
      </c>
      <c r="F29" s="14" t="s">
        <v>72</v>
      </c>
      <c r="G29" s="16">
        <v>46129.0</v>
      </c>
      <c r="H29" s="17" t="s">
        <v>73</v>
      </c>
      <c r="I29" s="18">
        <v>2098.0</v>
      </c>
      <c r="J29" s="19" t="s">
        <v>74</v>
      </c>
      <c r="K29" s="17" t="s">
        <v>75</v>
      </c>
      <c r="L29" s="18">
        <v>1885.09</v>
      </c>
      <c r="M29" s="20"/>
      <c r="N29" s="6">
        <f t="array" ref="N29">XLOOKUP($B29, XLOOKUP("Tracking Number", Orders!$1:$1, Orders!$A:$AAA), XLOOKUP("Courier Fee", Orders!$1:$1, Orders!$A:$AAA), "Not Found")</f>
        <v>212.91</v>
      </c>
      <c r="O29" s="6">
        <f t="shared" si="1"/>
        <v>8.5164</v>
      </c>
      <c r="P29" s="6">
        <f t="shared" si="2"/>
        <v>221.4264</v>
      </c>
    </row>
    <row r="30">
      <c r="A30" s="14" t="s">
        <v>102</v>
      </c>
      <c r="B30" s="21">
        <v>2.7120050023574E13</v>
      </c>
      <c r="C30" s="14" t="s">
        <v>71</v>
      </c>
      <c r="D30" s="21">
        <v>2797.0</v>
      </c>
      <c r="E30" s="21">
        <v>377.93</v>
      </c>
      <c r="F30" s="14" t="s">
        <v>72</v>
      </c>
      <c r="G30" s="16">
        <v>46129.0</v>
      </c>
      <c r="H30" s="17" t="s">
        <v>73</v>
      </c>
      <c r="I30" s="18">
        <v>2797.0</v>
      </c>
      <c r="J30" s="19" t="s">
        <v>74</v>
      </c>
      <c r="K30" s="17" t="s">
        <v>75</v>
      </c>
      <c r="L30" s="18">
        <v>2419.07</v>
      </c>
      <c r="M30" s="20"/>
      <c r="N30" s="6">
        <f t="array" ref="N30">XLOOKUP($B30, XLOOKUP("Tracking Number", Orders!$1:$1, Orders!$A:$AAA), XLOOKUP("Courier Fee", Orders!$1:$1, Orders!$A:$AAA), "Not Found")</f>
        <v>377.93</v>
      </c>
      <c r="O30" s="6">
        <f t="shared" si="1"/>
        <v>15.1172</v>
      </c>
      <c r="P30" s="6">
        <f t="shared" si="2"/>
        <v>393.0472</v>
      </c>
    </row>
    <row r="31">
      <c r="A31" s="14" t="s">
        <v>103</v>
      </c>
      <c r="B31" s="21">
        <v>2.5120050023543E13</v>
      </c>
      <c r="C31" s="14" t="s">
        <v>71</v>
      </c>
      <c r="D31" s="21">
        <v>2997.0</v>
      </c>
      <c r="E31" s="21">
        <v>393.99</v>
      </c>
      <c r="F31" s="14" t="s">
        <v>72</v>
      </c>
      <c r="G31" s="16">
        <v>46129.0</v>
      </c>
      <c r="H31" s="17" t="s">
        <v>73</v>
      </c>
      <c r="I31" s="18">
        <v>2997.0</v>
      </c>
      <c r="J31" s="19" t="s">
        <v>74</v>
      </c>
      <c r="K31" s="17" t="s">
        <v>75</v>
      </c>
      <c r="L31" s="18">
        <v>2603.01</v>
      </c>
      <c r="M31" s="20"/>
      <c r="N31" s="6">
        <f t="array" ref="N31">XLOOKUP($B31, XLOOKUP("Tracking Number", Orders!$1:$1, Orders!$A:$AAA), XLOOKUP("Courier Fee", Orders!$1:$1, Orders!$A:$AAA), "Not Found")</f>
        <v>393.99</v>
      </c>
      <c r="O31" s="6">
        <f t="shared" si="1"/>
        <v>15.7596</v>
      </c>
      <c r="P31" s="6">
        <f t="shared" si="2"/>
        <v>409.7496</v>
      </c>
    </row>
    <row r="32">
      <c r="A32" s="14" t="s">
        <v>104</v>
      </c>
      <c r="B32" s="21">
        <v>2.912005002355E13</v>
      </c>
      <c r="C32" s="14" t="s">
        <v>71</v>
      </c>
      <c r="D32" s="21">
        <v>2099.0</v>
      </c>
      <c r="E32" s="21">
        <v>325.82000000000005</v>
      </c>
      <c r="F32" s="14" t="s">
        <v>72</v>
      </c>
      <c r="G32" s="16">
        <v>46129.0</v>
      </c>
      <c r="H32" s="17" t="s">
        <v>73</v>
      </c>
      <c r="I32" s="18">
        <v>2099.0</v>
      </c>
      <c r="J32" s="19" t="s">
        <v>74</v>
      </c>
      <c r="K32" s="17" t="s">
        <v>75</v>
      </c>
      <c r="L32" s="18">
        <v>1773.1799999999998</v>
      </c>
      <c r="M32" s="20"/>
      <c r="N32" s="6">
        <f t="array" ref="N32">XLOOKUP($B32, XLOOKUP("Tracking Number", Orders!$1:$1, Orders!$A:$AAA), XLOOKUP("Courier Fee", Orders!$1:$1, Orders!$A:$AAA), "Not Found")</f>
        <v>325.82</v>
      </c>
      <c r="O32" s="6">
        <f t="shared" si="1"/>
        <v>13.0328</v>
      </c>
      <c r="P32" s="6">
        <f t="shared" si="2"/>
        <v>338.8528</v>
      </c>
    </row>
    <row r="33">
      <c r="A33" s="14" t="s">
        <v>105</v>
      </c>
      <c r="B33" s="21">
        <v>2.0120050023504E13</v>
      </c>
      <c r="C33" s="14" t="s">
        <v>71</v>
      </c>
      <c r="D33" s="21">
        <v>3399.0</v>
      </c>
      <c r="E33" s="21">
        <v>393.94000000000005</v>
      </c>
      <c r="F33" s="14" t="s">
        <v>72</v>
      </c>
      <c r="G33" s="16">
        <v>46129.0</v>
      </c>
      <c r="H33" s="17" t="s">
        <v>73</v>
      </c>
      <c r="I33" s="18">
        <v>3399.0</v>
      </c>
      <c r="J33" s="19" t="s">
        <v>74</v>
      </c>
      <c r="K33" s="17" t="s">
        <v>75</v>
      </c>
      <c r="L33" s="18">
        <v>3005.06</v>
      </c>
      <c r="M33" s="20"/>
      <c r="N33" s="6">
        <f t="array" ref="N33">XLOOKUP($B33, XLOOKUP("Tracking Number", Orders!$1:$1, Orders!$A:$AAA), XLOOKUP("Courier Fee", Orders!$1:$1, Orders!$A:$AAA), "Not Found")</f>
        <v>393.94</v>
      </c>
      <c r="O33" s="6">
        <f t="shared" si="1"/>
        <v>15.7576</v>
      </c>
      <c r="P33" s="6">
        <f t="shared" si="2"/>
        <v>409.6976</v>
      </c>
    </row>
    <row r="34">
      <c r="A34" s="14" t="s">
        <v>106</v>
      </c>
      <c r="B34" s="21">
        <v>2.0120050023552E13</v>
      </c>
      <c r="C34" s="14" t="s">
        <v>71</v>
      </c>
      <c r="D34" s="21">
        <v>3099.0</v>
      </c>
      <c r="E34" s="21">
        <v>269.08</v>
      </c>
      <c r="F34" s="14" t="s">
        <v>72</v>
      </c>
      <c r="G34" s="16">
        <v>46129.0</v>
      </c>
      <c r="H34" s="17" t="s">
        <v>73</v>
      </c>
      <c r="I34" s="18">
        <v>3099.0</v>
      </c>
      <c r="J34" s="19" t="s">
        <v>74</v>
      </c>
      <c r="K34" s="17" t="s">
        <v>75</v>
      </c>
      <c r="L34" s="18">
        <v>2829.92</v>
      </c>
      <c r="M34" s="20"/>
      <c r="N34" s="6">
        <f t="array" ref="N34">XLOOKUP($B34, XLOOKUP("Tracking Number", Orders!$1:$1, Orders!$A:$AAA), XLOOKUP("Courier Fee", Orders!$1:$1, Orders!$A:$AAA), "Not Found")</f>
        <v>269.08</v>
      </c>
      <c r="O34" s="6">
        <f t="shared" si="1"/>
        <v>10.7632</v>
      </c>
      <c r="P34" s="6">
        <f t="shared" si="2"/>
        <v>279.8432</v>
      </c>
    </row>
    <row r="35">
      <c r="A35" s="14" t="s">
        <v>107</v>
      </c>
      <c r="B35" s="21">
        <v>2.4120050023553E13</v>
      </c>
      <c r="C35" s="14" t="s">
        <v>71</v>
      </c>
      <c r="D35" s="21">
        <v>1949.0</v>
      </c>
      <c r="E35" s="21">
        <v>319.82000000000005</v>
      </c>
      <c r="F35" s="14" t="s">
        <v>72</v>
      </c>
      <c r="G35" s="16">
        <v>46129.0</v>
      </c>
      <c r="H35" s="17" t="s">
        <v>73</v>
      </c>
      <c r="I35" s="18">
        <v>1949.0</v>
      </c>
      <c r="J35" s="19" t="s">
        <v>74</v>
      </c>
      <c r="K35" s="17" t="s">
        <v>75</v>
      </c>
      <c r="L35" s="18">
        <v>1629.1799999999998</v>
      </c>
      <c r="M35" s="20"/>
      <c r="N35" s="6">
        <f t="array" ref="N35">XLOOKUP($B35, XLOOKUP("Tracking Number", Orders!$1:$1, Orders!$A:$AAA), XLOOKUP("Courier Fee", Orders!$1:$1, Orders!$A:$AAA), "Not Found")</f>
        <v>319.82</v>
      </c>
      <c r="O35" s="6">
        <f t="shared" si="1"/>
        <v>12.7928</v>
      </c>
      <c r="P35" s="6">
        <f t="shared" si="2"/>
        <v>332.6128</v>
      </c>
    </row>
    <row r="36">
      <c r="A36" s="14" t="s">
        <v>108</v>
      </c>
      <c r="B36" s="21">
        <v>2.7120050023603E13</v>
      </c>
      <c r="C36" s="14" t="s">
        <v>71</v>
      </c>
      <c r="D36" s="21">
        <v>5898.0</v>
      </c>
      <c r="E36" s="21">
        <v>614.8299999999999</v>
      </c>
      <c r="F36" s="14" t="s">
        <v>72</v>
      </c>
      <c r="G36" s="16">
        <v>46129.0</v>
      </c>
      <c r="H36" s="17" t="s">
        <v>73</v>
      </c>
      <c r="I36" s="18">
        <v>5898.0</v>
      </c>
      <c r="J36" s="19" t="s">
        <v>74</v>
      </c>
      <c r="K36" s="17" t="s">
        <v>75</v>
      </c>
      <c r="L36" s="18">
        <v>5283.17</v>
      </c>
      <c r="M36" s="20"/>
      <c r="N36" s="6">
        <f t="array" ref="N36">XLOOKUP($B36, XLOOKUP("Tracking Number", Orders!$1:$1, Orders!$A:$AAA), XLOOKUP("Courier Fee", Orders!$1:$1, Orders!$A:$AAA), "Not Found")</f>
        <v>614.83</v>
      </c>
      <c r="O36" s="6">
        <f t="shared" si="1"/>
        <v>24.5932</v>
      </c>
      <c r="P36" s="6">
        <f t="shared" si="2"/>
        <v>639.4232</v>
      </c>
    </row>
    <row r="37">
      <c r="A37" s="14" t="s">
        <v>109</v>
      </c>
      <c r="B37" s="21">
        <v>2.9120050023554E13</v>
      </c>
      <c r="C37" s="14" t="s">
        <v>71</v>
      </c>
      <c r="D37" s="21">
        <v>3099.0</v>
      </c>
      <c r="E37" s="21">
        <v>398.07000000000005</v>
      </c>
      <c r="F37" s="14" t="s">
        <v>72</v>
      </c>
      <c r="G37" s="16">
        <v>46129.0</v>
      </c>
      <c r="H37" s="17" t="s">
        <v>73</v>
      </c>
      <c r="I37" s="18">
        <v>3099.0</v>
      </c>
      <c r="J37" s="19" t="s">
        <v>74</v>
      </c>
      <c r="K37" s="17" t="s">
        <v>75</v>
      </c>
      <c r="L37" s="18">
        <v>2700.93</v>
      </c>
      <c r="M37" s="20"/>
      <c r="N37" s="6">
        <f t="array" ref="N37">XLOOKUP($B37, XLOOKUP("Tracking Number", Orders!$1:$1, Orders!$A:$AAA), XLOOKUP("Courier Fee", Orders!$1:$1, Orders!$A:$AAA), "Not Found")</f>
        <v>398.07</v>
      </c>
      <c r="O37" s="6">
        <f t="shared" si="1"/>
        <v>15.9228</v>
      </c>
      <c r="P37" s="6">
        <f t="shared" si="2"/>
        <v>413.9928</v>
      </c>
    </row>
    <row r="38">
      <c r="A38" s="14" t="s">
        <v>110</v>
      </c>
      <c r="B38" s="21">
        <v>2.3120050023556E13</v>
      </c>
      <c r="C38" s="14" t="s">
        <v>71</v>
      </c>
      <c r="D38" s="21">
        <v>2099.0</v>
      </c>
      <c r="E38" s="21">
        <v>325.82000000000005</v>
      </c>
      <c r="F38" s="14" t="s">
        <v>72</v>
      </c>
      <c r="G38" s="16">
        <v>46129.0</v>
      </c>
      <c r="H38" s="17" t="s">
        <v>73</v>
      </c>
      <c r="I38" s="18">
        <v>2099.0</v>
      </c>
      <c r="J38" s="19" t="s">
        <v>74</v>
      </c>
      <c r="K38" s="17" t="s">
        <v>75</v>
      </c>
      <c r="L38" s="18">
        <v>1773.1799999999998</v>
      </c>
      <c r="M38" s="20"/>
      <c r="N38" s="6">
        <f t="array" ref="N38">XLOOKUP($B38, XLOOKUP("Tracking Number", Orders!$1:$1, Orders!$A:$AAA), XLOOKUP("Courier Fee", Orders!$1:$1, Orders!$A:$AAA), "Not Found")</f>
        <v>325.82</v>
      </c>
      <c r="O38" s="6">
        <f t="shared" si="1"/>
        <v>13.0328</v>
      </c>
      <c r="P38" s="6">
        <f t="shared" si="2"/>
        <v>338.8528</v>
      </c>
    </row>
    <row r="39">
      <c r="A39" s="14" t="s">
        <v>111</v>
      </c>
      <c r="B39" s="21">
        <v>2.8120050023557E13</v>
      </c>
      <c r="C39" s="14" t="s">
        <v>71</v>
      </c>
      <c r="D39" s="21">
        <v>3099.0</v>
      </c>
      <c r="E39" s="21">
        <v>390.01000000000005</v>
      </c>
      <c r="F39" s="14" t="s">
        <v>72</v>
      </c>
      <c r="G39" s="16">
        <v>46129.0</v>
      </c>
      <c r="H39" s="17" t="s">
        <v>73</v>
      </c>
      <c r="I39" s="18">
        <v>3099.0</v>
      </c>
      <c r="J39" s="19" t="s">
        <v>74</v>
      </c>
      <c r="K39" s="17" t="s">
        <v>75</v>
      </c>
      <c r="L39" s="18">
        <v>2708.99</v>
      </c>
      <c r="M39" s="20"/>
      <c r="N39" s="6">
        <f t="array" ref="N39">XLOOKUP($B39, XLOOKUP("Tracking Number", Orders!$1:$1, Orders!$A:$AAA), XLOOKUP("Courier Fee", Orders!$1:$1, Orders!$A:$AAA), "Not Found")</f>
        <v>390.01</v>
      </c>
      <c r="O39" s="6">
        <f t="shared" si="1"/>
        <v>15.6004</v>
      </c>
      <c r="P39" s="6">
        <f t="shared" si="2"/>
        <v>405.6104</v>
      </c>
    </row>
    <row r="40">
      <c r="A40" s="14" t="s">
        <v>112</v>
      </c>
      <c r="B40" s="21">
        <v>2.0120050023563E13</v>
      </c>
      <c r="C40" s="14" t="s">
        <v>71</v>
      </c>
      <c r="D40" s="21">
        <v>3545.0</v>
      </c>
      <c r="E40" s="21">
        <v>383.65999999999997</v>
      </c>
      <c r="F40" s="14" t="s">
        <v>72</v>
      </c>
      <c r="G40" s="16">
        <v>46129.0</v>
      </c>
      <c r="H40" s="17" t="s">
        <v>73</v>
      </c>
      <c r="I40" s="18">
        <v>3545.98</v>
      </c>
      <c r="J40" s="19" t="s">
        <v>74</v>
      </c>
      <c r="K40" s="17" t="s">
        <v>113</v>
      </c>
      <c r="L40" s="18">
        <v>3161.34</v>
      </c>
      <c r="M40" s="20"/>
      <c r="N40" s="6">
        <f t="array" ref="N40">XLOOKUP($B40, XLOOKUP("Tracking Number", Orders!$1:$1, Orders!$A:$AAA), XLOOKUP("Courier Fee", Orders!$1:$1, Orders!$A:$AAA), "Not Found")</f>
        <v>383.66</v>
      </c>
      <c r="O40" s="6">
        <f t="shared" si="1"/>
        <v>15.3464</v>
      </c>
      <c r="P40" s="6">
        <f t="shared" si="2"/>
        <v>399.0064</v>
      </c>
    </row>
    <row r="41">
      <c r="A41" s="14" t="s">
        <v>114</v>
      </c>
      <c r="B41" s="21">
        <v>2.9120050023558E13</v>
      </c>
      <c r="C41" s="14" t="s">
        <v>71</v>
      </c>
      <c r="D41" s="21">
        <v>3099.0</v>
      </c>
      <c r="E41" s="21">
        <v>390.01000000000005</v>
      </c>
      <c r="F41" s="14" t="s">
        <v>72</v>
      </c>
      <c r="G41" s="16">
        <v>46129.0</v>
      </c>
      <c r="H41" s="17" t="s">
        <v>73</v>
      </c>
      <c r="I41" s="18">
        <v>3099.0</v>
      </c>
      <c r="J41" s="19" t="s">
        <v>74</v>
      </c>
      <c r="K41" s="17" t="s">
        <v>75</v>
      </c>
      <c r="L41" s="18">
        <v>2708.99</v>
      </c>
      <c r="M41" s="20"/>
      <c r="N41" s="6">
        <f t="array" ref="N41">XLOOKUP($B41, XLOOKUP("Tracking Number", Orders!$1:$1, Orders!$A:$AAA), XLOOKUP("Courier Fee", Orders!$1:$1, Orders!$A:$AAA), "Not Found")</f>
        <v>390.01</v>
      </c>
      <c r="O41" s="6">
        <f t="shared" si="1"/>
        <v>15.6004</v>
      </c>
      <c r="P41" s="6">
        <f t="shared" si="2"/>
        <v>405.6104</v>
      </c>
    </row>
    <row r="42">
      <c r="A42" s="14" t="s">
        <v>115</v>
      </c>
      <c r="B42" s="21">
        <v>2.5120050023583E13</v>
      </c>
      <c r="C42" s="14" t="s">
        <v>71</v>
      </c>
      <c r="D42" s="21">
        <v>3397.0</v>
      </c>
      <c r="E42" s="21">
        <v>377.74</v>
      </c>
      <c r="F42" s="14" t="s">
        <v>72</v>
      </c>
      <c r="G42" s="16">
        <v>46129.0</v>
      </c>
      <c r="H42" s="17" t="s">
        <v>73</v>
      </c>
      <c r="I42" s="18">
        <v>3397.0</v>
      </c>
      <c r="J42" s="19" t="s">
        <v>74</v>
      </c>
      <c r="K42" s="17" t="s">
        <v>75</v>
      </c>
      <c r="L42" s="18">
        <v>3019.26</v>
      </c>
      <c r="M42" s="20"/>
      <c r="N42" s="6">
        <f t="array" ref="N42">XLOOKUP($B42, XLOOKUP("Tracking Number", Orders!$1:$1, Orders!$A:$AAA), XLOOKUP("Courier Fee", Orders!$1:$1, Orders!$A:$AAA), "Not Found")</f>
        <v>377.74</v>
      </c>
      <c r="O42" s="6">
        <f t="shared" si="1"/>
        <v>15.1096</v>
      </c>
      <c r="P42" s="6">
        <f t="shared" si="2"/>
        <v>392.8496</v>
      </c>
    </row>
    <row r="43">
      <c r="A43" s="14" t="s">
        <v>116</v>
      </c>
      <c r="B43" s="21">
        <v>2.9120050023584E13</v>
      </c>
      <c r="C43" s="14" t="s">
        <v>71</v>
      </c>
      <c r="D43" s="21">
        <v>3099.0</v>
      </c>
      <c r="E43" s="21">
        <v>269.08</v>
      </c>
      <c r="F43" s="14" t="s">
        <v>72</v>
      </c>
      <c r="G43" s="16">
        <v>46129.0</v>
      </c>
      <c r="H43" s="17" t="s">
        <v>73</v>
      </c>
      <c r="I43" s="18">
        <v>3099.0</v>
      </c>
      <c r="J43" s="19" t="s">
        <v>74</v>
      </c>
      <c r="K43" s="17" t="s">
        <v>75</v>
      </c>
      <c r="L43" s="18">
        <v>2829.92</v>
      </c>
      <c r="M43" s="20"/>
      <c r="N43" s="6">
        <f t="array" ref="N43">XLOOKUP($B43, XLOOKUP("Tracking Number", Orders!$1:$1, Orders!$A:$AAA), XLOOKUP("Courier Fee", Orders!$1:$1, Orders!$A:$AAA), "Not Found")</f>
        <v>269.08</v>
      </c>
      <c r="O43" s="6">
        <f t="shared" si="1"/>
        <v>10.7632</v>
      </c>
      <c r="P43" s="6">
        <f t="shared" si="2"/>
        <v>279.8432</v>
      </c>
    </row>
    <row r="44">
      <c r="A44" s="14" t="s">
        <v>117</v>
      </c>
      <c r="B44" s="21">
        <v>2.9120050023507E13</v>
      </c>
      <c r="C44" s="14" t="s">
        <v>71</v>
      </c>
      <c r="D44" s="21">
        <v>3399.0</v>
      </c>
      <c r="E44" s="21">
        <v>377.82000000000005</v>
      </c>
      <c r="F44" s="14" t="s">
        <v>72</v>
      </c>
      <c r="G44" s="16">
        <v>46129.0</v>
      </c>
      <c r="H44" s="17" t="s">
        <v>73</v>
      </c>
      <c r="I44" s="18">
        <v>3399.0</v>
      </c>
      <c r="J44" s="19" t="s">
        <v>74</v>
      </c>
      <c r="K44" s="17" t="s">
        <v>75</v>
      </c>
      <c r="L44" s="18">
        <v>3021.18</v>
      </c>
      <c r="M44" s="20"/>
      <c r="N44" s="6">
        <f t="array" ref="N44">XLOOKUP($B44, XLOOKUP("Tracking Number", Orders!$1:$1, Orders!$A:$AAA), XLOOKUP("Courier Fee", Orders!$1:$1, Orders!$A:$AAA), "Not Found")</f>
        <v>377.82</v>
      </c>
      <c r="O44" s="6">
        <f t="shared" si="1"/>
        <v>15.1128</v>
      </c>
      <c r="P44" s="6">
        <f t="shared" si="2"/>
        <v>392.9328</v>
      </c>
    </row>
    <row r="45">
      <c r="A45" s="14" t="s">
        <v>118</v>
      </c>
      <c r="B45" s="21">
        <v>2.8120050023585E13</v>
      </c>
      <c r="C45" s="14" t="s">
        <v>71</v>
      </c>
      <c r="D45" s="21">
        <v>3099.0</v>
      </c>
      <c r="E45" s="21">
        <v>390.01000000000005</v>
      </c>
      <c r="F45" s="14" t="s">
        <v>72</v>
      </c>
      <c r="G45" s="16">
        <v>46129.0</v>
      </c>
      <c r="H45" s="17" t="s">
        <v>73</v>
      </c>
      <c r="I45" s="18">
        <v>3099.0</v>
      </c>
      <c r="J45" s="19" t="s">
        <v>74</v>
      </c>
      <c r="K45" s="17" t="s">
        <v>75</v>
      </c>
      <c r="L45" s="18">
        <v>2708.99</v>
      </c>
      <c r="M45" s="20"/>
      <c r="N45" s="6">
        <f t="array" ref="N45">XLOOKUP($B45, XLOOKUP("Tracking Number", Orders!$1:$1, Orders!$A:$AAA), XLOOKUP("Courier Fee", Orders!$1:$1, Orders!$A:$AAA), "Not Found")</f>
        <v>390.01</v>
      </c>
      <c r="O45" s="6">
        <f t="shared" si="1"/>
        <v>15.6004</v>
      </c>
      <c r="P45" s="6">
        <f t="shared" si="2"/>
        <v>405.6104</v>
      </c>
    </row>
    <row r="46">
      <c r="A46" s="14" t="s">
        <v>119</v>
      </c>
      <c r="B46" s="21">
        <v>2.8120050023509E13</v>
      </c>
      <c r="C46" s="14" t="s">
        <v>71</v>
      </c>
      <c r="D46" s="21">
        <v>3099.0</v>
      </c>
      <c r="E46" s="21">
        <v>390.01000000000005</v>
      </c>
      <c r="F46" s="14" t="s">
        <v>72</v>
      </c>
      <c r="G46" s="16">
        <v>46129.0</v>
      </c>
      <c r="H46" s="17" t="s">
        <v>73</v>
      </c>
      <c r="I46" s="18">
        <v>3099.0</v>
      </c>
      <c r="J46" s="19" t="s">
        <v>74</v>
      </c>
      <c r="K46" s="17" t="s">
        <v>75</v>
      </c>
      <c r="L46" s="18">
        <v>2708.99</v>
      </c>
      <c r="M46" s="20"/>
      <c r="N46" s="6">
        <f t="array" ref="N46">XLOOKUP($B46, XLOOKUP("Tracking Number", Orders!$1:$1, Orders!$A:$AAA), XLOOKUP("Courier Fee", Orders!$1:$1, Orders!$A:$AAA), "Not Found")</f>
        <v>390.01</v>
      </c>
      <c r="O46" s="6">
        <f t="shared" si="1"/>
        <v>15.6004</v>
      </c>
      <c r="P46" s="6">
        <f t="shared" si="2"/>
        <v>405.6104</v>
      </c>
    </row>
    <row r="47">
      <c r="A47" s="14" t="s">
        <v>120</v>
      </c>
      <c r="B47" s="21">
        <v>2.3120050023588E13</v>
      </c>
      <c r="C47" s="14" t="s">
        <v>71</v>
      </c>
      <c r="D47" s="21">
        <v>1949.0</v>
      </c>
      <c r="E47" s="21">
        <v>319.82000000000005</v>
      </c>
      <c r="F47" s="14" t="s">
        <v>72</v>
      </c>
      <c r="G47" s="16">
        <v>46129.0</v>
      </c>
      <c r="H47" s="17" t="s">
        <v>73</v>
      </c>
      <c r="I47" s="18">
        <v>1949.0</v>
      </c>
      <c r="J47" s="19" t="s">
        <v>74</v>
      </c>
      <c r="K47" s="17" t="s">
        <v>75</v>
      </c>
      <c r="L47" s="18">
        <v>1629.1799999999998</v>
      </c>
      <c r="M47" s="20"/>
      <c r="N47" s="6">
        <f t="array" ref="N47">XLOOKUP($B47, XLOOKUP("Tracking Number", Orders!$1:$1, Orders!$A:$AAA), XLOOKUP("Courier Fee", Orders!$1:$1, Orders!$A:$AAA), "Not Found")</f>
        <v>319.82</v>
      </c>
      <c r="O47" s="6">
        <f t="shared" si="1"/>
        <v>12.7928</v>
      </c>
      <c r="P47" s="6">
        <f t="shared" si="2"/>
        <v>332.6128</v>
      </c>
    </row>
    <row r="48">
      <c r="A48" s="14" t="s">
        <v>121</v>
      </c>
      <c r="B48" s="21">
        <v>2.312005002351E13</v>
      </c>
      <c r="C48" s="14" t="s">
        <v>71</v>
      </c>
      <c r="D48" s="21">
        <v>3100.0</v>
      </c>
      <c r="E48" s="21">
        <v>381.98</v>
      </c>
      <c r="F48" s="14" t="s">
        <v>72</v>
      </c>
      <c r="G48" s="16">
        <v>46129.0</v>
      </c>
      <c r="H48" s="17" t="s">
        <v>73</v>
      </c>
      <c r="I48" s="18">
        <v>3100.0</v>
      </c>
      <c r="J48" s="19" t="s">
        <v>74</v>
      </c>
      <c r="K48" s="17" t="s">
        <v>75</v>
      </c>
      <c r="L48" s="18">
        <v>2718.02</v>
      </c>
      <c r="M48" s="20"/>
      <c r="N48" s="6">
        <f t="array" ref="N48">XLOOKUP($B48, XLOOKUP("Tracking Number", Orders!$1:$1, Orders!$A:$AAA), XLOOKUP("Courier Fee", Orders!$1:$1, Orders!$A:$AAA), "Not Found")</f>
        <v>381.98</v>
      </c>
      <c r="O48" s="6">
        <f t="shared" si="1"/>
        <v>15.2792</v>
      </c>
      <c r="P48" s="6">
        <f t="shared" si="2"/>
        <v>397.2592</v>
      </c>
    </row>
    <row r="49">
      <c r="A49" s="14" t="s">
        <v>122</v>
      </c>
      <c r="B49" s="21">
        <v>2.7120050023511E13</v>
      </c>
      <c r="C49" s="14" t="s">
        <v>71</v>
      </c>
      <c r="D49" s="21">
        <v>3300.0</v>
      </c>
      <c r="E49" s="21">
        <v>277.12</v>
      </c>
      <c r="F49" s="14" t="s">
        <v>72</v>
      </c>
      <c r="G49" s="16">
        <v>46129.0</v>
      </c>
      <c r="H49" s="17" t="s">
        <v>73</v>
      </c>
      <c r="I49" s="18">
        <v>3300.0</v>
      </c>
      <c r="J49" s="19" t="s">
        <v>74</v>
      </c>
      <c r="K49" s="17" t="s">
        <v>75</v>
      </c>
      <c r="L49" s="18">
        <v>3022.88</v>
      </c>
      <c r="M49" s="20"/>
      <c r="N49" s="6">
        <f t="array" ref="N49">XLOOKUP($B49, XLOOKUP("Tracking Number", Orders!$1:$1, Orders!$A:$AAA), XLOOKUP("Courier Fee", Orders!$1:$1, Orders!$A:$AAA), "Not Found")</f>
        <v>277.12</v>
      </c>
      <c r="O49" s="6">
        <f t="shared" si="1"/>
        <v>11.0848</v>
      </c>
      <c r="P49" s="6">
        <f t="shared" si="2"/>
        <v>288.2048</v>
      </c>
    </row>
    <row r="50">
      <c r="A50" s="14" t="s">
        <v>123</v>
      </c>
      <c r="B50" s="21">
        <v>2.5120050023512E13</v>
      </c>
      <c r="C50" s="14" t="s">
        <v>71</v>
      </c>
      <c r="D50" s="21">
        <v>3348.0</v>
      </c>
      <c r="E50" s="21">
        <v>375.78</v>
      </c>
      <c r="F50" s="14" t="s">
        <v>72</v>
      </c>
      <c r="G50" s="16">
        <v>46129.0</v>
      </c>
      <c r="H50" s="17" t="s">
        <v>73</v>
      </c>
      <c r="I50" s="18">
        <v>3348.0</v>
      </c>
      <c r="J50" s="19" t="s">
        <v>74</v>
      </c>
      <c r="K50" s="17" t="s">
        <v>75</v>
      </c>
      <c r="L50" s="18">
        <v>2972.2200000000003</v>
      </c>
      <c r="M50" s="20"/>
      <c r="N50" s="6">
        <f t="array" ref="N50">XLOOKUP($B50, XLOOKUP("Tracking Number", Orders!$1:$1, Orders!$A:$AAA), XLOOKUP("Courier Fee", Orders!$1:$1, Orders!$A:$AAA), "Not Found")</f>
        <v>375.78</v>
      </c>
      <c r="O50" s="6">
        <f t="shared" si="1"/>
        <v>15.0312</v>
      </c>
      <c r="P50" s="6">
        <f t="shared" si="2"/>
        <v>390.8112</v>
      </c>
    </row>
    <row r="51">
      <c r="A51" s="14" t="s">
        <v>124</v>
      </c>
      <c r="B51" s="21">
        <v>2.8120050023488E13</v>
      </c>
      <c r="C51" s="14" t="s">
        <v>71</v>
      </c>
      <c r="D51" s="21">
        <v>2098.0</v>
      </c>
      <c r="E51" s="21">
        <v>325.78</v>
      </c>
      <c r="F51" s="14" t="s">
        <v>72</v>
      </c>
      <c r="G51" s="16">
        <v>46129.0</v>
      </c>
      <c r="H51" s="17" t="s">
        <v>73</v>
      </c>
      <c r="I51" s="18">
        <v>2098.0</v>
      </c>
      <c r="J51" s="19" t="s">
        <v>74</v>
      </c>
      <c r="K51" s="17" t="s">
        <v>75</v>
      </c>
      <c r="L51" s="18">
        <v>1772.22</v>
      </c>
      <c r="M51" s="20"/>
      <c r="N51" s="6">
        <f t="array" ref="N51">XLOOKUP($B51, XLOOKUP("Tracking Number", Orders!$1:$1, Orders!$A:$AAA), XLOOKUP("Courier Fee", Orders!$1:$1, Orders!$A:$AAA), "Not Found")</f>
        <v>325.78</v>
      </c>
      <c r="O51" s="6">
        <f t="shared" si="1"/>
        <v>13.0312</v>
      </c>
      <c r="P51" s="6">
        <f t="shared" si="2"/>
        <v>338.8112</v>
      </c>
    </row>
    <row r="52">
      <c r="A52" s="14" t="s">
        <v>125</v>
      </c>
      <c r="B52" s="21">
        <v>2.5120050023513E13</v>
      </c>
      <c r="C52" s="14" t="s">
        <v>71</v>
      </c>
      <c r="D52" s="21">
        <v>2099.0</v>
      </c>
      <c r="E52" s="21">
        <v>325.82000000000005</v>
      </c>
      <c r="F52" s="14" t="s">
        <v>72</v>
      </c>
      <c r="G52" s="16">
        <v>46129.0</v>
      </c>
      <c r="H52" s="17" t="s">
        <v>73</v>
      </c>
      <c r="I52" s="18">
        <v>2099.0</v>
      </c>
      <c r="J52" s="19" t="s">
        <v>74</v>
      </c>
      <c r="K52" s="17" t="s">
        <v>75</v>
      </c>
      <c r="L52" s="18">
        <v>1773.1799999999998</v>
      </c>
      <c r="M52" s="20"/>
      <c r="N52" s="6">
        <f t="array" ref="N52">XLOOKUP($B52, XLOOKUP("Tracking Number", Orders!$1:$1, Orders!$A:$AAA), XLOOKUP("Courier Fee", Orders!$1:$1, Orders!$A:$AAA), "Not Found")</f>
        <v>325.82</v>
      </c>
      <c r="O52" s="6">
        <f t="shared" si="1"/>
        <v>13.0328</v>
      </c>
      <c r="P52" s="6">
        <f t="shared" si="2"/>
        <v>338.8528</v>
      </c>
    </row>
    <row r="53">
      <c r="A53" s="14" t="s">
        <v>126</v>
      </c>
      <c r="B53" s="21">
        <v>2.6120050023492E13</v>
      </c>
      <c r="C53" s="14" t="s">
        <v>71</v>
      </c>
      <c r="D53" s="21">
        <v>2797.0</v>
      </c>
      <c r="E53" s="21">
        <v>385.99</v>
      </c>
      <c r="F53" s="14" t="s">
        <v>72</v>
      </c>
      <c r="G53" s="16">
        <v>46129.0</v>
      </c>
      <c r="H53" s="17" t="s">
        <v>73</v>
      </c>
      <c r="I53" s="18">
        <v>2797.0</v>
      </c>
      <c r="J53" s="19" t="s">
        <v>74</v>
      </c>
      <c r="K53" s="17" t="s">
        <v>75</v>
      </c>
      <c r="L53" s="18">
        <v>2411.01</v>
      </c>
      <c r="M53" s="20"/>
      <c r="N53" s="6">
        <f t="array" ref="N53">XLOOKUP($B53, XLOOKUP("Tracking Number", Orders!$1:$1, Orders!$A:$AAA), XLOOKUP("Courier Fee", Orders!$1:$1, Orders!$A:$AAA), "Not Found")</f>
        <v>385.99</v>
      </c>
      <c r="O53" s="6">
        <f t="shared" si="1"/>
        <v>15.4396</v>
      </c>
      <c r="P53" s="6">
        <f t="shared" si="2"/>
        <v>401.4296</v>
      </c>
    </row>
    <row r="54">
      <c r="A54" s="14" t="s">
        <v>127</v>
      </c>
      <c r="B54" s="21">
        <v>2.6120050023514E13</v>
      </c>
      <c r="C54" s="14" t="s">
        <v>71</v>
      </c>
      <c r="D54" s="21">
        <v>3997.0</v>
      </c>
      <c r="E54" s="21">
        <v>305.0</v>
      </c>
      <c r="F54" s="14" t="s">
        <v>72</v>
      </c>
      <c r="G54" s="16">
        <v>46129.0</v>
      </c>
      <c r="H54" s="17" t="s">
        <v>73</v>
      </c>
      <c r="I54" s="18">
        <v>3997.0</v>
      </c>
      <c r="J54" s="19" t="s">
        <v>74</v>
      </c>
      <c r="K54" s="17" t="s">
        <v>75</v>
      </c>
      <c r="L54" s="18">
        <v>3692.0</v>
      </c>
      <c r="M54" s="20"/>
      <c r="N54" s="6">
        <f t="array" ref="N54">XLOOKUP($B54, XLOOKUP("Tracking Number", Orders!$1:$1, Orders!$A:$AAA), XLOOKUP("Courier Fee", Orders!$1:$1, Orders!$A:$AAA), "Not Found")</f>
        <v>305</v>
      </c>
      <c r="O54" s="6">
        <f t="shared" si="1"/>
        <v>12.2</v>
      </c>
      <c r="P54" s="6">
        <f t="shared" si="2"/>
        <v>317.2</v>
      </c>
    </row>
    <row r="55">
      <c r="A55" s="14" t="s">
        <v>128</v>
      </c>
      <c r="B55" s="21">
        <v>2.3120050023501E13</v>
      </c>
      <c r="C55" s="14" t="s">
        <v>71</v>
      </c>
      <c r="D55" s="21">
        <v>3099.0</v>
      </c>
      <c r="E55" s="21">
        <v>381.94000000000005</v>
      </c>
      <c r="F55" s="14" t="s">
        <v>72</v>
      </c>
      <c r="G55" s="16">
        <v>46129.0</v>
      </c>
      <c r="H55" s="17" t="s">
        <v>73</v>
      </c>
      <c r="I55" s="18">
        <v>3099.0</v>
      </c>
      <c r="J55" s="19" t="s">
        <v>74</v>
      </c>
      <c r="K55" s="17" t="s">
        <v>75</v>
      </c>
      <c r="L55" s="18">
        <v>2717.06</v>
      </c>
      <c r="M55" s="20"/>
      <c r="N55" s="6">
        <f t="array" ref="N55">XLOOKUP($B55, XLOOKUP("Tracking Number", Orders!$1:$1, Orders!$A:$AAA), XLOOKUP("Courier Fee", Orders!$1:$1, Orders!$A:$AAA), "Not Found")</f>
        <v>381.94</v>
      </c>
      <c r="O55" s="6">
        <f t="shared" si="1"/>
        <v>15.2776</v>
      </c>
      <c r="P55" s="6">
        <f t="shared" si="2"/>
        <v>397.2176</v>
      </c>
    </row>
    <row r="56">
      <c r="A56" s="14" t="s">
        <v>129</v>
      </c>
      <c r="B56" s="21">
        <v>2.8120050023515E13</v>
      </c>
      <c r="C56" s="14" t="s">
        <v>71</v>
      </c>
      <c r="D56" s="21">
        <v>3099.0</v>
      </c>
      <c r="E56" s="21">
        <v>390.01000000000005</v>
      </c>
      <c r="F56" s="14" t="s">
        <v>72</v>
      </c>
      <c r="G56" s="16">
        <v>46129.0</v>
      </c>
      <c r="H56" s="17" t="s">
        <v>73</v>
      </c>
      <c r="I56" s="18">
        <v>3099.0</v>
      </c>
      <c r="J56" s="19" t="s">
        <v>74</v>
      </c>
      <c r="K56" s="17" t="s">
        <v>75</v>
      </c>
      <c r="L56" s="18">
        <v>2708.99</v>
      </c>
      <c r="M56" s="20"/>
      <c r="N56" s="6">
        <f t="array" ref="N56">XLOOKUP($B56, XLOOKUP("Tracking Number", Orders!$1:$1, Orders!$A:$AAA), XLOOKUP("Courier Fee", Orders!$1:$1, Orders!$A:$AAA), "Not Found")</f>
        <v>390.01</v>
      </c>
      <c r="O56" s="6">
        <f t="shared" si="1"/>
        <v>15.6004</v>
      </c>
      <c r="P56" s="6">
        <f t="shared" si="2"/>
        <v>405.6104</v>
      </c>
    </row>
    <row r="57">
      <c r="A57" s="14" t="s">
        <v>130</v>
      </c>
      <c r="B57" s="21">
        <v>2.7120050023576E13</v>
      </c>
      <c r="C57" s="14" t="s">
        <v>71</v>
      </c>
      <c r="D57" s="21">
        <v>2948.0</v>
      </c>
      <c r="E57" s="21">
        <v>359.78</v>
      </c>
      <c r="F57" s="14" t="s">
        <v>72</v>
      </c>
      <c r="G57" s="16">
        <v>46129.0</v>
      </c>
      <c r="H57" s="17" t="s">
        <v>73</v>
      </c>
      <c r="I57" s="18">
        <v>2948.0</v>
      </c>
      <c r="J57" s="19" t="s">
        <v>74</v>
      </c>
      <c r="K57" s="17" t="s">
        <v>75</v>
      </c>
      <c r="L57" s="18">
        <v>2588.2200000000003</v>
      </c>
      <c r="M57" s="20"/>
      <c r="N57" s="6">
        <f t="array" ref="N57">XLOOKUP($B57, XLOOKUP("Tracking Number", Orders!$1:$1, Orders!$A:$AAA), XLOOKUP("Courier Fee", Orders!$1:$1, Orders!$A:$AAA), "Not Found")</f>
        <v>359.78</v>
      </c>
      <c r="O57" s="6">
        <f t="shared" si="1"/>
        <v>14.3912</v>
      </c>
      <c r="P57" s="6">
        <f t="shared" si="2"/>
        <v>374.1712</v>
      </c>
    </row>
    <row r="58">
      <c r="A58" s="14" t="s">
        <v>131</v>
      </c>
      <c r="B58" s="21">
        <v>2.4120050023517E13</v>
      </c>
      <c r="C58" s="14" t="s">
        <v>71</v>
      </c>
      <c r="D58" s="21">
        <v>3099.0</v>
      </c>
      <c r="E58" s="21">
        <v>398.07000000000005</v>
      </c>
      <c r="F58" s="14" t="s">
        <v>72</v>
      </c>
      <c r="G58" s="16">
        <v>46129.0</v>
      </c>
      <c r="H58" s="17" t="s">
        <v>73</v>
      </c>
      <c r="I58" s="18">
        <v>3099.0</v>
      </c>
      <c r="J58" s="19" t="s">
        <v>74</v>
      </c>
      <c r="K58" s="17" t="s">
        <v>75</v>
      </c>
      <c r="L58" s="18">
        <v>2700.93</v>
      </c>
      <c r="M58" s="20"/>
      <c r="N58" s="6">
        <f t="array" ref="N58">XLOOKUP($B58, XLOOKUP("Tracking Number", Orders!$1:$1, Orders!$A:$AAA), XLOOKUP("Courier Fee", Orders!$1:$1, Orders!$A:$AAA), "Not Found")</f>
        <v>398.07</v>
      </c>
      <c r="O58" s="6">
        <f t="shared" si="1"/>
        <v>15.9228</v>
      </c>
      <c r="P58" s="6">
        <f t="shared" si="2"/>
        <v>413.9928</v>
      </c>
    </row>
    <row r="59">
      <c r="A59" s="14" t="s">
        <v>132</v>
      </c>
      <c r="B59" s="21">
        <v>2.9120050023518E13</v>
      </c>
      <c r="C59" s="14" t="s">
        <v>71</v>
      </c>
      <c r="D59" s="21">
        <v>3599.0</v>
      </c>
      <c r="E59" s="21">
        <v>418.07000000000005</v>
      </c>
      <c r="F59" s="14" t="s">
        <v>72</v>
      </c>
      <c r="G59" s="16">
        <v>46129.0</v>
      </c>
      <c r="H59" s="17" t="s">
        <v>73</v>
      </c>
      <c r="I59" s="18">
        <v>3599.0</v>
      </c>
      <c r="J59" s="19" t="s">
        <v>74</v>
      </c>
      <c r="K59" s="17" t="s">
        <v>75</v>
      </c>
      <c r="L59" s="18">
        <v>3180.93</v>
      </c>
      <c r="M59" s="20"/>
      <c r="N59" s="6">
        <f t="array" ref="N59">XLOOKUP($B59, XLOOKUP("Tracking Number", Orders!$1:$1, Orders!$A:$AAA), XLOOKUP("Courier Fee", Orders!$1:$1, Orders!$A:$AAA), "Not Found")</f>
        <v>418.07</v>
      </c>
      <c r="O59" s="6">
        <f t="shared" si="1"/>
        <v>16.7228</v>
      </c>
      <c r="P59" s="6">
        <f t="shared" si="2"/>
        <v>434.7928</v>
      </c>
    </row>
    <row r="60">
      <c r="A60" s="14" t="s">
        <v>133</v>
      </c>
      <c r="B60" s="21">
        <v>2.5120050023519E13</v>
      </c>
      <c r="C60" s="14" t="s">
        <v>71</v>
      </c>
      <c r="D60" s="21">
        <v>1599.0</v>
      </c>
      <c r="E60" s="21">
        <v>321.94000000000005</v>
      </c>
      <c r="F60" s="14" t="s">
        <v>72</v>
      </c>
      <c r="G60" s="16">
        <v>46129.0</v>
      </c>
      <c r="H60" s="17" t="s">
        <v>73</v>
      </c>
      <c r="I60" s="18">
        <v>1599.0</v>
      </c>
      <c r="J60" s="19" t="s">
        <v>74</v>
      </c>
      <c r="K60" s="17" t="s">
        <v>75</v>
      </c>
      <c r="L60" s="18">
        <v>1277.06</v>
      </c>
      <c r="M60" s="20"/>
      <c r="N60" s="6">
        <f t="array" ref="N60">XLOOKUP($B60, XLOOKUP("Tracking Number", Orders!$1:$1, Orders!$A:$AAA), XLOOKUP("Courier Fee", Orders!$1:$1, Orders!$A:$AAA), "Not Found")</f>
        <v>321.94</v>
      </c>
      <c r="O60" s="6">
        <f t="shared" si="1"/>
        <v>12.8776</v>
      </c>
      <c r="P60" s="6">
        <f t="shared" si="2"/>
        <v>334.8176</v>
      </c>
    </row>
    <row r="61">
      <c r="A61" s="14" t="s">
        <v>134</v>
      </c>
      <c r="B61" s="21">
        <v>2.212005002352E13</v>
      </c>
      <c r="C61" s="14" t="s">
        <v>71</v>
      </c>
      <c r="D61" s="21">
        <v>1798.0</v>
      </c>
      <c r="E61" s="21">
        <v>313.78</v>
      </c>
      <c r="F61" s="14" t="s">
        <v>72</v>
      </c>
      <c r="G61" s="16">
        <v>46129.0</v>
      </c>
      <c r="H61" s="17" t="s">
        <v>73</v>
      </c>
      <c r="I61" s="18">
        <v>1798.0</v>
      </c>
      <c r="J61" s="19" t="s">
        <v>74</v>
      </c>
      <c r="K61" s="17" t="s">
        <v>75</v>
      </c>
      <c r="L61" s="18">
        <v>1484.22</v>
      </c>
      <c r="M61" s="20"/>
      <c r="N61" s="6">
        <f t="array" ref="N61">XLOOKUP($B61, XLOOKUP("Tracking Number", Orders!$1:$1, Orders!$A:$AAA), XLOOKUP("Courier Fee", Orders!$1:$1, Orders!$A:$AAA), "Not Found")</f>
        <v>313.78</v>
      </c>
      <c r="O61" s="6">
        <f t="shared" si="1"/>
        <v>12.5512</v>
      </c>
      <c r="P61" s="6">
        <f t="shared" si="2"/>
        <v>326.3312</v>
      </c>
    </row>
    <row r="62">
      <c r="A62" s="14" t="s">
        <v>135</v>
      </c>
      <c r="B62" s="21">
        <v>2.1120050023522E13</v>
      </c>
      <c r="C62" s="14" t="s">
        <v>71</v>
      </c>
      <c r="D62" s="21">
        <v>1949.0</v>
      </c>
      <c r="E62" s="21">
        <v>206.95</v>
      </c>
      <c r="F62" s="14" t="s">
        <v>72</v>
      </c>
      <c r="G62" s="16">
        <v>46129.0</v>
      </c>
      <c r="H62" s="17" t="s">
        <v>73</v>
      </c>
      <c r="I62" s="18">
        <v>1949.0</v>
      </c>
      <c r="J62" s="19" t="s">
        <v>74</v>
      </c>
      <c r="K62" s="17" t="s">
        <v>75</v>
      </c>
      <c r="L62" s="18">
        <v>1742.05</v>
      </c>
      <c r="M62" s="20"/>
      <c r="N62" s="6">
        <f t="array" ref="N62">XLOOKUP($B62, XLOOKUP("Tracking Number", Orders!$1:$1, Orders!$A:$AAA), XLOOKUP("Courier Fee", Orders!$1:$1, Orders!$A:$AAA), "Not Found")</f>
        <v>206.95</v>
      </c>
      <c r="O62" s="6">
        <f t="shared" si="1"/>
        <v>8.278</v>
      </c>
      <c r="P62" s="6">
        <f t="shared" si="2"/>
        <v>215.228</v>
      </c>
    </row>
    <row r="63">
      <c r="A63" s="14" t="s">
        <v>136</v>
      </c>
      <c r="B63" s="21">
        <v>2.5120050023472E13</v>
      </c>
      <c r="C63" s="14" t="s">
        <v>71</v>
      </c>
      <c r="D63" s="21">
        <v>3599.0</v>
      </c>
      <c r="E63" s="21">
        <v>289.08000000000004</v>
      </c>
      <c r="F63" s="14" t="s">
        <v>72</v>
      </c>
      <c r="G63" s="16">
        <v>46129.0</v>
      </c>
      <c r="H63" s="17" t="s">
        <v>73</v>
      </c>
      <c r="I63" s="18">
        <v>3599.0</v>
      </c>
      <c r="J63" s="19" t="s">
        <v>74</v>
      </c>
      <c r="K63" s="17" t="s">
        <v>75</v>
      </c>
      <c r="L63" s="18">
        <v>3309.92</v>
      </c>
      <c r="M63" s="20"/>
      <c r="N63" s="6">
        <f t="array" ref="N63">XLOOKUP($B63, XLOOKUP("Tracking Number", Orders!$1:$1, Orders!$A:$AAA), XLOOKUP("Courier Fee", Orders!$1:$1, Orders!$A:$AAA), "Not Found")</f>
        <v>289.08</v>
      </c>
      <c r="O63" s="6">
        <f t="shared" si="1"/>
        <v>11.5632</v>
      </c>
      <c r="P63" s="6">
        <f t="shared" si="2"/>
        <v>300.6432</v>
      </c>
    </row>
    <row r="64">
      <c r="A64" s="14" t="s">
        <v>137</v>
      </c>
      <c r="B64" s="21">
        <v>2.9120050023495E13</v>
      </c>
      <c r="C64" s="14" t="s">
        <v>71</v>
      </c>
      <c r="D64" s="21">
        <v>13522.0</v>
      </c>
      <c r="E64" s="21">
        <v>1040.72</v>
      </c>
      <c r="F64" s="14" t="s">
        <v>72</v>
      </c>
      <c r="G64" s="16">
        <v>46129.0</v>
      </c>
      <c r="H64" s="17" t="s">
        <v>73</v>
      </c>
      <c r="I64" s="18">
        <v>13522.94</v>
      </c>
      <c r="J64" s="19" t="s">
        <v>74</v>
      </c>
      <c r="K64" s="17" t="s">
        <v>113</v>
      </c>
      <c r="L64" s="18">
        <v>12481.28</v>
      </c>
      <c r="M64" s="20"/>
      <c r="N64" s="6">
        <f t="array" ref="N64">XLOOKUP($B64, XLOOKUP("Tracking Number", Orders!$1:$1, Orders!$A:$AAA), XLOOKUP("Courier Fee", Orders!$1:$1, Orders!$A:$AAA), "Not Found")</f>
        <v>1040.72</v>
      </c>
      <c r="O64" s="6">
        <f t="shared" si="1"/>
        <v>41.6288</v>
      </c>
      <c r="P64" s="6">
        <f t="shared" si="2"/>
        <v>1082.3488</v>
      </c>
    </row>
    <row r="65">
      <c r="A65" s="14" t="s">
        <v>138</v>
      </c>
      <c r="B65" s="21">
        <v>2.4120050023481E13</v>
      </c>
      <c r="C65" s="14" t="s">
        <v>71</v>
      </c>
      <c r="D65" s="21">
        <v>3397.0</v>
      </c>
      <c r="E65" s="21">
        <v>377.74</v>
      </c>
      <c r="F65" s="14" t="s">
        <v>72</v>
      </c>
      <c r="G65" s="16">
        <v>46129.0</v>
      </c>
      <c r="H65" s="17" t="s">
        <v>73</v>
      </c>
      <c r="I65" s="18">
        <v>3397.0</v>
      </c>
      <c r="J65" s="19" t="s">
        <v>74</v>
      </c>
      <c r="K65" s="17" t="s">
        <v>75</v>
      </c>
      <c r="L65" s="18">
        <v>3019.26</v>
      </c>
      <c r="M65" s="20"/>
      <c r="N65" s="6">
        <f t="array" ref="N65">XLOOKUP($B65, XLOOKUP("Tracking Number", Orders!$1:$1, Orders!$A:$AAA), XLOOKUP("Courier Fee", Orders!$1:$1, Orders!$A:$AAA), "Not Found")</f>
        <v>377.74</v>
      </c>
      <c r="O65" s="6">
        <f t="shared" si="1"/>
        <v>15.1096</v>
      </c>
      <c r="P65" s="6">
        <f t="shared" si="2"/>
        <v>392.8496</v>
      </c>
    </row>
    <row r="66">
      <c r="A66" s="14" t="s">
        <v>139</v>
      </c>
      <c r="B66" s="21">
        <v>2.9120050023407E13</v>
      </c>
      <c r="C66" s="14" t="s">
        <v>71</v>
      </c>
      <c r="D66" s="21">
        <v>3399.0</v>
      </c>
      <c r="E66" s="21">
        <v>377.82000000000005</v>
      </c>
      <c r="F66" s="14" t="s">
        <v>72</v>
      </c>
      <c r="G66" s="16">
        <v>46129.0</v>
      </c>
      <c r="H66" s="17" t="s">
        <v>73</v>
      </c>
      <c r="I66" s="18">
        <v>3399.0</v>
      </c>
      <c r="J66" s="19" t="s">
        <v>74</v>
      </c>
      <c r="K66" s="17" t="s">
        <v>75</v>
      </c>
      <c r="L66" s="18">
        <v>3021.18</v>
      </c>
      <c r="M66" s="20"/>
      <c r="N66" s="6">
        <f t="array" ref="N66">XLOOKUP($B66, XLOOKUP("Tracking Number", Orders!$1:$1, Orders!$A:$AAA), XLOOKUP("Courier Fee", Orders!$1:$1, Orders!$A:$AAA), "Not Found")</f>
        <v>377.82</v>
      </c>
      <c r="O66" s="6">
        <f t="shared" si="1"/>
        <v>15.1128</v>
      </c>
      <c r="P66" s="6">
        <f t="shared" si="2"/>
        <v>392.9328</v>
      </c>
    </row>
    <row r="67">
      <c r="A67" s="14" t="s">
        <v>140</v>
      </c>
      <c r="B67" s="21">
        <v>2.9120050023408E13</v>
      </c>
      <c r="C67" s="14" t="s">
        <v>71</v>
      </c>
      <c r="D67" s="21">
        <v>1798.0</v>
      </c>
      <c r="E67" s="21">
        <v>313.78</v>
      </c>
      <c r="F67" s="14" t="s">
        <v>72</v>
      </c>
      <c r="G67" s="16">
        <v>46129.0</v>
      </c>
      <c r="H67" s="17" t="s">
        <v>73</v>
      </c>
      <c r="I67" s="18">
        <v>1798.0</v>
      </c>
      <c r="J67" s="19" t="s">
        <v>74</v>
      </c>
      <c r="K67" s="17" t="s">
        <v>75</v>
      </c>
      <c r="L67" s="18">
        <v>1484.22</v>
      </c>
      <c r="M67" s="20"/>
      <c r="N67" s="6">
        <f t="array" ref="N67">XLOOKUP($B67, XLOOKUP("Tracking Number", Orders!$1:$1, Orders!$A:$AAA), XLOOKUP("Courier Fee", Orders!$1:$1, Orders!$A:$AAA), "Not Found")</f>
        <v>313.78</v>
      </c>
      <c r="O67" s="6">
        <f t="shared" si="1"/>
        <v>12.5512</v>
      </c>
      <c r="P67" s="6">
        <f t="shared" si="2"/>
        <v>326.3312</v>
      </c>
    </row>
    <row r="68">
      <c r="A68" s="14" t="s">
        <v>141</v>
      </c>
      <c r="B68" s="21">
        <v>2.6120050023388E13</v>
      </c>
      <c r="C68" s="14" t="s">
        <v>71</v>
      </c>
      <c r="D68" s="21">
        <v>3397.0</v>
      </c>
      <c r="E68" s="21">
        <v>393.86</v>
      </c>
      <c r="F68" s="14" t="s">
        <v>72</v>
      </c>
      <c r="G68" s="16">
        <v>46129.0</v>
      </c>
      <c r="H68" s="17" t="s">
        <v>73</v>
      </c>
      <c r="I68" s="18">
        <v>3397.0</v>
      </c>
      <c r="J68" s="19" t="s">
        <v>74</v>
      </c>
      <c r="K68" s="17" t="s">
        <v>75</v>
      </c>
      <c r="L68" s="18">
        <v>3003.14</v>
      </c>
      <c r="M68" s="20"/>
      <c r="N68" s="6">
        <f t="array" ref="N68">XLOOKUP($B68, XLOOKUP("Tracking Number", Orders!$1:$1, Orders!$A:$AAA), XLOOKUP("Courier Fee", Orders!$1:$1, Orders!$A:$AAA), "Not Found")</f>
        <v>393.86</v>
      </c>
      <c r="O68" s="6">
        <f t="shared" si="1"/>
        <v>15.7544</v>
      </c>
      <c r="P68" s="6">
        <f t="shared" si="2"/>
        <v>409.6144</v>
      </c>
    </row>
    <row r="69">
      <c r="A69" s="14" t="s">
        <v>142</v>
      </c>
      <c r="B69" s="21">
        <v>2.112005002339E13</v>
      </c>
      <c r="C69" s="14" t="s">
        <v>71</v>
      </c>
      <c r="D69" s="21">
        <v>6297.0</v>
      </c>
      <c r="E69" s="21">
        <v>630.79</v>
      </c>
      <c r="F69" s="14" t="s">
        <v>72</v>
      </c>
      <c r="G69" s="16">
        <v>46129.0</v>
      </c>
      <c r="H69" s="17" t="s">
        <v>73</v>
      </c>
      <c r="I69" s="18">
        <v>6297.0</v>
      </c>
      <c r="J69" s="19" t="s">
        <v>74</v>
      </c>
      <c r="K69" s="17" t="s">
        <v>75</v>
      </c>
      <c r="L69" s="18">
        <v>5666.21</v>
      </c>
      <c r="M69" s="20"/>
      <c r="N69" s="6">
        <f t="array" ref="N69">XLOOKUP($B69, XLOOKUP("Tracking Number", Orders!$1:$1, Orders!$A:$AAA), XLOOKUP("Courier Fee", Orders!$1:$1, Orders!$A:$AAA), "Not Found")</f>
        <v>630.79</v>
      </c>
      <c r="O69" s="6">
        <f t="shared" si="1"/>
        <v>25.2316</v>
      </c>
      <c r="P69" s="6">
        <f t="shared" si="2"/>
        <v>656.0216</v>
      </c>
    </row>
    <row r="70">
      <c r="A70" s="14" t="s">
        <v>143</v>
      </c>
      <c r="B70" s="21">
        <v>2.7120050023416E13</v>
      </c>
      <c r="C70" s="14" t="s">
        <v>71</v>
      </c>
      <c r="D70" s="21">
        <v>3398.0</v>
      </c>
      <c r="E70" s="21">
        <v>393.9</v>
      </c>
      <c r="F70" s="14" t="s">
        <v>72</v>
      </c>
      <c r="G70" s="16">
        <v>46129.0</v>
      </c>
      <c r="H70" s="17" t="s">
        <v>73</v>
      </c>
      <c r="I70" s="18">
        <v>3398.0</v>
      </c>
      <c r="J70" s="19" t="s">
        <v>74</v>
      </c>
      <c r="K70" s="17" t="s">
        <v>75</v>
      </c>
      <c r="L70" s="18">
        <v>3004.1</v>
      </c>
      <c r="M70" s="20"/>
      <c r="N70" s="6">
        <f t="array" ref="N70">XLOOKUP($B70, XLOOKUP("Tracking Number", Orders!$1:$1, Orders!$A:$AAA), XLOOKUP("Courier Fee", Orders!$1:$1, Orders!$A:$AAA), "Not Found")</f>
        <v>393.9</v>
      </c>
      <c r="O70" s="6">
        <f t="shared" si="1"/>
        <v>15.756</v>
      </c>
      <c r="P70" s="6">
        <f t="shared" si="2"/>
        <v>409.656</v>
      </c>
    </row>
    <row r="71">
      <c r="A71" s="14" t="s">
        <v>144</v>
      </c>
      <c r="B71" s="21">
        <v>2.0120050023418E13</v>
      </c>
      <c r="C71" s="14" t="s">
        <v>71</v>
      </c>
      <c r="D71" s="21">
        <v>5297.0</v>
      </c>
      <c r="E71" s="21">
        <v>485.99</v>
      </c>
      <c r="F71" s="14" t="s">
        <v>72</v>
      </c>
      <c r="G71" s="16">
        <v>46129.0</v>
      </c>
      <c r="H71" s="17" t="s">
        <v>73</v>
      </c>
      <c r="I71" s="18">
        <v>5297.0</v>
      </c>
      <c r="J71" s="19" t="s">
        <v>74</v>
      </c>
      <c r="K71" s="17" t="s">
        <v>75</v>
      </c>
      <c r="L71" s="18">
        <v>4811.01</v>
      </c>
      <c r="M71" s="20"/>
      <c r="N71" s="6">
        <f t="array" ref="N71">XLOOKUP($B71, XLOOKUP("Tracking Number", Orders!$1:$1, Orders!$A:$AAA), XLOOKUP("Courier Fee", Orders!$1:$1, Orders!$A:$AAA), "Not Found")</f>
        <v>485.99</v>
      </c>
      <c r="O71" s="6">
        <f t="shared" si="1"/>
        <v>19.4396</v>
      </c>
      <c r="P71" s="6">
        <f t="shared" si="2"/>
        <v>505.4296</v>
      </c>
    </row>
    <row r="72">
      <c r="A72" s="14" t="s">
        <v>145</v>
      </c>
      <c r="B72" s="21">
        <v>2.2120050023342E13</v>
      </c>
      <c r="C72" s="14" t="s">
        <v>71</v>
      </c>
      <c r="D72" s="21">
        <v>2249.0</v>
      </c>
      <c r="E72" s="21">
        <v>331.82000000000005</v>
      </c>
      <c r="F72" s="14" t="s">
        <v>72</v>
      </c>
      <c r="G72" s="16">
        <v>46129.0</v>
      </c>
      <c r="H72" s="17" t="s">
        <v>73</v>
      </c>
      <c r="I72" s="18">
        <v>2249.0</v>
      </c>
      <c r="J72" s="19" t="s">
        <v>74</v>
      </c>
      <c r="K72" s="17" t="s">
        <v>75</v>
      </c>
      <c r="L72" s="18">
        <v>1917.1799999999998</v>
      </c>
      <c r="M72" s="20"/>
      <c r="N72" s="6">
        <f t="array" ref="N72">XLOOKUP($B72, XLOOKUP("Tracking Number", Orders!$1:$1, Orders!$A:$AAA), XLOOKUP("Courier Fee", Orders!$1:$1, Orders!$A:$AAA), "Not Found")</f>
        <v>331.82</v>
      </c>
      <c r="O72" s="6">
        <f t="shared" si="1"/>
        <v>13.2728</v>
      </c>
      <c r="P72" s="6">
        <f t="shared" si="2"/>
        <v>345.0928</v>
      </c>
    </row>
    <row r="73">
      <c r="A73" s="14" t="s">
        <v>146</v>
      </c>
      <c r="B73" s="21">
        <v>2.5120050023528E13</v>
      </c>
      <c r="C73" s="14" t="s">
        <v>71</v>
      </c>
      <c r="D73" s="21">
        <v>3099.0</v>
      </c>
      <c r="E73" s="21">
        <v>252.95</v>
      </c>
      <c r="F73" s="14" t="s">
        <v>72</v>
      </c>
      <c r="G73" s="16">
        <v>46129.0</v>
      </c>
      <c r="H73" s="17" t="s">
        <v>73</v>
      </c>
      <c r="I73" s="18">
        <v>3099.0</v>
      </c>
      <c r="J73" s="19" t="s">
        <v>74</v>
      </c>
      <c r="K73" s="17" t="s">
        <v>75</v>
      </c>
      <c r="L73" s="18">
        <v>2846.05</v>
      </c>
      <c r="M73" s="20"/>
      <c r="N73" s="6">
        <f t="array" ref="N73">XLOOKUP($B73, XLOOKUP("Tracking Number", Orders!$1:$1, Orders!$A:$AAA), XLOOKUP("Courier Fee", Orders!$1:$1, Orders!$A:$AAA), "Not Found")</f>
        <v>252.95</v>
      </c>
      <c r="O73" s="6">
        <f t="shared" si="1"/>
        <v>10.118</v>
      </c>
      <c r="P73" s="6">
        <f t="shared" si="2"/>
        <v>263.068</v>
      </c>
    </row>
    <row r="74">
      <c r="A74" s="14" t="s">
        <v>147</v>
      </c>
      <c r="B74" s="21">
        <v>2.9120050023529E13</v>
      </c>
      <c r="C74" s="14" t="s">
        <v>71</v>
      </c>
      <c r="D74" s="21">
        <v>3348.0</v>
      </c>
      <c r="E74" s="21">
        <v>375.78</v>
      </c>
      <c r="F74" s="14" t="s">
        <v>72</v>
      </c>
      <c r="G74" s="16">
        <v>46129.0</v>
      </c>
      <c r="H74" s="17" t="s">
        <v>73</v>
      </c>
      <c r="I74" s="18">
        <v>3348.0</v>
      </c>
      <c r="J74" s="19" t="s">
        <v>74</v>
      </c>
      <c r="K74" s="17" t="s">
        <v>75</v>
      </c>
      <c r="L74" s="18">
        <v>2972.2200000000003</v>
      </c>
      <c r="M74" s="20"/>
      <c r="N74" s="6">
        <f t="array" ref="N74">XLOOKUP($B74, XLOOKUP("Tracking Number", Orders!$1:$1, Orders!$A:$AAA), XLOOKUP("Courier Fee", Orders!$1:$1, Orders!$A:$AAA), "Not Found")</f>
        <v>375.78</v>
      </c>
      <c r="O74" s="6">
        <f t="shared" si="1"/>
        <v>15.0312</v>
      </c>
      <c r="P74" s="6">
        <f t="shared" si="2"/>
        <v>390.8112</v>
      </c>
    </row>
    <row r="75">
      <c r="A75" s="14" t="s">
        <v>148</v>
      </c>
      <c r="B75" s="21">
        <v>2.112005002353E13</v>
      </c>
      <c r="C75" s="14" t="s">
        <v>71</v>
      </c>
      <c r="D75" s="21">
        <v>5949.0</v>
      </c>
      <c r="E75" s="21">
        <v>504.01000000000005</v>
      </c>
      <c r="F75" s="14" t="s">
        <v>72</v>
      </c>
      <c r="G75" s="16">
        <v>46129.0</v>
      </c>
      <c r="H75" s="17" t="s">
        <v>73</v>
      </c>
      <c r="I75" s="18">
        <v>5949.0</v>
      </c>
      <c r="J75" s="19" t="s">
        <v>74</v>
      </c>
      <c r="K75" s="17" t="s">
        <v>75</v>
      </c>
      <c r="L75" s="18">
        <v>5444.99</v>
      </c>
      <c r="M75" s="20"/>
      <c r="N75" s="6">
        <f t="array" ref="N75">XLOOKUP($B75, XLOOKUP("Tracking Number", Orders!$1:$1, Orders!$A:$AAA), XLOOKUP("Courier Fee", Orders!$1:$1, Orders!$A:$AAA), "Not Found")</f>
        <v>504.01</v>
      </c>
      <c r="O75" s="6">
        <f t="shared" si="1"/>
        <v>20.1604</v>
      </c>
      <c r="P75" s="6">
        <f t="shared" si="2"/>
        <v>524.1704</v>
      </c>
    </row>
    <row r="76">
      <c r="A76" s="14" t="s">
        <v>149</v>
      </c>
      <c r="B76" s="21">
        <v>2.3120050023531E13</v>
      </c>
      <c r="C76" s="14" t="s">
        <v>71</v>
      </c>
      <c r="D76" s="21">
        <v>3348.0</v>
      </c>
      <c r="E76" s="21">
        <v>262.90999999999997</v>
      </c>
      <c r="F76" s="14" t="s">
        <v>72</v>
      </c>
      <c r="G76" s="16">
        <v>46129.0</v>
      </c>
      <c r="H76" s="17" t="s">
        <v>73</v>
      </c>
      <c r="I76" s="18">
        <v>3348.0</v>
      </c>
      <c r="J76" s="19" t="s">
        <v>74</v>
      </c>
      <c r="K76" s="17" t="s">
        <v>75</v>
      </c>
      <c r="L76" s="18">
        <v>3085.09</v>
      </c>
      <c r="M76" s="20"/>
      <c r="N76" s="6">
        <f t="array" ref="N76">XLOOKUP($B76, XLOOKUP("Tracking Number", Orders!$1:$1, Orders!$A:$AAA), XLOOKUP("Courier Fee", Orders!$1:$1, Orders!$A:$AAA), "Not Found")</f>
        <v>262.91</v>
      </c>
      <c r="O76" s="6">
        <f t="shared" si="1"/>
        <v>10.5164</v>
      </c>
      <c r="P76" s="6">
        <f t="shared" si="2"/>
        <v>273.4264</v>
      </c>
    </row>
    <row r="77">
      <c r="A77" s="14" t="s">
        <v>150</v>
      </c>
      <c r="B77" s="21">
        <v>2.7120050023532E13</v>
      </c>
      <c r="C77" s="14" t="s">
        <v>71</v>
      </c>
      <c r="D77" s="21">
        <v>3348.0</v>
      </c>
      <c r="E77" s="21">
        <v>375.78</v>
      </c>
      <c r="F77" s="14" t="s">
        <v>72</v>
      </c>
      <c r="G77" s="16">
        <v>46129.0</v>
      </c>
      <c r="H77" s="17" t="s">
        <v>73</v>
      </c>
      <c r="I77" s="18">
        <v>3348.0</v>
      </c>
      <c r="J77" s="19" t="s">
        <v>74</v>
      </c>
      <c r="K77" s="17" t="s">
        <v>75</v>
      </c>
      <c r="L77" s="18">
        <v>2972.2200000000003</v>
      </c>
      <c r="M77" s="20"/>
      <c r="N77" s="6">
        <f t="array" ref="N77">XLOOKUP($B77, XLOOKUP("Tracking Number", Orders!$1:$1, Orders!$A:$AAA), XLOOKUP("Courier Fee", Orders!$1:$1, Orders!$A:$AAA), "Not Found")</f>
        <v>375.78</v>
      </c>
      <c r="O77" s="6">
        <f t="shared" si="1"/>
        <v>15.0312</v>
      </c>
      <c r="P77" s="6">
        <f t="shared" si="2"/>
        <v>390.8112</v>
      </c>
    </row>
    <row r="78">
      <c r="A78" s="14" t="s">
        <v>151</v>
      </c>
      <c r="B78" s="21">
        <v>2.7120050023446E13</v>
      </c>
      <c r="C78" s="14" t="s">
        <v>152</v>
      </c>
      <c r="D78" s="21">
        <v>0.0</v>
      </c>
      <c r="E78" s="21">
        <v>241.86</v>
      </c>
      <c r="F78" s="14" t="s">
        <v>72</v>
      </c>
      <c r="G78" s="16">
        <v>46129.0</v>
      </c>
      <c r="H78" s="17" t="s">
        <v>73</v>
      </c>
      <c r="I78" s="18">
        <v>3699.0</v>
      </c>
      <c r="J78" s="19" t="s">
        <v>74</v>
      </c>
      <c r="K78" s="17" t="s">
        <v>153</v>
      </c>
      <c r="L78" s="18">
        <v>-241.86</v>
      </c>
      <c r="M78" s="20"/>
      <c r="N78" s="6">
        <f t="array" ref="N78">XLOOKUP($B78, XLOOKUP("Tracking Number", Orders!$1:$1, Orders!$A:$AAA), XLOOKUP("Courier Fee", Orders!$1:$1, Orders!$A:$AAA), "Not Found")</f>
        <v>241.86</v>
      </c>
      <c r="O78" s="6">
        <f t="shared" si="1"/>
        <v>9.6744</v>
      </c>
      <c r="P78" s="6">
        <f t="shared" si="2"/>
        <v>251.5344</v>
      </c>
    </row>
    <row r="79">
      <c r="A79" s="14" t="s">
        <v>154</v>
      </c>
      <c r="B79" s="21">
        <v>2.7120050023414E13</v>
      </c>
      <c r="C79" s="14" t="s">
        <v>152</v>
      </c>
      <c r="D79" s="21">
        <v>0.0</v>
      </c>
      <c r="E79" s="21">
        <v>241.86</v>
      </c>
      <c r="F79" s="14" t="s">
        <v>72</v>
      </c>
      <c r="G79" s="16">
        <v>46129.0</v>
      </c>
      <c r="H79" s="17" t="s">
        <v>73</v>
      </c>
      <c r="I79" s="18">
        <v>4525.0</v>
      </c>
      <c r="J79" s="19" t="s">
        <v>74</v>
      </c>
      <c r="K79" s="17" t="s">
        <v>153</v>
      </c>
      <c r="L79" s="18">
        <v>-241.86</v>
      </c>
      <c r="M79" s="20"/>
      <c r="N79" s="6">
        <f t="array" ref="N79">XLOOKUP($B79, XLOOKUP("Tracking Number", Orders!$1:$1, Orders!$A:$AAA), XLOOKUP("Courier Fee", Orders!$1:$1, Orders!$A:$AAA), "Not Found")</f>
        <v>241.86</v>
      </c>
      <c r="O79" s="6">
        <f t="shared" si="1"/>
        <v>9.6744</v>
      </c>
      <c r="P79" s="6">
        <f t="shared" si="2"/>
        <v>251.5344</v>
      </c>
    </row>
    <row r="80">
      <c r="A80" s="14" t="s">
        <v>155</v>
      </c>
      <c r="B80" s="21">
        <v>2.2120050023382E13</v>
      </c>
      <c r="C80" s="14" t="s">
        <v>152</v>
      </c>
      <c r="D80" s="21">
        <v>0.0</v>
      </c>
      <c r="E80" s="21">
        <v>241.86</v>
      </c>
      <c r="F80" s="14" t="s">
        <v>72</v>
      </c>
      <c r="G80" s="16">
        <v>46129.0</v>
      </c>
      <c r="H80" s="17" t="s">
        <v>73</v>
      </c>
      <c r="I80" s="18">
        <v>250.0</v>
      </c>
      <c r="J80" s="19" t="s">
        <v>74</v>
      </c>
      <c r="K80" s="17" t="s">
        <v>153</v>
      </c>
      <c r="L80" s="18">
        <v>-241.86</v>
      </c>
      <c r="M80" s="20"/>
      <c r="N80" s="6">
        <f t="array" ref="N80">XLOOKUP($B80, XLOOKUP("Tracking Number", Orders!$1:$1, Orders!$A:$AAA), XLOOKUP("Courier Fee", Orders!$1:$1, Orders!$A:$AAA), "Not Found")</f>
        <v>241.86</v>
      </c>
      <c r="O80" s="6">
        <f t="shared" si="1"/>
        <v>9.6744</v>
      </c>
      <c r="P80" s="6">
        <f t="shared" si="2"/>
        <v>251.5344</v>
      </c>
    </row>
    <row r="81">
      <c r="A81" s="14" t="s">
        <v>156</v>
      </c>
      <c r="B81" s="21">
        <v>2.2120050023395E13</v>
      </c>
      <c r="C81" s="14" t="s">
        <v>152</v>
      </c>
      <c r="D81" s="21">
        <v>0.0</v>
      </c>
      <c r="E81" s="21">
        <v>241.86</v>
      </c>
      <c r="F81" s="14" t="s">
        <v>72</v>
      </c>
      <c r="G81" s="16">
        <v>46129.0</v>
      </c>
      <c r="H81" s="17" t="s">
        <v>73</v>
      </c>
      <c r="I81" s="18">
        <v>299.0</v>
      </c>
      <c r="J81" s="19" t="s">
        <v>74</v>
      </c>
      <c r="K81" s="17" t="s">
        <v>153</v>
      </c>
      <c r="L81" s="18">
        <v>-241.86</v>
      </c>
      <c r="M81" s="20"/>
      <c r="N81" s="6">
        <f t="array" ref="N81">XLOOKUP($B81, XLOOKUP("Tracking Number", Orders!$1:$1, Orders!$A:$AAA), XLOOKUP("Courier Fee", Orders!$1:$1, Orders!$A:$AAA), "Not Found")</f>
        <v>241.86</v>
      </c>
      <c r="O81" s="6">
        <f t="shared" si="1"/>
        <v>9.6744</v>
      </c>
      <c r="P81" s="6">
        <f t="shared" si="2"/>
        <v>251.5344</v>
      </c>
    </row>
    <row r="82">
      <c r="A82" s="14" t="s">
        <v>157</v>
      </c>
      <c r="B82" s="21">
        <v>2.7120050023368E13</v>
      </c>
      <c r="C82" s="14" t="s">
        <v>152</v>
      </c>
      <c r="D82" s="21">
        <v>0.0</v>
      </c>
      <c r="E82" s="21">
        <v>241.86</v>
      </c>
      <c r="F82" s="14" t="s">
        <v>72</v>
      </c>
      <c r="G82" s="16">
        <v>46129.0</v>
      </c>
      <c r="H82" s="17" t="s">
        <v>73</v>
      </c>
      <c r="I82" s="18">
        <v>2200.0</v>
      </c>
      <c r="J82" s="19" t="s">
        <v>74</v>
      </c>
      <c r="K82" s="17" t="s">
        <v>153</v>
      </c>
      <c r="L82" s="18">
        <v>-241.86</v>
      </c>
      <c r="M82" s="20"/>
      <c r="N82" s="6">
        <f t="array" ref="N82">XLOOKUP($B82, XLOOKUP("Tracking Number", Orders!$1:$1, Orders!$A:$AAA), XLOOKUP("Courier Fee", Orders!$1:$1, Orders!$A:$AAA), "Not Found")</f>
        <v>241.86</v>
      </c>
      <c r="O82" s="6">
        <f t="shared" si="1"/>
        <v>9.6744</v>
      </c>
      <c r="P82" s="6">
        <f t="shared" si="2"/>
        <v>251.5344</v>
      </c>
    </row>
    <row r="83">
      <c r="A83" s="14" t="s">
        <v>158</v>
      </c>
      <c r="B83" s="21">
        <v>2.5120050023391E13</v>
      </c>
      <c r="C83" s="14" t="s">
        <v>152</v>
      </c>
      <c r="D83" s="21">
        <v>0.0</v>
      </c>
      <c r="E83" s="21">
        <v>128.99</v>
      </c>
      <c r="F83" s="14" t="s">
        <v>72</v>
      </c>
      <c r="G83" s="16">
        <v>46129.0</v>
      </c>
      <c r="H83" s="17" t="s">
        <v>73</v>
      </c>
      <c r="I83" s="18">
        <v>299.0</v>
      </c>
      <c r="J83" s="19" t="s">
        <v>74</v>
      </c>
      <c r="K83" s="17" t="s">
        <v>153</v>
      </c>
      <c r="L83" s="18">
        <v>-128.99</v>
      </c>
      <c r="M83" s="20"/>
      <c r="N83" s="6">
        <f t="array" ref="N83">XLOOKUP($B83, XLOOKUP("Tracking Number", Orders!$1:$1, Orders!$A:$AAA), XLOOKUP("Courier Fee", Orders!$1:$1, Orders!$A:$AAA), "Not Found")</f>
        <v>128.99</v>
      </c>
      <c r="O83" s="6">
        <f t="shared" si="1"/>
        <v>5.1596</v>
      </c>
      <c r="P83" s="6">
        <f t="shared" si="2"/>
        <v>134.1496</v>
      </c>
    </row>
    <row r="84">
      <c r="A84" s="14" t="s">
        <v>159</v>
      </c>
      <c r="B84" s="21">
        <v>2.2120050023369E13</v>
      </c>
      <c r="C84" s="14" t="s">
        <v>152</v>
      </c>
      <c r="D84" s="21">
        <v>0.0</v>
      </c>
      <c r="E84" s="21">
        <v>257.98</v>
      </c>
      <c r="F84" s="14" t="s">
        <v>72</v>
      </c>
      <c r="G84" s="16">
        <v>46129.0</v>
      </c>
      <c r="H84" s="17" t="s">
        <v>73</v>
      </c>
      <c r="I84" s="18">
        <v>3149.0</v>
      </c>
      <c r="J84" s="19" t="s">
        <v>74</v>
      </c>
      <c r="K84" s="17" t="s">
        <v>153</v>
      </c>
      <c r="L84" s="18">
        <v>-257.98</v>
      </c>
      <c r="M84" s="20"/>
      <c r="N84" s="6">
        <f t="array" ref="N84">XLOOKUP($B84, XLOOKUP("Tracking Number", Orders!$1:$1, Orders!$A:$AAA), XLOOKUP("Courier Fee", Orders!$1:$1, Orders!$A:$AAA), "Not Found")</f>
        <v>257.98</v>
      </c>
      <c r="O84" s="6">
        <f t="shared" si="1"/>
        <v>10.3192</v>
      </c>
      <c r="P84" s="6">
        <f t="shared" si="2"/>
        <v>268.2992</v>
      </c>
    </row>
    <row r="85">
      <c r="A85" s="14" t="s">
        <v>160</v>
      </c>
      <c r="B85" s="21">
        <v>2.112005002337E13</v>
      </c>
      <c r="C85" s="14" t="s">
        <v>152</v>
      </c>
      <c r="D85" s="21">
        <v>0.0</v>
      </c>
      <c r="E85" s="21">
        <v>266.05</v>
      </c>
      <c r="F85" s="14" t="s">
        <v>72</v>
      </c>
      <c r="G85" s="16">
        <v>46129.0</v>
      </c>
      <c r="H85" s="17" t="s">
        <v>73</v>
      </c>
      <c r="I85" s="18">
        <v>299.0</v>
      </c>
      <c r="J85" s="19" t="s">
        <v>74</v>
      </c>
      <c r="K85" s="17" t="s">
        <v>153</v>
      </c>
      <c r="L85" s="18">
        <v>-266.05</v>
      </c>
      <c r="M85" s="20"/>
      <c r="N85" s="6">
        <f t="array" ref="N85">XLOOKUP($B85, XLOOKUP("Tracking Number", Orders!$1:$1, Orders!$A:$AAA), XLOOKUP("Courier Fee", Orders!$1:$1, Orders!$A:$AAA), "Not Found")</f>
        <v>266.05</v>
      </c>
      <c r="O85" s="6">
        <f t="shared" si="1"/>
        <v>10.642</v>
      </c>
      <c r="P85" s="6">
        <f t="shared" si="2"/>
        <v>276.692</v>
      </c>
    </row>
    <row r="86">
      <c r="A86" s="14" t="s">
        <v>161</v>
      </c>
      <c r="B86" s="21">
        <v>2.012005002338E13</v>
      </c>
      <c r="C86" s="14" t="s">
        <v>152</v>
      </c>
      <c r="D86" s="21">
        <v>0.0</v>
      </c>
      <c r="E86" s="21">
        <v>128.99</v>
      </c>
      <c r="F86" s="14" t="s">
        <v>72</v>
      </c>
      <c r="G86" s="16">
        <v>46129.0</v>
      </c>
      <c r="H86" s="17" t="s">
        <v>73</v>
      </c>
      <c r="I86" s="18">
        <v>299.0</v>
      </c>
      <c r="J86" s="19" t="s">
        <v>74</v>
      </c>
      <c r="K86" s="17" t="s">
        <v>153</v>
      </c>
      <c r="L86" s="18">
        <v>-128.99</v>
      </c>
      <c r="M86" s="20"/>
      <c r="N86" s="6">
        <f t="array" ref="N86">XLOOKUP($B86, XLOOKUP("Tracking Number", Orders!$1:$1, Orders!$A:$AAA), XLOOKUP("Courier Fee", Orders!$1:$1, Orders!$A:$AAA), "Not Found")</f>
        <v>128.99</v>
      </c>
      <c r="O86" s="6">
        <f t="shared" si="1"/>
        <v>5.1596</v>
      </c>
      <c r="P86" s="6">
        <f t="shared" si="2"/>
        <v>134.1496</v>
      </c>
    </row>
    <row r="87">
      <c r="A87" s="14" t="s">
        <v>162</v>
      </c>
      <c r="B87" s="21">
        <v>2.1120050023397E13</v>
      </c>
      <c r="C87" s="14" t="s">
        <v>152</v>
      </c>
      <c r="D87" s="21">
        <v>0.0</v>
      </c>
      <c r="E87" s="21">
        <v>128.99</v>
      </c>
      <c r="F87" s="14" t="s">
        <v>72</v>
      </c>
      <c r="G87" s="16">
        <v>46129.0</v>
      </c>
      <c r="H87" s="17" t="s">
        <v>73</v>
      </c>
      <c r="I87" s="18">
        <v>299.0</v>
      </c>
      <c r="J87" s="19" t="s">
        <v>74</v>
      </c>
      <c r="K87" s="17" t="s">
        <v>153</v>
      </c>
      <c r="L87" s="18">
        <v>-128.99</v>
      </c>
      <c r="M87" s="20"/>
      <c r="N87" s="6">
        <f t="array" ref="N87">XLOOKUP($B87, XLOOKUP("Tracking Number", Orders!$1:$1, Orders!$A:$AAA), XLOOKUP("Courier Fee", Orders!$1:$1, Orders!$A:$AAA), "Not Found")</f>
        <v>128.99</v>
      </c>
      <c r="O87" s="6">
        <f t="shared" si="1"/>
        <v>5.1596</v>
      </c>
      <c r="P87" s="6">
        <f t="shared" si="2"/>
        <v>134.1496</v>
      </c>
    </row>
    <row r="88">
      <c r="A88" s="14" t="s">
        <v>163</v>
      </c>
      <c r="B88" s="21">
        <v>2.4120050023422E13</v>
      </c>
      <c r="C88" s="14" t="s">
        <v>152</v>
      </c>
      <c r="D88" s="21">
        <v>0.0</v>
      </c>
      <c r="E88" s="21">
        <v>378.90999999999997</v>
      </c>
      <c r="F88" s="14" t="s">
        <v>72</v>
      </c>
      <c r="G88" s="16">
        <v>46129.0</v>
      </c>
      <c r="H88" s="17" t="s">
        <v>73</v>
      </c>
      <c r="I88" s="18">
        <v>6297.0</v>
      </c>
      <c r="J88" s="19" t="s">
        <v>74</v>
      </c>
      <c r="K88" s="17" t="s">
        <v>153</v>
      </c>
      <c r="L88" s="18">
        <v>-378.90999999999997</v>
      </c>
      <c r="M88" s="20"/>
      <c r="N88" s="6">
        <f t="array" ref="N88">XLOOKUP($B88, XLOOKUP("Tracking Number", Orders!$1:$1, Orders!$A:$AAA), XLOOKUP("Courier Fee", Orders!$1:$1, Orders!$A:$AAA), "Not Found")</f>
        <v>378.91</v>
      </c>
      <c r="O88" s="6">
        <f t="shared" si="1"/>
        <v>15.1564</v>
      </c>
      <c r="P88" s="6">
        <f t="shared" si="2"/>
        <v>394.0664</v>
      </c>
    </row>
    <row r="89">
      <c r="A89" s="14" t="s">
        <v>164</v>
      </c>
      <c r="B89" s="21">
        <v>2.1120050023325E13</v>
      </c>
      <c r="C89" s="14" t="s">
        <v>152</v>
      </c>
      <c r="D89" s="21">
        <v>0.0</v>
      </c>
      <c r="E89" s="21">
        <v>241.86</v>
      </c>
      <c r="F89" s="14" t="s">
        <v>72</v>
      </c>
      <c r="G89" s="16">
        <v>46129.0</v>
      </c>
      <c r="H89" s="17" t="s">
        <v>73</v>
      </c>
      <c r="I89" s="18">
        <v>1898.0</v>
      </c>
      <c r="J89" s="19" t="s">
        <v>74</v>
      </c>
      <c r="K89" s="17" t="s">
        <v>153</v>
      </c>
      <c r="L89" s="18">
        <v>-241.86</v>
      </c>
      <c r="M89" s="20"/>
      <c r="N89" s="6">
        <f t="array" ref="N89">XLOOKUP($B89, XLOOKUP("Tracking Number", Orders!$1:$1, Orders!$A:$AAA), XLOOKUP("Courier Fee", Orders!$1:$1, Orders!$A:$AAA), "Not Found")</f>
        <v>241.86</v>
      </c>
      <c r="O89" s="6">
        <f t="shared" si="1"/>
        <v>9.6744</v>
      </c>
      <c r="P89" s="6">
        <f t="shared" si="2"/>
        <v>251.5344</v>
      </c>
    </row>
    <row r="90">
      <c r="A90" s="14" t="s">
        <v>165</v>
      </c>
      <c r="B90" s="21">
        <v>2.912005002333E13</v>
      </c>
      <c r="C90" s="14" t="s">
        <v>152</v>
      </c>
      <c r="D90" s="21">
        <v>0.0</v>
      </c>
      <c r="E90" s="21">
        <v>241.86</v>
      </c>
      <c r="F90" s="14" t="s">
        <v>72</v>
      </c>
      <c r="G90" s="16">
        <v>46129.0</v>
      </c>
      <c r="H90" s="17" t="s">
        <v>73</v>
      </c>
      <c r="I90" s="18">
        <v>3398.0</v>
      </c>
      <c r="J90" s="19" t="s">
        <v>74</v>
      </c>
      <c r="K90" s="17" t="s">
        <v>153</v>
      </c>
      <c r="L90" s="18">
        <v>-241.86</v>
      </c>
      <c r="M90" s="20"/>
      <c r="N90" s="6">
        <f t="array" ref="N90">XLOOKUP($B90, XLOOKUP("Tracking Number", Orders!$1:$1, Orders!$A:$AAA), XLOOKUP("Courier Fee", Orders!$1:$1, Orders!$A:$AAA), "Not Found")</f>
        <v>241.86</v>
      </c>
      <c r="O90" s="6">
        <f t="shared" si="1"/>
        <v>9.6744</v>
      </c>
      <c r="P90" s="6">
        <f t="shared" si="2"/>
        <v>251.5344</v>
      </c>
    </row>
    <row r="91">
      <c r="A91" s="14" t="s">
        <v>166</v>
      </c>
      <c r="B91" s="21">
        <v>2.1120050023398E13</v>
      </c>
      <c r="C91" s="14" t="s">
        <v>152</v>
      </c>
      <c r="D91" s="21">
        <v>0.0</v>
      </c>
      <c r="E91" s="21">
        <v>241.86</v>
      </c>
      <c r="F91" s="14" t="s">
        <v>72</v>
      </c>
      <c r="G91" s="16">
        <v>46129.0</v>
      </c>
      <c r="H91" s="17" t="s">
        <v>73</v>
      </c>
      <c r="I91" s="18">
        <v>299.0</v>
      </c>
      <c r="J91" s="19" t="s">
        <v>74</v>
      </c>
      <c r="K91" s="17" t="s">
        <v>153</v>
      </c>
      <c r="L91" s="18">
        <v>-241.86</v>
      </c>
      <c r="M91" s="20"/>
      <c r="N91" s="6">
        <f t="array" ref="N91">XLOOKUP($B91, XLOOKUP("Tracking Number", Orders!$1:$1, Orders!$A:$AAA), XLOOKUP("Courier Fee", Orders!$1:$1, Orders!$A:$AAA), "Not Found")</f>
        <v>241.86</v>
      </c>
      <c r="O91" s="6">
        <f t="shared" si="1"/>
        <v>9.6744</v>
      </c>
      <c r="P91" s="6">
        <f t="shared" si="2"/>
        <v>251.5344</v>
      </c>
    </row>
    <row r="92">
      <c r="A92" s="14" t="s">
        <v>167</v>
      </c>
      <c r="B92" s="21">
        <v>2.9120050023295E13</v>
      </c>
      <c r="C92" s="14" t="s">
        <v>152</v>
      </c>
      <c r="D92" s="21">
        <v>0.0</v>
      </c>
      <c r="E92" s="21">
        <v>117.86</v>
      </c>
      <c r="F92" s="14" t="s">
        <v>72</v>
      </c>
      <c r="G92" s="16">
        <v>46129.0</v>
      </c>
      <c r="H92" s="17" t="s">
        <v>73</v>
      </c>
      <c r="I92" s="18">
        <v>249.0</v>
      </c>
      <c r="J92" s="19" t="s">
        <v>74</v>
      </c>
      <c r="K92" s="17" t="s">
        <v>153</v>
      </c>
      <c r="L92" s="18">
        <v>-117.86</v>
      </c>
      <c r="M92" s="20"/>
      <c r="N92" s="6">
        <f t="array" ref="N92">XLOOKUP($B92, XLOOKUP("Tracking Number", Orders!$1:$1, Orders!$A:$AAA), XLOOKUP("Courier Fee", Orders!$1:$1, Orders!$A:$AAA), "Not Found")</f>
        <v>117.86</v>
      </c>
      <c r="O92" s="6">
        <f t="shared" si="1"/>
        <v>4.7144</v>
      </c>
      <c r="P92" s="6">
        <f t="shared" si="2"/>
        <v>122.5744</v>
      </c>
    </row>
    <row r="93">
      <c r="A93" s="14" t="s">
        <v>168</v>
      </c>
      <c r="B93" s="21">
        <v>2.3120050023351E13</v>
      </c>
      <c r="C93" s="14" t="s">
        <v>152</v>
      </c>
      <c r="D93" s="21">
        <v>0.0</v>
      </c>
      <c r="E93" s="21">
        <v>128.99</v>
      </c>
      <c r="F93" s="14" t="s">
        <v>72</v>
      </c>
      <c r="G93" s="16">
        <v>46129.0</v>
      </c>
      <c r="H93" s="17" t="s">
        <v>73</v>
      </c>
      <c r="I93" s="18">
        <v>249.0</v>
      </c>
      <c r="J93" s="19" t="s">
        <v>74</v>
      </c>
      <c r="K93" s="17" t="s">
        <v>153</v>
      </c>
      <c r="L93" s="18">
        <v>-128.99</v>
      </c>
      <c r="M93" s="20"/>
      <c r="N93" s="6">
        <f t="array" ref="N93">XLOOKUP($B93, XLOOKUP("Tracking Number", Orders!$1:$1, Orders!$A:$AAA), XLOOKUP("Courier Fee", Orders!$1:$1, Orders!$A:$AAA), "Not Found")</f>
        <v>128.99</v>
      </c>
      <c r="O93" s="6">
        <f t="shared" si="1"/>
        <v>5.1596</v>
      </c>
      <c r="P93" s="6">
        <f t="shared" si="2"/>
        <v>134.1496</v>
      </c>
    </row>
    <row r="94">
      <c r="A94" s="14" t="s">
        <v>169</v>
      </c>
      <c r="B94" s="21">
        <v>2.1120050023254E13</v>
      </c>
      <c r="C94" s="14" t="s">
        <v>152</v>
      </c>
      <c r="D94" s="21">
        <v>0.0</v>
      </c>
      <c r="E94" s="21">
        <v>266.05</v>
      </c>
      <c r="F94" s="14" t="s">
        <v>72</v>
      </c>
      <c r="G94" s="16">
        <v>46129.0</v>
      </c>
      <c r="H94" s="17" t="s">
        <v>73</v>
      </c>
      <c r="I94" s="18">
        <v>4947.0</v>
      </c>
      <c r="J94" s="19" t="s">
        <v>74</v>
      </c>
      <c r="K94" s="17" t="s">
        <v>153</v>
      </c>
      <c r="L94" s="18">
        <v>-266.05</v>
      </c>
      <c r="M94" s="20"/>
      <c r="N94" s="6">
        <f t="array" ref="N94">XLOOKUP($B94, XLOOKUP("Tracking Number", Orders!$1:$1, Orders!$A:$AAA), XLOOKUP("Courier Fee", Orders!$1:$1, Orders!$A:$AAA), "Not Found")</f>
        <v>266.05</v>
      </c>
      <c r="O94" s="6">
        <f t="shared" si="1"/>
        <v>10.642</v>
      </c>
      <c r="P94" s="6">
        <f t="shared" si="2"/>
        <v>276.692</v>
      </c>
    </row>
    <row r="95">
      <c r="A95" s="14" t="s">
        <v>170</v>
      </c>
      <c r="B95" s="21">
        <v>2.5120050023163E13</v>
      </c>
      <c r="C95" s="14" t="s">
        <v>152</v>
      </c>
      <c r="D95" s="21">
        <v>0.0</v>
      </c>
      <c r="E95" s="21">
        <v>235.70999999999998</v>
      </c>
      <c r="F95" s="14" t="s">
        <v>72</v>
      </c>
      <c r="G95" s="16">
        <v>46129.0</v>
      </c>
      <c r="H95" s="17" t="s">
        <v>73</v>
      </c>
      <c r="I95" s="18">
        <v>249.0</v>
      </c>
      <c r="J95" s="19" t="s">
        <v>74</v>
      </c>
      <c r="K95" s="17" t="s">
        <v>153</v>
      </c>
      <c r="L95" s="18">
        <v>-235.70999999999998</v>
      </c>
      <c r="M95" s="20"/>
      <c r="N95" s="6">
        <f t="array" ref="N95">XLOOKUP($B95, XLOOKUP("Tracking Number", Orders!$1:$1, Orders!$A:$AAA), XLOOKUP("Courier Fee", Orders!$1:$1, Orders!$A:$AAA), "Not Found")</f>
        <v>235.71</v>
      </c>
      <c r="O95" s="6">
        <f t="shared" si="1"/>
        <v>9.4284</v>
      </c>
      <c r="P95" s="6">
        <f t="shared" si="2"/>
        <v>245.1384</v>
      </c>
    </row>
    <row r="96">
      <c r="A96" s="14" t="s">
        <v>171</v>
      </c>
      <c r="B96" s="21">
        <v>2.2120050023174E13</v>
      </c>
      <c r="C96" s="14" t="s">
        <v>152</v>
      </c>
      <c r="D96" s="21">
        <v>0.0</v>
      </c>
      <c r="E96" s="21">
        <v>220.98</v>
      </c>
      <c r="F96" s="14" t="s">
        <v>72</v>
      </c>
      <c r="G96" s="16">
        <v>46129.0</v>
      </c>
      <c r="H96" s="17" t="s">
        <v>73</v>
      </c>
      <c r="I96" s="18">
        <v>249.0</v>
      </c>
      <c r="J96" s="19" t="s">
        <v>74</v>
      </c>
      <c r="K96" s="17" t="s">
        <v>153</v>
      </c>
      <c r="L96" s="18">
        <v>-220.98</v>
      </c>
      <c r="M96" s="20"/>
      <c r="N96" s="6">
        <f t="array" ref="N96">XLOOKUP($B96, XLOOKUP("Tracking Number", Orders!$1:$1, Orders!$A:$AAA), XLOOKUP("Courier Fee", Orders!$1:$1, Orders!$A:$AAA), "Not Found")</f>
        <v>220.98</v>
      </c>
      <c r="O96" s="6">
        <f t="shared" si="1"/>
        <v>8.8392</v>
      </c>
      <c r="P96" s="6">
        <f t="shared" si="2"/>
        <v>229.8192</v>
      </c>
    </row>
    <row r="97">
      <c r="A97" s="14" t="s">
        <v>172</v>
      </c>
      <c r="B97" s="21">
        <v>2.3120050023304E13</v>
      </c>
      <c r="C97" s="14" t="s">
        <v>152</v>
      </c>
      <c r="D97" s="21">
        <v>0.0</v>
      </c>
      <c r="E97" s="21">
        <v>235.70999999999998</v>
      </c>
      <c r="F97" s="14" t="s">
        <v>72</v>
      </c>
      <c r="G97" s="16">
        <v>46129.0</v>
      </c>
      <c r="H97" s="17" t="s">
        <v>73</v>
      </c>
      <c r="I97" s="18">
        <v>249.0</v>
      </c>
      <c r="J97" s="19" t="s">
        <v>74</v>
      </c>
      <c r="K97" s="17" t="s">
        <v>153</v>
      </c>
      <c r="L97" s="18">
        <v>-235.70999999999998</v>
      </c>
      <c r="M97" s="20"/>
      <c r="N97" s="6">
        <f t="array" ref="N97">XLOOKUP($B97, XLOOKUP("Tracking Number", Orders!$1:$1, Orders!$A:$AAA), XLOOKUP("Courier Fee", Orders!$1:$1, Orders!$A:$AAA), "Not Found")</f>
        <v>235.71</v>
      </c>
      <c r="O97" s="6">
        <f t="shared" si="1"/>
        <v>9.4284</v>
      </c>
      <c r="P97" s="6">
        <f t="shared" si="2"/>
        <v>245.1384</v>
      </c>
    </row>
    <row r="98">
      <c r="A98" s="14" t="s">
        <v>173</v>
      </c>
      <c r="B98" s="21">
        <v>2.9120050023169E13</v>
      </c>
      <c r="C98" s="14" t="s">
        <v>152</v>
      </c>
      <c r="D98" s="21">
        <v>0.0</v>
      </c>
      <c r="E98" s="21">
        <v>220.98</v>
      </c>
      <c r="F98" s="14" t="s">
        <v>72</v>
      </c>
      <c r="G98" s="16">
        <v>46129.0</v>
      </c>
      <c r="H98" s="17" t="s">
        <v>73</v>
      </c>
      <c r="I98" s="18">
        <v>2148.0</v>
      </c>
      <c r="J98" s="19" t="s">
        <v>74</v>
      </c>
      <c r="K98" s="17" t="s">
        <v>153</v>
      </c>
      <c r="L98" s="18">
        <v>-220.98</v>
      </c>
      <c r="M98" s="20"/>
      <c r="N98" s="6">
        <f t="array" ref="N98">XLOOKUP($B98, XLOOKUP("Tracking Number", Orders!$1:$1, Orders!$A:$AAA), XLOOKUP("Courier Fee", Orders!$1:$1, Orders!$A:$AAA), "Not Found")</f>
        <v>220.98</v>
      </c>
      <c r="O98" s="6">
        <f t="shared" si="1"/>
        <v>8.8392</v>
      </c>
      <c r="P98" s="6">
        <f t="shared" si="2"/>
        <v>229.8192</v>
      </c>
    </row>
    <row r="99">
      <c r="A99" s="14" t="s">
        <v>174</v>
      </c>
      <c r="B99" s="21">
        <v>2.8120050023147E13</v>
      </c>
      <c r="C99" s="14" t="s">
        <v>152</v>
      </c>
      <c r="D99" s="21">
        <v>0.0</v>
      </c>
      <c r="E99" s="21">
        <v>220.98</v>
      </c>
      <c r="F99" s="14" t="s">
        <v>72</v>
      </c>
      <c r="G99" s="16">
        <v>46129.0</v>
      </c>
      <c r="H99" s="17" t="s">
        <v>73</v>
      </c>
      <c r="I99" s="18">
        <v>249.0</v>
      </c>
      <c r="J99" s="19" t="s">
        <v>74</v>
      </c>
      <c r="K99" s="17" t="s">
        <v>153</v>
      </c>
      <c r="L99" s="18">
        <v>-220.98</v>
      </c>
      <c r="M99" s="20"/>
      <c r="N99" s="6">
        <f t="array" ref="N99">XLOOKUP($B99, XLOOKUP("Tracking Number", Orders!$1:$1, Orders!$A:$AAA), XLOOKUP("Courier Fee", Orders!$1:$1, Orders!$A:$AAA), "Not Found")</f>
        <v>220.98</v>
      </c>
      <c r="O99" s="6">
        <f t="shared" si="1"/>
        <v>8.8392</v>
      </c>
      <c r="P99" s="6">
        <f t="shared" si="2"/>
        <v>229.8192</v>
      </c>
    </row>
    <row r="100">
      <c r="A100" s="14" t="s">
        <v>175</v>
      </c>
      <c r="B100" s="21">
        <v>2.6120050023046E13</v>
      </c>
      <c r="C100" s="14" t="s">
        <v>152</v>
      </c>
      <c r="D100" s="21">
        <v>0.0</v>
      </c>
      <c r="E100" s="21">
        <v>250.44</v>
      </c>
      <c r="F100" s="14" t="s">
        <v>72</v>
      </c>
      <c r="G100" s="16">
        <v>46129.0</v>
      </c>
      <c r="H100" s="17" t="s">
        <v>73</v>
      </c>
      <c r="I100" s="18">
        <v>3699.0</v>
      </c>
      <c r="J100" s="19" t="s">
        <v>74</v>
      </c>
      <c r="K100" s="17" t="s">
        <v>153</v>
      </c>
      <c r="L100" s="18">
        <v>-250.44</v>
      </c>
      <c r="M100" s="20"/>
      <c r="N100" s="6">
        <f t="array" ref="N100">XLOOKUP($B100, XLOOKUP("Tracking Number", Orders!$1:$1, Orders!$A:$AAA), XLOOKUP("Courier Fee", Orders!$1:$1, Orders!$A:$AAA), "Not Found")</f>
        <v>250.44</v>
      </c>
      <c r="O100" s="6">
        <f t="shared" si="1"/>
        <v>10.0176</v>
      </c>
      <c r="P100" s="6">
        <f t="shared" si="2"/>
        <v>260.4576</v>
      </c>
    </row>
    <row r="101">
      <c r="A101" s="14" t="s">
        <v>176</v>
      </c>
      <c r="B101" s="21">
        <v>2.7120050023011E13</v>
      </c>
      <c r="C101" s="14" t="s">
        <v>152</v>
      </c>
      <c r="D101" s="21">
        <v>0.0</v>
      </c>
      <c r="E101" s="21">
        <v>235.70999999999998</v>
      </c>
      <c r="F101" s="14" t="s">
        <v>72</v>
      </c>
      <c r="G101" s="16">
        <v>46129.0</v>
      </c>
      <c r="H101" s="17" t="s">
        <v>73</v>
      </c>
      <c r="I101" s="18">
        <v>249.0</v>
      </c>
      <c r="J101" s="19" t="s">
        <v>74</v>
      </c>
      <c r="K101" s="17" t="s">
        <v>153</v>
      </c>
      <c r="L101" s="18">
        <v>-235.70999999999998</v>
      </c>
      <c r="M101" s="20"/>
      <c r="N101" s="6">
        <f t="array" ref="N101">XLOOKUP($B101, XLOOKUP("Tracking Number", Orders!$1:$1, Orders!$A:$AAA), XLOOKUP("Courier Fee", Orders!$1:$1, Orders!$A:$AAA), "Not Found")</f>
        <v>235.71</v>
      </c>
      <c r="O101" s="6">
        <f t="shared" si="1"/>
        <v>9.4284</v>
      </c>
      <c r="P101" s="6">
        <f t="shared" si="2"/>
        <v>245.1384</v>
      </c>
    </row>
    <row r="102">
      <c r="A102" s="14" t="s">
        <v>177</v>
      </c>
      <c r="B102" s="21">
        <v>2.5120050023012E13</v>
      </c>
      <c r="C102" s="14" t="s">
        <v>152</v>
      </c>
      <c r="D102" s="21">
        <v>0.0</v>
      </c>
      <c r="E102" s="21">
        <v>235.70999999999998</v>
      </c>
      <c r="F102" s="14" t="s">
        <v>72</v>
      </c>
      <c r="G102" s="16">
        <v>46129.0</v>
      </c>
      <c r="H102" s="17" t="s">
        <v>73</v>
      </c>
      <c r="I102" s="18">
        <v>249.0</v>
      </c>
      <c r="J102" s="19" t="s">
        <v>74</v>
      </c>
      <c r="K102" s="17" t="s">
        <v>153</v>
      </c>
      <c r="L102" s="18">
        <v>-235.70999999999998</v>
      </c>
      <c r="M102" s="20"/>
      <c r="N102" s="6">
        <f t="array" ref="N102">XLOOKUP($B102, XLOOKUP("Tracking Number", Orders!$1:$1, Orders!$A:$AAA), XLOOKUP("Courier Fee", Orders!$1:$1, Orders!$A:$AAA), "Not Found")</f>
        <v>235.71</v>
      </c>
      <c r="O102" s="6">
        <f t="shared" si="1"/>
        <v>9.4284</v>
      </c>
      <c r="P102" s="6">
        <f t="shared" si="2"/>
        <v>245.1384</v>
      </c>
    </row>
    <row r="103">
      <c r="A103" s="14" t="s">
        <v>178</v>
      </c>
      <c r="B103" s="21">
        <v>2.3120050023015E13</v>
      </c>
      <c r="C103" s="14" t="s">
        <v>152</v>
      </c>
      <c r="D103" s="21">
        <v>0.0</v>
      </c>
      <c r="E103" s="21">
        <v>235.70999999999998</v>
      </c>
      <c r="F103" s="14" t="s">
        <v>72</v>
      </c>
      <c r="G103" s="16">
        <v>46129.0</v>
      </c>
      <c r="H103" s="17" t="s">
        <v>73</v>
      </c>
      <c r="I103" s="18">
        <v>249.0</v>
      </c>
      <c r="J103" s="19" t="s">
        <v>74</v>
      </c>
      <c r="K103" s="17" t="s">
        <v>153</v>
      </c>
      <c r="L103" s="18">
        <v>-235.70999999999998</v>
      </c>
      <c r="M103" s="20"/>
      <c r="N103" s="6">
        <f t="array" ref="N103">XLOOKUP($B103, XLOOKUP("Tracking Number", Orders!$1:$1, Orders!$A:$AAA), XLOOKUP("Courier Fee", Orders!$1:$1, Orders!$A:$AAA), "Not Found")</f>
        <v>235.71</v>
      </c>
      <c r="O103" s="6">
        <f t="shared" si="1"/>
        <v>9.4284</v>
      </c>
      <c r="P103" s="6">
        <f t="shared" si="2"/>
        <v>245.1384</v>
      </c>
    </row>
    <row r="104">
      <c r="A104" s="14" t="s">
        <v>179</v>
      </c>
      <c r="B104" s="15">
        <v>2.8120050023589E13</v>
      </c>
      <c r="C104" s="14" t="s">
        <v>71</v>
      </c>
      <c r="D104" s="15">
        <v>0.0</v>
      </c>
      <c r="E104" s="15">
        <v>257.98</v>
      </c>
      <c r="F104" s="14" t="s">
        <v>72</v>
      </c>
      <c r="G104" s="16">
        <v>46129.0</v>
      </c>
      <c r="H104" s="17" t="s">
        <v>73</v>
      </c>
      <c r="I104" s="18">
        <v>2520.0</v>
      </c>
      <c r="J104" s="22" t="s">
        <v>180</v>
      </c>
      <c r="K104" s="17" t="s">
        <v>181</v>
      </c>
      <c r="L104" s="18"/>
      <c r="M104" s="20"/>
      <c r="N104" s="6" t="str">
        <f t="array" ref="N104">XLOOKUP($B104, XLOOKUP("Tracking Number", Orders!$1:$1, Orders!$A:$AAA), XLOOKUP("Courier Fee", Orders!$1:$1, Orders!$A:$AAA), "Not Found")</f>
        <v/>
      </c>
      <c r="O104" s="6">
        <f t="shared" si="1"/>
        <v>10.3192</v>
      </c>
      <c r="P104" s="6">
        <f t="shared" si="2"/>
        <v>10.3192</v>
      </c>
    </row>
    <row r="105">
      <c r="A105" s="14" t="s">
        <v>182</v>
      </c>
      <c r="B105" s="21">
        <v>2.512005002359E13</v>
      </c>
      <c r="C105" s="14" t="s">
        <v>71</v>
      </c>
      <c r="D105" s="21">
        <v>0.0</v>
      </c>
      <c r="E105" s="21">
        <v>241.86</v>
      </c>
      <c r="F105" s="14" t="s">
        <v>72</v>
      </c>
      <c r="G105" s="16">
        <v>46129.0</v>
      </c>
      <c r="H105" s="17" t="s">
        <v>73</v>
      </c>
      <c r="I105" s="18">
        <v>1665.0</v>
      </c>
      <c r="J105" s="22" t="s">
        <v>180</v>
      </c>
      <c r="K105" s="17" t="s">
        <v>181</v>
      </c>
      <c r="L105" s="18"/>
      <c r="M105" s="20"/>
      <c r="N105" s="6" t="str">
        <f t="array" ref="N105">XLOOKUP($B105, XLOOKUP("Tracking Number", Orders!$1:$1, Orders!$A:$AAA), XLOOKUP("Courier Fee", Orders!$1:$1, Orders!$A:$AAA), "Not Found")</f>
        <v/>
      </c>
      <c r="O105" s="6">
        <f t="shared" si="1"/>
        <v>9.6744</v>
      </c>
      <c r="P105" s="6">
        <f t="shared" si="2"/>
        <v>9.6744</v>
      </c>
    </row>
    <row r="106">
      <c r="A106" s="14" t="s">
        <v>183</v>
      </c>
      <c r="B106" s="21">
        <v>2.3120050023577E13</v>
      </c>
      <c r="C106" s="14" t="s">
        <v>71</v>
      </c>
      <c r="D106" s="21">
        <v>0.0</v>
      </c>
      <c r="E106" s="21">
        <v>257.98</v>
      </c>
      <c r="F106" s="14" t="s">
        <v>72</v>
      </c>
      <c r="G106" s="16">
        <v>46129.0</v>
      </c>
      <c r="H106" s="17" t="s">
        <v>73</v>
      </c>
      <c r="I106" s="18">
        <v>3399.0</v>
      </c>
      <c r="J106" s="22" t="s">
        <v>180</v>
      </c>
      <c r="K106" s="17" t="s">
        <v>181</v>
      </c>
      <c r="L106" s="18"/>
      <c r="M106" s="20"/>
      <c r="N106" s="6" t="str">
        <f t="array" ref="N106">XLOOKUP($B106, XLOOKUP("Tracking Number", Orders!$1:$1, Orders!$A:$AAA), XLOOKUP("Courier Fee", Orders!$1:$1, Orders!$A:$AAA), "Not Found")</f>
        <v/>
      </c>
      <c r="O106" s="6">
        <f t="shared" si="1"/>
        <v>10.3192</v>
      </c>
      <c r="P106" s="6">
        <f t="shared" si="2"/>
        <v>10.3192</v>
      </c>
    </row>
    <row r="107">
      <c r="A107" s="14" t="s">
        <v>184</v>
      </c>
      <c r="B107" s="21">
        <v>2.5120050023541E13</v>
      </c>
      <c r="C107" s="14" t="s">
        <v>71</v>
      </c>
      <c r="D107" s="21">
        <v>0.0</v>
      </c>
      <c r="E107" s="21">
        <v>241.86</v>
      </c>
      <c r="F107" s="14" t="s">
        <v>72</v>
      </c>
      <c r="G107" s="16">
        <v>46129.0</v>
      </c>
      <c r="H107" s="17" t="s">
        <v>73</v>
      </c>
      <c r="I107" s="18">
        <v>1499.0</v>
      </c>
      <c r="J107" s="22" t="s">
        <v>180</v>
      </c>
      <c r="K107" s="17" t="s">
        <v>181</v>
      </c>
      <c r="L107" s="18"/>
      <c r="M107" s="20"/>
      <c r="N107" s="6" t="str">
        <f t="array" ref="N107">XLOOKUP($B107, XLOOKUP("Tracking Number", Orders!$1:$1, Orders!$A:$AAA), XLOOKUP("Courier Fee", Orders!$1:$1, Orders!$A:$AAA), "Not Found")</f>
        <v/>
      </c>
      <c r="O107" s="6">
        <f t="shared" si="1"/>
        <v>9.6744</v>
      </c>
      <c r="P107" s="6">
        <f t="shared" si="2"/>
        <v>9.6744</v>
      </c>
    </row>
    <row r="108">
      <c r="A108" s="14" t="s">
        <v>185</v>
      </c>
      <c r="B108" s="21">
        <v>2.4120050023415E13</v>
      </c>
      <c r="C108" s="14" t="s">
        <v>71</v>
      </c>
      <c r="D108" s="21">
        <v>0.0</v>
      </c>
      <c r="E108" s="21">
        <v>257.98</v>
      </c>
      <c r="F108" s="14" t="s">
        <v>72</v>
      </c>
      <c r="G108" s="16">
        <v>46129.0</v>
      </c>
      <c r="H108" s="17" t="s">
        <v>73</v>
      </c>
      <c r="I108" s="18">
        <v>3397.0</v>
      </c>
      <c r="J108" s="22" t="s">
        <v>180</v>
      </c>
      <c r="K108" s="17" t="s">
        <v>181</v>
      </c>
      <c r="L108" s="20"/>
      <c r="M108" s="20"/>
      <c r="N108" s="6" t="str">
        <f t="array" ref="N108">XLOOKUP($B108, XLOOKUP("Tracking Number", Orders!$1:$1, Orders!$A:$AAA), XLOOKUP("Courier Fee", Orders!$1:$1, Orders!$A:$AAA), "Not Found")</f>
        <v/>
      </c>
      <c r="O108" s="6">
        <f t="shared" si="1"/>
        <v>10.3192</v>
      </c>
      <c r="P108" s="6">
        <f t="shared" si="2"/>
        <v>10.3192</v>
      </c>
    </row>
    <row r="109">
      <c r="A109" s="14" t="s">
        <v>186</v>
      </c>
      <c r="B109" s="21">
        <v>2.7120050023547E13</v>
      </c>
      <c r="C109" s="14" t="s">
        <v>71</v>
      </c>
      <c r="D109" s="21">
        <v>0.0</v>
      </c>
      <c r="E109" s="21">
        <v>128.99</v>
      </c>
      <c r="F109" s="14" t="s">
        <v>72</v>
      </c>
      <c r="G109" s="16">
        <v>46129.0</v>
      </c>
      <c r="H109" s="17" t="s">
        <v>73</v>
      </c>
      <c r="I109" s="18"/>
      <c r="J109" s="17" t="s">
        <v>187</v>
      </c>
      <c r="K109" s="17" t="s">
        <v>188</v>
      </c>
      <c r="L109" s="18"/>
      <c r="M109" s="20"/>
      <c r="N109" s="6" t="str">
        <f t="array" ref="N109">XLOOKUP($B109, XLOOKUP("Tracking Number", Orders!$1:$1, Orders!$A:$AAA), XLOOKUP("Courier Fee", Orders!$1:$1, Orders!$A:$AAA), "Not Found")</f>
        <v/>
      </c>
      <c r="O109" s="6">
        <f t="shared" si="1"/>
        <v>5.1596</v>
      </c>
      <c r="P109" s="6">
        <f t="shared" si="2"/>
        <v>5.1596</v>
      </c>
    </row>
    <row r="110">
      <c r="A110" s="23"/>
      <c r="B110" s="23"/>
      <c r="C110" s="23"/>
      <c r="D110" s="23"/>
      <c r="E110" s="23"/>
      <c r="F110" s="23"/>
      <c r="G110" s="23"/>
      <c r="H110" s="20"/>
      <c r="I110" s="20"/>
      <c r="J110" s="20"/>
      <c r="K110" s="20"/>
      <c r="L110" s="20"/>
      <c r="M110" s="20"/>
      <c r="N110" s="6" t="str">
        <f t="array" ref="N110">XLOOKUP($B110, XLOOKUP("Tracking Number", Orders!$1:$1, Orders!$A:$AAA), XLOOKUP("Courier Fee", Orders!$1:$1, Orders!$A:$AAA), "Not Found")</f>
        <v>Not Found</v>
      </c>
      <c r="O110" s="6">
        <f t="shared" si="1"/>
        <v>0</v>
      </c>
      <c r="P110" s="6">
        <f t="shared" si="2"/>
        <v>0</v>
      </c>
    </row>
    <row r="111">
      <c r="A111" s="23"/>
      <c r="B111" s="23"/>
      <c r="C111" s="23"/>
      <c r="D111" s="23"/>
      <c r="E111" s="23"/>
      <c r="F111" s="23"/>
      <c r="G111" s="23"/>
      <c r="H111" s="20"/>
      <c r="I111" s="20"/>
      <c r="J111" s="20"/>
      <c r="K111" s="20"/>
      <c r="L111" s="20"/>
      <c r="M111" s="20"/>
      <c r="N111" s="6" t="str">
        <f t="array" ref="N111">XLOOKUP($B111, XLOOKUP("Tracking Number", Orders!$1:$1, Orders!$A:$AAA), XLOOKUP("Courier Fee", Orders!$1:$1, Orders!$A:$AAA), "Not Found")</f>
        <v>Not Found</v>
      </c>
      <c r="O111" s="6">
        <f t="shared" si="1"/>
        <v>0</v>
      </c>
      <c r="P111" s="6">
        <f t="shared" si="2"/>
        <v>0</v>
      </c>
    </row>
    <row r="112">
      <c r="A112" s="23"/>
      <c r="B112" s="23"/>
      <c r="C112" s="23"/>
      <c r="D112" s="23"/>
      <c r="E112" s="23"/>
      <c r="F112" s="23"/>
      <c r="G112" s="23"/>
      <c r="H112" s="20"/>
      <c r="I112" s="20"/>
      <c r="J112" s="20"/>
      <c r="K112" s="20"/>
      <c r="L112" s="20"/>
      <c r="M112" s="20"/>
      <c r="N112" s="6" t="str">
        <f t="array" ref="N112">XLOOKUP($B112, XLOOKUP("Tracking Number", Orders!$1:$1, Orders!$A:$AAA), XLOOKUP("Courier Fee", Orders!$1:$1, Orders!$A:$AAA), "Not Found")</f>
        <v>Not Found</v>
      </c>
      <c r="O112" s="6">
        <f t="shared" si="1"/>
        <v>0</v>
      </c>
      <c r="P112" s="6">
        <f t="shared" si="2"/>
        <v>0</v>
      </c>
    </row>
    <row r="113">
      <c r="A113" s="23"/>
      <c r="B113" s="23"/>
      <c r="C113" s="23"/>
      <c r="D113" s="23"/>
      <c r="E113" s="23"/>
      <c r="F113" s="23"/>
      <c r="G113" s="23"/>
      <c r="H113" s="20"/>
      <c r="I113" s="20"/>
      <c r="J113" s="20"/>
      <c r="K113" s="20"/>
      <c r="L113" s="20"/>
      <c r="M113" s="20"/>
      <c r="N113" s="6" t="str">
        <f t="array" ref="N113">XLOOKUP($B113, XLOOKUP("Tracking Number", Orders!$1:$1, Orders!$A:$AAA), XLOOKUP("Courier Fee", Orders!$1:$1, Orders!$A:$AAA), "Not Found")</f>
        <v>Not Found</v>
      </c>
      <c r="O113" s="6">
        <f t="shared" si="1"/>
        <v>0</v>
      </c>
      <c r="P113" s="6">
        <f t="shared" si="2"/>
        <v>0</v>
      </c>
    </row>
    <row r="114">
      <c r="A114" s="23"/>
      <c r="B114" s="23"/>
      <c r="C114" s="23"/>
      <c r="D114" s="23"/>
      <c r="E114" s="23"/>
      <c r="F114" s="23"/>
      <c r="G114" s="23"/>
      <c r="H114" s="20"/>
      <c r="I114" s="20"/>
      <c r="J114" s="20"/>
      <c r="K114" s="20"/>
      <c r="L114" s="20"/>
      <c r="M114" s="20"/>
      <c r="N114" s="6" t="str">
        <f t="array" ref="N114">XLOOKUP($B114, XLOOKUP("Tracking Number", Orders!$1:$1, Orders!$A:$AAA), XLOOKUP("Courier Fee", Orders!$1:$1, Orders!$A:$AAA), "Not Found")</f>
        <v>Not Found</v>
      </c>
      <c r="O114" s="6">
        <f t="shared" si="1"/>
        <v>0</v>
      </c>
      <c r="P114" s="6">
        <f t="shared" si="2"/>
        <v>0</v>
      </c>
    </row>
    <row r="115">
      <c r="A115" s="23"/>
      <c r="B115" s="23"/>
      <c r="C115" s="23"/>
      <c r="D115" s="23"/>
      <c r="E115" s="23"/>
      <c r="F115" s="23"/>
      <c r="G115" s="23"/>
      <c r="H115" s="20"/>
      <c r="I115" s="20"/>
      <c r="J115" s="20"/>
      <c r="K115" s="20"/>
      <c r="L115" s="20"/>
      <c r="M115" s="20"/>
      <c r="N115" s="6" t="str">
        <f t="array" ref="N115">XLOOKUP($B115, XLOOKUP("Tracking Number", Orders!$1:$1, Orders!$A:$AAA), XLOOKUP("Courier Fee", Orders!$1:$1, Orders!$A:$AAA), "Not Found")</f>
        <v>Not Found</v>
      </c>
      <c r="O115" s="6">
        <f t="shared" si="1"/>
        <v>0</v>
      </c>
      <c r="P115" s="6">
        <f t="shared" si="2"/>
        <v>0</v>
      </c>
    </row>
    <row r="116">
      <c r="A116" s="23"/>
      <c r="B116" s="23"/>
      <c r="C116" s="23"/>
      <c r="D116" s="23"/>
      <c r="E116" s="23"/>
      <c r="F116" s="23"/>
      <c r="G116" s="23"/>
      <c r="H116" s="20"/>
      <c r="I116" s="20"/>
      <c r="J116" s="20"/>
      <c r="K116" s="20"/>
      <c r="L116" s="20"/>
      <c r="M116" s="20"/>
      <c r="N116" s="6" t="str">
        <f t="array" ref="N116">XLOOKUP($B116, XLOOKUP("Tracking Number", Orders!$1:$1, Orders!$A:$AAA), XLOOKUP("Courier Fee", Orders!$1:$1, Orders!$A:$AAA), "Not Found")</f>
        <v>Not Found</v>
      </c>
      <c r="O116" s="6">
        <f t="shared" si="1"/>
        <v>0</v>
      </c>
      <c r="P116" s="6">
        <f t="shared" si="2"/>
        <v>0</v>
      </c>
    </row>
    <row r="117">
      <c r="A117" s="23"/>
      <c r="B117" s="23"/>
      <c r="C117" s="23"/>
      <c r="D117" s="23"/>
      <c r="E117" s="23"/>
      <c r="F117" s="23"/>
      <c r="G117" s="23"/>
      <c r="H117" s="20"/>
      <c r="I117" s="20"/>
      <c r="J117" s="20"/>
      <c r="K117" s="20"/>
      <c r="L117" s="20"/>
      <c r="M117" s="20"/>
      <c r="N117" s="6" t="str">
        <f t="array" ref="N117">XLOOKUP($B117, XLOOKUP("Tracking Number", Orders!$1:$1, Orders!$A:$AAA), XLOOKUP("Courier Fee", Orders!$1:$1, Orders!$A:$AAA), "Not Found")</f>
        <v>Not Found</v>
      </c>
      <c r="O117" s="6">
        <f t="shared" si="1"/>
        <v>0</v>
      </c>
      <c r="P117" s="6">
        <f t="shared" si="2"/>
        <v>0</v>
      </c>
    </row>
    <row r="118">
      <c r="A118" s="23"/>
      <c r="B118" s="23"/>
      <c r="C118" s="23"/>
      <c r="D118" s="23"/>
      <c r="E118" s="23"/>
      <c r="F118" s="23"/>
      <c r="G118" s="23"/>
      <c r="H118" s="20"/>
      <c r="I118" s="20"/>
      <c r="J118" s="20"/>
      <c r="K118" s="20"/>
      <c r="L118" s="20"/>
      <c r="M118" s="20"/>
      <c r="N118" s="6" t="str">
        <f t="array" ref="N118">XLOOKUP($B118, XLOOKUP("Tracking Number", Orders!$1:$1, Orders!$A:$AAA), XLOOKUP("Courier Fee", Orders!$1:$1, Orders!$A:$AAA), "Not Found")</f>
        <v>Not Found</v>
      </c>
      <c r="O118" s="6">
        <f t="shared" si="1"/>
        <v>0</v>
      </c>
      <c r="P118" s="6">
        <f t="shared" si="2"/>
        <v>0</v>
      </c>
    </row>
    <row r="119">
      <c r="A119" s="23"/>
      <c r="B119" s="23"/>
      <c r="C119" s="23"/>
      <c r="D119" s="23"/>
      <c r="E119" s="23"/>
      <c r="F119" s="23"/>
      <c r="G119" s="23"/>
      <c r="H119" s="20"/>
      <c r="I119" s="20"/>
      <c r="J119" s="20"/>
      <c r="K119" s="20"/>
      <c r="L119" s="20"/>
      <c r="M119" s="20"/>
      <c r="N119" s="6" t="str">
        <f t="array" ref="N119">XLOOKUP($B119, XLOOKUP("Tracking Number", Orders!$1:$1, Orders!$A:$AAA), XLOOKUP("Courier Fee", Orders!$1:$1, Orders!$A:$AAA), "Not Found")</f>
        <v>Not Found</v>
      </c>
      <c r="O119" s="6">
        <f t="shared" si="1"/>
        <v>0</v>
      </c>
      <c r="P119" s="6">
        <f t="shared" si="2"/>
        <v>0</v>
      </c>
    </row>
    <row r="120">
      <c r="A120" s="23"/>
      <c r="B120" s="23"/>
      <c r="C120" s="23"/>
      <c r="D120" s="23"/>
      <c r="E120" s="23"/>
      <c r="F120" s="23"/>
      <c r="G120" s="23"/>
      <c r="H120" s="20"/>
      <c r="I120" s="20"/>
      <c r="J120" s="20"/>
      <c r="K120" s="20"/>
      <c r="L120" s="20"/>
      <c r="M120" s="20"/>
      <c r="N120" s="6" t="str">
        <f t="array" ref="N120">XLOOKUP($B120, XLOOKUP("Tracking Number", Orders!$1:$1, Orders!$A:$AAA), XLOOKUP("Courier Fee", Orders!$1:$1, Orders!$A:$AAA), "Not Found")</f>
        <v>Not Found</v>
      </c>
      <c r="O120" s="6">
        <f t="shared" si="1"/>
        <v>0</v>
      </c>
      <c r="P120" s="6">
        <f t="shared" si="2"/>
        <v>0</v>
      </c>
    </row>
    <row r="121">
      <c r="A121" s="23"/>
      <c r="B121" s="23"/>
      <c r="C121" s="23"/>
      <c r="D121" s="23"/>
      <c r="E121" s="23"/>
      <c r="F121" s="23"/>
      <c r="G121" s="23"/>
      <c r="H121" s="20"/>
      <c r="I121" s="20"/>
      <c r="J121" s="20"/>
      <c r="K121" s="20"/>
      <c r="L121" s="20"/>
      <c r="M121" s="20"/>
      <c r="N121" s="6" t="str">
        <f t="array" ref="N121">XLOOKUP($B121, XLOOKUP("Tracking Number", Orders!$1:$1, Orders!$A:$AAA), XLOOKUP("Courier Fee", Orders!$1:$1, Orders!$A:$AAA), "Not Found")</f>
        <v>Not Found</v>
      </c>
      <c r="O121" s="6">
        <f t="shared" si="1"/>
        <v>0</v>
      </c>
      <c r="P121" s="6">
        <f t="shared" si="2"/>
        <v>0</v>
      </c>
    </row>
    <row r="122">
      <c r="A122" s="23"/>
      <c r="B122" s="23"/>
      <c r="C122" s="23"/>
      <c r="D122" s="23"/>
      <c r="E122" s="23"/>
      <c r="F122" s="23"/>
      <c r="G122" s="23"/>
      <c r="H122" s="20"/>
      <c r="I122" s="20"/>
      <c r="J122" s="20"/>
      <c r="K122" s="20"/>
      <c r="L122" s="20"/>
      <c r="M122" s="20"/>
      <c r="N122" s="6" t="str">
        <f t="array" ref="N122">XLOOKUP($B122, XLOOKUP("Tracking Number", Orders!$1:$1, Orders!$A:$AAA), XLOOKUP("Courier Fee", Orders!$1:$1, Orders!$A:$AAA), "Not Found")</f>
        <v>Not Found</v>
      </c>
      <c r="O122" s="6">
        <f t="shared" si="1"/>
        <v>0</v>
      </c>
      <c r="P122" s="6">
        <f t="shared" si="2"/>
        <v>0</v>
      </c>
    </row>
    <row r="123">
      <c r="A123" s="23"/>
      <c r="B123" s="23"/>
      <c r="C123" s="23"/>
      <c r="D123" s="23"/>
      <c r="E123" s="23"/>
      <c r="F123" s="23"/>
      <c r="G123" s="23"/>
      <c r="H123" s="20"/>
      <c r="I123" s="20"/>
      <c r="J123" s="20"/>
      <c r="K123" s="20"/>
      <c r="L123" s="20"/>
      <c r="M123" s="20"/>
      <c r="N123" s="6" t="str">
        <f t="array" ref="N123">XLOOKUP($B123, XLOOKUP("Tracking Number", Orders!$1:$1, Orders!$A:$AAA), XLOOKUP("Courier Fee", Orders!$1:$1, Orders!$A:$AAA), "Not Found")</f>
        <v>Not Found</v>
      </c>
      <c r="O123" s="6">
        <f t="shared" si="1"/>
        <v>0</v>
      </c>
      <c r="P123" s="6">
        <f t="shared" si="2"/>
        <v>0</v>
      </c>
    </row>
    <row r="124">
      <c r="A124" s="23"/>
      <c r="B124" s="23"/>
      <c r="C124" s="23"/>
      <c r="D124" s="23"/>
      <c r="E124" s="23"/>
      <c r="F124" s="23"/>
      <c r="G124" s="23"/>
      <c r="H124" s="20"/>
      <c r="I124" s="20"/>
      <c r="J124" s="20"/>
      <c r="K124" s="20"/>
      <c r="L124" s="20"/>
      <c r="M124" s="20"/>
      <c r="N124" s="6" t="str">
        <f t="array" ref="N124">XLOOKUP($B124, XLOOKUP("Tracking Number", Orders!$1:$1, Orders!$A:$AAA), XLOOKUP("Courier Fee", Orders!$1:$1, Orders!$A:$AAA), "Not Found")</f>
        <v>Not Found</v>
      </c>
      <c r="O124" s="6">
        <f t="shared" si="1"/>
        <v>0</v>
      </c>
      <c r="P124" s="6">
        <f t="shared" si="2"/>
        <v>0</v>
      </c>
    </row>
    <row r="125">
      <c r="A125" s="23"/>
      <c r="B125" s="23"/>
      <c r="C125" s="23"/>
      <c r="D125" s="23"/>
      <c r="E125" s="23"/>
      <c r="F125" s="23"/>
      <c r="G125" s="23"/>
      <c r="H125" s="20"/>
      <c r="I125" s="20"/>
      <c r="J125" s="20"/>
      <c r="K125" s="20"/>
      <c r="L125" s="20"/>
      <c r="M125" s="20"/>
      <c r="N125" s="6" t="str">
        <f t="array" ref="N125">XLOOKUP($B125, XLOOKUP("Tracking Number", Orders!$1:$1, Orders!$A:$AAA), XLOOKUP("Courier Fee", Orders!$1:$1, Orders!$A:$AAA), "Not Found")</f>
        <v>Not Found</v>
      </c>
      <c r="O125" s="6">
        <f t="shared" si="1"/>
        <v>0</v>
      </c>
      <c r="P125" s="6">
        <f t="shared" si="2"/>
        <v>0</v>
      </c>
    </row>
    <row r="126">
      <c r="A126" s="23"/>
      <c r="B126" s="23"/>
      <c r="C126" s="23"/>
      <c r="D126" s="23"/>
      <c r="E126" s="23"/>
      <c r="F126" s="23"/>
      <c r="G126" s="23"/>
      <c r="H126" s="20"/>
      <c r="I126" s="20"/>
      <c r="J126" s="20"/>
      <c r="K126" s="20"/>
      <c r="L126" s="20"/>
      <c r="M126" s="20"/>
      <c r="N126" s="6" t="str">
        <f t="array" ref="N126">XLOOKUP($B126, XLOOKUP("Tracking Number", Orders!$1:$1, Orders!$A:$AAA), XLOOKUP("Courier Fee", Orders!$1:$1, Orders!$A:$AAA), "Not Found")</f>
        <v>Not Found</v>
      </c>
      <c r="O126" s="6">
        <f t="shared" si="1"/>
        <v>0</v>
      </c>
      <c r="P126" s="6">
        <f t="shared" si="2"/>
        <v>0</v>
      </c>
    </row>
    <row r="127">
      <c r="A127" s="23"/>
      <c r="B127" s="23"/>
      <c r="C127" s="23"/>
      <c r="D127" s="23"/>
      <c r="E127" s="23"/>
      <c r="F127" s="23"/>
      <c r="G127" s="23"/>
      <c r="H127" s="20"/>
      <c r="I127" s="20"/>
      <c r="J127" s="20"/>
      <c r="K127" s="20"/>
      <c r="L127" s="20"/>
      <c r="M127" s="20"/>
      <c r="N127" s="6" t="str">
        <f t="array" ref="N127">XLOOKUP($B127, XLOOKUP("Tracking Number", Orders!$1:$1, Orders!$A:$AAA), XLOOKUP("Courier Fee", Orders!$1:$1, Orders!$A:$AAA), "Not Found")</f>
        <v>Not Found</v>
      </c>
      <c r="O127" s="6">
        <f t="shared" si="1"/>
        <v>0</v>
      </c>
      <c r="P127" s="6">
        <f t="shared" si="2"/>
        <v>0</v>
      </c>
    </row>
    <row r="128">
      <c r="A128" s="23"/>
      <c r="B128" s="23"/>
      <c r="C128" s="23"/>
      <c r="D128" s="23"/>
      <c r="E128" s="23"/>
      <c r="F128" s="23"/>
      <c r="G128" s="23"/>
      <c r="H128" s="20"/>
      <c r="I128" s="20"/>
      <c r="J128" s="20"/>
      <c r="K128" s="20"/>
      <c r="L128" s="20"/>
      <c r="M128" s="20"/>
      <c r="N128" s="6" t="str">
        <f t="array" ref="N128">XLOOKUP($B128, XLOOKUP("Tracking Number", Orders!$1:$1, Orders!$A:$AAA), XLOOKUP("Courier Fee", Orders!$1:$1, Orders!$A:$AAA), "Not Found")</f>
        <v>Not Found</v>
      </c>
      <c r="O128" s="6">
        <f t="shared" si="1"/>
        <v>0</v>
      </c>
      <c r="P128" s="6">
        <f t="shared" si="2"/>
        <v>0</v>
      </c>
    </row>
    <row r="129">
      <c r="A129" s="23"/>
      <c r="B129" s="23"/>
      <c r="C129" s="23"/>
      <c r="D129" s="23"/>
      <c r="E129" s="23"/>
      <c r="F129" s="23"/>
      <c r="G129" s="23"/>
      <c r="H129" s="20"/>
      <c r="I129" s="20"/>
      <c r="J129" s="20"/>
      <c r="K129" s="20"/>
      <c r="L129" s="20"/>
      <c r="M129" s="20"/>
      <c r="N129" s="6" t="str">
        <f t="array" ref="N129">XLOOKUP($B129, XLOOKUP("Tracking Number", Orders!$1:$1, Orders!$A:$AAA), XLOOKUP("Courier Fee", Orders!$1:$1, Orders!$A:$AAA), "Not Found")</f>
        <v>Not Found</v>
      </c>
      <c r="O129" s="6">
        <f t="shared" si="1"/>
        <v>0</v>
      </c>
      <c r="P129" s="6">
        <f t="shared" si="2"/>
        <v>0</v>
      </c>
    </row>
    <row r="130">
      <c r="A130" s="23"/>
      <c r="B130" s="23"/>
      <c r="C130" s="23"/>
      <c r="D130" s="23"/>
      <c r="E130" s="23"/>
      <c r="F130" s="23"/>
      <c r="G130" s="23"/>
      <c r="H130" s="20"/>
      <c r="I130" s="20"/>
      <c r="J130" s="20"/>
      <c r="K130" s="20"/>
      <c r="L130" s="20"/>
      <c r="M130" s="20"/>
      <c r="N130" s="6" t="str">
        <f t="array" ref="N130">XLOOKUP($B130, XLOOKUP("Tracking Number", Orders!$1:$1, Orders!$A:$AAA), XLOOKUP("Courier Fee", Orders!$1:$1, Orders!$A:$AAA), "Not Found")</f>
        <v>Not Found</v>
      </c>
      <c r="O130" s="6">
        <f t="shared" si="1"/>
        <v>0</v>
      </c>
      <c r="P130" s="6">
        <f t="shared" si="2"/>
        <v>0</v>
      </c>
    </row>
    <row r="131">
      <c r="A131" s="23"/>
      <c r="B131" s="23"/>
      <c r="C131" s="23"/>
      <c r="D131" s="23"/>
      <c r="E131" s="23"/>
      <c r="F131" s="23"/>
      <c r="G131" s="23"/>
      <c r="H131" s="20"/>
      <c r="I131" s="20"/>
      <c r="J131" s="20"/>
      <c r="K131" s="20"/>
      <c r="L131" s="20"/>
      <c r="M131" s="20"/>
      <c r="N131" s="6" t="str">
        <f t="array" ref="N131">XLOOKUP($B131, XLOOKUP("Tracking Number", Orders!$1:$1, Orders!$A:$AAA), XLOOKUP("Courier Fee", Orders!$1:$1, Orders!$A:$AAA), "Not Found")</f>
        <v>Not Found</v>
      </c>
      <c r="O131" s="6">
        <f t="shared" si="1"/>
        <v>0</v>
      </c>
      <c r="P131" s="6">
        <f t="shared" si="2"/>
        <v>0</v>
      </c>
    </row>
    <row r="132">
      <c r="A132" s="23"/>
      <c r="B132" s="23"/>
      <c r="C132" s="23"/>
      <c r="D132" s="23"/>
      <c r="E132" s="23"/>
      <c r="F132" s="23"/>
      <c r="G132" s="23"/>
      <c r="H132" s="20"/>
      <c r="I132" s="20"/>
      <c r="J132" s="20"/>
      <c r="K132" s="20"/>
      <c r="L132" s="20"/>
      <c r="M132" s="20"/>
      <c r="N132" s="6" t="str">
        <f t="array" ref="N132">XLOOKUP($B132, XLOOKUP("Tracking Number", Orders!$1:$1, Orders!$A:$AAA), XLOOKUP("Courier Fee", Orders!$1:$1, Orders!$A:$AAA), "Not Found")</f>
        <v>Not Found</v>
      </c>
      <c r="O132" s="6">
        <f t="shared" si="1"/>
        <v>0</v>
      </c>
      <c r="P132" s="6">
        <f t="shared" si="2"/>
        <v>0</v>
      </c>
    </row>
    <row r="133">
      <c r="A133" s="23"/>
      <c r="B133" s="23"/>
      <c r="C133" s="23"/>
      <c r="D133" s="23"/>
      <c r="E133" s="23"/>
      <c r="F133" s="23"/>
      <c r="G133" s="23"/>
      <c r="H133" s="20"/>
      <c r="I133" s="20"/>
      <c r="J133" s="20"/>
      <c r="K133" s="20"/>
      <c r="L133" s="20"/>
      <c r="M133" s="20"/>
      <c r="N133" s="6" t="str">
        <f t="array" ref="N133">XLOOKUP($B133, XLOOKUP("Tracking Number", Orders!$1:$1, Orders!$A:$AAA), XLOOKUP("Courier Fee", Orders!$1:$1, Orders!$A:$AAA), "Not Found")</f>
        <v>Not Found</v>
      </c>
      <c r="O133" s="6">
        <f t="shared" si="1"/>
        <v>0</v>
      </c>
      <c r="P133" s="6">
        <f t="shared" si="2"/>
        <v>0</v>
      </c>
    </row>
    <row r="134">
      <c r="A134" s="23"/>
      <c r="B134" s="23"/>
      <c r="C134" s="23"/>
      <c r="D134" s="23"/>
      <c r="E134" s="23"/>
      <c r="F134" s="23"/>
      <c r="G134" s="23"/>
      <c r="H134" s="20"/>
      <c r="I134" s="20"/>
      <c r="J134" s="20"/>
      <c r="K134" s="20"/>
      <c r="L134" s="20"/>
      <c r="M134" s="20"/>
      <c r="N134" s="6" t="str">
        <f t="array" ref="N134">XLOOKUP($B134, XLOOKUP("Tracking Number", Orders!$1:$1, Orders!$A:$AAA), XLOOKUP("Courier Fee", Orders!$1:$1, Orders!$A:$AAA), "Not Found")</f>
        <v>Not Found</v>
      </c>
      <c r="O134" s="6">
        <f t="shared" si="1"/>
        <v>0</v>
      </c>
      <c r="P134" s="6">
        <f t="shared" si="2"/>
        <v>0</v>
      </c>
    </row>
    <row r="135">
      <c r="A135" s="23"/>
      <c r="B135" s="23"/>
      <c r="C135" s="23"/>
      <c r="D135" s="23"/>
      <c r="E135" s="23"/>
      <c r="F135" s="23"/>
      <c r="G135" s="23"/>
      <c r="H135" s="20"/>
      <c r="I135" s="20"/>
      <c r="J135" s="20"/>
      <c r="K135" s="20"/>
      <c r="L135" s="20"/>
      <c r="M135" s="20"/>
      <c r="N135" s="6" t="str">
        <f t="array" ref="N135">XLOOKUP($B135, XLOOKUP("Tracking Number", Orders!$1:$1, Orders!$A:$AAA), XLOOKUP("Courier Fee", Orders!$1:$1, Orders!$A:$AAA), "Not Found")</f>
        <v>Not Found</v>
      </c>
      <c r="O135" s="6">
        <f t="shared" si="1"/>
        <v>0</v>
      </c>
      <c r="P135" s="6">
        <f t="shared" si="2"/>
        <v>0</v>
      </c>
    </row>
    <row r="136">
      <c r="A136" s="23"/>
      <c r="B136" s="23"/>
      <c r="C136" s="23"/>
      <c r="D136" s="23"/>
      <c r="E136" s="23"/>
      <c r="F136" s="23"/>
      <c r="G136" s="23"/>
      <c r="H136" s="20"/>
      <c r="I136" s="20"/>
      <c r="J136" s="20"/>
      <c r="K136" s="20"/>
      <c r="L136" s="20"/>
      <c r="M136" s="20"/>
      <c r="N136" s="6" t="str">
        <f t="array" ref="N136">XLOOKUP($B136, XLOOKUP("Tracking Number", Orders!$1:$1, Orders!$A:$AAA), XLOOKUP("Courier Fee", Orders!$1:$1, Orders!$A:$AAA), "Not Found")</f>
        <v>Not Found</v>
      </c>
      <c r="O136" s="6">
        <f t="shared" si="1"/>
        <v>0</v>
      </c>
      <c r="P136" s="6">
        <f t="shared" si="2"/>
        <v>0</v>
      </c>
    </row>
    <row r="137">
      <c r="A137" s="23"/>
      <c r="B137" s="23"/>
      <c r="C137" s="23"/>
      <c r="D137" s="23"/>
      <c r="E137" s="23"/>
      <c r="F137" s="23"/>
      <c r="G137" s="23"/>
      <c r="H137" s="20"/>
      <c r="I137" s="20"/>
      <c r="J137" s="20"/>
      <c r="K137" s="20"/>
      <c r="L137" s="20"/>
      <c r="M137" s="20"/>
      <c r="N137" s="6" t="str">
        <f t="array" ref="N137">XLOOKUP($B137, XLOOKUP("Tracking Number", Orders!$1:$1, Orders!$A:$AAA), XLOOKUP("Courier Fee", Orders!$1:$1, Orders!$A:$AAA), "Not Found")</f>
        <v>Not Found</v>
      </c>
      <c r="O137" s="6">
        <f t="shared" si="1"/>
        <v>0</v>
      </c>
      <c r="P137" s="6">
        <f t="shared" si="2"/>
        <v>0</v>
      </c>
    </row>
    <row r="138">
      <c r="A138" s="23"/>
      <c r="B138" s="23"/>
      <c r="C138" s="23"/>
      <c r="D138" s="23"/>
      <c r="E138" s="23"/>
      <c r="F138" s="23"/>
      <c r="G138" s="23"/>
      <c r="H138" s="20"/>
      <c r="I138" s="20"/>
      <c r="J138" s="20"/>
      <c r="K138" s="20"/>
      <c r="L138" s="20"/>
      <c r="M138" s="20"/>
      <c r="N138" s="6" t="str">
        <f t="array" ref="N138">XLOOKUP($B138, XLOOKUP("Tracking Number", Orders!$1:$1, Orders!$A:$AAA), XLOOKUP("Courier Fee", Orders!$1:$1, Orders!$A:$AAA), "Not Found")</f>
        <v>Not Found</v>
      </c>
      <c r="O138" s="6">
        <f t="shared" si="1"/>
        <v>0</v>
      </c>
      <c r="P138" s="6">
        <f t="shared" si="2"/>
        <v>0</v>
      </c>
    </row>
    <row r="139">
      <c r="A139" s="23"/>
      <c r="B139" s="23"/>
      <c r="C139" s="23"/>
      <c r="D139" s="23"/>
      <c r="E139" s="23"/>
      <c r="F139" s="23"/>
      <c r="G139" s="23"/>
      <c r="H139" s="20"/>
      <c r="I139" s="20"/>
      <c r="J139" s="20"/>
      <c r="K139" s="20"/>
      <c r="L139" s="20"/>
      <c r="M139" s="20"/>
      <c r="N139" s="6" t="str">
        <f t="array" ref="N139">XLOOKUP($B139, XLOOKUP("Tracking Number", Orders!$1:$1, Orders!$A:$AAA), XLOOKUP("Courier Fee", Orders!$1:$1, Orders!$A:$AAA), "Not Found")</f>
        <v>Not Found</v>
      </c>
      <c r="O139" s="6">
        <f t="shared" si="1"/>
        <v>0</v>
      </c>
      <c r="P139" s="6">
        <f t="shared" si="2"/>
        <v>0</v>
      </c>
    </row>
    <row r="140">
      <c r="A140" s="23"/>
      <c r="B140" s="23"/>
      <c r="C140" s="23"/>
      <c r="D140" s="23"/>
      <c r="E140" s="23"/>
      <c r="F140" s="23"/>
      <c r="G140" s="23"/>
      <c r="H140" s="20"/>
      <c r="I140" s="20"/>
      <c r="J140" s="20"/>
      <c r="K140" s="20"/>
      <c r="L140" s="20"/>
      <c r="M140" s="20"/>
      <c r="N140" s="6" t="str">
        <f t="array" ref="N140">XLOOKUP($B140, XLOOKUP("Tracking Number", Orders!$1:$1, Orders!$A:$AAA), XLOOKUP("Courier Fee", Orders!$1:$1, Orders!$A:$AAA), "Not Found")</f>
        <v>Not Found</v>
      </c>
      <c r="O140" s="6">
        <f t="shared" si="1"/>
        <v>0</v>
      </c>
      <c r="P140" s="6">
        <f t="shared" si="2"/>
        <v>0</v>
      </c>
    </row>
    <row r="141">
      <c r="A141" s="23"/>
      <c r="B141" s="23"/>
      <c r="C141" s="23"/>
      <c r="D141" s="23"/>
      <c r="E141" s="23"/>
      <c r="F141" s="23"/>
      <c r="G141" s="23"/>
      <c r="H141" s="20"/>
      <c r="I141" s="20"/>
      <c r="J141" s="20"/>
      <c r="K141" s="20"/>
      <c r="L141" s="20"/>
      <c r="M141" s="20"/>
      <c r="N141" s="6" t="str">
        <f t="array" ref="N141">XLOOKUP($B141, XLOOKUP("Tracking Number", Orders!$1:$1, Orders!$A:$AAA), XLOOKUP("Courier Fee", Orders!$1:$1, Orders!$A:$AAA), "Not Found")</f>
        <v>Not Found</v>
      </c>
      <c r="O141" s="6">
        <f t="shared" si="1"/>
        <v>0</v>
      </c>
      <c r="P141" s="6">
        <f t="shared" si="2"/>
        <v>0</v>
      </c>
    </row>
    <row r="142">
      <c r="A142" s="23"/>
      <c r="B142" s="23"/>
      <c r="C142" s="23"/>
      <c r="D142" s="23"/>
      <c r="E142" s="23"/>
      <c r="F142" s="23"/>
      <c r="G142" s="23"/>
      <c r="H142" s="20"/>
      <c r="I142" s="20"/>
      <c r="J142" s="20"/>
      <c r="K142" s="20"/>
      <c r="L142" s="20"/>
      <c r="M142" s="20"/>
      <c r="N142" s="6" t="str">
        <f t="array" ref="N142">XLOOKUP($B142, XLOOKUP("Tracking Number", Orders!$1:$1, Orders!$A:$AAA), XLOOKUP("Courier Fee", Orders!$1:$1, Orders!$A:$AAA), "Not Found")</f>
        <v>Not Found</v>
      </c>
      <c r="O142" s="6">
        <f t="shared" si="1"/>
        <v>0</v>
      </c>
      <c r="P142" s="6">
        <f t="shared" si="2"/>
        <v>0</v>
      </c>
    </row>
    <row r="143">
      <c r="A143" s="23"/>
      <c r="B143" s="23"/>
      <c r="C143" s="23"/>
      <c r="D143" s="23"/>
      <c r="E143" s="23"/>
      <c r="F143" s="23"/>
      <c r="G143" s="23"/>
      <c r="H143" s="20"/>
      <c r="I143" s="20"/>
      <c r="J143" s="20"/>
      <c r="K143" s="20"/>
      <c r="L143" s="20"/>
      <c r="M143" s="20"/>
      <c r="N143" s="6" t="str">
        <f t="array" ref="N143">XLOOKUP($B143, XLOOKUP("Tracking Number", Orders!$1:$1, Orders!$A:$AAA), XLOOKUP("Courier Fee", Orders!$1:$1, Orders!$A:$AAA), "Not Found")</f>
        <v>Not Found</v>
      </c>
      <c r="O143" s="6">
        <f t="shared" si="1"/>
        <v>0</v>
      </c>
      <c r="P143" s="6">
        <f t="shared" si="2"/>
        <v>0</v>
      </c>
    </row>
    <row r="144">
      <c r="A144" s="23"/>
      <c r="B144" s="23"/>
      <c r="C144" s="23"/>
      <c r="D144" s="23"/>
      <c r="E144" s="23"/>
      <c r="F144" s="23"/>
      <c r="G144" s="23"/>
      <c r="H144" s="20"/>
      <c r="I144" s="20"/>
      <c r="J144" s="20"/>
      <c r="K144" s="20"/>
      <c r="L144" s="20"/>
      <c r="M144" s="20"/>
      <c r="N144" s="6" t="str">
        <f t="array" ref="N144">XLOOKUP($B144, XLOOKUP("Tracking Number", Orders!$1:$1, Orders!$A:$AAA), XLOOKUP("Courier Fee", Orders!$1:$1, Orders!$A:$AAA), "Not Found")</f>
        <v>Not Found</v>
      </c>
      <c r="O144" s="6">
        <f t="shared" si="1"/>
        <v>0</v>
      </c>
      <c r="P144" s="6">
        <f t="shared" si="2"/>
        <v>0</v>
      </c>
    </row>
    <row r="145">
      <c r="A145" s="23"/>
      <c r="B145" s="23"/>
      <c r="C145" s="23"/>
      <c r="D145" s="23"/>
      <c r="E145" s="23"/>
      <c r="F145" s="23"/>
      <c r="G145" s="23"/>
      <c r="H145" s="20"/>
      <c r="I145" s="20"/>
      <c r="J145" s="20"/>
      <c r="K145" s="20"/>
      <c r="L145" s="20"/>
      <c r="M145" s="20"/>
      <c r="N145" s="6" t="str">
        <f t="array" ref="N145">XLOOKUP($B145, XLOOKUP("Tracking Number", Orders!$1:$1, Orders!$A:$AAA), XLOOKUP("Courier Fee", Orders!$1:$1, Orders!$A:$AAA), "Not Found")</f>
        <v>Not Found</v>
      </c>
      <c r="O145" s="6">
        <f t="shared" si="1"/>
        <v>0</v>
      </c>
      <c r="P145" s="6">
        <f t="shared" si="2"/>
        <v>0</v>
      </c>
    </row>
    <row r="146">
      <c r="A146" s="23"/>
      <c r="B146" s="23"/>
      <c r="C146" s="23"/>
      <c r="D146" s="23"/>
      <c r="E146" s="23"/>
      <c r="F146" s="23"/>
      <c r="G146" s="23"/>
      <c r="H146" s="20"/>
      <c r="I146" s="20"/>
      <c r="J146" s="20"/>
      <c r="K146" s="20"/>
      <c r="L146" s="20"/>
      <c r="M146" s="20"/>
      <c r="N146" s="6" t="str">
        <f t="array" ref="N146">XLOOKUP($B146, XLOOKUP("Tracking Number", Orders!$1:$1, Orders!$A:$AAA), XLOOKUP("Courier Fee", Orders!$1:$1, Orders!$A:$AAA), "Not Found")</f>
        <v>Not Found</v>
      </c>
      <c r="O146" s="6">
        <f t="shared" si="1"/>
        <v>0</v>
      </c>
      <c r="P146" s="6">
        <f t="shared" si="2"/>
        <v>0</v>
      </c>
    </row>
    <row r="147">
      <c r="A147" s="23"/>
      <c r="B147" s="23"/>
      <c r="C147" s="23"/>
      <c r="D147" s="23"/>
      <c r="E147" s="23"/>
      <c r="F147" s="23"/>
      <c r="G147" s="23"/>
      <c r="H147" s="20"/>
      <c r="I147" s="20"/>
      <c r="J147" s="20"/>
      <c r="K147" s="20"/>
      <c r="L147" s="20"/>
      <c r="M147" s="20"/>
      <c r="N147" s="6" t="str">
        <f t="array" ref="N147">XLOOKUP($B147, XLOOKUP("Tracking Number", Orders!$1:$1, Orders!$A:$AAA), XLOOKUP("Courier Fee", Orders!$1:$1, Orders!$A:$AAA), "Not Found")</f>
        <v>Not Found</v>
      </c>
      <c r="O147" s="6">
        <f t="shared" si="1"/>
        <v>0</v>
      </c>
      <c r="P147" s="6">
        <f t="shared" si="2"/>
        <v>0</v>
      </c>
    </row>
    <row r="148">
      <c r="A148" s="23"/>
      <c r="B148" s="23"/>
      <c r="C148" s="23"/>
      <c r="D148" s="23"/>
      <c r="E148" s="23"/>
      <c r="F148" s="23"/>
      <c r="G148" s="23"/>
      <c r="H148" s="20"/>
      <c r="I148" s="20"/>
      <c r="J148" s="20"/>
      <c r="K148" s="20"/>
      <c r="L148" s="20"/>
      <c r="M148" s="20"/>
      <c r="N148" s="6" t="str">
        <f t="array" ref="N148">XLOOKUP($B148, XLOOKUP("Tracking Number", Orders!$1:$1, Orders!$A:$AAA), XLOOKUP("Courier Fee", Orders!$1:$1, Orders!$A:$AAA), "Not Found")</f>
        <v>Not Found</v>
      </c>
      <c r="O148" s="6">
        <f t="shared" si="1"/>
        <v>0</v>
      </c>
      <c r="P148" s="6">
        <f t="shared" si="2"/>
        <v>0</v>
      </c>
    </row>
    <row r="149">
      <c r="A149" s="23"/>
      <c r="B149" s="23"/>
      <c r="C149" s="23"/>
      <c r="D149" s="23"/>
      <c r="E149" s="23"/>
      <c r="F149" s="23"/>
      <c r="G149" s="23"/>
      <c r="H149" s="20"/>
      <c r="I149" s="20"/>
      <c r="J149" s="20"/>
      <c r="K149" s="20"/>
      <c r="L149" s="20"/>
      <c r="M149" s="20"/>
      <c r="N149" s="6" t="str">
        <f t="array" ref="N149">XLOOKUP($B149, XLOOKUP("Tracking Number", Orders!$1:$1, Orders!$A:$AAA), XLOOKUP("Courier Fee", Orders!$1:$1, Orders!$A:$AAA), "Not Found")</f>
        <v>Not Found</v>
      </c>
      <c r="O149" s="6">
        <f t="shared" si="1"/>
        <v>0</v>
      </c>
      <c r="P149" s="6">
        <f t="shared" si="2"/>
        <v>0</v>
      </c>
    </row>
    <row r="150">
      <c r="A150" s="23"/>
      <c r="B150" s="23"/>
      <c r="C150" s="23"/>
      <c r="D150" s="23"/>
      <c r="E150" s="23"/>
      <c r="F150" s="23"/>
      <c r="G150" s="23"/>
      <c r="H150" s="20"/>
      <c r="I150" s="20"/>
      <c r="J150" s="20"/>
      <c r="K150" s="20"/>
      <c r="L150" s="20"/>
      <c r="M150" s="20"/>
      <c r="N150" s="6" t="str">
        <f t="array" ref="N150">XLOOKUP($B150, XLOOKUP("Tracking Number", Orders!$1:$1, Orders!$A:$AAA), XLOOKUP("Courier Fee", Orders!$1:$1, Orders!$A:$AAA), "Not Found")</f>
        <v>Not Found</v>
      </c>
      <c r="O150" s="6">
        <f t="shared" si="1"/>
        <v>0</v>
      </c>
      <c r="P150" s="6">
        <f t="shared" si="2"/>
        <v>0</v>
      </c>
    </row>
    <row r="151">
      <c r="A151" s="23"/>
      <c r="B151" s="23"/>
      <c r="C151" s="23"/>
      <c r="D151" s="23"/>
      <c r="E151" s="23"/>
      <c r="F151" s="23"/>
      <c r="G151" s="23"/>
      <c r="H151" s="20"/>
      <c r="I151" s="20"/>
      <c r="J151" s="20"/>
      <c r="K151" s="20"/>
      <c r="L151" s="20"/>
      <c r="M151" s="20"/>
      <c r="N151" s="6" t="str">
        <f t="array" ref="N151">XLOOKUP($B151, XLOOKUP("Tracking Number", Orders!$1:$1, Orders!$A:$AAA), XLOOKUP("Courier Fee", Orders!$1:$1, Orders!$A:$AAA), "Not Found")</f>
        <v>Not Found</v>
      </c>
      <c r="O151" s="6">
        <f t="shared" si="1"/>
        <v>0</v>
      </c>
      <c r="P151" s="6">
        <f t="shared" si="2"/>
        <v>0</v>
      </c>
    </row>
    <row r="152">
      <c r="A152" s="23"/>
      <c r="B152" s="23"/>
      <c r="C152" s="23"/>
      <c r="D152" s="23"/>
      <c r="E152" s="23"/>
      <c r="F152" s="23"/>
      <c r="G152" s="23"/>
      <c r="H152" s="20"/>
      <c r="I152" s="20"/>
      <c r="J152" s="20"/>
      <c r="K152" s="20"/>
      <c r="L152" s="20"/>
      <c r="M152" s="20"/>
      <c r="N152" s="6" t="str">
        <f t="array" ref="N152">XLOOKUP($B152, XLOOKUP("Tracking Number", Orders!$1:$1, Orders!$A:$AAA), XLOOKUP("Courier Fee", Orders!$1:$1, Orders!$A:$AAA), "Not Found")</f>
        <v>Not Found</v>
      </c>
      <c r="O152" s="6">
        <f t="shared" si="1"/>
        <v>0</v>
      </c>
      <c r="P152" s="6">
        <f t="shared" si="2"/>
        <v>0</v>
      </c>
    </row>
    <row r="153">
      <c r="A153" s="23"/>
      <c r="B153" s="23"/>
      <c r="C153" s="23"/>
      <c r="D153" s="23"/>
      <c r="E153" s="23"/>
      <c r="F153" s="23"/>
      <c r="G153" s="23"/>
      <c r="H153" s="20"/>
      <c r="I153" s="20"/>
      <c r="J153" s="20"/>
      <c r="K153" s="20"/>
      <c r="L153" s="20"/>
      <c r="M153" s="20"/>
      <c r="N153" s="6" t="str">
        <f t="array" ref="N153">XLOOKUP($B153, XLOOKUP("Tracking Number", Orders!$1:$1, Orders!$A:$AAA), XLOOKUP("Courier Fee", Orders!$1:$1, Orders!$A:$AAA), "Not Found")</f>
        <v>Not Found</v>
      </c>
      <c r="O153" s="6">
        <f t="shared" si="1"/>
        <v>0</v>
      </c>
      <c r="P153" s="6">
        <f t="shared" si="2"/>
        <v>0</v>
      </c>
    </row>
    <row r="154">
      <c r="A154" s="23"/>
      <c r="B154" s="23"/>
      <c r="C154" s="23"/>
      <c r="D154" s="23"/>
      <c r="E154" s="23"/>
      <c r="F154" s="23"/>
      <c r="G154" s="23"/>
      <c r="H154" s="20"/>
      <c r="I154" s="20"/>
      <c r="J154" s="20"/>
      <c r="K154" s="20"/>
      <c r="L154" s="20"/>
      <c r="M154" s="20"/>
      <c r="N154" s="6" t="str">
        <f t="array" ref="N154">XLOOKUP($B154, XLOOKUP("Tracking Number", Orders!$1:$1, Orders!$A:$AAA), XLOOKUP("Courier Fee", Orders!$1:$1, Orders!$A:$AAA), "Not Found")</f>
        <v>Not Found</v>
      </c>
      <c r="O154" s="6">
        <f t="shared" si="1"/>
        <v>0</v>
      </c>
      <c r="P154" s="6">
        <f t="shared" si="2"/>
        <v>0</v>
      </c>
    </row>
    <row r="155">
      <c r="A155" s="23"/>
      <c r="B155" s="23"/>
      <c r="C155" s="23"/>
      <c r="D155" s="23"/>
      <c r="E155" s="23"/>
      <c r="F155" s="23"/>
      <c r="G155" s="23"/>
      <c r="H155" s="20"/>
      <c r="I155" s="20"/>
      <c r="J155" s="20"/>
      <c r="K155" s="20"/>
      <c r="L155" s="20"/>
      <c r="M155" s="20"/>
      <c r="N155" s="6" t="str">
        <f t="array" ref="N155">XLOOKUP($B155, XLOOKUP("Tracking Number", Orders!$1:$1, Orders!$A:$AAA), XLOOKUP("Courier Fee", Orders!$1:$1, Orders!$A:$AAA), "Not Found")</f>
        <v>Not Found</v>
      </c>
      <c r="O155" s="6">
        <f t="shared" si="1"/>
        <v>0</v>
      </c>
      <c r="P155" s="6">
        <f t="shared" si="2"/>
        <v>0</v>
      </c>
    </row>
    <row r="156">
      <c r="A156" s="23"/>
      <c r="B156" s="23"/>
      <c r="C156" s="23"/>
      <c r="D156" s="23"/>
      <c r="E156" s="23"/>
      <c r="F156" s="23"/>
      <c r="G156" s="23"/>
      <c r="H156" s="20"/>
      <c r="I156" s="20"/>
      <c r="J156" s="20"/>
      <c r="K156" s="20"/>
      <c r="L156" s="20"/>
      <c r="M156" s="20"/>
      <c r="N156" s="6" t="str">
        <f t="array" ref="N156">XLOOKUP($B156, XLOOKUP("Tracking Number", Orders!$1:$1, Orders!$A:$AAA), XLOOKUP("Courier Fee", Orders!$1:$1, Orders!$A:$AAA), "Not Found")</f>
        <v>Not Found</v>
      </c>
      <c r="O156" s="6">
        <f t="shared" si="1"/>
        <v>0</v>
      </c>
      <c r="P156" s="6">
        <f t="shared" si="2"/>
        <v>0</v>
      </c>
    </row>
    <row r="157">
      <c r="A157" s="23"/>
      <c r="B157" s="23"/>
      <c r="C157" s="23"/>
      <c r="D157" s="23"/>
      <c r="E157" s="23"/>
      <c r="F157" s="23"/>
      <c r="G157" s="23"/>
      <c r="H157" s="20"/>
      <c r="I157" s="20"/>
      <c r="J157" s="20"/>
      <c r="K157" s="20"/>
      <c r="L157" s="20"/>
      <c r="M157" s="20"/>
      <c r="N157" s="6" t="str">
        <f t="array" ref="N157">XLOOKUP($B157, XLOOKUP("Tracking Number", Orders!$1:$1, Orders!$A:$AAA), XLOOKUP("Courier Fee", Orders!$1:$1, Orders!$A:$AAA), "Not Found")</f>
        <v>Not Found</v>
      </c>
      <c r="O157" s="6">
        <f t="shared" si="1"/>
        <v>0</v>
      </c>
      <c r="P157" s="6">
        <f t="shared" si="2"/>
        <v>0</v>
      </c>
    </row>
    <row r="158">
      <c r="A158" s="23"/>
      <c r="B158" s="23"/>
      <c r="C158" s="23"/>
      <c r="D158" s="23"/>
      <c r="E158" s="23"/>
      <c r="F158" s="23"/>
      <c r="G158" s="23"/>
      <c r="H158" s="20"/>
      <c r="I158" s="20"/>
      <c r="J158" s="20"/>
      <c r="K158" s="20"/>
      <c r="L158" s="20"/>
      <c r="M158" s="20"/>
      <c r="N158" s="6" t="str">
        <f t="array" ref="N158">XLOOKUP($B158, XLOOKUP("Tracking Number", Orders!$1:$1, Orders!$A:$AAA), XLOOKUP("Courier Fee", Orders!$1:$1, Orders!$A:$AAA), "Not Found")</f>
        <v>Not Found</v>
      </c>
      <c r="O158" s="6">
        <f t="shared" si="1"/>
        <v>0</v>
      </c>
      <c r="P158" s="6">
        <f t="shared" si="2"/>
        <v>0</v>
      </c>
    </row>
    <row r="159">
      <c r="A159" s="23"/>
      <c r="B159" s="23"/>
      <c r="C159" s="23"/>
      <c r="D159" s="23"/>
      <c r="E159" s="23"/>
      <c r="F159" s="23"/>
      <c r="G159" s="23"/>
      <c r="H159" s="20"/>
      <c r="I159" s="20"/>
      <c r="J159" s="20"/>
      <c r="K159" s="20"/>
      <c r="L159" s="20"/>
      <c r="M159" s="20"/>
      <c r="N159" s="6" t="str">
        <f t="array" ref="N159">XLOOKUP($B159, XLOOKUP("Tracking Number", Orders!$1:$1, Orders!$A:$AAA), XLOOKUP("Courier Fee", Orders!$1:$1, Orders!$A:$AAA), "Not Found")</f>
        <v>Not Found</v>
      </c>
      <c r="O159" s="6">
        <f t="shared" si="1"/>
        <v>0</v>
      </c>
      <c r="P159" s="6">
        <f t="shared" si="2"/>
        <v>0</v>
      </c>
    </row>
    <row r="160">
      <c r="A160" s="23"/>
      <c r="B160" s="23"/>
      <c r="C160" s="23"/>
      <c r="D160" s="23"/>
      <c r="E160" s="23"/>
      <c r="F160" s="23"/>
      <c r="G160" s="23"/>
      <c r="H160" s="20"/>
      <c r="I160" s="20"/>
      <c r="J160" s="20"/>
      <c r="K160" s="20"/>
      <c r="L160" s="20"/>
      <c r="M160" s="20"/>
      <c r="N160" s="6" t="str">
        <f t="array" ref="N160">XLOOKUP($B160, XLOOKUP("Tracking Number", Orders!$1:$1, Orders!$A:$AAA), XLOOKUP("Courier Fee", Orders!$1:$1, Orders!$A:$AAA), "Not Found")</f>
        <v>Not Found</v>
      </c>
      <c r="O160" s="6">
        <f t="shared" si="1"/>
        <v>0</v>
      </c>
      <c r="P160" s="6">
        <f t="shared" si="2"/>
        <v>0</v>
      </c>
    </row>
    <row r="161">
      <c r="A161" s="23"/>
      <c r="B161" s="23"/>
      <c r="C161" s="23"/>
      <c r="D161" s="23"/>
      <c r="E161" s="23"/>
      <c r="F161" s="23"/>
      <c r="G161" s="23"/>
      <c r="H161" s="20"/>
      <c r="I161" s="20"/>
      <c r="J161" s="20"/>
      <c r="K161" s="20"/>
      <c r="L161" s="20"/>
      <c r="M161" s="20"/>
      <c r="N161" s="6" t="str">
        <f t="array" ref="N161">XLOOKUP($B161, XLOOKUP("Tracking Number", Orders!$1:$1, Orders!$A:$AAA), XLOOKUP("Courier Fee", Orders!$1:$1, Orders!$A:$AAA), "Not Found")</f>
        <v>Not Found</v>
      </c>
      <c r="O161" s="6">
        <f t="shared" si="1"/>
        <v>0</v>
      </c>
      <c r="P161" s="6">
        <f t="shared" si="2"/>
        <v>0</v>
      </c>
    </row>
    <row r="162">
      <c r="A162" s="23"/>
      <c r="B162" s="23"/>
      <c r="C162" s="23"/>
      <c r="D162" s="23"/>
      <c r="E162" s="23"/>
      <c r="F162" s="23"/>
      <c r="G162" s="23"/>
      <c r="H162" s="20"/>
      <c r="I162" s="20"/>
      <c r="J162" s="20"/>
      <c r="K162" s="20"/>
      <c r="L162" s="20"/>
      <c r="M162" s="20"/>
      <c r="N162" s="6" t="str">
        <f t="array" ref="N162">XLOOKUP($B162, XLOOKUP("Tracking Number", Orders!$1:$1, Orders!$A:$AAA), XLOOKUP("Courier Fee", Orders!$1:$1, Orders!$A:$AAA), "Not Found")</f>
        <v>Not Found</v>
      </c>
      <c r="O162" s="6">
        <f t="shared" si="1"/>
        <v>0</v>
      </c>
      <c r="P162" s="6">
        <f t="shared" si="2"/>
        <v>0</v>
      </c>
    </row>
    <row r="163">
      <c r="A163" s="23"/>
      <c r="B163" s="23"/>
      <c r="C163" s="23"/>
      <c r="D163" s="23"/>
      <c r="E163" s="23"/>
      <c r="F163" s="23"/>
      <c r="G163" s="23"/>
      <c r="H163" s="20"/>
      <c r="I163" s="20"/>
      <c r="J163" s="20"/>
      <c r="K163" s="20"/>
      <c r="L163" s="20"/>
      <c r="M163" s="20"/>
      <c r="N163" s="6" t="str">
        <f t="array" ref="N163">XLOOKUP($B163, XLOOKUP("Tracking Number", Orders!$1:$1, Orders!$A:$AAA), XLOOKUP("Courier Fee", Orders!$1:$1, Orders!$A:$AAA), "Not Found")</f>
        <v>Not Found</v>
      </c>
      <c r="O163" s="6">
        <f t="shared" si="1"/>
        <v>0</v>
      </c>
      <c r="P163" s="6">
        <f t="shared" si="2"/>
        <v>0</v>
      </c>
    </row>
    <row r="164">
      <c r="A164" s="23"/>
      <c r="B164" s="23"/>
      <c r="C164" s="23"/>
      <c r="D164" s="23"/>
      <c r="E164" s="23"/>
      <c r="F164" s="23"/>
      <c r="G164" s="23"/>
      <c r="H164" s="20"/>
      <c r="I164" s="20"/>
      <c r="J164" s="20"/>
      <c r="K164" s="20"/>
      <c r="L164" s="20"/>
      <c r="M164" s="20"/>
      <c r="N164" s="6" t="str">
        <f t="array" ref="N164">XLOOKUP($B164, XLOOKUP("Tracking Number", Orders!$1:$1, Orders!$A:$AAA), XLOOKUP("Courier Fee", Orders!$1:$1, Orders!$A:$AAA), "Not Found")</f>
        <v>Not Found</v>
      </c>
      <c r="O164" s="6">
        <f t="shared" si="1"/>
        <v>0</v>
      </c>
      <c r="P164" s="6">
        <f t="shared" si="2"/>
        <v>0</v>
      </c>
    </row>
    <row r="165">
      <c r="A165" s="23"/>
      <c r="B165" s="23"/>
      <c r="C165" s="23"/>
      <c r="D165" s="23"/>
      <c r="E165" s="23"/>
      <c r="F165" s="23"/>
      <c r="G165" s="23"/>
      <c r="H165" s="20"/>
      <c r="I165" s="20"/>
      <c r="J165" s="20"/>
      <c r="K165" s="20"/>
      <c r="L165" s="20"/>
      <c r="M165" s="20"/>
      <c r="N165" s="6" t="str">
        <f t="array" ref="N165">XLOOKUP($B165, XLOOKUP("Tracking Number", Orders!$1:$1, Orders!$A:$AAA), XLOOKUP("Courier Fee", Orders!$1:$1, Orders!$A:$AAA), "Not Found")</f>
        <v>Not Found</v>
      </c>
      <c r="O165" s="6">
        <f t="shared" si="1"/>
        <v>0</v>
      </c>
      <c r="P165" s="6">
        <f t="shared" si="2"/>
        <v>0</v>
      </c>
    </row>
    <row r="166">
      <c r="A166" s="23"/>
      <c r="B166" s="23"/>
      <c r="C166" s="23"/>
      <c r="D166" s="23"/>
      <c r="E166" s="23"/>
      <c r="F166" s="23"/>
      <c r="G166" s="23"/>
      <c r="H166" s="20"/>
      <c r="I166" s="20"/>
      <c r="J166" s="20"/>
      <c r="K166" s="20"/>
      <c r="L166" s="20"/>
      <c r="M166" s="20"/>
      <c r="N166" s="6" t="str">
        <f t="array" ref="N166">XLOOKUP($B166, XLOOKUP("Tracking Number", Orders!$1:$1, Orders!$A:$AAA), XLOOKUP("Courier Fee", Orders!$1:$1, Orders!$A:$AAA), "Not Found")</f>
        <v>Not Found</v>
      </c>
      <c r="O166" s="6">
        <f t="shared" si="1"/>
        <v>0</v>
      </c>
      <c r="P166" s="6">
        <f t="shared" si="2"/>
        <v>0</v>
      </c>
    </row>
    <row r="167">
      <c r="A167" s="23"/>
      <c r="B167" s="23"/>
      <c r="C167" s="23"/>
      <c r="D167" s="23"/>
      <c r="E167" s="23"/>
      <c r="F167" s="23"/>
      <c r="G167" s="23"/>
      <c r="H167" s="20"/>
      <c r="I167" s="20"/>
      <c r="J167" s="20"/>
      <c r="K167" s="20"/>
      <c r="L167" s="20"/>
      <c r="M167" s="20"/>
      <c r="N167" s="6" t="str">
        <f t="array" ref="N167">XLOOKUP($B167, XLOOKUP("Tracking Number", Orders!$1:$1, Orders!$A:$AAA), XLOOKUP("Courier Fee", Orders!$1:$1, Orders!$A:$AAA), "Not Found")</f>
        <v>Not Found</v>
      </c>
      <c r="O167" s="6">
        <f t="shared" si="1"/>
        <v>0</v>
      </c>
      <c r="P167" s="6">
        <f t="shared" si="2"/>
        <v>0</v>
      </c>
    </row>
    <row r="168">
      <c r="A168" s="23"/>
      <c r="B168" s="23"/>
      <c r="C168" s="23"/>
      <c r="D168" s="23"/>
      <c r="E168" s="23"/>
      <c r="F168" s="23"/>
      <c r="G168" s="23"/>
      <c r="H168" s="20"/>
      <c r="I168" s="20"/>
      <c r="J168" s="20"/>
      <c r="K168" s="20"/>
      <c r="L168" s="20"/>
      <c r="M168" s="20"/>
      <c r="N168" s="6" t="str">
        <f t="array" ref="N168">XLOOKUP($B168, XLOOKUP("Tracking Number", Orders!$1:$1, Orders!$A:$AAA), XLOOKUP("Courier Fee", Orders!$1:$1, Orders!$A:$AAA), "Not Found")</f>
        <v>Not Found</v>
      </c>
      <c r="O168" s="6">
        <f t="shared" si="1"/>
        <v>0</v>
      </c>
      <c r="P168" s="6">
        <f t="shared" si="2"/>
        <v>0</v>
      </c>
    </row>
    <row r="169">
      <c r="A169" s="23"/>
      <c r="B169" s="23"/>
      <c r="C169" s="23"/>
      <c r="D169" s="23"/>
      <c r="E169" s="23"/>
      <c r="F169" s="23"/>
      <c r="G169" s="23"/>
      <c r="H169" s="20"/>
      <c r="I169" s="20"/>
      <c r="J169" s="20"/>
      <c r="K169" s="20"/>
      <c r="L169" s="20"/>
      <c r="M169" s="20"/>
      <c r="N169" s="6" t="str">
        <f t="array" ref="N169">XLOOKUP($B169, XLOOKUP("Tracking Number", Orders!$1:$1, Orders!$A:$AAA), XLOOKUP("Courier Fee", Orders!$1:$1, Orders!$A:$AAA), "Not Found")</f>
        <v>Not Found</v>
      </c>
      <c r="O169" s="6">
        <f t="shared" si="1"/>
        <v>0</v>
      </c>
      <c r="P169" s="6">
        <f t="shared" si="2"/>
        <v>0</v>
      </c>
    </row>
    <row r="170">
      <c r="A170" s="23"/>
      <c r="B170" s="23"/>
      <c r="C170" s="23"/>
      <c r="D170" s="23"/>
      <c r="E170" s="23"/>
      <c r="F170" s="23"/>
      <c r="G170" s="23"/>
      <c r="H170" s="20"/>
      <c r="I170" s="20"/>
      <c r="J170" s="20"/>
      <c r="K170" s="20"/>
      <c r="L170" s="20"/>
      <c r="M170" s="20"/>
      <c r="N170" s="6" t="str">
        <f t="array" ref="N170">XLOOKUP($B170, XLOOKUP("Tracking Number", Orders!$1:$1, Orders!$A:$AAA), XLOOKUP("Courier Fee", Orders!$1:$1, Orders!$A:$AAA), "Not Found")</f>
        <v>Not Found</v>
      </c>
      <c r="O170" s="6">
        <f t="shared" si="1"/>
        <v>0</v>
      </c>
      <c r="P170" s="6">
        <f t="shared" si="2"/>
        <v>0</v>
      </c>
    </row>
    <row r="171">
      <c r="A171" s="23"/>
      <c r="B171" s="23"/>
      <c r="C171" s="23"/>
      <c r="D171" s="23"/>
      <c r="E171" s="23"/>
      <c r="F171" s="23"/>
      <c r="G171" s="23"/>
      <c r="H171" s="20"/>
      <c r="I171" s="20"/>
      <c r="J171" s="20"/>
      <c r="K171" s="20"/>
      <c r="L171" s="20"/>
      <c r="M171" s="20"/>
      <c r="N171" s="6" t="str">
        <f t="array" ref="N171">XLOOKUP($B171, XLOOKUP("Tracking Number", Orders!$1:$1, Orders!$A:$AAA), XLOOKUP("Courier Fee", Orders!$1:$1, Orders!$A:$AAA), "Not Found")</f>
        <v>Not Found</v>
      </c>
      <c r="O171" s="6">
        <f t="shared" si="1"/>
        <v>0</v>
      </c>
      <c r="P171" s="6">
        <f t="shared" si="2"/>
        <v>0</v>
      </c>
    </row>
    <row r="172">
      <c r="A172" s="23"/>
      <c r="B172" s="23"/>
      <c r="C172" s="23"/>
      <c r="D172" s="23"/>
      <c r="E172" s="23"/>
      <c r="F172" s="23"/>
      <c r="G172" s="23"/>
      <c r="H172" s="20"/>
      <c r="I172" s="20"/>
      <c r="J172" s="20"/>
      <c r="K172" s="20"/>
      <c r="L172" s="20"/>
      <c r="M172" s="20"/>
      <c r="N172" s="6" t="str">
        <f t="array" ref="N172">XLOOKUP($B172, XLOOKUP("Tracking Number", Orders!$1:$1, Orders!$A:$AAA), XLOOKUP("Courier Fee", Orders!$1:$1, Orders!$A:$AAA), "Not Found")</f>
        <v>Not Found</v>
      </c>
      <c r="O172" s="6">
        <f t="shared" si="1"/>
        <v>0</v>
      </c>
      <c r="P172" s="6">
        <f t="shared" si="2"/>
        <v>0</v>
      </c>
    </row>
    <row r="173">
      <c r="A173" s="23"/>
      <c r="B173" s="23"/>
      <c r="C173" s="23"/>
      <c r="D173" s="23"/>
      <c r="E173" s="23"/>
      <c r="F173" s="23"/>
      <c r="G173" s="23"/>
      <c r="H173" s="20"/>
      <c r="I173" s="20"/>
      <c r="J173" s="20"/>
      <c r="K173" s="20"/>
      <c r="L173" s="20"/>
      <c r="M173" s="20"/>
      <c r="N173" s="6" t="str">
        <f t="array" ref="N173">XLOOKUP($B173, XLOOKUP("Tracking Number", Orders!$1:$1, Orders!$A:$AAA), XLOOKUP("Courier Fee", Orders!$1:$1, Orders!$A:$AAA), "Not Found")</f>
        <v>Not Found</v>
      </c>
      <c r="O173" s="6">
        <f t="shared" si="1"/>
        <v>0</v>
      </c>
      <c r="P173" s="6">
        <f t="shared" si="2"/>
        <v>0</v>
      </c>
    </row>
    <row r="174">
      <c r="A174" s="23"/>
      <c r="B174" s="23"/>
      <c r="C174" s="23"/>
      <c r="D174" s="23"/>
      <c r="E174" s="23"/>
      <c r="F174" s="23"/>
      <c r="G174" s="23"/>
      <c r="H174" s="20"/>
      <c r="I174" s="20"/>
      <c r="J174" s="20"/>
      <c r="K174" s="20"/>
      <c r="L174" s="20"/>
      <c r="M174" s="20"/>
      <c r="N174" s="6" t="str">
        <f t="array" ref="N174">XLOOKUP($B174, XLOOKUP("Tracking Number", Orders!$1:$1, Orders!$A:$AAA), XLOOKUP("Courier Fee", Orders!$1:$1, Orders!$A:$AAA), "Not Found")</f>
        <v>Not Found</v>
      </c>
      <c r="O174" s="6">
        <f t="shared" si="1"/>
        <v>0</v>
      </c>
      <c r="P174" s="6">
        <f t="shared" si="2"/>
        <v>0</v>
      </c>
    </row>
    <row r="175">
      <c r="A175" s="23"/>
      <c r="B175" s="23"/>
      <c r="C175" s="23"/>
      <c r="D175" s="23"/>
      <c r="E175" s="23"/>
      <c r="F175" s="23"/>
      <c r="G175" s="23"/>
      <c r="H175" s="20"/>
      <c r="I175" s="20"/>
      <c r="J175" s="20"/>
      <c r="K175" s="20"/>
      <c r="L175" s="20"/>
      <c r="M175" s="20"/>
      <c r="N175" s="6" t="str">
        <f t="array" ref="N175">XLOOKUP($B175, XLOOKUP("Tracking Number", Orders!$1:$1, Orders!$A:$AAA), XLOOKUP("Courier Fee", Orders!$1:$1, Orders!$A:$AAA), "Not Found")</f>
        <v>Not Found</v>
      </c>
      <c r="O175" s="6">
        <f t="shared" si="1"/>
        <v>0</v>
      </c>
      <c r="P175" s="6">
        <f t="shared" si="2"/>
        <v>0</v>
      </c>
    </row>
    <row r="176">
      <c r="A176" s="23"/>
      <c r="B176" s="23"/>
      <c r="C176" s="23"/>
      <c r="D176" s="23"/>
      <c r="E176" s="23"/>
      <c r="F176" s="23"/>
      <c r="G176" s="23"/>
      <c r="H176" s="20"/>
      <c r="I176" s="20"/>
      <c r="J176" s="20"/>
      <c r="K176" s="20"/>
      <c r="L176" s="20"/>
      <c r="M176" s="20"/>
      <c r="N176" s="6" t="str">
        <f t="array" ref="N176">XLOOKUP($B176, XLOOKUP("Tracking Number", Orders!$1:$1, Orders!$A:$AAA), XLOOKUP("Courier Fee", Orders!$1:$1, Orders!$A:$AAA), "Not Found")</f>
        <v>Not Found</v>
      </c>
      <c r="O176" s="6">
        <f t="shared" si="1"/>
        <v>0</v>
      </c>
      <c r="P176" s="6">
        <f t="shared" si="2"/>
        <v>0</v>
      </c>
    </row>
    <row r="177">
      <c r="A177" s="23"/>
      <c r="B177" s="23"/>
      <c r="C177" s="23"/>
      <c r="D177" s="23"/>
      <c r="E177" s="23"/>
      <c r="F177" s="23"/>
      <c r="G177" s="23"/>
      <c r="H177" s="20"/>
      <c r="I177" s="20"/>
      <c r="J177" s="20"/>
      <c r="K177" s="20"/>
      <c r="L177" s="20"/>
      <c r="M177" s="20"/>
      <c r="N177" s="6" t="str">
        <f t="array" ref="N177">XLOOKUP($B177, XLOOKUP("Tracking Number", Orders!$1:$1, Orders!$A:$AAA), XLOOKUP("Courier Fee", Orders!$1:$1, Orders!$A:$AAA), "Not Found")</f>
        <v>Not Found</v>
      </c>
      <c r="O177" s="6">
        <f t="shared" si="1"/>
        <v>0</v>
      </c>
      <c r="P177" s="6">
        <f t="shared" si="2"/>
        <v>0</v>
      </c>
    </row>
    <row r="178">
      <c r="A178" s="23"/>
      <c r="B178" s="23"/>
      <c r="C178" s="23"/>
      <c r="D178" s="23"/>
      <c r="E178" s="23"/>
      <c r="F178" s="23"/>
      <c r="G178" s="23"/>
      <c r="H178" s="20"/>
      <c r="I178" s="20"/>
      <c r="J178" s="20"/>
      <c r="K178" s="20"/>
      <c r="L178" s="20"/>
      <c r="M178" s="20"/>
      <c r="N178" s="6" t="str">
        <f t="array" ref="N178">XLOOKUP($B178, XLOOKUP("Tracking Number", Orders!$1:$1, Orders!$A:$AAA), XLOOKUP("Courier Fee", Orders!$1:$1, Orders!$A:$AAA), "Not Found")</f>
        <v>Not Found</v>
      </c>
      <c r="O178" s="6">
        <f t="shared" si="1"/>
        <v>0</v>
      </c>
      <c r="P178" s="6">
        <f t="shared" si="2"/>
        <v>0</v>
      </c>
    </row>
    <row r="179">
      <c r="A179" s="23"/>
      <c r="B179" s="23"/>
      <c r="C179" s="23"/>
      <c r="D179" s="23"/>
      <c r="E179" s="23"/>
      <c r="F179" s="23"/>
      <c r="G179" s="23"/>
      <c r="H179" s="20"/>
      <c r="I179" s="20"/>
      <c r="J179" s="20"/>
      <c r="K179" s="20"/>
      <c r="L179" s="20"/>
      <c r="M179" s="20"/>
      <c r="N179" s="6" t="str">
        <f t="array" ref="N179">XLOOKUP($B179, XLOOKUP("Tracking Number", Orders!$1:$1, Orders!$A:$AAA), XLOOKUP("Courier Fee", Orders!$1:$1, Orders!$A:$AAA), "Not Found")</f>
        <v>Not Found</v>
      </c>
      <c r="O179" s="6">
        <f t="shared" si="1"/>
        <v>0</v>
      </c>
      <c r="P179" s="6">
        <f t="shared" si="2"/>
        <v>0</v>
      </c>
    </row>
    <row r="180">
      <c r="A180" s="23"/>
      <c r="B180" s="23"/>
      <c r="C180" s="23"/>
      <c r="D180" s="23"/>
      <c r="E180" s="23"/>
      <c r="F180" s="23"/>
      <c r="G180" s="23"/>
      <c r="H180" s="20"/>
      <c r="I180" s="20"/>
      <c r="J180" s="20"/>
      <c r="K180" s="20"/>
      <c r="L180" s="20"/>
      <c r="M180" s="20"/>
      <c r="N180" s="6" t="str">
        <f t="array" ref="N180">XLOOKUP($B180, XLOOKUP("Tracking Number", Orders!$1:$1, Orders!$A:$AAA), XLOOKUP("Courier Fee", Orders!$1:$1, Orders!$A:$AAA), "Not Found")</f>
        <v>Not Found</v>
      </c>
      <c r="O180" s="6">
        <f t="shared" si="1"/>
        <v>0</v>
      </c>
      <c r="P180" s="6">
        <f t="shared" si="2"/>
        <v>0</v>
      </c>
    </row>
    <row r="181">
      <c r="A181" s="23"/>
      <c r="B181" s="23"/>
      <c r="C181" s="23"/>
      <c r="D181" s="23"/>
      <c r="E181" s="23"/>
      <c r="F181" s="23"/>
      <c r="G181" s="23"/>
      <c r="H181" s="20"/>
      <c r="I181" s="20"/>
      <c r="J181" s="20"/>
      <c r="K181" s="20"/>
      <c r="L181" s="20"/>
      <c r="M181" s="20"/>
      <c r="N181" s="6" t="str">
        <f t="array" ref="N181">XLOOKUP($B181, XLOOKUP("Tracking Number", Orders!$1:$1, Orders!$A:$AAA), XLOOKUP("Courier Fee", Orders!$1:$1, Orders!$A:$AAA), "Not Found")</f>
        <v>Not Found</v>
      </c>
      <c r="O181" s="6">
        <f t="shared" si="1"/>
        <v>0</v>
      </c>
      <c r="P181" s="6">
        <f t="shared" si="2"/>
        <v>0</v>
      </c>
    </row>
    <row r="182">
      <c r="A182" s="23"/>
      <c r="B182" s="23"/>
      <c r="C182" s="23"/>
      <c r="D182" s="23"/>
      <c r="E182" s="23"/>
      <c r="F182" s="23"/>
      <c r="G182" s="23"/>
      <c r="H182" s="20"/>
      <c r="I182" s="20"/>
      <c r="J182" s="20"/>
      <c r="K182" s="20"/>
      <c r="L182" s="20"/>
      <c r="M182" s="20"/>
      <c r="N182" s="6" t="str">
        <f t="array" ref="N182">XLOOKUP($B182, XLOOKUP("Tracking Number", Orders!$1:$1, Orders!$A:$AAA), XLOOKUP("Courier Fee", Orders!$1:$1, Orders!$A:$AAA), "Not Found")</f>
        <v>Not Found</v>
      </c>
      <c r="O182" s="6">
        <f t="shared" si="1"/>
        <v>0</v>
      </c>
      <c r="P182" s="6">
        <f t="shared" si="2"/>
        <v>0</v>
      </c>
    </row>
    <row r="183">
      <c r="A183" s="23"/>
      <c r="B183" s="23"/>
      <c r="C183" s="23"/>
      <c r="D183" s="23"/>
      <c r="E183" s="23"/>
      <c r="F183" s="23"/>
      <c r="G183" s="23"/>
      <c r="H183" s="20"/>
      <c r="I183" s="20"/>
      <c r="J183" s="20"/>
      <c r="K183" s="20"/>
      <c r="L183" s="20"/>
      <c r="M183" s="20"/>
      <c r="N183" s="6" t="str">
        <f t="array" ref="N183">XLOOKUP($B183, XLOOKUP("Tracking Number", Orders!$1:$1, Orders!$A:$AAA), XLOOKUP("Courier Fee", Orders!$1:$1, Orders!$A:$AAA), "Not Found")</f>
        <v>Not Found</v>
      </c>
      <c r="O183" s="6">
        <f t="shared" si="1"/>
        <v>0</v>
      </c>
      <c r="P183" s="6">
        <f t="shared" si="2"/>
        <v>0</v>
      </c>
    </row>
    <row r="184">
      <c r="A184" s="23"/>
      <c r="B184" s="23"/>
      <c r="C184" s="23"/>
      <c r="D184" s="23"/>
      <c r="E184" s="23"/>
      <c r="F184" s="23"/>
      <c r="G184" s="23"/>
      <c r="H184" s="20"/>
      <c r="I184" s="20"/>
      <c r="J184" s="20"/>
      <c r="K184" s="20"/>
      <c r="L184" s="20"/>
      <c r="M184" s="20"/>
      <c r="N184" s="6" t="str">
        <f t="array" ref="N184">XLOOKUP($B184, XLOOKUP("Tracking Number", Orders!$1:$1, Orders!$A:$AAA), XLOOKUP("Courier Fee", Orders!$1:$1, Orders!$A:$AAA), "Not Found")</f>
        <v>Not Found</v>
      </c>
      <c r="O184" s="6">
        <f t="shared" si="1"/>
        <v>0</v>
      </c>
      <c r="P184" s="6">
        <f t="shared" si="2"/>
        <v>0</v>
      </c>
    </row>
    <row r="185">
      <c r="A185" s="23"/>
      <c r="B185" s="23"/>
      <c r="C185" s="23"/>
      <c r="D185" s="23"/>
      <c r="E185" s="23"/>
      <c r="F185" s="23"/>
      <c r="G185" s="23"/>
      <c r="H185" s="20"/>
      <c r="I185" s="20"/>
      <c r="J185" s="20"/>
      <c r="K185" s="20"/>
      <c r="L185" s="20"/>
      <c r="M185" s="20"/>
      <c r="N185" s="6" t="str">
        <f t="array" ref="N185">XLOOKUP($B185, XLOOKUP("Tracking Number", Orders!$1:$1, Orders!$A:$AAA), XLOOKUP("Courier Fee", Orders!$1:$1, Orders!$A:$AAA), "Not Found")</f>
        <v>Not Found</v>
      </c>
      <c r="O185" s="6">
        <f t="shared" si="1"/>
        <v>0</v>
      </c>
      <c r="P185" s="6">
        <f t="shared" si="2"/>
        <v>0</v>
      </c>
    </row>
    <row r="186">
      <c r="A186" s="23"/>
      <c r="B186" s="23"/>
      <c r="C186" s="23"/>
      <c r="D186" s="23"/>
      <c r="E186" s="23"/>
      <c r="F186" s="23"/>
      <c r="G186" s="23"/>
      <c r="H186" s="20"/>
      <c r="I186" s="20"/>
      <c r="J186" s="20"/>
      <c r="K186" s="20"/>
      <c r="L186" s="20"/>
      <c r="M186" s="20"/>
      <c r="N186" s="6" t="str">
        <f t="array" ref="N186">XLOOKUP($B186, XLOOKUP("Tracking Number", Orders!$1:$1, Orders!$A:$AAA), XLOOKUP("Courier Fee", Orders!$1:$1, Orders!$A:$AAA), "Not Found")</f>
        <v>Not Found</v>
      </c>
      <c r="O186" s="6">
        <f t="shared" si="1"/>
        <v>0</v>
      </c>
      <c r="P186" s="6">
        <f t="shared" si="2"/>
        <v>0</v>
      </c>
    </row>
    <row r="187">
      <c r="A187" s="23"/>
      <c r="B187" s="23"/>
      <c r="C187" s="23"/>
      <c r="D187" s="23"/>
      <c r="E187" s="23"/>
      <c r="F187" s="23"/>
      <c r="G187" s="23"/>
      <c r="H187" s="20"/>
      <c r="I187" s="20"/>
      <c r="J187" s="20"/>
      <c r="K187" s="20"/>
      <c r="L187" s="20"/>
      <c r="M187" s="20"/>
      <c r="N187" s="6" t="str">
        <f t="array" ref="N187">XLOOKUP($B187, XLOOKUP("Tracking Number", Orders!$1:$1, Orders!$A:$AAA), XLOOKUP("Courier Fee", Orders!$1:$1, Orders!$A:$AAA), "Not Found")</f>
        <v>Not Found</v>
      </c>
      <c r="O187" s="6">
        <f t="shared" si="1"/>
        <v>0</v>
      </c>
      <c r="P187" s="6">
        <f t="shared" si="2"/>
        <v>0</v>
      </c>
    </row>
    <row r="188">
      <c r="A188" s="23"/>
      <c r="B188" s="23"/>
      <c r="C188" s="23"/>
      <c r="D188" s="23"/>
      <c r="E188" s="23"/>
      <c r="F188" s="23"/>
      <c r="G188" s="23"/>
      <c r="H188" s="20"/>
      <c r="I188" s="20"/>
      <c r="J188" s="20"/>
      <c r="K188" s="20"/>
      <c r="L188" s="20"/>
      <c r="M188" s="20"/>
      <c r="N188" s="6" t="str">
        <f t="array" ref="N188">XLOOKUP($B188, XLOOKUP("Tracking Number", Orders!$1:$1, Orders!$A:$AAA), XLOOKUP("Courier Fee", Orders!$1:$1, Orders!$A:$AAA), "Not Found")</f>
        <v>Not Found</v>
      </c>
      <c r="O188" s="6">
        <f t="shared" si="1"/>
        <v>0</v>
      </c>
      <c r="P188" s="6">
        <f t="shared" si="2"/>
        <v>0</v>
      </c>
    </row>
    <row r="189">
      <c r="A189" s="23"/>
      <c r="B189" s="23"/>
      <c r="C189" s="23"/>
      <c r="D189" s="23"/>
      <c r="E189" s="23"/>
      <c r="F189" s="23"/>
      <c r="G189" s="23"/>
      <c r="H189" s="20"/>
      <c r="I189" s="20"/>
      <c r="J189" s="20"/>
      <c r="K189" s="20"/>
      <c r="L189" s="20"/>
      <c r="M189" s="20"/>
      <c r="N189" s="6" t="str">
        <f t="array" ref="N189">XLOOKUP($B189, XLOOKUP("Tracking Number", Orders!$1:$1, Orders!$A:$AAA), XLOOKUP("Courier Fee", Orders!$1:$1, Orders!$A:$AAA), "Not Found")</f>
        <v>Not Found</v>
      </c>
      <c r="O189" s="6">
        <f t="shared" si="1"/>
        <v>0</v>
      </c>
      <c r="P189" s="6">
        <f t="shared" si="2"/>
        <v>0</v>
      </c>
    </row>
    <row r="190">
      <c r="A190" s="23"/>
      <c r="B190" s="23"/>
      <c r="C190" s="23"/>
      <c r="D190" s="23"/>
      <c r="E190" s="23"/>
      <c r="F190" s="23"/>
      <c r="G190" s="23"/>
      <c r="H190" s="20"/>
      <c r="I190" s="20"/>
      <c r="J190" s="20"/>
      <c r="K190" s="20"/>
      <c r="L190" s="20"/>
      <c r="M190" s="20"/>
      <c r="N190" s="6" t="str">
        <f t="array" ref="N190">XLOOKUP($B190, XLOOKUP("Tracking Number", Orders!$1:$1, Orders!$A:$AAA), XLOOKUP("Courier Fee", Orders!$1:$1, Orders!$A:$AAA), "Not Found")</f>
        <v>Not Found</v>
      </c>
      <c r="O190" s="6">
        <f t="shared" si="1"/>
        <v>0</v>
      </c>
      <c r="P190" s="6">
        <f t="shared" si="2"/>
        <v>0</v>
      </c>
    </row>
    <row r="191">
      <c r="A191" s="23"/>
      <c r="B191" s="23"/>
      <c r="C191" s="23"/>
      <c r="D191" s="23"/>
      <c r="E191" s="23"/>
      <c r="F191" s="23"/>
      <c r="G191" s="23"/>
      <c r="H191" s="20"/>
      <c r="I191" s="20"/>
      <c r="J191" s="20"/>
      <c r="K191" s="20"/>
      <c r="L191" s="20"/>
      <c r="M191" s="20"/>
      <c r="N191" s="6" t="str">
        <f t="array" ref="N191">XLOOKUP($B191, XLOOKUP("Tracking Number", Orders!$1:$1, Orders!$A:$AAA), XLOOKUP("Courier Fee", Orders!$1:$1, Orders!$A:$AAA), "Not Found")</f>
        <v>Not Found</v>
      </c>
      <c r="O191" s="6">
        <f t="shared" si="1"/>
        <v>0</v>
      </c>
      <c r="P191" s="6">
        <f t="shared" si="2"/>
        <v>0</v>
      </c>
    </row>
    <row r="192">
      <c r="A192" s="23"/>
      <c r="B192" s="23"/>
      <c r="C192" s="23"/>
      <c r="D192" s="23"/>
      <c r="E192" s="23"/>
      <c r="F192" s="23"/>
      <c r="G192" s="23"/>
      <c r="H192" s="20"/>
      <c r="I192" s="20"/>
      <c r="J192" s="20"/>
      <c r="K192" s="20"/>
      <c r="L192" s="20"/>
      <c r="M192" s="20"/>
      <c r="N192" s="6" t="str">
        <f t="array" ref="N192">XLOOKUP($B192, XLOOKUP("Tracking Number", Orders!$1:$1, Orders!$A:$AAA), XLOOKUP("Courier Fee", Orders!$1:$1, Orders!$A:$AAA), "Not Found")</f>
        <v>Not Found</v>
      </c>
      <c r="O192" s="6">
        <f t="shared" si="1"/>
        <v>0</v>
      </c>
      <c r="P192" s="6">
        <f t="shared" si="2"/>
        <v>0</v>
      </c>
    </row>
    <row r="193">
      <c r="A193" s="23"/>
      <c r="B193" s="23"/>
      <c r="C193" s="23"/>
      <c r="D193" s="23"/>
      <c r="E193" s="23"/>
      <c r="F193" s="23"/>
      <c r="G193" s="23"/>
      <c r="H193" s="20"/>
      <c r="I193" s="20"/>
      <c r="J193" s="20"/>
      <c r="K193" s="20"/>
      <c r="L193" s="20"/>
      <c r="M193" s="20"/>
      <c r="N193" s="6" t="str">
        <f t="array" ref="N193">XLOOKUP($B193, XLOOKUP("Tracking Number", Orders!$1:$1, Orders!$A:$AAA), XLOOKUP("Courier Fee", Orders!$1:$1, Orders!$A:$AAA), "Not Found")</f>
        <v>Not Found</v>
      </c>
      <c r="O193" s="6">
        <f t="shared" si="1"/>
        <v>0</v>
      </c>
      <c r="P193" s="6">
        <f t="shared" si="2"/>
        <v>0</v>
      </c>
    </row>
    <row r="194">
      <c r="A194" s="23"/>
      <c r="B194" s="23"/>
      <c r="C194" s="23"/>
      <c r="D194" s="23"/>
      <c r="E194" s="23"/>
      <c r="F194" s="23"/>
      <c r="G194" s="23"/>
      <c r="H194" s="20"/>
      <c r="I194" s="20"/>
      <c r="J194" s="20"/>
      <c r="K194" s="20"/>
      <c r="L194" s="20"/>
      <c r="M194" s="20"/>
      <c r="N194" s="6" t="str">
        <f t="array" ref="N194">XLOOKUP($B194, XLOOKUP("Tracking Number", Orders!$1:$1, Orders!$A:$AAA), XLOOKUP("Courier Fee", Orders!$1:$1, Orders!$A:$AAA), "Not Found")</f>
        <v>Not Found</v>
      </c>
      <c r="O194" s="6">
        <f t="shared" si="1"/>
        <v>0</v>
      </c>
      <c r="P194" s="6">
        <f t="shared" si="2"/>
        <v>0</v>
      </c>
    </row>
    <row r="195">
      <c r="A195" s="23"/>
      <c r="B195" s="23"/>
      <c r="C195" s="23"/>
      <c r="D195" s="23"/>
      <c r="E195" s="23"/>
      <c r="F195" s="23"/>
      <c r="G195" s="23"/>
      <c r="H195" s="20"/>
      <c r="I195" s="20"/>
      <c r="J195" s="20"/>
      <c r="K195" s="20"/>
      <c r="L195" s="20"/>
      <c r="M195" s="20"/>
      <c r="N195" s="6" t="str">
        <f t="array" ref="N195">XLOOKUP($B195, XLOOKUP("Tracking Number", Orders!$1:$1, Orders!$A:$AAA), XLOOKUP("Courier Fee", Orders!$1:$1, Orders!$A:$AAA), "Not Found")</f>
        <v>Not Found</v>
      </c>
      <c r="O195" s="6">
        <f t="shared" si="1"/>
        <v>0</v>
      </c>
      <c r="P195" s="6">
        <f t="shared" si="2"/>
        <v>0</v>
      </c>
    </row>
    <row r="196">
      <c r="A196" s="23"/>
      <c r="B196" s="23"/>
      <c r="C196" s="23"/>
      <c r="D196" s="23"/>
      <c r="E196" s="23"/>
      <c r="F196" s="23"/>
      <c r="G196" s="23"/>
      <c r="H196" s="20"/>
      <c r="I196" s="20"/>
      <c r="J196" s="20"/>
      <c r="K196" s="20"/>
      <c r="L196" s="20"/>
      <c r="M196" s="20"/>
      <c r="N196" s="6" t="str">
        <f t="array" ref="N196">XLOOKUP($B196, XLOOKUP("Tracking Number", Orders!$1:$1, Orders!$A:$AAA), XLOOKUP("Courier Fee", Orders!$1:$1, Orders!$A:$AAA), "Not Found")</f>
        <v>Not Found</v>
      </c>
      <c r="O196" s="6">
        <f t="shared" si="1"/>
        <v>0</v>
      </c>
      <c r="P196" s="6">
        <f t="shared" si="2"/>
        <v>0</v>
      </c>
    </row>
    <row r="197">
      <c r="A197" s="23"/>
      <c r="B197" s="23"/>
      <c r="C197" s="23"/>
      <c r="D197" s="23"/>
      <c r="E197" s="23"/>
      <c r="F197" s="23"/>
      <c r="G197" s="23"/>
      <c r="H197" s="20"/>
      <c r="I197" s="20"/>
      <c r="J197" s="20"/>
      <c r="K197" s="20"/>
      <c r="L197" s="20"/>
      <c r="M197" s="20"/>
      <c r="N197" s="6" t="str">
        <f t="array" ref="N197">XLOOKUP($B197, XLOOKUP("Tracking Number", Orders!$1:$1, Orders!$A:$AAA), XLOOKUP("Courier Fee", Orders!$1:$1, Orders!$A:$AAA), "Not Found")</f>
        <v>Not Found</v>
      </c>
      <c r="O197" s="6">
        <f t="shared" si="1"/>
        <v>0</v>
      </c>
      <c r="P197" s="6">
        <f t="shared" si="2"/>
        <v>0</v>
      </c>
    </row>
    <row r="198">
      <c r="A198" s="23"/>
      <c r="B198" s="23"/>
      <c r="C198" s="23"/>
      <c r="D198" s="23"/>
      <c r="E198" s="23"/>
      <c r="F198" s="23"/>
      <c r="G198" s="23"/>
      <c r="H198" s="20"/>
      <c r="I198" s="20"/>
      <c r="J198" s="20"/>
      <c r="K198" s="20"/>
      <c r="L198" s="20"/>
      <c r="M198" s="20"/>
      <c r="N198" s="6" t="str">
        <f t="array" ref="N198">XLOOKUP($B198, XLOOKUP("Tracking Number", Orders!$1:$1, Orders!$A:$AAA), XLOOKUP("Courier Fee", Orders!$1:$1, Orders!$A:$AAA), "Not Found")</f>
        <v>Not Found</v>
      </c>
      <c r="O198" s="6">
        <f t="shared" si="1"/>
        <v>0</v>
      </c>
      <c r="P198" s="6">
        <f t="shared" si="2"/>
        <v>0</v>
      </c>
    </row>
    <row r="199">
      <c r="A199" s="23"/>
      <c r="B199" s="23"/>
      <c r="C199" s="23"/>
      <c r="D199" s="23"/>
      <c r="E199" s="23"/>
      <c r="F199" s="23"/>
      <c r="G199" s="23"/>
      <c r="H199" s="20"/>
      <c r="I199" s="20"/>
      <c r="J199" s="20"/>
      <c r="K199" s="20"/>
      <c r="L199" s="20"/>
      <c r="M199" s="20"/>
      <c r="N199" s="6" t="str">
        <f t="array" ref="N199">XLOOKUP($B199, XLOOKUP("Tracking Number", Orders!$1:$1, Orders!$A:$AAA), XLOOKUP("Courier Fee", Orders!$1:$1, Orders!$A:$AAA), "Not Found")</f>
        <v>Not Found</v>
      </c>
      <c r="O199" s="6">
        <f t="shared" si="1"/>
        <v>0</v>
      </c>
      <c r="P199" s="6">
        <f t="shared" si="2"/>
        <v>0</v>
      </c>
    </row>
    <row r="200">
      <c r="A200" s="23"/>
      <c r="B200" s="23"/>
      <c r="C200" s="23"/>
      <c r="D200" s="23"/>
      <c r="E200" s="23"/>
      <c r="F200" s="23"/>
      <c r="G200" s="23"/>
      <c r="H200" s="20"/>
      <c r="I200" s="20"/>
      <c r="J200" s="20"/>
      <c r="K200" s="20"/>
      <c r="L200" s="20"/>
      <c r="M200" s="20"/>
      <c r="N200" s="6" t="str">
        <f t="array" ref="N200">XLOOKUP($B200, XLOOKUP("Tracking Number", Orders!$1:$1, Orders!$A:$AAA), XLOOKUP("Courier Fee", Orders!$1:$1, Orders!$A:$AAA), "Not Found")</f>
        <v>Not Found</v>
      </c>
      <c r="O200" s="6">
        <f t="shared" si="1"/>
        <v>0</v>
      </c>
      <c r="P200" s="6">
        <f t="shared" si="2"/>
        <v>0</v>
      </c>
    </row>
    <row r="201">
      <c r="A201" s="23"/>
      <c r="B201" s="23"/>
      <c r="C201" s="23"/>
      <c r="D201" s="23"/>
      <c r="E201" s="23"/>
      <c r="F201" s="23"/>
      <c r="G201" s="23"/>
      <c r="H201" s="20"/>
      <c r="I201" s="20"/>
      <c r="J201" s="20"/>
      <c r="K201" s="20"/>
      <c r="L201" s="20"/>
      <c r="M201" s="20"/>
      <c r="N201" s="6" t="str">
        <f t="array" ref="N201">XLOOKUP($B201, XLOOKUP("Tracking Number", Orders!$1:$1, Orders!$A:$AAA), XLOOKUP("Courier Fee", Orders!$1:$1, Orders!$A:$AAA), "Not Found")</f>
        <v>Not Found</v>
      </c>
      <c r="O201" s="6">
        <f t="shared" si="1"/>
        <v>0</v>
      </c>
      <c r="P201" s="6">
        <f t="shared" si="2"/>
        <v>0</v>
      </c>
    </row>
    <row r="202">
      <c r="A202" s="23"/>
      <c r="B202" s="23"/>
      <c r="C202" s="23"/>
      <c r="D202" s="23"/>
      <c r="E202" s="23"/>
      <c r="F202" s="23"/>
      <c r="G202" s="23"/>
      <c r="H202" s="20"/>
      <c r="I202" s="20"/>
      <c r="J202" s="20"/>
      <c r="K202" s="20"/>
      <c r="L202" s="20"/>
      <c r="M202" s="20"/>
      <c r="N202" s="6" t="str">
        <f t="array" ref="N202">XLOOKUP($B202, XLOOKUP("Tracking Number", Orders!$1:$1, Orders!$A:$AAA), XLOOKUP("Courier Fee", Orders!$1:$1, Orders!$A:$AAA), "Not Found")</f>
        <v>Not Found</v>
      </c>
      <c r="O202" s="6">
        <f t="shared" si="1"/>
        <v>0</v>
      </c>
      <c r="P202" s="6">
        <f t="shared" si="2"/>
        <v>0</v>
      </c>
    </row>
    <row r="203">
      <c r="A203" s="23"/>
      <c r="B203" s="23"/>
      <c r="C203" s="23"/>
      <c r="D203" s="23"/>
      <c r="E203" s="23"/>
      <c r="F203" s="23"/>
      <c r="G203" s="23"/>
      <c r="H203" s="20"/>
      <c r="I203" s="20"/>
      <c r="J203" s="20"/>
      <c r="K203" s="20"/>
      <c r="L203" s="20"/>
      <c r="M203" s="20"/>
      <c r="N203" s="6" t="str">
        <f t="array" ref="N203">XLOOKUP($B203, XLOOKUP("Tracking Number", Orders!$1:$1, Orders!$A:$AAA), XLOOKUP("Courier Fee", Orders!$1:$1, Orders!$A:$AAA), "Not Found")</f>
        <v>Not Found</v>
      </c>
      <c r="O203" s="6">
        <f t="shared" si="1"/>
        <v>0</v>
      </c>
      <c r="P203" s="6">
        <f t="shared" si="2"/>
        <v>0</v>
      </c>
    </row>
    <row r="204">
      <c r="A204" s="23"/>
      <c r="B204" s="23"/>
      <c r="C204" s="23"/>
      <c r="D204" s="23"/>
      <c r="E204" s="23"/>
      <c r="F204" s="23"/>
      <c r="G204" s="23"/>
      <c r="H204" s="20"/>
      <c r="I204" s="20"/>
      <c r="J204" s="20"/>
      <c r="K204" s="20"/>
      <c r="L204" s="20"/>
      <c r="M204" s="20"/>
      <c r="N204" s="6" t="str">
        <f t="array" ref="N204">XLOOKUP($B204, XLOOKUP("Tracking Number", Orders!$1:$1, Orders!$A:$AAA), XLOOKUP("Courier Fee", Orders!$1:$1, Orders!$A:$AAA), "Not Found")</f>
        <v>Not Found</v>
      </c>
      <c r="O204" s="6">
        <f t="shared" si="1"/>
        <v>0</v>
      </c>
      <c r="P204" s="6">
        <f t="shared" si="2"/>
        <v>0</v>
      </c>
    </row>
    <row r="205">
      <c r="A205" s="23"/>
      <c r="B205" s="23"/>
      <c r="C205" s="23"/>
      <c r="D205" s="23"/>
      <c r="E205" s="23"/>
      <c r="F205" s="23"/>
      <c r="G205" s="23"/>
      <c r="H205" s="20"/>
      <c r="I205" s="20"/>
      <c r="J205" s="20"/>
      <c r="K205" s="20"/>
      <c r="L205" s="20"/>
      <c r="M205" s="20"/>
      <c r="N205" s="6" t="str">
        <f t="array" ref="N205">XLOOKUP($B205, XLOOKUP("Tracking Number", Orders!$1:$1, Orders!$A:$AAA), XLOOKUP("Courier Fee", Orders!$1:$1, Orders!$A:$AAA), "Not Found")</f>
        <v>Not Found</v>
      </c>
      <c r="O205" s="6">
        <f t="shared" si="1"/>
        <v>0</v>
      </c>
      <c r="P205" s="6">
        <f t="shared" si="2"/>
        <v>0</v>
      </c>
    </row>
    <row r="206">
      <c r="A206" s="23"/>
      <c r="B206" s="23"/>
      <c r="C206" s="23"/>
      <c r="D206" s="23"/>
      <c r="E206" s="23"/>
      <c r="F206" s="23"/>
      <c r="G206" s="23"/>
      <c r="H206" s="20"/>
      <c r="I206" s="20"/>
      <c r="J206" s="20"/>
      <c r="K206" s="20"/>
      <c r="L206" s="20"/>
      <c r="M206" s="20"/>
      <c r="N206" s="6" t="str">
        <f t="array" ref="N206">XLOOKUP($B206, XLOOKUP("Tracking Number", Orders!$1:$1, Orders!$A:$AAA), XLOOKUP("Courier Fee", Orders!$1:$1, Orders!$A:$AAA), "Not Found")</f>
        <v>Not Found</v>
      </c>
      <c r="O206" s="6">
        <f t="shared" si="1"/>
        <v>0</v>
      </c>
      <c r="P206" s="6">
        <f t="shared" si="2"/>
        <v>0</v>
      </c>
    </row>
    <row r="207">
      <c r="A207" s="23"/>
      <c r="B207" s="23"/>
      <c r="C207" s="23"/>
      <c r="D207" s="23"/>
      <c r="E207" s="23"/>
      <c r="F207" s="23"/>
      <c r="G207" s="23"/>
      <c r="H207" s="20"/>
      <c r="I207" s="20"/>
      <c r="J207" s="20"/>
      <c r="K207" s="20"/>
      <c r="L207" s="20"/>
      <c r="M207" s="20"/>
      <c r="N207" s="6" t="str">
        <f t="array" ref="N207">XLOOKUP($B207, XLOOKUP("Tracking Number", Orders!$1:$1, Orders!$A:$AAA), XLOOKUP("Courier Fee", Orders!$1:$1, Orders!$A:$AAA), "Not Found")</f>
        <v>Not Found</v>
      </c>
      <c r="O207" s="6">
        <f t="shared" si="1"/>
        <v>0</v>
      </c>
      <c r="P207" s="6">
        <f t="shared" si="2"/>
        <v>0</v>
      </c>
    </row>
    <row r="208">
      <c r="A208" s="23"/>
      <c r="B208" s="23"/>
      <c r="C208" s="23"/>
      <c r="D208" s="23"/>
      <c r="E208" s="23"/>
      <c r="F208" s="23"/>
      <c r="G208" s="23"/>
      <c r="H208" s="20"/>
      <c r="I208" s="20"/>
      <c r="J208" s="20"/>
      <c r="K208" s="20"/>
      <c r="L208" s="20"/>
      <c r="M208" s="20"/>
      <c r="N208" s="6" t="str">
        <f t="array" ref="N208">XLOOKUP($B208, XLOOKUP("Tracking Number", Orders!$1:$1, Orders!$A:$AAA), XLOOKUP("Courier Fee", Orders!$1:$1, Orders!$A:$AAA), "Not Found")</f>
        <v>Not Found</v>
      </c>
      <c r="O208" s="6">
        <f t="shared" si="1"/>
        <v>0</v>
      </c>
      <c r="P208" s="6">
        <f t="shared" si="2"/>
        <v>0</v>
      </c>
    </row>
    <row r="209">
      <c r="A209" s="23"/>
      <c r="B209" s="23"/>
      <c r="C209" s="23"/>
      <c r="D209" s="23"/>
      <c r="E209" s="23"/>
      <c r="F209" s="23"/>
      <c r="G209" s="23"/>
      <c r="H209" s="20"/>
      <c r="I209" s="20"/>
      <c r="J209" s="20"/>
      <c r="K209" s="20"/>
      <c r="L209" s="20"/>
      <c r="M209" s="20"/>
      <c r="N209" s="6" t="str">
        <f t="array" ref="N209">XLOOKUP($B209, XLOOKUP("Tracking Number", Orders!$1:$1, Orders!$A:$AAA), XLOOKUP("Courier Fee", Orders!$1:$1, Orders!$A:$AAA), "Not Found")</f>
        <v>Not Found</v>
      </c>
      <c r="O209" s="6">
        <f t="shared" si="1"/>
        <v>0</v>
      </c>
      <c r="P209" s="6">
        <f t="shared" si="2"/>
        <v>0</v>
      </c>
    </row>
    <row r="210">
      <c r="A210" s="23"/>
      <c r="B210" s="23"/>
      <c r="C210" s="23"/>
      <c r="D210" s="23"/>
      <c r="E210" s="23"/>
      <c r="F210" s="23"/>
      <c r="G210" s="23"/>
      <c r="H210" s="20"/>
      <c r="I210" s="20"/>
      <c r="J210" s="20"/>
      <c r="K210" s="20"/>
      <c r="L210" s="20"/>
      <c r="M210" s="20"/>
      <c r="N210" s="6" t="str">
        <f t="array" ref="N210">XLOOKUP($B210, XLOOKUP("Tracking Number", Orders!$1:$1, Orders!$A:$AAA), XLOOKUP("Courier Fee", Orders!$1:$1, Orders!$A:$AAA), "Not Found")</f>
        <v>Not Found</v>
      </c>
      <c r="O210" s="6">
        <f t="shared" si="1"/>
        <v>0</v>
      </c>
      <c r="P210" s="6">
        <f t="shared" si="2"/>
        <v>0</v>
      </c>
    </row>
    <row r="211">
      <c r="A211" s="23"/>
      <c r="B211" s="23"/>
      <c r="C211" s="23"/>
      <c r="D211" s="23"/>
      <c r="E211" s="23"/>
      <c r="F211" s="23"/>
      <c r="G211" s="23"/>
      <c r="H211" s="20"/>
      <c r="I211" s="20"/>
      <c r="J211" s="20"/>
      <c r="K211" s="20"/>
      <c r="L211" s="20"/>
      <c r="M211" s="20"/>
      <c r="N211" s="6" t="str">
        <f t="array" ref="N211">XLOOKUP($B211, XLOOKUP("Tracking Number", Orders!$1:$1, Orders!$A:$AAA), XLOOKUP("Courier Fee", Orders!$1:$1, Orders!$A:$AAA), "Not Found")</f>
        <v>Not Found</v>
      </c>
      <c r="O211" s="6">
        <f t="shared" si="1"/>
        <v>0</v>
      </c>
      <c r="P211" s="6">
        <f t="shared" si="2"/>
        <v>0</v>
      </c>
    </row>
    <row r="212">
      <c r="A212" s="23"/>
      <c r="B212" s="23"/>
      <c r="C212" s="23"/>
      <c r="D212" s="23"/>
      <c r="E212" s="23"/>
      <c r="F212" s="23"/>
      <c r="G212" s="23"/>
      <c r="H212" s="20"/>
      <c r="I212" s="20"/>
      <c r="J212" s="20"/>
      <c r="K212" s="20"/>
      <c r="L212" s="20"/>
      <c r="M212" s="20"/>
      <c r="N212" s="6" t="str">
        <f t="array" ref="N212">XLOOKUP($B212, XLOOKUP("Tracking Number", Orders!$1:$1, Orders!$A:$AAA), XLOOKUP("Courier Fee", Orders!$1:$1, Orders!$A:$AAA), "Not Found")</f>
        <v>Not Found</v>
      </c>
      <c r="O212" s="6">
        <f t="shared" si="1"/>
        <v>0</v>
      </c>
      <c r="P212" s="6">
        <f t="shared" si="2"/>
        <v>0</v>
      </c>
    </row>
    <row r="213">
      <c r="A213" s="23"/>
      <c r="B213" s="23"/>
      <c r="C213" s="23"/>
      <c r="D213" s="23"/>
      <c r="E213" s="23"/>
      <c r="F213" s="23"/>
      <c r="G213" s="23"/>
      <c r="H213" s="20"/>
      <c r="I213" s="20"/>
      <c r="J213" s="20"/>
      <c r="K213" s="20"/>
      <c r="L213" s="20"/>
      <c r="M213" s="20"/>
      <c r="N213" s="6" t="str">
        <f t="array" ref="N213">XLOOKUP($B213, XLOOKUP("Tracking Number", Orders!$1:$1, Orders!$A:$AAA), XLOOKUP("Courier Fee", Orders!$1:$1, Orders!$A:$AAA), "Not Found")</f>
        <v>Not Found</v>
      </c>
      <c r="O213" s="6">
        <f t="shared" si="1"/>
        <v>0</v>
      </c>
      <c r="P213" s="6">
        <f t="shared" si="2"/>
        <v>0</v>
      </c>
    </row>
    <row r="214">
      <c r="A214" s="23"/>
      <c r="B214" s="23"/>
      <c r="C214" s="23"/>
      <c r="D214" s="23"/>
      <c r="E214" s="23"/>
      <c r="F214" s="23"/>
      <c r="G214" s="23"/>
      <c r="H214" s="20"/>
      <c r="I214" s="20"/>
      <c r="J214" s="20"/>
      <c r="K214" s="20"/>
      <c r="L214" s="20"/>
      <c r="M214" s="20"/>
      <c r="N214" s="6" t="str">
        <f t="array" ref="N214">XLOOKUP($B214, XLOOKUP("Tracking Number", Orders!$1:$1, Orders!$A:$AAA), XLOOKUP("Courier Fee", Orders!$1:$1, Orders!$A:$AAA), "Not Found")</f>
        <v>Not Found</v>
      </c>
      <c r="O214" s="6">
        <f t="shared" si="1"/>
        <v>0</v>
      </c>
      <c r="P214" s="6">
        <f t="shared" si="2"/>
        <v>0</v>
      </c>
    </row>
    <row r="215">
      <c r="A215" s="23"/>
      <c r="B215" s="23"/>
      <c r="C215" s="23"/>
      <c r="D215" s="23"/>
      <c r="E215" s="23"/>
      <c r="F215" s="23"/>
      <c r="G215" s="23"/>
      <c r="H215" s="20"/>
      <c r="I215" s="20"/>
      <c r="J215" s="20"/>
      <c r="K215" s="20"/>
      <c r="L215" s="20"/>
      <c r="M215" s="20"/>
      <c r="N215" s="6" t="str">
        <f t="array" ref="N215">XLOOKUP($B215, XLOOKUP("Tracking Number", Orders!$1:$1, Orders!$A:$AAA), XLOOKUP("Courier Fee", Orders!$1:$1, Orders!$A:$AAA), "Not Found")</f>
        <v>Not Found</v>
      </c>
      <c r="O215" s="6">
        <f t="shared" si="1"/>
        <v>0</v>
      </c>
      <c r="P215" s="6">
        <f t="shared" si="2"/>
        <v>0</v>
      </c>
    </row>
    <row r="216">
      <c r="A216" s="23"/>
      <c r="B216" s="23"/>
      <c r="C216" s="23"/>
      <c r="D216" s="23"/>
      <c r="E216" s="23"/>
      <c r="F216" s="23"/>
      <c r="G216" s="23"/>
      <c r="H216" s="20"/>
      <c r="I216" s="20"/>
      <c r="J216" s="20"/>
      <c r="K216" s="20"/>
      <c r="L216" s="20"/>
      <c r="M216" s="20"/>
      <c r="N216" s="6" t="str">
        <f t="array" ref="N216">XLOOKUP($B216, XLOOKUP("Tracking Number", Orders!$1:$1, Orders!$A:$AAA), XLOOKUP("Courier Fee", Orders!$1:$1, Orders!$A:$AAA), "Not Found")</f>
        <v>Not Found</v>
      </c>
      <c r="O216" s="6">
        <f t="shared" si="1"/>
        <v>0</v>
      </c>
      <c r="P216" s="6">
        <f t="shared" si="2"/>
        <v>0</v>
      </c>
    </row>
    <row r="217">
      <c r="A217" s="23"/>
      <c r="B217" s="23"/>
      <c r="C217" s="23"/>
      <c r="D217" s="23"/>
      <c r="E217" s="23"/>
      <c r="F217" s="23"/>
      <c r="G217" s="23"/>
      <c r="H217" s="20"/>
      <c r="I217" s="20"/>
      <c r="J217" s="20"/>
      <c r="K217" s="20"/>
      <c r="L217" s="20"/>
      <c r="M217" s="20"/>
      <c r="N217" s="6" t="str">
        <f t="array" ref="N217">XLOOKUP($B217, XLOOKUP("Tracking Number", Orders!$1:$1, Orders!$A:$AAA), XLOOKUP("Courier Fee", Orders!$1:$1, Orders!$A:$AAA), "Not Found")</f>
        <v>Not Found</v>
      </c>
      <c r="O217" s="6">
        <f t="shared" si="1"/>
        <v>0</v>
      </c>
      <c r="P217" s="6">
        <f t="shared" si="2"/>
        <v>0</v>
      </c>
    </row>
    <row r="218">
      <c r="A218" s="23"/>
      <c r="B218" s="23"/>
      <c r="C218" s="23"/>
      <c r="D218" s="23"/>
      <c r="E218" s="23"/>
      <c r="F218" s="23"/>
      <c r="G218" s="23"/>
      <c r="H218" s="20"/>
      <c r="I218" s="20"/>
      <c r="J218" s="20"/>
      <c r="K218" s="20"/>
      <c r="L218" s="20"/>
      <c r="M218" s="20"/>
      <c r="N218" s="6" t="str">
        <f t="array" ref="N218">XLOOKUP($B218, XLOOKUP("Tracking Number", Orders!$1:$1, Orders!$A:$AAA), XLOOKUP("Courier Fee", Orders!$1:$1, Orders!$A:$AAA), "Not Found")</f>
        <v>Not Found</v>
      </c>
      <c r="O218" s="6">
        <f t="shared" si="1"/>
        <v>0</v>
      </c>
      <c r="P218" s="6">
        <f t="shared" si="2"/>
        <v>0</v>
      </c>
    </row>
    <row r="219">
      <c r="A219" s="23"/>
      <c r="B219" s="23"/>
      <c r="C219" s="23"/>
      <c r="D219" s="23"/>
      <c r="E219" s="23"/>
      <c r="F219" s="23"/>
      <c r="G219" s="23"/>
      <c r="H219" s="20"/>
      <c r="I219" s="20"/>
      <c r="J219" s="20"/>
      <c r="K219" s="20"/>
      <c r="L219" s="20"/>
      <c r="M219" s="20"/>
      <c r="N219" s="6" t="str">
        <f t="array" ref="N219">XLOOKUP($B219, XLOOKUP("Tracking Number", Orders!$1:$1, Orders!$A:$AAA), XLOOKUP("Courier Fee", Orders!$1:$1, Orders!$A:$AAA), "Not Found")</f>
        <v>Not Found</v>
      </c>
      <c r="O219" s="6">
        <f t="shared" si="1"/>
        <v>0</v>
      </c>
      <c r="P219" s="6">
        <f t="shared" si="2"/>
        <v>0</v>
      </c>
    </row>
    <row r="220">
      <c r="A220" s="23"/>
      <c r="B220" s="23"/>
      <c r="C220" s="23"/>
      <c r="D220" s="23"/>
      <c r="E220" s="23"/>
      <c r="F220" s="23"/>
      <c r="G220" s="23"/>
      <c r="H220" s="20"/>
      <c r="I220" s="20"/>
      <c r="J220" s="20"/>
      <c r="K220" s="20"/>
      <c r="L220" s="20"/>
      <c r="M220" s="20"/>
      <c r="N220" s="6" t="str">
        <f t="array" ref="N220">XLOOKUP($B220, XLOOKUP("Tracking Number", Orders!$1:$1, Orders!$A:$AAA), XLOOKUP("Courier Fee", Orders!$1:$1, Orders!$A:$AAA), "Not Found")</f>
        <v>Not Found</v>
      </c>
      <c r="O220" s="6">
        <f t="shared" si="1"/>
        <v>0</v>
      </c>
      <c r="P220" s="6">
        <f t="shared" si="2"/>
        <v>0</v>
      </c>
    </row>
    <row r="221">
      <c r="A221" s="23"/>
      <c r="B221" s="23"/>
      <c r="C221" s="23"/>
      <c r="D221" s="23"/>
      <c r="E221" s="23"/>
      <c r="F221" s="23"/>
      <c r="G221" s="23"/>
      <c r="H221" s="20"/>
      <c r="I221" s="20"/>
      <c r="J221" s="20"/>
      <c r="K221" s="20"/>
      <c r="L221" s="20"/>
      <c r="M221" s="20"/>
      <c r="N221" s="6" t="str">
        <f t="array" ref="N221">XLOOKUP($B221, XLOOKUP("Tracking Number", Orders!$1:$1, Orders!$A:$AAA), XLOOKUP("Courier Fee", Orders!$1:$1, Orders!$A:$AAA), "Not Found")</f>
        <v>Not Found</v>
      </c>
      <c r="O221" s="6">
        <f t="shared" si="1"/>
        <v>0</v>
      </c>
      <c r="P221" s="6">
        <f t="shared" si="2"/>
        <v>0</v>
      </c>
    </row>
    <row r="222">
      <c r="A222" s="23"/>
      <c r="B222" s="23"/>
      <c r="C222" s="23"/>
      <c r="D222" s="23"/>
      <c r="E222" s="23"/>
      <c r="F222" s="23"/>
      <c r="G222" s="23"/>
      <c r="H222" s="20"/>
      <c r="I222" s="20"/>
      <c r="J222" s="20"/>
      <c r="K222" s="20"/>
      <c r="L222" s="20"/>
      <c r="M222" s="20"/>
      <c r="N222" s="6" t="str">
        <f t="array" ref="N222">XLOOKUP($B222, XLOOKUP("Tracking Number", Orders!$1:$1, Orders!$A:$AAA), XLOOKUP("Courier Fee", Orders!$1:$1, Orders!$A:$AAA), "Not Found")</f>
        <v>Not Found</v>
      </c>
      <c r="O222" s="6">
        <f t="shared" si="1"/>
        <v>0</v>
      </c>
      <c r="P222" s="6">
        <f t="shared" si="2"/>
        <v>0</v>
      </c>
    </row>
    <row r="223">
      <c r="A223" s="23"/>
      <c r="B223" s="23"/>
      <c r="C223" s="23"/>
      <c r="D223" s="23"/>
      <c r="E223" s="23"/>
      <c r="F223" s="23"/>
      <c r="G223" s="23"/>
      <c r="H223" s="20"/>
      <c r="I223" s="20"/>
      <c r="J223" s="20"/>
      <c r="K223" s="20"/>
      <c r="L223" s="20"/>
      <c r="M223" s="20"/>
      <c r="N223" s="6" t="str">
        <f t="array" ref="N223">XLOOKUP($B223, XLOOKUP("Tracking Number", Orders!$1:$1, Orders!$A:$AAA), XLOOKUP("Courier Fee", Orders!$1:$1, Orders!$A:$AAA), "Not Found")</f>
        <v>Not Found</v>
      </c>
      <c r="O223" s="6">
        <f t="shared" si="1"/>
        <v>0</v>
      </c>
      <c r="P223" s="6">
        <f t="shared" si="2"/>
        <v>0</v>
      </c>
    </row>
    <row r="224">
      <c r="A224" s="23"/>
      <c r="B224" s="23"/>
      <c r="C224" s="23"/>
      <c r="D224" s="23"/>
      <c r="E224" s="23"/>
      <c r="F224" s="23"/>
      <c r="G224" s="23"/>
      <c r="H224" s="20"/>
      <c r="I224" s="20"/>
      <c r="J224" s="20"/>
      <c r="K224" s="20"/>
      <c r="L224" s="20"/>
      <c r="M224" s="20"/>
      <c r="N224" s="6" t="str">
        <f t="array" ref="N224">XLOOKUP($B224, XLOOKUP("Tracking Number", Orders!$1:$1, Orders!$A:$AAA), XLOOKUP("Courier Fee", Orders!$1:$1, Orders!$A:$AAA), "Not Found")</f>
        <v>Not Found</v>
      </c>
      <c r="O224" s="6">
        <f t="shared" si="1"/>
        <v>0</v>
      </c>
      <c r="P224" s="6">
        <f t="shared" si="2"/>
        <v>0</v>
      </c>
    </row>
    <row r="225">
      <c r="A225" s="23"/>
      <c r="B225" s="23"/>
      <c r="C225" s="23"/>
      <c r="D225" s="23"/>
      <c r="E225" s="23"/>
      <c r="F225" s="23"/>
      <c r="G225" s="23"/>
      <c r="H225" s="20"/>
      <c r="I225" s="20"/>
      <c r="J225" s="20"/>
      <c r="K225" s="20"/>
      <c r="L225" s="20"/>
      <c r="M225" s="20"/>
      <c r="N225" s="6" t="str">
        <f t="array" ref="N225">XLOOKUP($B225, XLOOKUP("Tracking Number", Orders!$1:$1, Orders!$A:$AAA), XLOOKUP("Courier Fee", Orders!$1:$1, Orders!$A:$AAA), "Not Found")</f>
        <v>Not Found</v>
      </c>
      <c r="O225" s="6">
        <f t="shared" si="1"/>
        <v>0</v>
      </c>
      <c r="P225" s="6">
        <f t="shared" si="2"/>
        <v>0</v>
      </c>
    </row>
    <row r="226">
      <c r="A226" s="23"/>
      <c r="B226" s="23"/>
      <c r="C226" s="23"/>
      <c r="D226" s="23"/>
      <c r="E226" s="23"/>
      <c r="F226" s="23"/>
      <c r="G226" s="23"/>
      <c r="H226" s="20"/>
      <c r="I226" s="20"/>
      <c r="J226" s="20"/>
      <c r="K226" s="20"/>
      <c r="L226" s="20"/>
      <c r="M226" s="20"/>
      <c r="N226" s="6" t="str">
        <f t="array" ref="N226">XLOOKUP($B226, XLOOKUP("Tracking Number", Orders!$1:$1, Orders!$A:$AAA), XLOOKUP("Courier Fee", Orders!$1:$1, Orders!$A:$AAA), "Not Found")</f>
        <v>Not Found</v>
      </c>
      <c r="O226" s="6">
        <f t="shared" si="1"/>
        <v>0</v>
      </c>
      <c r="P226" s="6">
        <f t="shared" si="2"/>
        <v>0</v>
      </c>
    </row>
    <row r="227">
      <c r="A227" s="23"/>
      <c r="B227" s="23"/>
      <c r="C227" s="23"/>
      <c r="D227" s="23"/>
      <c r="E227" s="23"/>
      <c r="F227" s="23"/>
      <c r="G227" s="23"/>
      <c r="H227" s="20"/>
      <c r="I227" s="20"/>
      <c r="J227" s="20"/>
      <c r="K227" s="20"/>
      <c r="L227" s="20"/>
      <c r="M227" s="20"/>
      <c r="N227" s="6" t="str">
        <f t="array" ref="N227">XLOOKUP($B227, XLOOKUP("Tracking Number", Orders!$1:$1, Orders!$A:$AAA), XLOOKUP("Courier Fee", Orders!$1:$1, Orders!$A:$AAA), "Not Found")</f>
        <v>Not Found</v>
      </c>
      <c r="O227" s="6">
        <f t="shared" si="1"/>
        <v>0</v>
      </c>
      <c r="P227" s="6">
        <f t="shared" si="2"/>
        <v>0</v>
      </c>
    </row>
    <row r="228">
      <c r="A228" s="23"/>
      <c r="B228" s="23"/>
      <c r="C228" s="23"/>
      <c r="D228" s="23"/>
      <c r="E228" s="23"/>
      <c r="F228" s="23"/>
      <c r="G228" s="23"/>
      <c r="H228" s="20"/>
      <c r="I228" s="20"/>
      <c r="J228" s="20"/>
      <c r="K228" s="20"/>
      <c r="L228" s="20"/>
      <c r="M228" s="20"/>
      <c r="N228" s="6" t="str">
        <f t="array" ref="N228">XLOOKUP($B228, XLOOKUP("Tracking Number", Orders!$1:$1, Orders!$A:$AAA), XLOOKUP("Courier Fee", Orders!$1:$1, Orders!$A:$AAA), "Not Found")</f>
        <v>Not Found</v>
      </c>
      <c r="O228" s="6">
        <f t="shared" si="1"/>
        <v>0</v>
      </c>
      <c r="P228" s="6">
        <f t="shared" si="2"/>
        <v>0</v>
      </c>
    </row>
    <row r="229">
      <c r="A229" s="23"/>
      <c r="B229" s="23"/>
      <c r="C229" s="23"/>
      <c r="D229" s="23"/>
      <c r="E229" s="23"/>
      <c r="F229" s="23"/>
      <c r="G229" s="23"/>
      <c r="H229" s="20"/>
      <c r="I229" s="20"/>
      <c r="J229" s="20"/>
      <c r="K229" s="20"/>
      <c r="L229" s="20"/>
      <c r="M229" s="20"/>
      <c r="N229" s="6" t="str">
        <f t="array" ref="N229">XLOOKUP($B229, XLOOKUP("Tracking Number", Orders!$1:$1, Orders!$A:$AAA), XLOOKUP("Courier Fee", Orders!$1:$1, Orders!$A:$AAA), "Not Found")</f>
        <v>Not Found</v>
      </c>
      <c r="O229" s="6">
        <f t="shared" si="1"/>
        <v>0</v>
      </c>
      <c r="P229" s="6">
        <f t="shared" si="2"/>
        <v>0</v>
      </c>
    </row>
    <row r="230">
      <c r="A230" s="23"/>
      <c r="B230" s="23"/>
      <c r="C230" s="23"/>
      <c r="D230" s="23"/>
      <c r="E230" s="23"/>
      <c r="F230" s="23"/>
      <c r="G230" s="23"/>
      <c r="H230" s="20"/>
      <c r="I230" s="20"/>
      <c r="J230" s="20"/>
      <c r="K230" s="20"/>
      <c r="L230" s="20"/>
      <c r="M230" s="20"/>
      <c r="N230" s="6" t="str">
        <f t="array" ref="N230">XLOOKUP($B230, XLOOKUP("Tracking Number", Orders!$1:$1, Orders!$A:$AAA), XLOOKUP("Courier Fee", Orders!$1:$1, Orders!$A:$AAA), "Not Found")</f>
        <v>Not Found</v>
      </c>
      <c r="O230" s="6">
        <f t="shared" si="1"/>
        <v>0</v>
      </c>
      <c r="P230" s="6">
        <f t="shared" si="2"/>
        <v>0</v>
      </c>
    </row>
    <row r="231">
      <c r="A231" s="23"/>
      <c r="B231" s="23"/>
      <c r="C231" s="23"/>
      <c r="D231" s="23"/>
      <c r="E231" s="23"/>
      <c r="F231" s="23"/>
      <c r="G231" s="23"/>
      <c r="H231" s="20"/>
      <c r="I231" s="20"/>
      <c r="J231" s="20"/>
      <c r="K231" s="20"/>
      <c r="L231" s="20"/>
      <c r="M231" s="20"/>
      <c r="N231" s="6" t="str">
        <f t="array" ref="N231">XLOOKUP($B231, XLOOKUP("Tracking Number", Orders!$1:$1, Orders!$A:$AAA), XLOOKUP("Courier Fee", Orders!$1:$1, Orders!$A:$AAA), "Not Found")</f>
        <v>Not Found</v>
      </c>
      <c r="O231" s="6">
        <f t="shared" si="1"/>
        <v>0</v>
      </c>
      <c r="P231" s="6">
        <f t="shared" si="2"/>
        <v>0</v>
      </c>
    </row>
    <row r="232">
      <c r="A232" s="23"/>
      <c r="B232" s="23"/>
      <c r="C232" s="23"/>
      <c r="D232" s="23"/>
      <c r="E232" s="23"/>
      <c r="F232" s="23"/>
      <c r="G232" s="23"/>
      <c r="H232" s="20"/>
      <c r="I232" s="20"/>
      <c r="J232" s="20"/>
      <c r="K232" s="20"/>
      <c r="L232" s="20"/>
      <c r="M232" s="20"/>
      <c r="N232" s="6" t="str">
        <f t="array" ref="N232">XLOOKUP($B232, XLOOKUP("Tracking Number", Orders!$1:$1, Orders!$A:$AAA), XLOOKUP("Courier Fee", Orders!$1:$1, Orders!$A:$AAA), "Not Found")</f>
        <v>Not Found</v>
      </c>
      <c r="O232" s="6">
        <f t="shared" si="1"/>
        <v>0</v>
      </c>
      <c r="P232" s="6">
        <f t="shared" si="2"/>
        <v>0</v>
      </c>
    </row>
    <row r="233">
      <c r="A233" s="23"/>
      <c r="B233" s="23"/>
      <c r="C233" s="23"/>
      <c r="D233" s="23"/>
      <c r="E233" s="23"/>
      <c r="F233" s="23"/>
      <c r="G233" s="23"/>
      <c r="H233" s="20"/>
      <c r="I233" s="20"/>
      <c r="J233" s="20"/>
      <c r="K233" s="20"/>
      <c r="L233" s="20"/>
      <c r="M233" s="20"/>
      <c r="N233" s="6" t="str">
        <f t="array" ref="N233">XLOOKUP($B233, XLOOKUP("Tracking Number", Orders!$1:$1, Orders!$A:$AAA), XLOOKUP("Courier Fee", Orders!$1:$1, Orders!$A:$AAA), "Not Found")</f>
        <v>Not Found</v>
      </c>
      <c r="O233" s="6">
        <f t="shared" si="1"/>
        <v>0</v>
      </c>
      <c r="P233" s="6">
        <f t="shared" si="2"/>
        <v>0</v>
      </c>
    </row>
    <row r="234">
      <c r="A234" s="23"/>
      <c r="B234" s="23"/>
      <c r="C234" s="23"/>
      <c r="D234" s="23"/>
      <c r="E234" s="23"/>
      <c r="F234" s="23"/>
      <c r="G234" s="23"/>
      <c r="H234" s="20"/>
      <c r="I234" s="20"/>
      <c r="J234" s="20"/>
      <c r="K234" s="20"/>
      <c r="L234" s="20"/>
      <c r="M234" s="20"/>
      <c r="N234" s="6" t="str">
        <f t="array" ref="N234">XLOOKUP($B234, XLOOKUP("Tracking Number", Orders!$1:$1, Orders!$A:$AAA), XLOOKUP("Courier Fee", Orders!$1:$1, Orders!$A:$AAA), "Not Found")</f>
        <v>Not Found</v>
      </c>
      <c r="O234" s="6">
        <f t="shared" si="1"/>
        <v>0</v>
      </c>
      <c r="P234" s="6">
        <f t="shared" si="2"/>
        <v>0</v>
      </c>
    </row>
    <row r="235">
      <c r="A235" s="23"/>
      <c r="B235" s="23"/>
      <c r="C235" s="23"/>
      <c r="D235" s="23"/>
      <c r="E235" s="23"/>
      <c r="F235" s="23"/>
      <c r="G235" s="23"/>
      <c r="H235" s="20"/>
      <c r="I235" s="20"/>
      <c r="J235" s="20"/>
      <c r="K235" s="20"/>
      <c r="L235" s="20"/>
      <c r="M235" s="20"/>
      <c r="N235" s="6" t="str">
        <f t="array" ref="N235">XLOOKUP($B235, XLOOKUP("Tracking Number", Orders!$1:$1, Orders!$A:$AAA), XLOOKUP("Courier Fee", Orders!$1:$1, Orders!$A:$AAA), "Not Found")</f>
        <v>Not Found</v>
      </c>
      <c r="O235" s="6">
        <f t="shared" si="1"/>
        <v>0</v>
      </c>
      <c r="P235" s="6">
        <f t="shared" si="2"/>
        <v>0</v>
      </c>
    </row>
    <row r="236">
      <c r="A236" s="23"/>
      <c r="B236" s="23"/>
      <c r="C236" s="23"/>
      <c r="D236" s="23"/>
      <c r="E236" s="23"/>
      <c r="F236" s="23"/>
      <c r="G236" s="23"/>
      <c r="H236" s="20"/>
      <c r="I236" s="20"/>
      <c r="J236" s="20"/>
      <c r="K236" s="20"/>
      <c r="L236" s="20"/>
      <c r="M236" s="20"/>
      <c r="N236" s="6" t="str">
        <f t="array" ref="N236">XLOOKUP($B236, XLOOKUP("Tracking Number", Orders!$1:$1, Orders!$A:$AAA), XLOOKUP("Courier Fee", Orders!$1:$1, Orders!$A:$AAA), "Not Found")</f>
        <v>Not Found</v>
      </c>
      <c r="O236" s="6">
        <f t="shared" si="1"/>
        <v>0</v>
      </c>
      <c r="P236" s="6">
        <f t="shared" si="2"/>
        <v>0</v>
      </c>
    </row>
    <row r="237">
      <c r="A237" s="23"/>
      <c r="B237" s="23"/>
      <c r="C237" s="23"/>
      <c r="D237" s="23"/>
      <c r="E237" s="23"/>
      <c r="F237" s="23"/>
      <c r="G237" s="23"/>
      <c r="H237" s="20"/>
      <c r="I237" s="20"/>
      <c r="J237" s="20"/>
      <c r="K237" s="20"/>
      <c r="L237" s="20"/>
      <c r="M237" s="20"/>
      <c r="N237" s="6" t="str">
        <f t="array" ref="N237">XLOOKUP($B237, XLOOKUP("Tracking Number", Orders!$1:$1, Orders!$A:$AAA), XLOOKUP("Courier Fee", Orders!$1:$1, Orders!$A:$AAA), "Not Found")</f>
        <v>Not Found</v>
      </c>
      <c r="O237" s="6">
        <f t="shared" si="1"/>
        <v>0</v>
      </c>
      <c r="P237" s="6">
        <f t="shared" si="2"/>
        <v>0</v>
      </c>
    </row>
    <row r="238">
      <c r="A238" s="23"/>
      <c r="B238" s="23"/>
      <c r="C238" s="23"/>
      <c r="D238" s="23"/>
      <c r="E238" s="23"/>
      <c r="F238" s="23"/>
      <c r="G238" s="23"/>
      <c r="H238" s="20"/>
      <c r="I238" s="20"/>
      <c r="J238" s="20"/>
      <c r="K238" s="20"/>
      <c r="L238" s="20"/>
      <c r="M238" s="20"/>
      <c r="N238" s="6" t="str">
        <f t="array" ref="N238">XLOOKUP($B238, XLOOKUP("Tracking Number", Orders!$1:$1, Orders!$A:$AAA), XLOOKUP("Courier Fee", Orders!$1:$1, Orders!$A:$AAA), "Not Found")</f>
        <v>Not Found</v>
      </c>
      <c r="O238" s="6">
        <f t="shared" si="1"/>
        <v>0</v>
      </c>
      <c r="P238" s="6">
        <f t="shared" si="2"/>
        <v>0</v>
      </c>
    </row>
    <row r="239">
      <c r="A239" s="23"/>
      <c r="B239" s="23"/>
      <c r="C239" s="23"/>
      <c r="D239" s="23"/>
      <c r="E239" s="23"/>
      <c r="F239" s="23"/>
      <c r="G239" s="23"/>
      <c r="H239" s="20"/>
      <c r="I239" s="20"/>
      <c r="J239" s="20"/>
      <c r="K239" s="20"/>
      <c r="L239" s="20"/>
      <c r="M239" s="20"/>
      <c r="N239" s="6" t="str">
        <f t="array" ref="N239">XLOOKUP($B239, XLOOKUP("Tracking Number", Orders!$1:$1, Orders!$A:$AAA), XLOOKUP("Courier Fee", Orders!$1:$1, Orders!$A:$AAA), "Not Found")</f>
        <v>Not Found</v>
      </c>
      <c r="O239" s="6">
        <f t="shared" si="1"/>
        <v>0</v>
      </c>
      <c r="P239" s="6">
        <f t="shared" si="2"/>
        <v>0</v>
      </c>
    </row>
    <row r="240">
      <c r="A240" s="23"/>
      <c r="B240" s="23"/>
      <c r="C240" s="23"/>
      <c r="D240" s="23"/>
      <c r="E240" s="23"/>
      <c r="F240" s="23"/>
      <c r="G240" s="23"/>
      <c r="H240" s="20"/>
      <c r="I240" s="20"/>
      <c r="J240" s="20"/>
      <c r="K240" s="20"/>
      <c r="L240" s="20"/>
      <c r="M240" s="20"/>
      <c r="N240" s="6" t="str">
        <f t="array" ref="N240">XLOOKUP($B240, XLOOKUP("Tracking Number", Orders!$1:$1, Orders!$A:$AAA), XLOOKUP("Courier Fee", Orders!$1:$1, Orders!$A:$AAA), "Not Found")</f>
        <v>Not Found</v>
      </c>
      <c r="O240" s="6">
        <f t="shared" si="1"/>
        <v>0</v>
      </c>
      <c r="P240" s="6">
        <f t="shared" si="2"/>
        <v>0</v>
      </c>
    </row>
    <row r="241">
      <c r="A241" s="23"/>
      <c r="B241" s="23"/>
      <c r="C241" s="23"/>
      <c r="D241" s="23"/>
      <c r="E241" s="23"/>
      <c r="F241" s="23"/>
      <c r="G241" s="23"/>
      <c r="H241" s="20"/>
      <c r="I241" s="20"/>
      <c r="J241" s="20"/>
      <c r="K241" s="20"/>
      <c r="L241" s="20"/>
      <c r="M241" s="20"/>
      <c r="N241" s="6" t="str">
        <f t="array" ref="N241">XLOOKUP($B241, XLOOKUP("Tracking Number", Orders!$1:$1, Orders!$A:$AAA), XLOOKUP("Courier Fee", Orders!$1:$1, Orders!$A:$AAA), "Not Found")</f>
        <v>Not Found</v>
      </c>
      <c r="O241" s="6">
        <f t="shared" si="1"/>
        <v>0</v>
      </c>
      <c r="P241" s="6">
        <f t="shared" si="2"/>
        <v>0</v>
      </c>
    </row>
    <row r="242">
      <c r="A242" s="23"/>
      <c r="B242" s="23"/>
      <c r="C242" s="23"/>
      <c r="D242" s="23"/>
      <c r="E242" s="23"/>
      <c r="F242" s="23"/>
      <c r="G242" s="23"/>
      <c r="H242" s="20"/>
      <c r="I242" s="20"/>
      <c r="J242" s="20"/>
      <c r="K242" s="20"/>
      <c r="L242" s="20"/>
      <c r="M242" s="20"/>
      <c r="N242" s="6" t="str">
        <f t="array" ref="N242">XLOOKUP($B242, XLOOKUP("Tracking Number", Orders!$1:$1, Orders!$A:$AAA), XLOOKUP("Courier Fee", Orders!$1:$1, Orders!$A:$AAA), "Not Found")</f>
        <v>Not Found</v>
      </c>
      <c r="O242" s="6">
        <f t="shared" si="1"/>
        <v>0</v>
      </c>
      <c r="P242" s="6">
        <f t="shared" si="2"/>
        <v>0</v>
      </c>
    </row>
    <row r="243">
      <c r="A243" s="23"/>
      <c r="B243" s="23"/>
      <c r="C243" s="23"/>
      <c r="D243" s="23"/>
      <c r="E243" s="23"/>
      <c r="F243" s="23"/>
      <c r="G243" s="23"/>
      <c r="H243" s="20"/>
      <c r="I243" s="20"/>
      <c r="J243" s="20"/>
      <c r="K243" s="20"/>
      <c r="L243" s="20"/>
      <c r="M243" s="20"/>
      <c r="N243" s="6" t="str">
        <f t="array" ref="N243">XLOOKUP($B243, XLOOKUP("Tracking Number", Orders!$1:$1, Orders!$A:$AAA), XLOOKUP("Courier Fee", Orders!$1:$1, Orders!$A:$AAA), "Not Found")</f>
        <v>Not Found</v>
      </c>
      <c r="O243" s="6">
        <f t="shared" si="1"/>
        <v>0</v>
      </c>
      <c r="P243" s="6">
        <f t="shared" si="2"/>
        <v>0</v>
      </c>
    </row>
    <row r="244">
      <c r="A244" s="23"/>
      <c r="B244" s="23"/>
      <c r="C244" s="23"/>
      <c r="D244" s="23"/>
      <c r="E244" s="23"/>
      <c r="F244" s="23"/>
      <c r="G244" s="23"/>
      <c r="H244" s="20"/>
      <c r="I244" s="20"/>
      <c r="J244" s="20"/>
      <c r="K244" s="20"/>
      <c r="L244" s="20"/>
      <c r="M244" s="20"/>
      <c r="N244" s="6" t="str">
        <f t="array" ref="N244">XLOOKUP($B244, XLOOKUP("Tracking Number", Orders!$1:$1, Orders!$A:$AAA), XLOOKUP("Courier Fee", Orders!$1:$1, Orders!$A:$AAA), "Not Found")</f>
        <v>Not Found</v>
      </c>
      <c r="O244" s="6">
        <f t="shared" si="1"/>
        <v>0</v>
      </c>
      <c r="P244" s="6">
        <f t="shared" si="2"/>
        <v>0</v>
      </c>
    </row>
    <row r="245">
      <c r="A245" s="23"/>
      <c r="B245" s="23"/>
      <c r="C245" s="23"/>
      <c r="D245" s="23"/>
      <c r="E245" s="23"/>
      <c r="F245" s="23"/>
      <c r="G245" s="23"/>
      <c r="H245" s="20"/>
      <c r="I245" s="20"/>
      <c r="J245" s="20"/>
      <c r="K245" s="20"/>
      <c r="L245" s="20"/>
      <c r="M245" s="20"/>
      <c r="N245" s="6" t="str">
        <f t="array" ref="N245">XLOOKUP($B245, XLOOKUP("Tracking Number", Orders!$1:$1, Orders!$A:$AAA), XLOOKUP("Courier Fee", Orders!$1:$1, Orders!$A:$AAA), "Not Found")</f>
        <v>Not Found</v>
      </c>
      <c r="O245" s="6">
        <f t="shared" si="1"/>
        <v>0</v>
      </c>
      <c r="P245" s="6">
        <f t="shared" si="2"/>
        <v>0</v>
      </c>
    </row>
    <row r="246">
      <c r="A246" s="23"/>
      <c r="B246" s="23"/>
      <c r="C246" s="23"/>
      <c r="D246" s="23"/>
      <c r="E246" s="23"/>
      <c r="F246" s="23"/>
      <c r="G246" s="23"/>
      <c r="H246" s="20"/>
      <c r="I246" s="20"/>
      <c r="J246" s="20"/>
      <c r="K246" s="20"/>
      <c r="L246" s="20"/>
      <c r="M246" s="20"/>
      <c r="N246" s="6" t="str">
        <f t="array" ref="N246">XLOOKUP($B246, XLOOKUP("Tracking Number", Orders!$1:$1, Orders!$A:$AAA), XLOOKUP("Courier Fee", Orders!$1:$1, Orders!$A:$AAA), "Not Found")</f>
        <v>Not Found</v>
      </c>
      <c r="O246" s="6">
        <f t="shared" si="1"/>
        <v>0</v>
      </c>
      <c r="P246" s="6">
        <f t="shared" si="2"/>
        <v>0</v>
      </c>
    </row>
    <row r="247">
      <c r="A247" s="23"/>
      <c r="B247" s="23"/>
      <c r="C247" s="23"/>
      <c r="D247" s="23"/>
      <c r="E247" s="23"/>
      <c r="F247" s="23"/>
      <c r="G247" s="23"/>
      <c r="H247" s="20"/>
      <c r="I247" s="20"/>
      <c r="J247" s="20"/>
      <c r="K247" s="20"/>
      <c r="L247" s="20"/>
      <c r="M247" s="20"/>
      <c r="N247" s="6" t="str">
        <f t="array" ref="N247">XLOOKUP($B247, XLOOKUP("Tracking Number", Orders!$1:$1, Orders!$A:$AAA), XLOOKUP("Courier Fee", Orders!$1:$1, Orders!$A:$AAA), "Not Found")</f>
        <v>Not Found</v>
      </c>
      <c r="O247" s="6">
        <f t="shared" si="1"/>
        <v>0</v>
      </c>
      <c r="P247" s="6">
        <f t="shared" si="2"/>
        <v>0</v>
      </c>
    </row>
    <row r="248">
      <c r="A248" s="23"/>
      <c r="B248" s="23"/>
      <c r="C248" s="23"/>
      <c r="D248" s="23"/>
      <c r="E248" s="23"/>
      <c r="F248" s="23"/>
      <c r="G248" s="23"/>
      <c r="H248" s="20"/>
      <c r="I248" s="20"/>
      <c r="J248" s="20"/>
      <c r="K248" s="20"/>
      <c r="L248" s="20"/>
      <c r="M248" s="20"/>
      <c r="N248" s="6" t="str">
        <f t="array" ref="N248">XLOOKUP($B248, XLOOKUP("Tracking Number", Orders!$1:$1, Orders!$A:$AAA), XLOOKUP("Courier Fee", Orders!$1:$1, Orders!$A:$AAA), "Not Found")</f>
        <v>Not Found</v>
      </c>
      <c r="O248" s="6">
        <f t="shared" si="1"/>
        <v>0</v>
      </c>
      <c r="P248" s="6">
        <f t="shared" si="2"/>
        <v>0</v>
      </c>
    </row>
    <row r="249">
      <c r="A249" s="23"/>
      <c r="B249" s="23"/>
      <c r="C249" s="23"/>
      <c r="D249" s="23"/>
      <c r="E249" s="23"/>
      <c r="F249" s="23"/>
      <c r="G249" s="23"/>
      <c r="H249" s="20"/>
      <c r="I249" s="20"/>
      <c r="J249" s="20"/>
      <c r="K249" s="20"/>
      <c r="L249" s="20"/>
      <c r="M249" s="20"/>
      <c r="N249" s="6" t="str">
        <f t="array" ref="N249">XLOOKUP($B249, XLOOKUP("Tracking Number", Orders!$1:$1, Orders!$A:$AAA), XLOOKUP("Courier Fee", Orders!$1:$1, Orders!$A:$AAA), "Not Found")</f>
        <v>Not Found</v>
      </c>
      <c r="O249" s="6">
        <f t="shared" si="1"/>
        <v>0</v>
      </c>
      <c r="P249" s="6">
        <f t="shared" si="2"/>
        <v>0</v>
      </c>
    </row>
    <row r="250">
      <c r="A250" s="23"/>
      <c r="B250" s="23"/>
      <c r="C250" s="23"/>
      <c r="D250" s="23"/>
      <c r="E250" s="23"/>
      <c r="F250" s="23"/>
      <c r="G250" s="23"/>
      <c r="H250" s="20"/>
      <c r="I250" s="20"/>
      <c r="J250" s="20"/>
      <c r="K250" s="20"/>
      <c r="L250" s="20"/>
      <c r="M250" s="20"/>
      <c r="N250" s="6" t="str">
        <f t="array" ref="N250">XLOOKUP($B250, XLOOKUP("Tracking Number", Orders!$1:$1, Orders!$A:$AAA), XLOOKUP("Courier Fee", Orders!$1:$1, Orders!$A:$AAA), "Not Found")</f>
        <v>Not Found</v>
      </c>
      <c r="O250" s="6">
        <f t="shared" si="1"/>
        <v>0</v>
      </c>
      <c r="P250" s="6">
        <f t="shared" si="2"/>
        <v>0</v>
      </c>
    </row>
    <row r="251">
      <c r="A251" s="23"/>
      <c r="B251" s="23"/>
      <c r="C251" s="23"/>
      <c r="D251" s="23"/>
      <c r="E251" s="23"/>
      <c r="F251" s="23"/>
      <c r="G251" s="23"/>
      <c r="H251" s="20"/>
      <c r="I251" s="20"/>
      <c r="J251" s="20"/>
      <c r="K251" s="20"/>
      <c r="L251" s="20"/>
      <c r="M251" s="20"/>
      <c r="N251" s="6" t="str">
        <f t="array" ref="N251">XLOOKUP($B251, XLOOKUP("Tracking Number", Orders!$1:$1, Orders!$A:$AAA), XLOOKUP("Courier Fee", Orders!$1:$1, Orders!$A:$AAA), "Not Found")</f>
        <v>Not Found</v>
      </c>
      <c r="O251" s="6">
        <f t="shared" si="1"/>
        <v>0</v>
      </c>
      <c r="P251" s="6">
        <f t="shared" si="2"/>
        <v>0</v>
      </c>
    </row>
    <row r="252">
      <c r="A252" s="23"/>
      <c r="B252" s="23"/>
      <c r="C252" s="23"/>
      <c r="D252" s="23"/>
      <c r="E252" s="23"/>
      <c r="F252" s="23"/>
      <c r="G252" s="23"/>
      <c r="H252" s="20"/>
      <c r="I252" s="20"/>
      <c r="J252" s="20"/>
      <c r="K252" s="20"/>
      <c r="L252" s="20"/>
      <c r="M252" s="20"/>
      <c r="N252" s="6" t="str">
        <f t="array" ref="N252">XLOOKUP($B252, XLOOKUP("Tracking Number", Orders!$1:$1, Orders!$A:$AAA), XLOOKUP("Courier Fee", Orders!$1:$1, Orders!$A:$AAA), "Not Found")</f>
        <v>Not Found</v>
      </c>
      <c r="O252" s="6">
        <f t="shared" si="1"/>
        <v>0</v>
      </c>
      <c r="P252" s="6">
        <f t="shared" si="2"/>
        <v>0</v>
      </c>
    </row>
    <row r="253">
      <c r="A253" s="23"/>
      <c r="B253" s="23"/>
      <c r="C253" s="23"/>
      <c r="D253" s="23"/>
      <c r="E253" s="23"/>
      <c r="F253" s="23"/>
      <c r="G253" s="23"/>
      <c r="H253" s="20"/>
      <c r="I253" s="20"/>
      <c r="J253" s="20"/>
      <c r="K253" s="20"/>
      <c r="L253" s="20"/>
      <c r="M253" s="20"/>
      <c r="N253" s="6" t="str">
        <f t="array" ref="N253">XLOOKUP($B253, XLOOKUP("Tracking Number", Orders!$1:$1, Orders!$A:$AAA), XLOOKUP("Courier Fee", Orders!$1:$1, Orders!$A:$AAA), "Not Found")</f>
        <v>Not Found</v>
      </c>
      <c r="O253" s="6">
        <f t="shared" si="1"/>
        <v>0</v>
      </c>
      <c r="P253" s="6">
        <f t="shared" si="2"/>
        <v>0</v>
      </c>
    </row>
    <row r="254">
      <c r="A254" s="23"/>
      <c r="B254" s="23"/>
      <c r="C254" s="23"/>
      <c r="D254" s="23"/>
      <c r="E254" s="23"/>
      <c r="F254" s="23"/>
      <c r="G254" s="23"/>
      <c r="H254" s="20"/>
      <c r="I254" s="20"/>
      <c r="J254" s="20"/>
      <c r="K254" s="20"/>
      <c r="L254" s="20"/>
      <c r="M254" s="20"/>
      <c r="N254" s="6" t="str">
        <f t="array" ref="N254">XLOOKUP($B254, XLOOKUP("Tracking Number", Orders!$1:$1, Orders!$A:$AAA), XLOOKUP("Courier Fee", Orders!$1:$1, Orders!$A:$AAA), "Not Found")</f>
        <v>Not Found</v>
      </c>
      <c r="O254" s="6">
        <f t="shared" si="1"/>
        <v>0</v>
      </c>
      <c r="P254" s="6">
        <f t="shared" si="2"/>
        <v>0</v>
      </c>
    </row>
    <row r="255">
      <c r="A255" s="23"/>
      <c r="B255" s="23"/>
      <c r="C255" s="23"/>
      <c r="D255" s="23"/>
      <c r="E255" s="23"/>
      <c r="F255" s="23"/>
      <c r="G255" s="23"/>
      <c r="H255" s="20"/>
      <c r="I255" s="20"/>
      <c r="J255" s="20"/>
      <c r="K255" s="20"/>
      <c r="L255" s="20"/>
      <c r="M255" s="20"/>
      <c r="N255" s="6" t="str">
        <f t="array" ref="N255">XLOOKUP($B255, XLOOKUP("Tracking Number", Orders!$1:$1, Orders!$A:$AAA), XLOOKUP("Courier Fee", Orders!$1:$1, Orders!$A:$AAA), "Not Found")</f>
        <v>Not Found</v>
      </c>
      <c r="O255" s="6">
        <f t="shared" si="1"/>
        <v>0</v>
      </c>
      <c r="P255" s="6">
        <f t="shared" si="2"/>
        <v>0</v>
      </c>
    </row>
    <row r="256">
      <c r="A256" s="23"/>
      <c r="B256" s="23"/>
      <c r="C256" s="23"/>
      <c r="D256" s="23"/>
      <c r="E256" s="23"/>
      <c r="F256" s="23"/>
      <c r="G256" s="23"/>
      <c r="H256" s="20"/>
      <c r="I256" s="20"/>
      <c r="J256" s="20"/>
      <c r="K256" s="20"/>
      <c r="L256" s="20"/>
      <c r="M256" s="20"/>
      <c r="N256" s="6" t="str">
        <f t="array" ref="N256">XLOOKUP($B256, XLOOKUP("Tracking Number", Orders!$1:$1, Orders!$A:$AAA), XLOOKUP("Courier Fee", Orders!$1:$1, Orders!$A:$AAA), "Not Found")</f>
        <v>Not Found</v>
      </c>
      <c r="O256" s="6">
        <f t="shared" si="1"/>
        <v>0</v>
      </c>
      <c r="P256" s="6">
        <f t="shared" si="2"/>
        <v>0</v>
      </c>
    </row>
    <row r="257">
      <c r="A257" s="23"/>
      <c r="B257" s="23"/>
      <c r="C257" s="23"/>
      <c r="D257" s="23"/>
      <c r="E257" s="23"/>
      <c r="F257" s="23"/>
      <c r="G257" s="23"/>
      <c r="H257" s="20"/>
      <c r="I257" s="20"/>
      <c r="J257" s="20"/>
      <c r="K257" s="20"/>
      <c r="L257" s="20"/>
      <c r="M257" s="20"/>
      <c r="N257" s="6" t="str">
        <f t="array" ref="N257">XLOOKUP($B257, XLOOKUP("Tracking Number", Orders!$1:$1, Orders!$A:$AAA), XLOOKUP("Courier Fee", Orders!$1:$1, Orders!$A:$AAA), "Not Found")</f>
        <v>Not Found</v>
      </c>
      <c r="O257" s="6">
        <f t="shared" si="1"/>
        <v>0</v>
      </c>
      <c r="P257" s="6">
        <f t="shared" si="2"/>
        <v>0</v>
      </c>
    </row>
    <row r="258">
      <c r="A258" s="23"/>
      <c r="B258" s="23"/>
      <c r="C258" s="23"/>
      <c r="D258" s="23"/>
      <c r="E258" s="23"/>
      <c r="F258" s="23"/>
      <c r="G258" s="23"/>
      <c r="H258" s="20"/>
      <c r="I258" s="20"/>
      <c r="J258" s="20"/>
      <c r="K258" s="20"/>
      <c r="L258" s="20"/>
      <c r="M258" s="20"/>
      <c r="N258" s="6" t="str">
        <f t="array" ref="N258">XLOOKUP($B258, XLOOKUP("Tracking Number", Orders!$1:$1, Orders!$A:$AAA), XLOOKUP("Courier Fee", Orders!$1:$1, Orders!$A:$AAA), "Not Found")</f>
        <v>Not Found</v>
      </c>
      <c r="O258" s="6">
        <f t="shared" si="1"/>
        <v>0</v>
      </c>
      <c r="P258" s="6">
        <f t="shared" si="2"/>
        <v>0</v>
      </c>
    </row>
    <row r="259">
      <c r="A259" s="23"/>
      <c r="B259" s="23"/>
      <c r="C259" s="23"/>
      <c r="D259" s="23"/>
      <c r="E259" s="23"/>
      <c r="F259" s="23"/>
      <c r="G259" s="23"/>
      <c r="H259" s="20"/>
      <c r="I259" s="20"/>
      <c r="J259" s="20"/>
      <c r="K259" s="20"/>
      <c r="L259" s="20"/>
      <c r="M259" s="20"/>
      <c r="N259" s="6" t="str">
        <f t="array" ref="N259">XLOOKUP($B259, XLOOKUP("Tracking Number", Orders!$1:$1, Orders!$A:$AAA), XLOOKUP("Courier Fee", Orders!$1:$1, Orders!$A:$AAA), "Not Found")</f>
        <v>Not Found</v>
      </c>
      <c r="O259" s="6">
        <f t="shared" si="1"/>
        <v>0</v>
      </c>
      <c r="P259" s="6">
        <f t="shared" si="2"/>
        <v>0</v>
      </c>
    </row>
    <row r="260">
      <c r="A260" s="23"/>
      <c r="B260" s="23"/>
      <c r="C260" s="23"/>
      <c r="D260" s="23"/>
      <c r="E260" s="23"/>
      <c r="F260" s="23"/>
      <c r="G260" s="23"/>
      <c r="H260" s="20"/>
      <c r="I260" s="20"/>
      <c r="J260" s="20"/>
      <c r="K260" s="20"/>
      <c r="L260" s="20"/>
      <c r="M260" s="20"/>
      <c r="N260" s="6" t="str">
        <f t="array" ref="N260">XLOOKUP($B260, XLOOKUP("Tracking Number", Orders!$1:$1, Orders!$A:$AAA), XLOOKUP("Courier Fee", Orders!$1:$1, Orders!$A:$AAA), "Not Found")</f>
        <v>Not Found</v>
      </c>
      <c r="O260" s="6">
        <f t="shared" si="1"/>
        <v>0</v>
      </c>
      <c r="P260" s="6">
        <f t="shared" si="2"/>
        <v>0</v>
      </c>
    </row>
    <row r="261">
      <c r="A261" s="23"/>
      <c r="B261" s="23"/>
      <c r="C261" s="23"/>
      <c r="D261" s="23"/>
      <c r="E261" s="23"/>
      <c r="F261" s="23"/>
      <c r="G261" s="23"/>
      <c r="H261" s="20"/>
      <c r="I261" s="20"/>
      <c r="J261" s="20"/>
      <c r="K261" s="20"/>
      <c r="L261" s="20"/>
      <c r="M261" s="20"/>
      <c r="N261" s="6" t="str">
        <f t="array" ref="N261">XLOOKUP($B261, XLOOKUP("Tracking Number", Orders!$1:$1, Orders!$A:$AAA), XLOOKUP("Courier Fee", Orders!$1:$1, Orders!$A:$AAA), "Not Found")</f>
        <v>Not Found</v>
      </c>
      <c r="O261" s="6">
        <f t="shared" si="1"/>
        <v>0</v>
      </c>
      <c r="P261" s="6">
        <f t="shared" si="2"/>
        <v>0</v>
      </c>
    </row>
    <row r="262">
      <c r="A262" s="23"/>
      <c r="B262" s="23"/>
      <c r="C262" s="23"/>
      <c r="D262" s="23"/>
      <c r="E262" s="23"/>
      <c r="F262" s="23"/>
      <c r="G262" s="23"/>
      <c r="H262" s="20"/>
      <c r="I262" s="20"/>
      <c r="J262" s="20"/>
      <c r="K262" s="20"/>
      <c r="L262" s="20"/>
      <c r="M262" s="20"/>
      <c r="N262" s="6" t="str">
        <f t="array" ref="N262">XLOOKUP($B262, XLOOKUP("Tracking Number", Orders!$1:$1, Orders!$A:$AAA), XLOOKUP("Courier Fee", Orders!$1:$1, Orders!$A:$AAA), "Not Found")</f>
        <v>Not Found</v>
      </c>
      <c r="O262" s="6">
        <f t="shared" si="1"/>
        <v>0</v>
      </c>
      <c r="P262" s="6">
        <f t="shared" si="2"/>
        <v>0</v>
      </c>
    </row>
    <row r="263">
      <c r="A263" s="23"/>
      <c r="B263" s="23"/>
      <c r="C263" s="23"/>
      <c r="D263" s="23"/>
      <c r="E263" s="23"/>
      <c r="F263" s="23"/>
      <c r="G263" s="23"/>
      <c r="H263" s="20"/>
      <c r="I263" s="20"/>
      <c r="J263" s="20"/>
      <c r="K263" s="20"/>
      <c r="L263" s="20"/>
      <c r="M263" s="20"/>
      <c r="N263" s="6" t="str">
        <f t="array" ref="N263">XLOOKUP($B263, XLOOKUP("Tracking Number", Orders!$1:$1, Orders!$A:$AAA), XLOOKUP("Courier Fee", Orders!$1:$1, Orders!$A:$AAA), "Not Found")</f>
        <v>Not Found</v>
      </c>
      <c r="O263" s="6">
        <f t="shared" si="1"/>
        <v>0</v>
      </c>
      <c r="P263" s="6">
        <f t="shared" si="2"/>
        <v>0</v>
      </c>
    </row>
    <row r="264">
      <c r="A264" s="23"/>
      <c r="B264" s="23"/>
      <c r="C264" s="23"/>
      <c r="D264" s="23"/>
      <c r="E264" s="23"/>
      <c r="F264" s="23"/>
      <c r="G264" s="23"/>
      <c r="H264" s="20"/>
      <c r="I264" s="20"/>
      <c r="J264" s="20"/>
      <c r="K264" s="20"/>
      <c r="L264" s="20"/>
      <c r="M264" s="20"/>
      <c r="N264" s="6" t="str">
        <f t="array" ref="N264">XLOOKUP($B264, XLOOKUP("Tracking Number", Orders!$1:$1, Orders!$A:$AAA), XLOOKUP("Courier Fee", Orders!$1:$1, Orders!$A:$AAA), "Not Found")</f>
        <v>Not Found</v>
      </c>
      <c r="O264" s="6">
        <f t="shared" si="1"/>
        <v>0</v>
      </c>
      <c r="P264" s="6">
        <f t="shared" si="2"/>
        <v>0</v>
      </c>
    </row>
    <row r="265">
      <c r="A265" s="23"/>
      <c r="B265" s="23"/>
      <c r="C265" s="23"/>
      <c r="D265" s="23"/>
      <c r="E265" s="23"/>
      <c r="F265" s="23"/>
      <c r="G265" s="23"/>
      <c r="H265" s="20"/>
      <c r="I265" s="20"/>
      <c r="J265" s="20"/>
      <c r="K265" s="20"/>
      <c r="L265" s="20"/>
      <c r="M265" s="20"/>
      <c r="N265" s="6" t="str">
        <f t="array" ref="N265">XLOOKUP($B265, XLOOKUP("Tracking Number", Orders!$1:$1, Orders!$A:$AAA), XLOOKUP("Courier Fee", Orders!$1:$1, Orders!$A:$AAA), "Not Found")</f>
        <v>Not Found</v>
      </c>
      <c r="O265" s="6">
        <f t="shared" si="1"/>
        <v>0</v>
      </c>
      <c r="P265" s="6">
        <f t="shared" si="2"/>
        <v>0</v>
      </c>
    </row>
    <row r="266">
      <c r="A266" s="23"/>
      <c r="B266" s="23"/>
      <c r="C266" s="23"/>
      <c r="D266" s="23"/>
      <c r="E266" s="23"/>
      <c r="F266" s="23"/>
      <c r="G266" s="23"/>
      <c r="H266" s="20"/>
      <c r="I266" s="20"/>
      <c r="J266" s="20"/>
      <c r="K266" s="20"/>
      <c r="L266" s="20"/>
      <c r="M266" s="20"/>
      <c r="N266" s="6" t="str">
        <f t="array" ref="N266">XLOOKUP($B266, XLOOKUP("Tracking Number", Orders!$1:$1, Orders!$A:$AAA), XLOOKUP("Courier Fee", Orders!$1:$1, Orders!$A:$AAA), "Not Found")</f>
        <v>Not Found</v>
      </c>
      <c r="O266" s="6">
        <f t="shared" si="1"/>
        <v>0</v>
      </c>
      <c r="P266" s="6">
        <f t="shared" si="2"/>
        <v>0</v>
      </c>
    </row>
    <row r="267">
      <c r="A267" s="23"/>
      <c r="B267" s="23"/>
      <c r="C267" s="23"/>
      <c r="D267" s="23"/>
      <c r="E267" s="23"/>
      <c r="F267" s="23"/>
      <c r="G267" s="23"/>
      <c r="H267" s="20"/>
      <c r="I267" s="20"/>
      <c r="J267" s="20"/>
      <c r="K267" s="20"/>
      <c r="L267" s="20"/>
      <c r="M267" s="20"/>
      <c r="N267" s="6" t="str">
        <f t="array" ref="N267">XLOOKUP($B267, XLOOKUP("Tracking Number", Orders!$1:$1, Orders!$A:$AAA), XLOOKUP("Courier Fee", Orders!$1:$1, Orders!$A:$AAA), "Not Found")</f>
        <v>Not Found</v>
      </c>
      <c r="O267" s="6">
        <f t="shared" si="1"/>
        <v>0</v>
      </c>
      <c r="P267" s="6">
        <f t="shared" si="2"/>
        <v>0</v>
      </c>
    </row>
    <row r="268">
      <c r="A268" s="23"/>
      <c r="B268" s="23"/>
      <c r="C268" s="23"/>
      <c r="D268" s="23"/>
      <c r="E268" s="23"/>
      <c r="F268" s="23"/>
      <c r="G268" s="23"/>
      <c r="H268" s="20"/>
      <c r="I268" s="20"/>
      <c r="J268" s="20"/>
      <c r="K268" s="20"/>
      <c r="L268" s="20"/>
      <c r="M268" s="20"/>
      <c r="N268" s="6" t="str">
        <f t="array" ref="N268">XLOOKUP($B268, XLOOKUP("Tracking Number", Orders!$1:$1, Orders!$A:$AAA), XLOOKUP("Courier Fee", Orders!$1:$1, Orders!$A:$AAA), "Not Found")</f>
        <v>Not Found</v>
      </c>
      <c r="O268" s="6">
        <f t="shared" si="1"/>
        <v>0</v>
      </c>
      <c r="P268" s="6">
        <f t="shared" si="2"/>
        <v>0</v>
      </c>
    </row>
    <row r="269">
      <c r="A269" s="23"/>
      <c r="B269" s="23"/>
      <c r="C269" s="23"/>
      <c r="D269" s="23"/>
      <c r="E269" s="23"/>
      <c r="F269" s="23"/>
      <c r="G269" s="23"/>
      <c r="H269" s="20"/>
      <c r="I269" s="20"/>
      <c r="J269" s="20"/>
      <c r="K269" s="20"/>
      <c r="L269" s="20"/>
      <c r="M269" s="20"/>
      <c r="N269" s="6" t="str">
        <f t="array" ref="N269">XLOOKUP($B269, XLOOKUP("Tracking Number", Orders!$1:$1, Orders!$A:$AAA), XLOOKUP("Courier Fee", Orders!$1:$1, Orders!$A:$AAA), "Not Found")</f>
        <v>Not Found</v>
      </c>
      <c r="O269" s="6">
        <f t="shared" si="1"/>
        <v>0</v>
      </c>
      <c r="P269" s="6">
        <f t="shared" si="2"/>
        <v>0</v>
      </c>
    </row>
    <row r="270">
      <c r="A270" s="23"/>
      <c r="B270" s="23"/>
      <c r="C270" s="23"/>
      <c r="D270" s="23"/>
      <c r="E270" s="23"/>
      <c r="F270" s="23"/>
      <c r="G270" s="23"/>
      <c r="H270" s="20"/>
      <c r="I270" s="20"/>
      <c r="J270" s="20"/>
      <c r="K270" s="20"/>
      <c r="L270" s="20"/>
      <c r="M270" s="20"/>
      <c r="N270" s="6" t="str">
        <f t="array" ref="N270">XLOOKUP($B270, XLOOKUP("Tracking Number", Orders!$1:$1, Orders!$A:$AAA), XLOOKUP("Courier Fee", Orders!$1:$1, Orders!$A:$AAA), "Not Found")</f>
        <v>Not Found</v>
      </c>
      <c r="O270" s="6">
        <f t="shared" si="1"/>
        <v>0</v>
      </c>
      <c r="P270" s="6">
        <f t="shared" si="2"/>
        <v>0</v>
      </c>
    </row>
    <row r="271">
      <c r="A271" s="23"/>
      <c r="B271" s="23"/>
      <c r="C271" s="23"/>
      <c r="D271" s="23"/>
      <c r="E271" s="23"/>
      <c r="F271" s="23"/>
      <c r="G271" s="23"/>
      <c r="H271" s="20"/>
      <c r="I271" s="20"/>
      <c r="J271" s="20"/>
      <c r="K271" s="20"/>
      <c r="L271" s="20"/>
      <c r="M271" s="20"/>
      <c r="N271" s="6" t="str">
        <f t="array" ref="N271">XLOOKUP($B271, XLOOKUP("Tracking Number", Orders!$1:$1, Orders!$A:$AAA), XLOOKUP("Courier Fee", Orders!$1:$1, Orders!$A:$AAA), "Not Found")</f>
        <v>Not Found</v>
      </c>
      <c r="O271" s="6">
        <f t="shared" si="1"/>
        <v>0</v>
      </c>
      <c r="P271" s="6">
        <f t="shared" si="2"/>
        <v>0</v>
      </c>
    </row>
    <row r="272">
      <c r="A272" s="23"/>
      <c r="B272" s="23"/>
      <c r="C272" s="23"/>
      <c r="D272" s="23"/>
      <c r="E272" s="23"/>
      <c r="F272" s="23"/>
      <c r="G272" s="23"/>
      <c r="H272" s="20"/>
      <c r="I272" s="20"/>
      <c r="J272" s="20"/>
      <c r="K272" s="20"/>
      <c r="L272" s="20"/>
      <c r="M272" s="20"/>
      <c r="N272" s="6" t="str">
        <f t="array" ref="N272">XLOOKUP($B272, XLOOKUP("Tracking Number", Orders!$1:$1, Orders!$A:$AAA), XLOOKUP("Courier Fee", Orders!$1:$1, Orders!$A:$AAA), "Not Found")</f>
        <v>Not Found</v>
      </c>
      <c r="O272" s="6">
        <f t="shared" si="1"/>
        <v>0</v>
      </c>
      <c r="P272" s="6">
        <f t="shared" si="2"/>
        <v>0</v>
      </c>
    </row>
    <row r="273">
      <c r="A273" s="23"/>
      <c r="B273" s="23"/>
      <c r="C273" s="23"/>
      <c r="D273" s="23"/>
      <c r="E273" s="23"/>
      <c r="F273" s="23"/>
      <c r="G273" s="23"/>
      <c r="H273" s="20"/>
      <c r="I273" s="20"/>
      <c r="J273" s="20"/>
      <c r="K273" s="20"/>
      <c r="L273" s="20"/>
      <c r="M273" s="20"/>
      <c r="N273" s="6" t="str">
        <f t="array" ref="N273">XLOOKUP($B273, XLOOKUP("Tracking Number", Orders!$1:$1, Orders!$A:$AAA), XLOOKUP("Courier Fee", Orders!$1:$1, Orders!$A:$AAA), "Not Found")</f>
        <v>Not Found</v>
      </c>
      <c r="O273" s="6">
        <f t="shared" si="1"/>
        <v>0</v>
      </c>
      <c r="P273" s="6">
        <f t="shared" si="2"/>
        <v>0</v>
      </c>
    </row>
    <row r="274">
      <c r="A274" s="23"/>
      <c r="B274" s="23"/>
      <c r="C274" s="23"/>
      <c r="D274" s="23"/>
      <c r="E274" s="23"/>
      <c r="F274" s="23"/>
      <c r="G274" s="23"/>
      <c r="H274" s="20"/>
      <c r="I274" s="20"/>
      <c r="J274" s="20"/>
      <c r="K274" s="20"/>
      <c r="L274" s="20"/>
      <c r="M274" s="20"/>
      <c r="N274" s="6" t="str">
        <f t="array" ref="N274">XLOOKUP($B274, XLOOKUP("Tracking Number", Orders!$1:$1, Orders!$A:$AAA), XLOOKUP("Courier Fee", Orders!$1:$1, Orders!$A:$AAA), "Not Found")</f>
        <v>Not Found</v>
      </c>
      <c r="O274" s="6">
        <f t="shared" si="1"/>
        <v>0</v>
      </c>
      <c r="P274" s="6">
        <f t="shared" si="2"/>
        <v>0</v>
      </c>
    </row>
    <row r="275">
      <c r="A275" s="23"/>
      <c r="B275" s="23"/>
      <c r="C275" s="23"/>
      <c r="D275" s="23"/>
      <c r="E275" s="23"/>
      <c r="F275" s="23"/>
      <c r="G275" s="23"/>
      <c r="H275" s="20"/>
      <c r="I275" s="20"/>
      <c r="J275" s="20"/>
      <c r="K275" s="20"/>
      <c r="L275" s="20"/>
      <c r="M275" s="20"/>
      <c r="N275" s="6" t="str">
        <f t="array" ref="N275">XLOOKUP($B275, XLOOKUP("Tracking Number", Orders!$1:$1, Orders!$A:$AAA), XLOOKUP("Courier Fee", Orders!$1:$1, Orders!$A:$AAA), "Not Found")</f>
        <v>Not Found</v>
      </c>
      <c r="O275" s="6">
        <f t="shared" si="1"/>
        <v>0</v>
      </c>
      <c r="P275" s="6">
        <f t="shared" si="2"/>
        <v>0</v>
      </c>
    </row>
    <row r="276">
      <c r="A276" s="23"/>
      <c r="B276" s="23"/>
      <c r="C276" s="23"/>
      <c r="D276" s="23"/>
      <c r="E276" s="23"/>
      <c r="F276" s="23"/>
      <c r="G276" s="23"/>
      <c r="H276" s="20"/>
      <c r="I276" s="20"/>
      <c r="J276" s="20"/>
      <c r="K276" s="20"/>
      <c r="L276" s="20"/>
      <c r="M276" s="20"/>
      <c r="N276" s="6" t="str">
        <f t="array" ref="N276">XLOOKUP($B276, XLOOKUP("Tracking Number", Orders!$1:$1, Orders!$A:$AAA), XLOOKUP("Courier Fee", Orders!$1:$1, Orders!$A:$AAA), "Not Found")</f>
        <v>Not Found</v>
      </c>
      <c r="O276" s="6">
        <f t="shared" si="1"/>
        <v>0</v>
      </c>
      <c r="P276" s="6">
        <f t="shared" si="2"/>
        <v>0</v>
      </c>
    </row>
    <row r="277">
      <c r="A277" s="23"/>
      <c r="B277" s="23"/>
      <c r="C277" s="23"/>
      <c r="D277" s="23"/>
      <c r="E277" s="23"/>
      <c r="F277" s="23"/>
      <c r="G277" s="23"/>
      <c r="H277" s="20"/>
      <c r="I277" s="20"/>
      <c r="J277" s="20"/>
      <c r="K277" s="20"/>
      <c r="L277" s="20"/>
      <c r="M277" s="20"/>
      <c r="N277" s="6" t="str">
        <f t="array" ref="N277">XLOOKUP($B277, XLOOKUP("Tracking Number", Orders!$1:$1, Orders!$A:$AAA), XLOOKUP("Courier Fee", Orders!$1:$1, Orders!$A:$AAA), "Not Found")</f>
        <v>Not Found</v>
      </c>
      <c r="O277" s="6">
        <f t="shared" si="1"/>
        <v>0</v>
      </c>
      <c r="P277" s="6">
        <f t="shared" si="2"/>
        <v>0</v>
      </c>
    </row>
    <row r="278">
      <c r="A278" s="23"/>
      <c r="B278" s="23"/>
      <c r="C278" s="23"/>
      <c r="D278" s="23"/>
      <c r="E278" s="23"/>
      <c r="F278" s="23"/>
      <c r="G278" s="23"/>
      <c r="H278" s="20"/>
      <c r="I278" s="20"/>
      <c r="J278" s="20"/>
      <c r="K278" s="20"/>
      <c r="L278" s="20"/>
      <c r="M278" s="20"/>
      <c r="N278" s="6" t="str">
        <f t="array" ref="N278">XLOOKUP($B278, XLOOKUP("Tracking Number", Orders!$1:$1, Orders!$A:$AAA), XLOOKUP("Courier Fee", Orders!$1:$1, Orders!$A:$AAA), "Not Found")</f>
        <v>Not Found</v>
      </c>
      <c r="O278" s="6">
        <f t="shared" si="1"/>
        <v>0</v>
      </c>
      <c r="P278" s="6">
        <f t="shared" si="2"/>
        <v>0</v>
      </c>
    </row>
    <row r="279">
      <c r="A279" s="23"/>
      <c r="B279" s="23"/>
      <c r="C279" s="23"/>
      <c r="D279" s="23"/>
      <c r="E279" s="23"/>
      <c r="F279" s="23"/>
      <c r="G279" s="23"/>
      <c r="H279" s="20"/>
      <c r="I279" s="20"/>
      <c r="J279" s="20"/>
      <c r="K279" s="20"/>
      <c r="L279" s="20"/>
      <c r="M279" s="20"/>
      <c r="N279" s="6" t="str">
        <f t="array" ref="N279">XLOOKUP($B279, XLOOKUP("Tracking Number", Orders!$1:$1, Orders!$A:$AAA), XLOOKUP("Courier Fee", Orders!$1:$1, Orders!$A:$AAA), "Not Found")</f>
        <v>Not Found</v>
      </c>
      <c r="O279" s="6">
        <f t="shared" si="1"/>
        <v>0</v>
      </c>
      <c r="P279" s="6">
        <f t="shared" si="2"/>
        <v>0</v>
      </c>
    </row>
    <row r="280">
      <c r="A280" s="23"/>
      <c r="B280" s="23"/>
      <c r="C280" s="23"/>
      <c r="D280" s="23"/>
      <c r="E280" s="23"/>
      <c r="F280" s="23"/>
      <c r="G280" s="23"/>
      <c r="H280" s="20"/>
      <c r="I280" s="20"/>
      <c r="J280" s="20"/>
      <c r="K280" s="20"/>
      <c r="L280" s="20"/>
      <c r="M280" s="20"/>
      <c r="N280" s="6" t="str">
        <f t="array" ref="N280">XLOOKUP($B280, XLOOKUP("Tracking Number", Orders!$1:$1, Orders!$A:$AAA), XLOOKUP("Courier Fee", Orders!$1:$1, Orders!$A:$AAA), "Not Found")</f>
        <v>Not Found</v>
      </c>
      <c r="O280" s="6">
        <f t="shared" si="1"/>
        <v>0</v>
      </c>
      <c r="P280" s="6">
        <f t="shared" si="2"/>
        <v>0</v>
      </c>
    </row>
    <row r="281">
      <c r="A281" s="23"/>
      <c r="B281" s="23"/>
      <c r="C281" s="23"/>
      <c r="D281" s="23"/>
      <c r="E281" s="23"/>
      <c r="F281" s="23"/>
      <c r="G281" s="23"/>
      <c r="H281" s="20"/>
      <c r="I281" s="20"/>
      <c r="J281" s="20"/>
      <c r="K281" s="20"/>
      <c r="L281" s="20"/>
      <c r="M281" s="20"/>
      <c r="N281" s="6" t="str">
        <f t="array" ref="N281">XLOOKUP($B281, XLOOKUP("Tracking Number", Orders!$1:$1, Orders!$A:$AAA), XLOOKUP("Courier Fee", Orders!$1:$1, Orders!$A:$AAA), "Not Found")</f>
        <v>Not Found</v>
      </c>
      <c r="O281" s="6">
        <f t="shared" si="1"/>
        <v>0</v>
      </c>
      <c r="P281" s="6">
        <f t="shared" si="2"/>
        <v>0</v>
      </c>
    </row>
    <row r="282">
      <c r="A282" s="23"/>
      <c r="B282" s="23"/>
      <c r="C282" s="23"/>
      <c r="D282" s="23"/>
      <c r="E282" s="23"/>
      <c r="F282" s="23"/>
      <c r="G282" s="23"/>
      <c r="H282" s="20"/>
      <c r="I282" s="20"/>
      <c r="J282" s="20"/>
      <c r="K282" s="20"/>
      <c r="L282" s="20"/>
      <c r="M282" s="20"/>
      <c r="N282" s="6" t="str">
        <f t="array" ref="N282">XLOOKUP($B282, XLOOKUP("Tracking Number", Orders!$1:$1, Orders!$A:$AAA), XLOOKUP("Courier Fee", Orders!$1:$1, Orders!$A:$AAA), "Not Found")</f>
        <v>Not Found</v>
      </c>
      <c r="O282" s="6">
        <f t="shared" si="1"/>
        <v>0</v>
      </c>
      <c r="P282" s="6">
        <f t="shared" si="2"/>
        <v>0</v>
      </c>
    </row>
    <row r="283">
      <c r="A283" s="23"/>
      <c r="B283" s="23"/>
      <c r="C283" s="23"/>
      <c r="D283" s="23"/>
      <c r="E283" s="23"/>
      <c r="F283" s="23"/>
      <c r="G283" s="23"/>
      <c r="H283" s="20"/>
      <c r="I283" s="20"/>
      <c r="J283" s="20"/>
      <c r="K283" s="20"/>
      <c r="L283" s="20"/>
      <c r="M283" s="20"/>
      <c r="N283" s="6" t="str">
        <f t="array" ref="N283">XLOOKUP($B283, XLOOKUP("Tracking Number", Orders!$1:$1, Orders!$A:$AAA), XLOOKUP("Courier Fee", Orders!$1:$1, Orders!$A:$AAA), "Not Found")</f>
        <v>Not Found</v>
      </c>
      <c r="O283" s="6">
        <f t="shared" si="1"/>
        <v>0</v>
      </c>
      <c r="P283" s="6">
        <f t="shared" si="2"/>
        <v>0</v>
      </c>
    </row>
    <row r="284">
      <c r="A284" s="23"/>
      <c r="B284" s="23"/>
      <c r="C284" s="23"/>
      <c r="D284" s="23"/>
      <c r="E284" s="23"/>
      <c r="F284" s="23"/>
      <c r="G284" s="23"/>
      <c r="H284" s="20"/>
      <c r="I284" s="20"/>
      <c r="J284" s="20"/>
      <c r="K284" s="20"/>
      <c r="L284" s="20"/>
      <c r="M284" s="20"/>
      <c r="N284" s="6" t="str">
        <f t="array" ref="N284">XLOOKUP($B284, XLOOKUP("Tracking Number", Orders!$1:$1, Orders!$A:$AAA), XLOOKUP("Courier Fee", Orders!$1:$1, Orders!$A:$AAA), "Not Found")</f>
        <v>Not Found</v>
      </c>
      <c r="O284" s="6">
        <f t="shared" si="1"/>
        <v>0</v>
      </c>
      <c r="P284" s="6">
        <f t="shared" si="2"/>
        <v>0</v>
      </c>
    </row>
    <row r="285">
      <c r="A285" s="23"/>
      <c r="B285" s="23"/>
      <c r="C285" s="23"/>
      <c r="D285" s="23"/>
      <c r="E285" s="23"/>
      <c r="F285" s="23"/>
      <c r="G285" s="23"/>
      <c r="H285" s="20"/>
      <c r="I285" s="20"/>
      <c r="J285" s="20"/>
      <c r="K285" s="20"/>
      <c r="L285" s="20"/>
      <c r="M285" s="20"/>
      <c r="N285" s="6" t="str">
        <f t="array" ref="N285">XLOOKUP($B285, XLOOKUP("Tracking Number", Orders!$1:$1, Orders!$A:$AAA), XLOOKUP("Courier Fee", Orders!$1:$1, Orders!$A:$AAA), "Not Found")</f>
        <v>Not Found</v>
      </c>
      <c r="O285" s="6">
        <f t="shared" si="1"/>
        <v>0</v>
      </c>
      <c r="P285" s="6">
        <f t="shared" si="2"/>
        <v>0</v>
      </c>
    </row>
    <row r="286">
      <c r="A286" s="23"/>
      <c r="B286" s="23"/>
      <c r="C286" s="23"/>
      <c r="D286" s="23"/>
      <c r="E286" s="23"/>
      <c r="F286" s="23"/>
      <c r="G286" s="23"/>
      <c r="H286" s="20"/>
      <c r="I286" s="20"/>
      <c r="J286" s="20"/>
      <c r="K286" s="20"/>
      <c r="L286" s="20"/>
      <c r="M286" s="20"/>
      <c r="N286" s="6" t="str">
        <f t="array" ref="N286">XLOOKUP($B286, XLOOKUP("Tracking Number", Orders!$1:$1, Orders!$A:$AAA), XLOOKUP("Courier Fee", Orders!$1:$1, Orders!$A:$AAA), "Not Found")</f>
        <v>Not Found</v>
      </c>
      <c r="O286" s="6">
        <f t="shared" si="1"/>
        <v>0</v>
      </c>
      <c r="P286" s="6">
        <f t="shared" si="2"/>
        <v>0</v>
      </c>
    </row>
    <row r="287">
      <c r="A287" s="23"/>
      <c r="B287" s="23"/>
      <c r="C287" s="23"/>
      <c r="D287" s="23"/>
      <c r="E287" s="23"/>
      <c r="F287" s="23"/>
      <c r="G287" s="23"/>
      <c r="H287" s="20"/>
      <c r="I287" s="20"/>
      <c r="J287" s="20"/>
      <c r="K287" s="20"/>
      <c r="L287" s="20"/>
      <c r="M287" s="20"/>
      <c r="N287" s="6" t="str">
        <f t="array" ref="N287">XLOOKUP($B287, XLOOKUP("Tracking Number", Orders!$1:$1, Orders!$A:$AAA), XLOOKUP("Courier Fee", Orders!$1:$1, Orders!$A:$AAA), "Not Found")</f>
        <v>Not Found</v>
      </c>
      <c r="O287" s="6">
        <f t="shared" si="1"/>
        <v>0</v>
      </c>
      <c r="P287" s="6">
        <f t="shared" si="2"/>
        <v>0</v>
      </c>
    </row>
    <row r="288">
      <c r="A288" s="23"/>
      <c r="B288" s="23"/>
      <c r="C288" s="23"/>
      <c r="D288" s="23"/>
      <c r="E288" s="23"/>
      <c r="F288" s="23"/>
      <c r="G288" s="23"/>
      <c r="H288" s="20"/>
      <c r="I288" s="20"/>
      <c r="J288" s="20"/>
      <c r="K288" s="20"/>
      <c r="L288" s="20"/>
      <c r="M288" s="20"/>
      <c r="N288" s="6" t="str">
        <f t="array" ref="N288">XLOOKUP($B288, XLOOKUP("Tracking Number", Orders!$1:$1, Orders!$A:$AAA), XLOOKUP("Courier Fee", Orders!$1:$1, Orders!$A:$AAA), "Not Found")</f>
        <v>Not Found</v>
      </c>
      <c r="O288" s="6">
        <f t="shared" si="1"/>
        <v>0</v>
      </c>
      <c r="P288" s="6">
        <f t="shared" si="2"/>
        <v>0</v>
      </c>
    </row>
    <row r="289">
      <c r="A289" s="23"/>
      <c r="B289" s="23"/>
      <c r="C289" s="23"/>
      <c r="D289" s="23"/>
      <c r="E289" s="23"/>
      <c r="F289" s="23"/>
      <c r="G289" s="23"/>
      <c r="H289" s="20"/>
      <c r="I289" s="20"/>
      <c r="J289" s="20"/>
      <c r="K289" s="20"/>
      <c r="L289" s="20"/>
      <c r="M289" s="20"/>
      <c r="N289" s="6" t="str">
        <f t="array" ref="N289">XLOOKUP($B289, XLOOKUP("Tracking Number", Orders!$1:$1, Orders!$A:$AAA), XLOOKUP("Courier Fee", Orders!$1:$1, Orders!$A:$AAA), "Not Found")</f>
        <v>Not Found</v>
      </c>
      <c r="O289" s="6">
        <f t="shared" si="1"/>
        <v>0</v>
      </c>
      <c r="P289" s="6">
        <f t="shared" si="2"/>
        <v>0</v>
      </c>
    </row>
    <row r="290">
      <c r="A290" s="23"/>
      <c r="B290" s="23"/>
      <c r="C290" s="23"/>
      <c r="D290" s="23"/>
      <c r="E290" s="23"/>
      <c r="F290" s="23"/>
      <c r="G290" s="23"/>
      <c r="H290" s="20"/>
      <c r="I290" s="20"/>
      <c r="J290" s="20"/>
      <c r="K290" s="20"/>
      <c r="L290" s="20"/>
      <c r="M290" s="20"/>
      <c r="N290" s="6" t="str">
        <f t="array" ref="N290">XLOOKUP($B290, XLOOKUP("Tracking Number", Orders!$1:$1, Orders!$A:$AAA), XLOOKUP("Courier Fee", Orders!$1:$1, Orders!$A:$AAA), "Not Found")</f>
        <v>Not Found</v>
      </c>
      <c r="O290" s="6">
        <f t="shared" si="1"/>
        <v>0</v>
      </c>
      <c r="P290" s="6">
        <f t="shared" si="2"/>
        <v>0</v>
      </c>
    </row>
    <row r="291">
      <c r="A291" s="23"/>
      <c r="B291" s="23"/>
      <c r="C291" s="23"/>
      <c r="D291" s="23"/>
      <c r="E291" s="23"/>
      <c r="F291" s="23"/>
      <c r="G291" s="23"/>
      <c r="H291" s="20"/>
      <c r="I291" s="20"/>
      <c r="J291" s="20"/>
      <c r="K291" s="20"/>
      <c r="L291" s="20"/>
      <c r="M291" s="20"/>
      <c r="N291" s="6" t="str">
        <f t="array" ref="N291">XLOOKUP($B291, XLOOKUP("Tracking Number", Orders!$1:$1, Orders!$A:$AAA), XLOOKUP("Courier Fee", Orders!$1:$1, Orders!$A:$AAA), "Not Found")</f>
        <v>Not Found</v>
      </c>
      <c r="O291" s="6">
        <f t="shared" si="1"/>
        <v>0</v>
      </c>
      <c r="P291" s="6">
        <f t="shared" si="2"/>
        <v>0</v>
      </c>
    </row>
    <row r="292">
      <c r="A292" s="23"/>
      <c r="B292" s="23"/>
      <c r="C292" s="23"/>
      <c r="D292" s="23"/>
      <c r="E292" s="23"/>
      <c r="F292" s="23"/>
      <c r="G292" s="23"/>
      <c r="H292" s="20"/>
      <c r="I292" s="20"/>
      <c r="J292" s="20"/>
      <c r="K292" s="20"/>
      <c r="L292" s="20"/>
      <c r="M292" s="20"/>
      <c r="N292" s="6" t="str">
        <f t="array" ref="N292">XLOOKUP($B292, XLOOKUP("Tracking Number", Orders!$1:$1, Orders!$A:$AAA), XLOOKUP("Courier Fee", Orders!$1:$1, Orders!$A:$AAA), "Not Found")</f>
        <v>Not Found</v>
      </c>
      <c r="O292" s="6">
        <f t="shared" si="1"/>
        <v>0</v>
      </c>
      <c r="P292" s="6">
        <f t="shared" si="2"/>
        <v>0</v>
      </c>
    </row>
    <row r="293">
      <c r="A293" s="23"/>
      <c r="B293" s="23"/>
      <c r="C293" s="23"/>
      <c r="D293" s="23"/>
      <c r="E293" s="23"/>
      <c r="F293" s="23"/>
      <c r="G293" s="23"/>
      <c r="H293" s="20"/>
      <c r="I293" s="20"/>
      <c r="J293" s="20"/>
      <c r="K293" s="20"/>
      <c r="L293" s="20"/>
      <c r="M293" s="20"/>
      <c r="N293" s="6" t="str">
        <f t="array" ref="N293">XLOOKUP($B293, XLOOKUP("Tracking Number", Orders!$1:$1, Orders!$A:$AAA), XLOOKUP("Courier Fee", Orders!$1:$1, Orders!$A:$AAA), "Not Found")</f>
        <v>Not Found</v>
      </c>
      <c r="O293" s="6">
        <f t="shared" si="1"/>
        <v>0</v>
      </c>
      <c r="P293" s="6">
        <f t="shared" si="2"/>
        <v>0</v>
      </c>
    </row>
    <row r="294">
      <c r="A294" s="23"/>
      <c r="B294" s="23"/>
      <c r="C294" s="23"/>
      <c r="D294" s="23"/>
      <c r="E294" s="23"/>
      <c r="F294" s="23"/>
      <c r="G294" s="23"/>
      <c r="H294" s="20"/>
      <c r="I294" s="20"/>
      <c r="J294" s="20"/>
      <c r="K294" s="20"/>
      <c r="L294" s="20"/>
      <c r="M294" s="20"/>
      <c r="N294" s="6" t="str">
        <f t="array" ref="N294">XLOOKUP($B294, XLOOKUP("Tracking Number", Orders!$1:$1, Orders!$A:$AAA), XLOOKUP("Courier Fee", Orders!$1:$1, Orders!$A:$AAA), "Not Found")</f>
        <v>Not Found</v>
      </c>
      <c r="O294" s="6">
        <f t="shared" si="1"/>
        <v>0</v>
      </c>
      <c r="P294" s="6">
        <f t="shared" si="2"/>
        <v>0</v>
      </c>
    </row>
    <row r="295">
      <c r="A295" s="23"/>
      <c r="B295" s="23"/>
      <c r="C295" s="23"/>
      <c r="D295" s="23"/>
      <c r="E295" s="23"/>
      <c r="F295" s="23"/>
      <c r="G295" s="23"/>
      <c r="H295" s="20"/>
      <c r="I295" s="20"/>
      <c r="J295" s="20"/>
      <c r="K295" s="20"/>
      <c r="L295" s="20"/>
      <c r="M295" s="20"/>
      <c r="N295" s="6" t="str">
        <f t="array" ref="N295">XLOOKUP($B295, XLOOKUP("Tracking Number", Orders!$1:$1, Orders!$A:$AAA), XLOOKUP("Courier Fee", Orders!$1:$1, Orders!$A:$AAA), "Not Found")</f>
        <v>Not Found</v>
      </c>
      <c r="O295" s="6">
        <f t="shared" si="1"/>
        <v>0</v>
      </c>
      <c r="P295" s="6">
        <f t="shared" si="2"/>
        <v>0</v>
      </c>
    </row>
    <row r="296">
      <c r="A296" s="23"/>
      <c r="B296" s="23"/>
      <c r="C296" s="23"/>
      <c r="D296" s="23"/>
      <c r="E296" s="23"/>
      <c r="F296" s="23"/>
      <c r="G296" s="23"/>
      <c r="H296" s="20"/>
      <c r="I296" s="20"/>
      <c r="J296" s="20"/>
      <c r="K296" s="20"/>
      <c r="L296" s="20"/>
      <c r="M296" s="20"/>
      <c r="N296" s="6" t="str">
        <f t="array" ref="N296">XLOOKUP($B296, XLOOKUP("Tracking Number", Orders!$1:$1, Orders!$A:$AAA), XLOOKUP("Courier Fee", Orders!$1:$1, Orders!$A:$AAA), "Not Found")</f>
        <v>Not Found</v>
      </c>
      <c r="O296" s="6">
        <f t="shared" si="1"/>
        <v>0</v>
      </c>
      <c r="P296" s="6">
        <f t="shared" si="2"/>
        <v>0</v>
      </c>
    </row>
    <row r="297">
      <c r="A297" s="23"/>
      <c r="B297" s="23"/>
      <c r="C297" s="23"/>
      <c r="D297" s="23"/>
      <c r="E297" s="23"/>
      <c r="F297" s="23"/>
      <c r="G297" s="23"/>
      <c r="H297" s="20"/>
      <c r="I297" s="20"/>
      <c r="J297" s="20"/>
      <c r="K297" s="20"/>
      <c r="L297" s="20"/>
      <c r="M297" s="20"/>
      <c r="N297" s="6" t="str">
        <f t="array" ref="N297">XLOOKUP($B297, XLOOKUP("Tracking Number", Orders!$1:$1, Orders!$A:$AAA), XLOOKUP("Courier Fee", Orders!$1:$1, Orders!$A:$AAA), "Not Found")</f>
        <v>Not Found</v>
      </c>
      <c r="O297" s="6">
        <f t="shared" si="1"/>
        <v>0</v>
      </c>
      <c r="P297" s="6">
        <f t="shared" si="2"/>
        <v>0</v>
      </c>
    </row>
    <row r="298">
      <c r="A298" s="23"/>
      <c r="B298" s="23"/>
      <c r="C298" s="23"/>
      <c r="D298" s="23"/>
      <c r="E298" s="23"/>
      <c r="F298" s="23"/>
      <c r="G298" s="23"/>
      <c r="H298" s="20"/>
      <c r="I298" s="20"/>
      <c r="J298" s="20"/>
      <c r="K298" s="20"/>
      <c r="L298" s="20"/>
      <c r="M298" s="20"/>
      <c r="N298" s="6" t="str">
        <f t="array" ref="N298">XLOOKUP($B298, XLOOKUP("Tracking Number", Orders!$1:$1, Orders!$A:$AAA), XLOOKUP("Courier Fee", Orders!$1:$1, Orders!$A:$AAA), "Not Found")</f>
        <v>Not Found</v>
      </c>
      <c r="O298" s="6">
        <f t="shared" si="1"/>
        <v>0</v>
      </c>
      <c r="P298" s="6">
        <f t="shared" si="2"/>
        <v>0</v>
      </c>
    </row>
    <row r="299">
      <c r="A299" s="23"/>
      <c r="B299" s="23"/>
      <c r="C299" s="23"/>
      <c r="D299" s="23"/>
      <c r="E299" s="23"/>
      <c r="F299" s="23"/>
      <c r="G299" s="23"/>
      <c r="H299" s="20"/>
      <c r="I299" s="20"/>
      <c r="J299" s="20"/>
      <c r="K299" s="20"/>
      <c r="L299" s="20"/>
      <c r="M299" s="20"/>
      <c r="N299" s="6" t="str">
        <f t="array" ref="N299">XLOOKUP($B299, XLOOKUP("Tracking Number", Orders!$1:$1, Orders!$A:$AAA), XLOOKUP("Courier Fee", Orders!$1:$1, Orders!$A:$AAA), "Not Found")</f>
        <v>Not Found</v>
      </c>
      <c r="O299" s="6">
        <f t="shared" si="1"/>
        <v>0</v>
      </c>
      <c r="P299" s="6">
        <f t="shared" si="2"/>
        <v>0</v>
      </c>
    </row>
    <row r="300">
      <c r="A300" s="23"/>
      <c r="B300" s="23"/>
      <c r="C300" s="23"/>
      <c r="D300" s="23"/>
      <c r="E300" s="23"/>
      <c r="F300" s="23"/>
      <c r="G300" s="23"/>
      <c r="H300" s="20"/>
      <c r="I300" s="20"/>
      <c r="J300" s="20"/>
      <c r="K300" s="20"/>
      <c r="L300" s="20"/>
      <c r="M300" s="20"/>
      <c r="N300" s="6" t="str">
        <f t="array" ref="N300">XLOOKUP($B300, XLOOKUP("Tracking Number", Orders!$1:$1, Orders!$A:$AAA), XLOOKUP("Courier Fee", Orders!$1:$1, Orders!$A:$AAA), "Not Found")</f>
        <v>Not Found</v>
      </c>
      <c r="O300" s="6">
        <f t="shared" si="1"/>
        <v>0</v>
      </c>
      <c r="P300" s="6">
        <f t="shared" si="2"/>
        <v>0</v>
      </c>
    </row>
    <row r="301">
      <c r="A301" s="23"/>
      <c r="B301" s="23"/>
      <c r="C301" s="23"/>
      <c r="D301" s="23"/>
      <c r="E301" s="23"/>
      <c r="F301" s="23"/>
      <c r="G301" s="23"/>
      <c r="H301" s="20"/>
      <c r="I301" s="20"/>
      <c r="J301" s="20"/>
      <c r="K301" s="20"/>
      <c r="L301" s="20"/>
      <c r="M301" s="20"/>
      <c r="N301" s="6" t="str">
        <f t="array" ref="N301">XLOOKUP($B301, XLOOKUP("Tracking Number", Orders!$1:$1, Orders!$A:$AAA), XLOOKUP("Courier Fee", Orders!$1:$1, Orders!$A:$AAA), "Not Found")</f>
        <v>Not Found</v>
      </c>
      <c r="O301" s="6">
        <f t="shared" si="1"/>
        <v>0</v>
      </c>
      <c r="P301" s="6">
        <f t="shared" si="2"/>
        <v>0</v>
      </c>
    </row>
    <row r="302">
      <c r="A302" s="23"/>
      <c r="B302" s="23"/>
      <c r="C302" s="23"/>
      <c r="D302" s="23"/>
      <c r="E302" s="23"/>
      <c r="F302" s="23"/>
      <c r="G302" s="23"/>
      <c r="H302" s="20"/>
      <c r="I302" s="20"/>
      <c r="J302" s="20"/>
      <c r="K302" s="20"/>
      <c r="L302" s="20"/>
      <c r="M302" s="20"/>
      <c r="N302" s="6" t="str">
        <f t="array" ref="N302">XLOOKUP($B302, XLOOKUP("Tracking Number", Orders!$1:$1, Orders!$A:$AAA), XLOOKUP("Courier Fee", Orders!$1:$1, Orders!$A:$AAA), "Not Found")</f>
        <v>Not Found</v>
      </c>
      <c r="O302" s="6">
        <f t="shared" si="1"/>
        <v>0</v>
      </c>
      <c r="P302" s="6">
        <f t="shared" si="2"/>
        <v>0</v>
      </c>
    </row>
    <row r="303">
      <c r="A303" s="23"/>
      <c r="B303" s="23"/>
      <c r="C303" s="23"/>
      <c r="D303" s="23"/>
      <c r="E303" s="23"/>
      <c r="F303" s="23"/>
      <c r="G303" s="23"/>
      <c r="H303" s="20"/>
      <c r="I303" s="20"/>
      <c r="J303" s="20"/>
      <c r="K303" s="20"/>
      <c r="L303" s="20"/>
      <c r="M303" s="20"/>
      <c r="N303" s="6" t="str">
        <f t="array" ref="N303">XLOOKUP($B303, XLOOKUP("Tracking Number", Orders!$1:$1, Orders!$A:$AAA), XLOOKUP("Courier Fee", Orders!$1:$1, Orders!$A:$AAA), "Not Found")</f>
        <v>Not Found</v>
      </c>
      <c r="O303" s="6">
        <f t="shared" si="1"/>
        <v>0</v>
      </c>
      <c r="P303" s="6">
        <f t="shared" si="2"/>
        <v>0</v>
      </c>
    </row>
    <row r="304">
      <c r="A304" s="23"/>
      <c r="B304" s="23"/>
      <c r="C304" s="23"/>
      <c r="D304" s="23"/>
      <c r="E304" s="23"/>
      <c r="F304" s="23"/>
      <c r="G304" s="23"/>
      <c r="H304" s="20"/>
      <c r="I304" s="20"/>
      <c r="J304" s="20"/>
      <c r="K304" s="20"/>
      <c r="L304" s="20"/>
      <c r="M304" s="20"/>
      <c r="N304" s="6" t="str">
        <f t="array" ref="N304">XLOOKUP($B304, XLOOKUP("Tracking Number", Orders!$1:$1, Orders!$A:$AAA), XLOOKUP("Courier Fee", Orders!$1:$1, Orders!$A:$AAA), "Not Found")</f>
        <v>Not Found</v>
      </c>
      <c r="O304" s="6">
        <f t="shared" si="1"/>
        <v>0</v>
      </c>
      <c r="P304" s="6">
        <f t="shared" si="2"/>
        <v>0</v>
      </c>
    </row>
    <row r="305">
      <c r="A305" s="23"/>
      <c r="B305" s="23"/>
      <c r="C305" s="23"/>
      <c r="D305" s="23"/>
      <c r="E305" s="23"/>
      <c r="F305" s="23"/>
      <c r="G305" s="23"/>
      <c r="H305" s="20"/>
      <c r="I305" s="20"/>
      <c r="J305" s="20"/>
      <c r="K305" s="20"/>
      <c r="L305" s="20"/>
      <c r="M305" s="20"/>
      <c r="N305" s="6" t="str">
        <f t="array" ref="N305">XLOOKUP($B305, XLOOKUP("Tracking Number", Orders!$1:$1, Orders!$A:$AAA), XLOOKUP("Courier Fee", Orders!$1:$1, Orders!$A:$AAA), "Not Found")</f>
        <v>Not Found</v>
      </c>
      <c r="O305" s="6">
        <f t="shared" si="1"/>
        <v>0</v>
      </c>
      <c r="P305" s="6">
        <f t="shared" si="2"/>
        <v>0</v>
      </c>
    </row>
    <row r="306">
      <c r="A306" s="23"/>
      <c r="B306" s="23"/>
      <c r="C306" s="23"/>
      <c r="D306" s="23"/>
      <c r="E306" s="23"/>
      <c r="F306" s="23"/>
      <c r="G306" s="23"/>
      <c r="H306" s="20"/>
      <c r="I306" s="20"/>
      <c r="J306" s="20"/>
      <c r="K306" s="20"/>
      <c r="L306" s="20"/>
      <c r="M306" s="20"/>
      <c r="N306" s="6" t="str">
        <f t="array" ref="N306">XLOOKUP($B306, XLOOKUP("Tracking Number", Orders!$1:$1, Orders!$A:$AAA), XLOOKUP("Courier Fee", Orders!$1:$1, Orders!$A:$AAA), "Not Found")</f>
        <v>Not Found</v>
      </c>
      <c r="O306" s="6">
        <f t="shared" si="1"/>
        <v>0</v>
      </c>
      <c r="P306" s="6">
        <f t="shared" si="2"/>
        <v>0</v>
      </c>
    </row>
    <row r="307">
      <c r="A307" s="23"/>
      <c r="B307" s="23"/>
      <c r="C307" s="23"/>
      <c r="D307" s="23"/>
      <c r="E307" s="23"/>
      <c r="F307" s="23"/>
      <c r="G307" s="23"/>
      <c r="H307" s="20"/>
      <c r="I307" s="20"/>
      <c r="J307" s="20"/>
      <c r="K307" s="20"/>
      <c r="L307" s="20"/>
      <c r="M307" s="20"/>
      <c r="N307" s="6" t="str">
        <f t="array" ref="N307">XLOOKUP($B307, XLOOKUP("Tracking Number", Orders!$1:$1, Orders!$A:$AAA), XLOOKUP("Courier Fee", Orders!$1:$1, Orders!$A:$AAA), "Not Found")</f>
        <v>Not Found</v>
      </c>
      <c r="O307" s="6">
        <f t="shared" si="1"/>
        <v>0</v>
      </c>
      <c r="P307" s="6">
        <f t="shared" si="2"/>
        <v>0</v>
      </c>
    </row>
    <row r="308">
      <c r="A308" s="23"/>
      <c r="B308" s="23"/>
      <c r="C308" s="23"/>
      <c r="D308" s="23"/>
      <c r="E308" s="23"/>
      <c r="F308" s="23"/>
      <c r="G308" s="23"/>
      <c r="H308" s="20"/>
      <c r="I308" s="20"/>
      <c r="J308" s="20"/>
      <c r="K308" s="20"/>
      <c r="L308" s="20"/>
      <c r="M308" s="20"/>
      <c r="N308" s="6" t="str">
        <f t="array" ref="N308">XLOOKUP($B308, XLOOKUP("Tracking Number", Orders!$1:$1, Orders!$A:$AAA), XLOOKUP("Courier Fee", Orders!$1:$1, Orders!$A:$AAA), "Not Found")</f>
        <v>Not Found</v>
      </c>
      <c r="O308" s="6">
        <f t="shared" si="1"/>
        <v>0</v>
      </c>
      <c r="P308" s="6">
        <f t="shared" si="2"/>
        <v>0</v>
      </c>
    </row>
    <row r="309">
      <c r="A309" s="23"/>
      <c r="B309" s="23"/>
      <c r="C309" s="23"/>
      <c r="D309" s="23"/>
      <c r="E309" s="23"/>
      <c r="F309" s="23"/>
      <c r="G309" s="23"/>
      <c r="H309" s="20"/>
      <c r="I309" s="20"/>
      <c r="J309" s="20"/>
      <c r="K309" s="20"/>
      <c r="L309" s="20"/>
      <c r="M309" s="20"/>
      <c r="N309" s="6" t="str">
        <f t="array" ref="N309">XLOOKUP($B309, XLOOKUP("Tracking Number", Orders!$1:$1, Orders!$A:$AAA), XLOOKUP("Courier Fee", Orders!$1:$1, Orders!$A:$AAA), "Not Found")</f>
        <v>Not Found</v>
      </c>
      <c r="O309" s="6">
        <f t="shared" si="1"/>
        <v>0</v>
      </c>
      <c r="P309" s="6">
        <f t="shared" si="2"/>
        <v>0</v>
      </c>
    </row>
    <row r="310">
      <c r="A310" s="23"/>
      <c r="B310" s="23"/>
      <c r="C310" s="23"/>
      <c r="D310" s="23"/>
      <c r="E310" s="23"/>
      <c r="F310" s="23"/>
      <c r="G310" s="23"/>
      <c r="H310" s="20"/>
      <c r="I310" s="20"/>
      <c r="J310" s="20"/>
      <c r="K310" s="20"/>
      <c r="L310" s="20"/>
      <c r="M310" s="20"/>
      <c r="N310" s="6" t="str">
        <f t="array" ref="N310">XLOOKUP($B310, XLOOKUP("Tracking Number", Orders!$1:$1, Orders!$A:$AAA), XLOOKUP("Courier Fee", Orders!$1:$1, Orders!$A:$AAA), "Not Found")</f>
        <v>Not Found</v>
      </c>
      <c r="O310" s="6">
        <f t="shared" si="1"/>
        <v>0</v>
      </c>
      <c r="P310" s="6">
        <f t="shared" si="2"/>
        <v>0</v>
      </c>
    </row>
    <row r="311">
      <c r="A311" s="23"/>
      <c r="B311" s="23"/>
      <c r="C311" s="23"/>
      <c r="D311" s="23"/>
      <c r="E311" s="23"/>
      <c r="F311" s="23"/>
      <c r="G311" s="23"/>
      <c r="H311" s="20"/>
      <c r="I311" s="20"/>
      <c r="J311" s="20"/>
      <c r="K311" s="20"/>
      <c r="L311" s="20"/>
      <c r="M311" s="20"/>
      <c r="N311" s="6" t="str">
        <f t="array" ref="N311">XLOOKUP($B311, XLOOKUP("Tracking Number", Orders!$1:$1, Orders!$A:$AAA), XLOOKUP("Courier Fee", Orders!$1:$1, Orders!$A:$AAA), "Not Found")</f>
        <v>Not Found</v>
      </c>
      <c r="O311" s="6">
        <f t="shared" si="1"/>
        <v>0</v>
      </c>
      <c r="P311" s="6">
        <f t="shared" si="2"/>
        <v>0</v>
      </c>
    </row>
    <row r="312">
      <c r="A312" s="23"/>
      <c r="B312" s="23"/>
      <c r="C312" s="23"/>
      <c r="D312" s="23"/>
      <c r="E312" s="23"/>
      <c r="F312" s="23"/>
      <c r="G312" s="23"/>
      <c r="H312" s="20"/>
      <c r="I312" s="20"/>
      <c r="J312" s="20"/>
      <c r="K312" s="20"/>
      <c r="L312" s="20"/>
      <c r="M312" s="20"/>
      <c r="N312" s="6" t="str">
        <f t="array" ref="N312">XLOOKUP($B312, XLOOKUP("Tracking Number", Orders!$1:$1, Orders!$A:$AAA), XLOOKUP("Courier Fee", Orders!$1:$1, Orders!$A:$AAA), "Not Found")</f>
        <v>Not Found</v>
      </c>
      <c r="O312" s="6">
        <f t="shared" si="1"/>
        <v>0</v>
      </c>
      <c r="P312" s="6">
        <f t="shared" si="2"/>
        <v>0</v>
      </c>
    </row>
    <row r="313">
      <c r="A313" s="23"/>
      <c r="B313" s="23"/>
      <c r="C313" s="23"/>
      <c r="D313" s="23"/>
      <c r="E313" s="23"/>
      <c r="F313" s="23"/>
      <c r="G313" s="23"/>
      <c r="H313" s="20"/>
      <c r="I313" s="20"/>
      <c r="J313" s="20"/>
      <c r="K313" s="20"/>
      <c r="L313" s="20"/>
      <c r="M313" s="20"/>
      <c r="N313" s="6" t="str">
        <f t="array" ref="N313">XLOOKUP($B313, XLOOKUP("Tracking Number", Orders!$1:$1, Orders!$A:$AAA), XLOOKUP("Courier Fee", Orders!$1:$1, Orders!$A:$AAA), "Not Found")</f>
        <v>Not Found</v>
      </c>
      <c r="O313" s="6">
        <f t="shared" si="1"/>
        <v>0</v>
      </c>
      <c r="P313" s="6">
        <f t="shared" si="2"/>
        <v>0</v>
      </c>
    </row>
    <row r="314">
      <c r="A314" s="23"/>
      <c r="B314" s="23"/>
      <c r="C314" s="23"/>
      <c r="D314" s="23"/>
      <c r="E314" s="23"/>
      <c r="F314" s="23"/>
      <c r="G314" s="23"/>
      <c r="H314" s="20"/>
      <c r="I314" s="20"/>
      <c r="J314" s="20"/>
      <c r="K314" s="20"/>
      <c r="L314" s="20"/>
      <c r="M314" s="20"/>
      <c r="N314" s="6" t="str">
        <f t="array" ref="N314">XLOOKUP($B314, XLOOKUP("Tracking Number", Orders!$1:$1, Orders!$A:$AAA), XLOOKUP("Courier Fee", Orders!$1:$1, Orders!$A:$AAA), "Not Found")</f>
        <v>Not Found</v>
      </c>
      <c r="O314" s="6">
        <f t="shared" si="1"/>
        <v>0</v>
      </c>
      <c r="P314" s="6">
        <f t="shared" si="2"/>
        <v>0</v>
      </c>
    </row>
    <row r="315">
      <c r="A315" s="23"/>
      <c r="B315" s="23"/>
      <c r="C315" s="23"/>
      <c r="D315" s="23"/>
      <c r="E315" s="23"/>
      <c r="F315" s="23"/>
      <c r="G315" s="23"/>
      <c r="H315" s="20"/>
      <c r="I315" s="20"/>
      <c r="J315" s="20"/>
      <c r="K315" s="20"/>
      <c r="L315" s="20"/>
      <c r="M315" s="20"/>
      <c r="N315" s="6" t="str">
        <f t="array" ref="N315">XLOOKUP($B315, XLOOKUP("Tracking Number", Orders!$1:$1, Orders!$A:$AAA), XLOOKUP("Courier Fee", Orders!$1:$1, Orders!$A:$AAA), "Not Found")</f>
        <v>Not Found</v>
      </c>
      <c r="O315" s="6">
        <f t="shared" si="1"/>
        <v>0</v>
      </c>
      <c r="P315" s="6">
        <f t="shared" si="2"/>
        <v>0</v>
      </c>
    </row>
    <row r="316">
      <c r="A316" s="23"/>
      <c r="B316" s="23"/>
      <c r="C316" s="23"/>
      <c r="D316" s="23"/>
      <c r="E316" s="23"/>
      <c r="F316" s="23"/>
      <c r="G316" s="23"/>
      <c r="H316" s="20"/>
      <c r="I316" s="20"/>
      <c r="J316" s="20"/>
      <c r="K316" s="20"/>
      <c r="L316" s="20"/>
      <c r="M316" s="20"/>
      <c r="N316" s="6" t="str">
        <f t="array" ref="N316">XLOOKUP($B316, XLOOKUP("Tracking Number", Orders!$1:$1, Orders!$A:$AAA), XLOOKUP("Courier Fee", Orders!$1:$1, Orders!$A:$AAA), "Not Found")</f>
        <v>Not Found</v>
      </c>
      <c r="O316" s="6">
        <f t="shared" si="1"/>
        <v>0</v>
      </c>
      <c r="P316" s="6">
        <f t="shared" si="2"/>
        <v>0</v>
      </c>
    </row>
    <row r="317">
      <c r="A317" s="23"/>
      <c r="B317" s="23"/>
      <c r="C317" s="23"/>
      <c r="D317" s="23"/>
      <c r="E317" s="23"/>
      <c r="F317" s="23"/>
      <c r="G317" s="23"/>
      <c r="H317" s="20"/>
      <c r="I317" s="20"/>
      <c r="J317" s="20"/>
      <c r="K317" s="20"/>
      <c r="L317" s="20"/>
      <c r="M317" s="20"/>
      <c r="N317" s="6" t="str">
        <f t="array" ref="N317">XLOOKUP($B317, XLOOKUP("Tracking Number", Orders!$1:$1, Orders!$A:$AAA), XLOOKUP("Courier Fee", Orders!$1:$1, Orders!$A:$AAA), "Not Found")</f>
        <v>Not Found</v>
      </c>
      <c r="O317" s="6">
        <f t="shared" si="1"/>
        <v>0</v>
      </c>
      <c r="P317" s="6">
        <f t="shared" si="2"/>
        <v>0</v>
      </c>
    </row>
    <row r="318">
      <c r="A318" s="23"/>
      <c r="B318" s="23"/>
      <c r="C318" s="23"/>
      <c r="D318" s="23"/>
      <c r="E318" s="23"/>
      <c r="F318" s="23"/>
      <c r="G318" s="23"/>
      <c r="H318" s="20"/>
      <c r="I318" s="20"/>
      <c r="J318" s="20"/>
      <c r="K318" s="20"/>
      <c r="L318" s="20"/>
      <c r="M318" s="20"/>
      <c r="N318" s="6" t="str">
        <f t="array" ref="N318">XLOOKUP($B318, XLOOKUP("Tracking Number", Orders!$1:$1, Orders!$A:$AAA), XLOOKUP("Courier Fee", Orders!$1:$1, Orders!$A:$AAA), "Not Found")</f>
        <v>Not Found</v>
      </c>
      <c r="O318" s="6">
        <f t="shared" si="1"/>
        <v>0</v>
      </c>
      <c r="P318" s="6">
        <f t="shared" si="2"/>
        <v>0</v>
      </c>
    </row>
    <row r="319">
      <c r="A319" s="23"/>
      <c r="B319" s="23"/>
      <c r="C319" s="23"/>
      <c r="D319" s="23"/>
      <c r="E319" s="23"/>
      <c r="F319" s="23"/>
      <c r="G319" s="23"/>
      <c r="H319" s="20"/>
      <c r="I319" s="20"/>
      <c r="J319" s="20"/>
      <c r="K319" s="20"/>
      <c r="L319" s="20"/>
      <c r="M319" s="20"/>
      <c r="N319" s="6" t="str">
        <f t="array" ref="N319">XLOOKUP($B319, XLOOKUP("Tracking Number", Orders!$1:$1, Orders!$A:$AAA), XLOOKUP("Courier Fee", Orders!$1:$1, Orders!$A:$AAA), "Not Found")</f>
        <v>Not Found</v>
      </c>
      <c r="O319" s="6">
        <f t="shared" si="1"/>
        <v>0</v>
      </c>
      <c r="P319" s="6">
        <f t="shared" si="2"/>
        <v>0</v>
      </c>
    </row>
    <row r="320">
      <c r="A320" s="23"/>
      <c r="B320" s="23"/>
      <c r="C320" s="23"/>
      <c r="D320" s="23"/>
      <c r="E320" s="23"/>
      <c r="F320" s="23"/>
      <c r="G320" s="23"/>
      <c r="H320" s="20"/>
      <c r="I320" s="20"/>
      <c r="J320" s="20"/>
      <c r="K320" s="20"/>
      <c r="L320" s="20"/>
      <c r="M320" s="20"/>
      <c r="N320" s="6" t="str">
        <f t="array" ref="N320">XLOOKUP($B320, XLOOKUP("Tracking Number", Orders!$1:$1, Orders!$A:$AAA), XLOOKUP("Courier Fee", Orders!$1:$1, Orders!$A:$AAA), "Not Found")</f>
        <v>Not Found</v>
      </c>
      <c r="O320" s="6">
        <f t="shared" si="1"/>
        <v>0</v>
      </c>
      <c r="P320" s="6">
        <f t="shared" si="2"/>
        <v>0</v>
      </c>
    </row>
    <row r="321">
      <c r="A321" s="23"/>
      <c r="B321" s="23"/>
      <c r="C321" s="23"/>
      <c r="D321" s="23"/>
      <c r="E321" s="23"/>
      <c r="F321" s="23"/>
      <c r="G321" s="23"/>
      <c r="H321" s="20"/>
      <c r="I321" s="20"/>
      <c r="J321" s="20"/>
      <c r="K321" s="20"/>
      <c r="L321" s="20"/>
      <c r="M321" s="20"/>
      <c r="N321" s="6" t="str">
        <f t="array" ref="N321">XLOOKUP($B321, XLOOKUP("Tracking Number", Orders!$1:$1, Orders!$A:$AAA), XLOOKUP("Courier Fee", Orders!$1:$1, Orders!$A:$AAA), "Not Found")</f>
        <v>Not Found</v>
      </c>
      <c r="O321" s="6">
        <f t="shared" si="1"/>
        <v>0</v>
      </c>
      <c r="P321" s="6">
        <f t="shared" si="2"/>
        <v>0</v>
      </c>
    </row>
    <row r="322">
      <c r="A322" s="23"/>
      <c r="B322" s="23"/>
      <c r="C322" s="23"/>
      <c r="D322" s="23"/>
      <c r="E322" s="23"/>
      <c r="F322" s="23"/>
      <c r="G322" s="23"/>
      <c r="H322" s="20"/>
      <c r="I322" s="20"/>
      <c r="J322" s="20"/>
      <c r="K322" s="20"/>
      <c r="L322" s="20"/>
      <c r="M322" s="20"/>
      <c r="N322" s="6" t="str">
        <f t="array" ref="N322">XLOOKUP($B322, XLOOKUP("Tracking Number", Orders!$1:$1, Orders!$A:$AAA), XLOOKUP("Courier Fee", Orders!$1:$1, Orders!$A:$AAA), "Not Found")</f>
        <v>Not Found</v>
      </c>
      <c r="O322" s="6">
        <f t="shared" si="1"/>
        <v>0</v>
      </c>
      <c r="P322" s="6">
        <f t="shared" si="2"/>
        <v>0</v>
      </c>
    </row>
    <row r="323">
      <c r="A323" s="23"/>
      <c r="B323" s="23"/>
      <c r="C323" s="23"/>
      <c r="D323" s="23"/>
      <c r="E323" s="23"/>
      <c r="F323" s="23"/>
      <c r="G323" s="23"/>
      <c r="H323" s="20"/>
      <c r="I323" s="20"/>
      <c r="J323" s="20"/>
      <c r="K323" s="20"/>
      <c r="L323" s="20"/>
      <c r="M323" s="20"/>
      <c r="N323" s="6" t="str">
        <f t="array" ref="N323">XLOOKUP($B323, XLOOKUP("Tracking Number", Orders!$1:$1, Orders!$A:$AAA), XLOOKUP("Courier Fee", Orders!$1:$1, Orders!$A:$AAA), "Not Found")</f>
        <v>Not Found</v>
      </c>
      <c r="O323" s="6">
        <f t="shared" si="1"/>
        <v>0</v>
      </c>
      <c r="P323" s="6">
        <f t="shared" si="2"/>
        <v>0</v>
      </c>
    </row>
    <row r="324">
      <c r="A324" s="23"/>
      <c r="B324" s="23"/>
      <c r="C324" s="23"/>
      <c r="D324" s="23"/>
      <c r="E324" s="23"/>
      <c r="F324" s="23"/>
      <c r="G324" s="23"/>
      <c r="H324" s="20"/>
      <c r="I324" s="20"/>
      <c r="J324" s="20"/>
      <c r="K324" s="20"/>
      <c r="L324" s="20"/>
      <c r="M324" s="20"/>
      <c r="N324" s="6" t="str">
        <f t="array" ref="N324">XLOOKUP($B324, XLOOKUP("Tracking Number", Orders!$1:$1, Orders!$A:$AAA), XLOOKUP("Courier Fee", Orders!$1:$1, Orders!$A:$AAA), "Not Found")</f>
        <v>Not Found</v>
      </c>
      <c r="O324" s="6">
        <f t="shared" si="1"/>
        <v>0</v>
      </c>
      <c r="P324" s="6">
        <f t="shared" si="2"/>
        <v>0</v>
      </c>
    </row>
    <row r="325">
      <c r="A325" s="23"/>
      <c r="B325" s="23"/>
      <c r="C325" s="23"/>
      <c r="D325" s="23"/>
      <c r="E325" s="23"/>
      <c r="F325" s="23"/>
      <c r="G325" s="23"/>
      <c r="H325" s="20"/>
      <c r="I325" s="20"/>
      <c r="J325" s="20"/>
      <c r="K325" s="20"/>
      <c r="L325" s="20"/>
      <c r="M325" s="20"/>
      <c r="N325" s="6" t="str">
        <f t="array" ref="N325">XLOOKUP($B325, XLOOKUP("Tracking Number", Orders!$1:$1, Orders!$A:$AAA), XLOOKUP("Courier Fee", Orders!$1:$1, Orders!$A:$AAA), "Not Found")</f>
        <v>Not Found</v>
      </c>
      <c r="O325" s="6">
        <f t="shared" si="1"/>
        <v>0</v>
      </c>
      <c r="P325" s="6">
        <f t="shared" si="2"/>
        <v>0</v>
      </c>
    </row>
    <row r="326">
      <c r="A326" s="23"/>
      <c r="B326" s="23"/>
      <c r="C326" s="23"/>
      <c r="D326" s="23"/>
      <c r="E326" s="23"/>
      <c r="F326" s="23"/>
      <c r="G326" s="23"/>
      <c r="H326" s="20"/>
      <c r="I326" s="20"/>
      <c r="J326" s="20"/>
      <c r="K326" s="20"/>
      <c r="L326" s="20"/>
      <c r="M326" s="20"/>
      <c r="N326" s="6" t="str">
        <f t="array" ref="N326">XLOOKUP($B326, XLOOKUP("Tracking Number", Orders!$1:$1, Orders!$A:$AAA), XLOOKUP("Courier Fee", Orders!$1:$1, Orders!$A:$AAA), "Not Found")</f>
        <v>Not Found</v>
      </c>
      <c r="O326" s="6">
        <f t="shared" si="1"/>
        <v>0</v>
      </c>
      <c r="P326" s="6">
        <f t="shared" si="2"/>
        <v>0</v>
      </c>
    </row>
    <row r="327">
      <c r="A327" s="23"/>
      <c r="B327" s="23"/>
      <c r="C327" s="23"/>
      <c r="D327" s="23"/>
      <c r="E327" s="23"/>
      <c r="F327" s="23"/>
      <c r="G327" s="23"/>
      <c r="H327" s="20"/>
      <c r="I327" s="20"/>
      <c r="J327" s="20"/>
      <c r="K327" s="20"/>
      <c r="L327" s="20"/>
      <c r="M327" s="20"/>
      <c r="N327" s="6" t="str">
        <f t="array" ref="N327">XLOOKUP($B327, XLOOKUP("Tracking Number", Orders!$1:$1, Orders!$A:$AAA), XLOOKUP("Courier Fee", Orders!$1:$1, Orders!$A:$AAA), "Not Found")</f>
        <v>Not Found</v>
      </c>
      <c r="O327" s="6">
        <f t="shared" si="1"/>
        <v>0</v>
      </c>
      <c r="P327" s="6">
        <f t="shared" si="2"/>
        <v>0</v>
      </c>
    </row>
    <row r="328">
      <c r="A328" s="23"/>
      <c r="B328" s="23"/>
      <c r="C328" s="23"/>
      <c r="D328" s="23"/>
      <c r="E328" s="23"/>
      <c r="F328" s="23"/>
      <c r="G328" s="23"/>
      <c r="H328" s="20"/>
      <c r="I328" s="20"/>
      <c r="J328" s="20"/>
      <c r="K328" s="20"/>
      <c r="L328" s="20"/>
      <c r="M328" s="20"/>
      <c r="N328" s="6" t="str">
        <f t="array" ref="N328">XLOOKUP($B328, XLOOKUP("Tracking Number", Orders!$1:$1, Orders!$A:$AAA), XLOOKUP("Courier Fee", Orders!$1:$1, Orders!$A:$AAA), "Not Found")</f>
        <v>Not Found</v>
      </c>
      <c r="O328" s="6">
        <f t="shared" si="1"/>
        <v>0</v>
      </c>
      <c r="P328" s="6">
        <f t="shared" si="2"/>
        <v>0</v>
      </c>
    </row>
    <row r="329">
      <c r="A329" s="23"/>
      <c r="B329" s="23"/>
      <c r="C329" s="23"/>
      <c r="D329" s="23"/>
      <c r="E329" s="23"/>
      <c r="F329" s="23"/>
      <c r="G329" s="23"/>
      <c r="H329" s="20"/>
      <c r="I329" s="20"/>
      <c r="J329" s="20"/>
      <c r="K329" s="20"/>
      <c r="L329" s="20"/>
      <c r="M329" s="20"/>
      <c r="N329" s="6" t="str">
        <f t="array" ref="N329">XLOOKUP($B329, XLOOKUP("Tracking Number", Orders!$1:$1, Orders!$A:$AAA), XLOOKUP("Courier Fee", Orders!$1:$1, Orders!$A:$AAA), "Not Found")</f>
        <v>Not Found</v>
      </c>
      <c r="O329" s="6">
        <f t="shared" si="1"/>
        <v>0</v>
      </c>
      <c r="P329" s="6">
        <f t="shared" si="2"/>
        <v>0</v>
      </c>
    </row>
    <row r="330">
      <c r="A330" s="23"/>
      <c r="B330" s="23"/>
      <c r="C330" s="23"/>
      <c r="D330" s="23"/>
      <c r="E330" s="23"/>
      <c r="F330" s="23"/>
      <c r="G330" s="23"/>
      <c r="H330" s="20"/>
      <c r="I330" s="20"/>
      <c r="J330" s="20"/>
      <c r="K330" s="20"/>
      <c r="L330" s="20"/>
      <c r="M330" s="20"/>
      <c r="N330" s="6" t="str">
        <f t="array" ref="N330">XLOOKUP($B330, XLOOKUP("Tracking Number", Orders!$1:$1, Orders!$A:$AAA), XLOOKUP("Courier Fee", Orders!$1:$1, Orders!$A:$AAA), "Not Found")</f>
        <v>Not Found</v>
      </c>
      <c r="O330" s="6">
        <f t="shared" si="1"/>
        <v>0</v>
      </c>
      <c r="P330" s="6">
        <f t="shared" si="2"/>
        <v>0</v>
      </c>
    </row>
    <row r="331">
      <c r="A331" s="23"/>
      <c r="B331" s="23"/>
      <c r="C331" s="23"/>
      <c r="D331" s="23"/>
      <c r="E331" s="23"/>
      <c r="F331" s="23"/>
      <c r="G331" s="23"/>
      <c r="H331" s="20"/>
      <c r="I331" s="20"/>
      <c r="J331" s="20"/>
      <c r="K331" s="20"/>
      <c r="L331" s="20"/>
      <c r="M331" s="20"/>
      <c r="N331" s="6" t="str">
        <f t="array" ref="N331">XLOOKUP($B331, XLOOKUP("Tracking Number", Orders!$1:$1, Orders!$A:$AAA), XLOOKUP("Courier Fee", Orders!$1:$1, Orders!$A:$AAA), "Not Found")</f>
        <v>Not Found</v>
      </c>
      <c r="O331" s="6">
        <f t="shared" si="1"/>
        <v>0</v>
      </c>
      <c r="P331" s="6">
        <f t="shared" si="2"/>
        <v>0</v>
      </c>
    </row>
    <row r="332">
      <c r="A332" s="23"/>
      <c r="B332" s="23"/>
      <c r="C332" s="23"/>
      <c r="D332" s="23"/>
      <c r="E332" s="23"/>
      <c r="F332" s="23"/>
      <c r="G332" s="23"/>
      <c r="H332" s="20"/>
      <c r="I332" s="20"/>
      <c r="J332" s="20"/>
      <c r="K332" s="20"/>
      <c r="L332" s="20"/>
      <c r="M332" s="20"/>
      <c r="N332" s="6" t="str">
        <f t="array" ref="N332">XLOOKUP($B332, XLOOKUP("Tracking Number", Orders!$1:$1, Orders!$A:$AAA), XLOOKUP("Courier Fee", Orders!$1:$1, Orders!$A:$AAA), "Not Found")</f>
        <v>Not Found</v>
      </c>
      <c r="O332" s="6">
        <f t="shared" si="1"/>
        <v>0</v>
      </c>
      <c r="P332" s="6">
        <f t="shared" si="2"/>
        <v>0</v>
      </c>
    </row>
    <row r="333">
      <c r="A333" s="23"/>
      <c r="B333" s="23"/>
      <c r="C333" s="23"/>
      <c r="D333" s="23"/>
      <c r="E333" s="23"/>
      <c r="F333" s="23"/>
      <c r="G333" s="23"/>
      <c r="H333" s="20"/>
      <c r="I333" s="20"/>
      <c r="J333" s="20"/>
      <c r="K333" s="20"/>
      <c r="L333" s="20"/>
      <c r="M333" s="20"/>
      <c r="N333" s="6" t="str">
        <f t="array" ref="N333">XLOOKUP($B333, XLOOKUP("Tracking Number", Orders!$1:$1, Orders!$A:$AAA), XLOOKUP("Courier Fee", Orders!$1:$1, Orders!$A:$AAA), "Not Found")</f>
        <v>Not Found</v>
      </c>
      <c r="O333" s="6">
        <f t="shared" si="1"/>
        <v>0</v>
      </c>
      <c r="P333" s="6">
        <f t="shared" si="2"/>
        <v>0</v>
      </c>
    </row>
    <row r="334">
      <c r="A334" s="23"/>
      <c r="B334" s="23"/>
      <c r="C334" s="23"/>
      <c r="D334" s="23"/>
      <c r="E334" s="23"/>
      <c r="F334" s="23"/>
      <c r="G334" s="23"/>
      <c r="H334" s="20"/>
      <c r="I334" s="20"/>
      <c r="J334" s="20"/>
      <c r="K334" s="20"/>
      <c r="L334" s="20"/>
      <c r="M334" s="20"/>
      <c r="N334" s="6" t="str">
        <f t="array" ref="N334">XLOOKUP($B334, XLOOKUP("Tracking Number", Orders!$1:$1, Orders!$A:$AAA), XLOOKUP("Courier Fee", Orders!$1:$1, Orders!$A:$AAA), "Not Found")</f>
        <v>Not Found</v>
      </c>
      <c r="O334" s="6">
        <f t="shared" si="1"/>
        <v>0</v>
      </c>
      <c r="P334" s="6">
        <f t="shared" si="2"/>
        <v>0</v>
      </c>
    </row>
    <row r="335">
      <c r="A335" s="23"/>
      <c r="B335" s="23"/>
      <c r="C335" s="23"/>
      <c r="D335" s="23"/>
      <c r="E335" s="23"/>
      <c r="F335" s="23"/>
      <c r="G335" s="23"/>
      <c r="H335" s="20"/>
      <c r="I335" s="20"/>
      <c r="J335" s="20"/>
      <c r="K335" s="20"/>
      <c r="L335" s="20"/>
      <c r="M335" s="20"/>
      <c r="N335" s="6" t="str">
        <f t="array" ref="N335">XLOOKUP($B335, XLOOKUP("Tracking Number", Orders!$1:$1, Orders!$A:$AAA), XLOOKUP("Courier Fee", Orders!$1:$1, Orders!$A:$AAA), "Not Found")</f>
        <v>Not Found</v>
      </c>
      <c r="O335" s="6">
        <f t="shared" si="1"/>
        <v>0</v>
      </c>
      <c r="P335" s="6">
        <f t="shared" si="2"/>
        <v>0</v>
      </c>
    </row>
    <row r="336">
      <c r="A336" s="23"/>
      <c r="B336" s="23"/>
      <c r="C336" s="23"/>
      <c r="D336" s="23"/>
      <c r="E336" s="23"/>
      <c r="F336" s="23"/>
      <c r="G336" s="23"/>
      <c r="H336" s="20"/>
      <c r="I336" s="20"/>
      <c r="J336" s="20"/>
      <c r="K336" s="20"/>
      <c r="L336" s="20"/>
      <c r="M336" s="20"/>
      <c r="N336" s="6" t="str">
        <f t="array" ref="N336">XLOOKUP($B336, XLOOKUP("Tracking Number", Orders!$1:$1, Orders!$A:$AAA), XLOOKUP("Courier Fee", Orders!$1:$1, Orders!$A:$AAA), "Not Found")</f>
        <v>Not Found</v>
      </c>
      <c r="O336" s="6">
        <f t="shared" si="1"/>
        <v>0</v>
      </c>
      <c r="P336" s="6">
        <f t="shared" si="2"/>
        <v>0</v>
      </c>
    </row>
    <row r="337">
      <c r="A337" s="23"/>
      <c r="B337" s="23"/>
      <c r="C337" s="23"/>
      <c r="D337" s="23"/>
      <c r="E337" s="23"/>
      <c r="F337" s="23"/>
      <c r="G337" s="23"/>
      <c r="H337" s="20"/>
      <c r="I337" s="20"/>
      <c r="J337" s="20"/>
      <c r="K337" s="20"/>
      <c r="L337" s="20"/>
      <c r="M337" s="20"/>
      <c r="N337" s="6" t="str">
        <f t="array" ref="N337">XLOOKUP($B337, XLOOKUP("Tracking Number", Orders!$1:$1, Orders!$A:$AAA), XLOOKUP("Courier Fee", Orders!$1:$1, Orders!$A:$AAA), "Not Found")</f>
        <v>Not Found</v>
      </c>
      <c r="O337" s="6">
        <f t="shared" si="1"/>
        <v>0</v>
      </c>
      <c r="P337" s="6">
        <f t="shared" si="2"/>
        <v>0</v>
      </c>
    </row>
    <row r="338">
      <c r="A338" s="23"/>
      <c r="B338" s="23"/>
      <c r="C338" s="23"/>
      <c r="D338" s="23"/>
      <c r="E338" s="23"/>
      <c r="F338" s="23"/>
      <c r="G338" s="23"/>
      <c r="H338" s="20"/>
      <c r="I338" s="20"/>
      <c r="J338" s="20"/>
      <c r="K338" s="20"/>
      <c r="L338" s="20"/>
      <c r="M338" s="20"/>
      <c r="N338" s="6" t="str">
        <f t="array" ref="N338">XLOOKUP($B338, XLOOKUP("Tracking Number", Orders!$1:$1, Orders!$A:$AAA), XLOOKUP("Courier Fee", Orders!$1:$1, Orders!$A:$AAA), "Not Found")</f>
        <v>Not Found</v>
      </c>
      <c r="O338" s="6">
        <f t="shared" si="1"/>
        <v>0</v>
      </c>
      <c r="P338" s="6">
        <f t="shared" si="2"/>
        <v>0</v>
      </c>
    </row>
    <row r="339">
      <c r="A339" s="23"/>
      <c r="B339" s="23"/>
      <c r="C339" s="23"/>
      <c r="D339" s="23"/>
      <c r="E339" s="23"/>
      <c r="F339" s="23"/>
      <c r="G339" s="23"/>
      <c r="H339" s="20"/>
      <c r="I339" s="20"/>
      <c r="J339" s="20"/>
      <c r="K339" s="20"/>
      <c r="L339" s="20"/>
      <c r="M339" s="20"/>
      <c r="N339" s="6" t="str">
        <f t="array" ref="N339">XLOOKUP($B339, XLOOKUP("Tracking Number", Orders!$1:$1, Orders!$A:$AAA), XLOOKUP("Courier Fee", Orders!$1:$1, Orders!$A:$AAA), "Not Found")</f>
        <v>Not Found</v>
      </c>
      <c r="O339" s="6">
        <f t="shared" si="1"/>
        <v>0</v>
      </c>
      <c r="P339" s="6">
        <f t="shared" si="2"/>
        <v>0</v>
      </c>
    </row>
    <row r="340">
      <c r="A340" s="23"/>
      <c r="B340" s="23"/>
      <c r="C340" s="23"/>
      <c r="D340" s="23"/>
      <c r="E340" s="23"/>
      <c r="F340" s="23"/>
      <c r="G340" s="23"/>
      <c r="H340" s="20"/>
      <c r="I340" s="20"/>
      <c r="J340" s="20"/>
      <c r="K340" s="20"/>
      <c r="L340" s="20"/>
      <c r="M340" s="20"/>
      <c r="N340" s="6" t="str">
        <f t="array" ref="N340">XLOOKUP($B340, XLOOKUP("Tracking Number", Orders!$1:$1, Orders!$A:$AAA), XLOOKUP("Courier Fee", Orders!$1:$1, Orders!$A:$AAA), "Not Found")</f>
        <v>Not Found</v>
      </c>
      <c r="O340" s="6">
        <f t="shared" si="1"/>
        <v>0</v>
      </c>
      <c r="P340" s="6">
        <f t="shared" si="2"/>
        <v>0</v>
      </c>
    </row>
    <row r="341">
      <c r="A341" s="23"/>
      <c r="B341" s="23"/>
      <c r="C341" s="23"/>
      <c r="D341" s="23"/>
      <c r="E341" s="23"/>
      <c r="F341" s="23"/>
      <c r="G341" s="23"/>
      <c r="H341" s="20"/>
      <c r="I341" s="20"/>
      <c r="J341" s="20"/>
      <c r="K341" s="20"/>
      <c r="L341" s="20"/>
      <c r="M341" s="20"/>
      <c r="N341" s="6" t="str">
        <f t="array" ref="N341">XLOOKUP($B341, XLOOKUP("Tracking Number", Orders!$1:$1, Orders!$A:$AAA), XLOOKUP("Courier Fee", Orders!$1:$1, Orders!$A:$AAA), "Not Found")</f>
        <v>Not Found</v>
      </c>
      <c r="O341" s="6">
        <f t="shared" si="1"/>
        <v>0</v>
      </c>
      <c r="P341" s="6">
        <f t="shared" si="2"/>
        <v>0</v>
      </c>
    </row>
    <row r="342">
      <c r="A342" s="23"/>
      <c r="B342" s="23"/>
      <c r="C342" s="23"/>
      <c r="D342" s="23"/>
      <c r="E342" s="23"/>
      <c r="F342" s="23"/>
      <c r="G342" s="23"/>
      <c r="H342" s="20"/>
      <c r="I342" s="20"/>
      <c r="J342" s="20"/>
      <c r="K342" s="20"/>
      <c r="L342" s="20"/>
      <c r="M342" s="20"/>
      <c r="N342" s="6" t="str">
        <f t="array" ref="N342">XLOOKUP($B342, XLOOKUP("Tracking Number", Orders!$1:$1, Orders!$A:$AAA), XLOOKUP("Courier Fee", Orders!$1:$1, Orders!$A:$AAA), "Not Found")</f>
        <v>Not Found</v>
      </c>
      <c r="O342" s="6">
        <f t="shared" si="1"/>
        <v>0</v>
      </c>
      <c r="P342" s="6">
        <f t="shared" si="2"/>
        <v>0</v>
      </c>
    </row>
    <row r="343">
      <c r="A343" s="23"/>
      <c r="B343" s="23"/>
      <c r="C343" s="23"/>
      <c r="D343" s="23"/>
      <c r="E343" s="23"/>
      <c r="F343" s="23"/>
      <c r="G343" s="23"/>
      <c r="H343" s="20"/>
      <c r="I343" s="20"/>
      <c r="J343" s="20"/>
      <c r="K343" s="20"/>
      <c r="L343" s="20"/>
      <c r="M343" s="20"/>
      <c r="N343" s="6" t="str">
        <f t="array" ref="N343">XLOOKUP($B343, XLOOKUP("Tracking Number", Orders!$1:$1, Orders!$A:$AAA), XLOOKUP("Courier Fee", Orders!$1:$1, Orders!$A:$AAA), "Not Found")</f>
        <v>Not Found</v>
      </c>
      <c r="O343" s="6">
        <f t="shared" si="1"/>
        <v>0</v>
      </c>
      <c r="P343" s="6">
        <f t="shared" si="2"/>
        <v>0</v>
      </c>
    </row>
    <row r="344">
      <c r="A344" s="23"/>
      <c r="B344" s="23"/>
      <c r="C344" s="23"/>
      <c r="D344" s="23"/>
      <c r="E344" s="23"/>
      <c r="F344" s="23"/>
      <c r="G344" s="23"/>
      <c r="H344" s="20"/>
      <c r="I344" s="20"/>
      <c r="J344" s="20"/>
      <c r="K344" s="20"/>
      <c r="L344" s="20"/>
      <c r="M344" s="20"/>
      <c r="N344" s="6" t="str">
        <f t="array" ref="N344">XLOOKUP($B344, XLOOKUP("Tracking Number", Orders!$1:$1, Orders!$A:$AAA), XLOOKUP("Courier Fee", Orders!$1:$1, Orders!$A:$AAA), "Not Found")</f>
        <v>Not Found</v>
      </c>
      <c r="O344" s="6">
        <f t="shared" si="1"/>
        <v>0</v>
      </c>
      <c r="P344" s="6">
        <f t="shared" si="2"/>
        <v>0</v>
      </c>
    </row>
    <row r="345">
      <c r="A345" s="23"/>
      <c r="B345" s="23"/>
      <c r="C345" s="23"/>
      <c r="D345" s="23"/>
      <c r="E345" s="23"/>
      <c r="F345" s="23"/>
      <c r="G345" s="23"/>
      <c r="H345" s="20"/>
      <c r="I345" s="20"/>
      <c r="J345" s="20"/>
      <c r="K345" s="20"/>
      <c r="L345" s="20"/>
      <c r="M345" s="20"/>
      <c r="N345" s="6" t="str">
        <f t="array" ref="N345">XLOOKUP($B345, XLOOKUP("Tracking Number", Orders!$1:$1, Orders!$A:$AAA), XLOOKUP("Courier Fee", Orders!$1:$1, Orders!$A:$AAA), "Not Found")</f>
        <v>Not Found</v>
      </c>
      <c r="O345" s="6">
        <f t="shared" si="1"/>
        <v>0</v>
      </c>
      <c r="P345" s="6">
        <f t="shared" si="2"/>
        <v>0</v>
      </c>
    </row>
    <row r="346">
      <c r="A346" s="23"/>
      <c r="B346" s="23"/>
      <c r="C346" s="23"/>
      <c r="D346" s="23"/>
      <c r="E346" s="23"/>
      <c r="F346" s="23"/>
      <c r="G346" s="23"/>
      <c r="H346" s="20"/>
      <c r="I346" s="20"/>
      <c r="J346" s="20"/>
      <c r="K346" s="20"/>
      <c r="L346" s="20"/>
      <c r="M346" s="20"/>
      <c r="N346" s="6" t="str">
        <f t="array" ref="N346">XLOOKUP($B346, XLOOKUP("Tracking Number", Orders!$1:$1, Orders!$A:$AAA), XLOOKUP("Courier Fee", Orders!$1:$1, Orders!$A:$AAA), "Not Found")</f>
        <v>Not Found</v>
      </c>
      <c r="O346" s="6">
        <f t="shared" si="1"/>
        <v>0</v>
      </c>
      <c r="P346" s="6">
        <f t="shared" si="2"/>
        <v>0</v>
      </c>
    </row>
    <row r="347">
      <c r="A347" s="23"/>
      <c r="B347" s="23"/>
      <c r="C347" s="23"/>
      <c r="D347" s="23"/>
      <c r="E347" s="23"/>
      <c r="F347" s="23"/>
      <c r="G347" s="23"/>
      <c r="H347" s="20"/>
      <c r="I347" s="20"/>
      <c r="J347" s="20"/>
      <c r="K347" s="20"/>
      <c r="L347" s="20"/>
      <c r="M347" s="20"/>
      <c r="N347" s="6" t="str">
        <f t="array" ref="N347">XLOOKUP($B347, XLOOKUP("Tracking Number", Orders!$1:$1, Orders!$A:$AAA), XLOOKUP("Courier Fee", Orders!$1:$1, Orders!$A:$AAA), "Not Found")</f>
        <v>Not Found</v>
      </c>
      <c r="O347" s="6">
        <f t="shared" si="1"/>
        <v>0</v>
      </c>
      <c r="P347" s="6">
        <f t="shared" si="2"/>
        <v>0</v>
      </c>
    </row>
    <row r="348">
      <c r="A348" s="23"/>
      <c r="B348" s="23"/>
      <c r="C348" s="23"/>
      <c r="D348" s="23"/>
      <c r="E348" s="23"/>
      <c r="F348" s="23"/>
      <c r="G348" s="23"/>
      <c r="H348" s="20"/>
      <c r="I348" s="20"/>
      <c r="J348" s="20"/>
      <c r="K348" s="20"/>
      <c r="L348" s="20"/>
      <c r="M348" s="20"/>
      <c r="N348" s="6" t="str">
        <f t="array" ref="N348">XLOOKUP($B348, XLOOKUP("Tracking Number", Orders!$1:$1, Orders!$A:$AAA), XLOOKUP("Courier Fee", Orders!$1:$1, Orders!$A:$AAA), "Not Found")</f>
        <v>Not Found</v>
      </c>
      <c r="O348" s="6">
        <f t="shared" si="1"/>
        <v>0</v>
      </c>
      <c r="P348" s="6">
        <f t="shared" si="2"/>
        <v>0</v>
      </c>
    </row>
    <row r="349">
      <c r="A349" s="23"/>
      <c r="B349" s="23"/>
      <c r="C349" s="23"/>
      <c r="D349" s="23"/>
      <c r="E349" s="23"/>
      <c r="F349" s="23"/>
      <c r="G349" s="23"/>
      <c r="H349" s="20"/>
      <c r="I349" s="20"/>
      <c r="J349" s="20"/>
      <c r="K349" s="20"/>
      <c r="L349" s="20"/>
      <c r="M349" s="20"/>
      <c r="N349" s="6" t="str">
        <f t="array" ref="N349">XLOOKUP($B349, XLOOKUP("Tracking Number", Orders!$1:$1, Orders!$A:$AAA), XLOOKUP("Courier Fee", Orders!$1:$1, Orders!$A:$AAA), "Not Found")</f>
        <v>Not Found</v>
      </c>
      <c r="O349" s="6">
        <f t="shared" si="1"/>
        <v>0</v>
      </c>
      <c r="P349" s="6">
        <f t="shared" si="2"/>
        <v>0</v>
      </c>
    </row>
    <row r="350">
      <c r="A350" s="23"/>
      <c r="B350" s="23"/>
      <c r="C350" s="23"/>
      <c r="D350" s="23"/>
      <c r="E350" s="23"/>
      <c r="F350" s="23"/>
      <c r="G350" s="23"/>
      <c r="H350" s="20"/>
      <c r="I350" s="20"/>
      <c r="J350" s="20"/>
      <c r="K350" s="20"/>
      <c r="L350" s="20"/>
      <c r="M350" s="20"/>
      <c r="N350" s="6" t="str">
        <f t="array" ref="N350">XLOOKUP($B350, XLOOKUP("Tracking Number", Orders!$1:$1, Orders!$A:$AAA), XLOOKUP("Courier Fee", Orders!$1:$1, Orders!$A:$AAA), "Not Found")</f>
        <v>Not Found</v>
      </c>
      <c r="O350" s="6">
        <f t="shared" si="1"/>
        <v>0</v>
      </c>
      <c r="P350" s="6">
        <f t="shared" si="2"/>
        <v>0</v>
      </c>
    </row>
    <row r="351">
      <c r="A351" s="23"/>
      <c r="B351" s="23"/>
      <c r="C351" s="23"/>
      <c r="D351" s="23"/>
      <c r="E351" s="23"/>
      <c r="F351" s="23"/>
      <c r="G351" s="23"/>
      <c r="H351" s="20"/>
      <c r="I351" s="20"/>
      <c r="J351" s="20"/>
      <c r="K351" s="20"/>
      <c r="L351" s="20"/>
      <c r="M351" s="20"/>
      <c r="N351" s="6" t="str">
        <f t="array" ref="N351">XLOOKUP($B351, XLOOKUP("Tracking Number", Orders!$1:$1, Orders!$A:$AAA), XLOOKUP("Courier Fee", Orders!$1:$1, Orders!$A:$AAA), "Not Found")</f>
        <v>Not Found</v>
      </c>
      <c r="O351" s="6">
        <f t="shared" si="1"/>
        <v>0</v>
      </c>
      <c r="P351" s="6">
        <f t="shared" si="2"/>
        <v>0</v>
      </c>
    </row>
    <row r="352">
      <c r="A352" s="23"/>
      <c r="B352" s="23"/>
      <c r="C352" s="23"/>
      <c r="D352" s="23"/>
      <c r="E352" s="23"/>
      <c r="F352" s="23"/>
      <c r="G352" s="23"/>
      <c r="H352" s="20"/>
      <c r="I352" s="20"/>
      <c r="J352" s="20"/>
      <c r="K352" s="20"/>
      <c r="L352" s="20"/>
      <c r="M352" s="20"/>
      <c r="N352" s="6" t="str">
        <f t="array" ref="N352">XLOOKUP($B352, XLOOKUP("Tracking Number", Orders!$1:$1, Orders!$A:$AAA), XLOOKUP("Courier Fee", Orders!$1:$1, Orders!$A:$AAA), "Not Found")</f>
        <v>Not Found</v>
      </c>
      <c r="O352" s="6">
        <f t="shared" si="1"/>
        <v>0</v>
      </c>
      <c r="P352" s="6">
        <f t="shared" si="2"/>
        <v>0</v>
      </c>
    </row>
    <row r="353">
      <c r="A353" s="23"/>
      <c r="B353" s="23"/>
      <c r="C353" s="23"/>
      <c r="D353" s="23"/>
      <c r="E353" s="23"/>
      <c r="F353" s="23"/>
      <c r="G353" s="23"/>
      <c r="H353" s="20"/>
      <c r="I353" s="20"/>
      <c r="J353" s="20"/>
      <c r="K353" s="20"/>
      <c r="L353" s="20"/>
      <c r="M353" s="20"/>
      <c r="N353" s="6" t="str">
        <f t="array" ref="N353">XLOOKUP($B353, XLOOKUP("Tracking Number", Orders!$1:$1, Orders!$A:$AAA), XLOOKUP("Courier Fee", Orders!$1:$1, Orders!$A:$AAA), "Not Found")</f>
        <v>Not Found</v>
      </c>
      <c r="O353" s="6">
        <f t="shared" si="1"/>
        <v>0</v>
      </c>
      <c r="P353" s="6">
        <f t="shared" si="2"/>
        <v>0</v>
      </c>
    </row>
    <row r="354">
      <c r="A354" s="23"/>
      <c r="B354" s="23"/>
      <c r="C354" s="23"/>
      <c r="D354" s="23"/>
      <c r="E354" s="23"/>
      <c r="F354" s="23"/>
      <c r="G354" s="23"/>
      <c r="H354" s="20"/>
      <c r="I354" s="20"/>
      <c r="J354" s="20"/>
      <c r="K354" s="20"/>
      <c r="L354" s="20"/>
      <c r="M354" s="20"/>
      <c r="N354" s="6" t="str">
        <f t="array" ref="N354">XLOOKUP($B354, XLOOKUP("Tracking Number", Orders!$1:$1, Orders!$A:$AAA), XLOOKUP("Courier Fee", Orders!$1:$1, Orders!$A:$AAA), "Not Found")</f>
        <v>Not Found</v>
      </c>
      <c r="O354" s="6">
        <f t="shared" si="1"/>
        <v>0</v>
      </c>
      <c r="P354" s="6">
        <f t="shared" si="2"/>
        <v>0</v>
      </c>
    </row>
    <row r="355">
      <c r="A355" s="23"/>
      <c r="B355" s="23"/>
      <c r="C355" s="23"/>
      <c r="D355" s="23"/>
      <c r="E355" s="23"/>
      <c r="F355" s="23"/>
      <c r="G355" s="23"/>
      <c r="H355" s="20"/>
      <c r="I355" s="20"/>
      <c r="J355" s="20"/>
      <c r="K355" s="20"/>
      <c r="L355" s="20"/>
      <c r="M355" s="20"/>
      <c r="N355" s="6" t="str">
        <f t="array" ref="N355">XLOOKUP($B355, XLOOKUP("Tracking Number", Orders!$1:$1, Orders!$A:$AAA), XLOOKUP("Courier Fee", Orders!$1:$1, Orders!$A:$AAA), "Not Found")</f>
        <v>Not Found</v>
      </c>
      <c r="O355" s="6">
        <f t="shared" si="1"/>
        <v>0</v>
      </c>
      <c r="P355" s="6">
        <f t="shared" si="2"/>
        <v>0</v>
      </c>
    </row>
    <row r="356">
      <c r="A356" s="23"/>
      <c r="B356" s="23"/>
      <c r="C356" s="23"/>
      <c r="D356" s="23"/>
      <c r="E356" s="23"/>
      <c r="F356" s="23"/>
      <c r="G356" s="23"/>
      <c r="H356" s="20"/>
      <c r="I356" s="20"/>
      <c r="J356" s="20"/>
      <c r="K356" s="20"/>
      <c r="L356" s="20"/>
      <c r="M356" s="20"/>
      <c r="N356" s="6" t="str">
        <f t="array" ref="N356">XLOOKUP($B356, XLOOKUP("Tracking Number", Orders!$1:$1, Orders!$A:$AAA), XLOOKUP("Courier Fee", Orders!$1:$1, Orders!$A:$AAA), "Not Found")</f>
        <v>Not Found</v>
      </c>
      <c r="O356" s="6">
        <f t="shared" si="1"/>
        <v>0</v>
      </c>
      <c r="P356" s="6">
        <f t="shared" si="2"/>
        <v>0</v>
      </c>
    </row>
    <row r="357">
      <c r="A357" s="23"/>
      <c r="B357" s="23"/>
      <c r="C357" s="23"/>
      <c r="D357" s="23"/>
      <c r="E357" s="23"/>
      <c r="F357" s="23"/>
      <c r="G357" s="23"/>
      <c r="H357" s="20"/>
      <c r="I357" s="20"/>
      <c r="J357" s="20"/>
      <c r="K357" s="20"/>
      <c r="L357" s="20"/>
      <c r="M357" s="20"/>
      <c r="N357" s="6" t="str">
        <f t="array" ref="N357">XLOOKUP($B357, XLOOKUP("Tracking Number", Orders!$1:$1, Orders!$A:$AAA), XLOOKUP("Courier Fee", Orders!$1:$1, Orders!$A:$AAA), "Not Found")</f>
        <v>Not Found</v>
      </c>
      <c r="O357" s="6">
        <f t="shared" si="1"/>
        <v>0</v>
      </c>
      <c r="P357" s="6">
        <f t="shared" si="2"/>
        <v>0</v>
      </c>
    </row>
    <row r="358">
      <c r="A358" s="23"/>
      <c r="B358" s="23"/>
      <c r="C358" s="23"/>
      <c r="D358" s="23"/>
      <c r="E358" s="23"/>
      <c r="F358" s="23"/>
      <c r="G358" s="23"/>
      <c r="H358" s="20"/>
      <c r="I358" s="20"/>
      <c r="J358" s="20"/>
      <c r="K358" s="20"/>
      <c r="L358" s="20"/>
      <c r="M358" s="20"/>
      <c r="N358" s="6" t="str">
        <f t="array" ref="N358">XLOOKUP($B358, XLOOKUP("Tracking Number", Orders!$1:$1, Orders!$A:$AAA), XLOOKUP("Courier Fee", Orders!$1:$1, Orders!$A:$AAA), "Not Found")</f>
        <v>Not Found</v>
      </c>
      <c r="O358" s="6">
        <f t="shared" si="1"/>
        <v>0</v>
      </c>
      <c r="P358" s="6">
        <f t="shared" si="2"/>
        <v>0</v>
      </c>
    </row>
    <row r="359">
      <c r="A359" s="23"/>
      <c r="B359" s="23"/>
      <c r="C359" s="23"/>
      <c r="D359" s="23"/>
      <c r="E359" s="23"/>
      <c r="F359" s="23"/>
      <c r="G359" s="23"/>
      <c r="H359" s="20"/>
      <c r="I359" s="20"/>
      <c r="J359" s="20"/>
      <c r="K359" s="20"/>
      <c r="L359" s="20"/>
      <c r="M359" s="20"/>
      <c r="N359" s="6" t="str">
        <f t="array" ref="N359">XLOOKUP($B359, XLOOKUP("Tracking Number", Orders!$1:$1, Orders!$A:$AAA), XLOOKUP("Courier Fee", Orders!$1:$1, Orders!$A:$AAA), "Not Found")</f>
        <v>Not Found</v>
      </c>
      <c r="O359" s="6">
        <f t="shared" si="1"/>
        <v>0</v>
      </c>
      <c r="P359" s="6">
        <f t="shared" si="2"/>
        <v>0</v>
      </c>
    </row>
    <row r="360">
      <c r="A360" s="23"/>
      <c r="B360" s="23"/>
      <c r="C360" s="23"/>
      <c r="D360" s="23"/>
      <c r="E360" s="23"/>
      <c r="F360" s="23"/>
      <c r="G360" s="23"/>
      <c r="H360" s="20"/>
      <c r="I360" s="20"/>
      <c r="J360" s="20"/>
      <c r="K360" s="20"/>
      <c r="L360" s="20"/>
      <c r="M360" s="20"/>
      <c r="N360" s="6" t="str">
        <f t="array" ref="N360">XLOOKUP($B360, XLOOKUP("Tracking Number", Orders!$1:$1, Orders!$A:$AAA), XLOOKUP("Courier Fee", Orders!$1:$1, Orders!$A:$AAA), "Not Found")</f>
        <v>Not Found</v>
      </c>
      <c r="O360" s="6">
        <f t="shared" si="1"/>
        <v>0</v>
      </c>
      <c r="P360" s="6">
        <f t="shared" si="2"/>
        <v>0</v>
      </c>
    </row>
    <row r="361">
      <c r="A361" s="23"/>
      <c r="B361" s="23"/>
      <c r="C361" s="23"/>
      <c r="D361" s="23"/>
      <c r="E361" s="23"/>
      <c r="F361" s="23"/>
      <c r="G361" s="23"/>
      <c r="H361" s="20"/>
      <c r="I361" s="20"/>
      <c r="J361" s="20"/>
      <c r="K361" s="20"/>
      <c r="L361" s="20"/>
      <c r="M361" s="20"/>
      <c r="N361" s="6" t="str">
        <f t="array" ref="N361">XLOOKUP($B361, XLOOKUP("Tracking Number", Orders!$1:$1, Orders!$A:$AAA), XLOOKUP("Courier Fee", Orders!$1:$1, Orders!$A:$AAA), "Not Found")</f>
        <v>Not Found</v>
      </c>
      <c r="O361" s="6">
        <f t="shared" si="1"/>
        <v>0</v>
      </c>
      <c r="P361" s="6">
        <f t="shared" si="2"/>
        <v>0</v>
      </c>
    </row>
    <row r="362">
      <c r="A362" s="23"/>
      <c r="B362" s="23"/>
      <c r="C362" s="23"/>
      <c r="D362" s="23"/>
      <c r="E362" s="23"/>
      <c r="F362" s="23"/>
      <c r="G362" s="23"/>
      <c r="H362" s="20"/>
      <c r="I362" s="20"/>
      <c r="J362" s="20"/>
      <c r="K362" s="20"/>
      <c r="L362" s="20"/>
      <c r="M362" s="20"/>
      <c r="N362" s="6" t="str">
        <f t="array" ref="N362">XLOOKUP($B362, XLOOKUP("Tracking Number", Orders!$1:$1, Orders!$A:$AAA), XLOOKUP("Courier Fee", Orders!$1:$1, Orders!$A:$AAA), "Not Found")</f>
        <v>Not Found</v>
      </c>
      <c r="O362" s="6">
        <f t="shared" si="1"/>
        <v>0</v>
      </c>
      <c r="P362" s="6">
        <f t="shared" si="2"/>
        <v>0</v>
      </c>
    </row>
    <row r="363">
      <c r="A363" s="23"/>
      <c r="B363" s="23"/>
      <c r="C363" s="23"/>
      <c r="D363" s="23"/>
      <c r="E363" s="23"/>
      <c r="F363" s="23"/>
      <c r="G363" s="23"/>
      <c r="H363" s="20"/>
      <c r="I363" s="20"/>
      <c r="J363" s="20"/>
      <c r="K363" s="20"/>
      <c r="L363" s="20"/>
      <c r="M363" s="20"/>
      <c r="N363" s="6" t="str">
        <f t="array" ref="N363">XLOOKUP($B363, XLOOKUP("Tracking Number", Orders!$1:$1, Orders!$A:$AAA), XLOOKUP("Courier Fee", Orders!$1:$1, Orders!$A:$AAA), "Not Found")</f>
        <v>Not Found</v>
      </c>
      <c r="O363" s="6">
        <f t="shared" si="1"/>
        <v>0</v>
      </c>
      <c r="P363" s="6">
        <f t="shared" si="2"/>
        <v>0</v>
      </c>
    </row>
    <row r="364">
      <c r="A364" s="23"/>
      <c r="B364" s="23"/>
      <c r="C364" s="23"/>
      <c r="D364" s="23"/>
      <c r="E364" s="23"/>
      <c r="F364" s="23"/>
      <c r="G364" s="23"/>
      <c r="H364" s="20"/>
      <c r="I364" s="20"/>
      <c r="J364" s="20"/>
      <c r="K364" s="20"/>
      <c r="L364" s="20"/>
      <c r="M364" s="20"/>
      <c r="N364" s="6" t="str">
        <f t="array" ref="N364">XLOOKUP($B364, XLOOKUP("Tracking Number", Orders!$1:$1, Orders!$A:$AAA), XLOOKUP("Courier Fee", Orders!$1:$1, Orders!$A:$AAA), "Not Found")</f>
        <v>Not Found</v>
      </c>
      <c r="O364" s="6">
        <f t="shared" si="1"/>
        <v>0</v>
      </c>
      <c r="P364" s="6">
        <f t="shared" si="2"/>
        <v>0</v>
      </c>
    </row>
    <row r="365">
      <c r="A365" s="23"/>
      <c r="B365" s="23"/>
      <c r="C365" s="23"/>
      <c r="D365" s="23"/>
      <c r="E365" s="23"/>
      <c r="F365" s="23"/>
      <c r="G365" s="23"/>
      <c r="H365" s="20"/>
      <c r="I365" s="20"/>
      <c r="J365" s="20"/>
      <c r="K365" s="20"/>
      <c r="L365" s="20"/>
      <c r="M365" s="20"/>
      <c r="N365" s="6" t="str">
        <f t="array" ref="N365">XLOOKUP($B365, XLOOKUP("Tracking Number", Orders!$1:$1, Orders!$A:$AAA), XLOOKUP("Courier Fee", Orders!$1:$1, Orders!$A:$AAA), "Not Found")</f>
        <v>Not Found</v>
      </c>
      <c r="O365" s="6">
        <f t="shared" si="1"/>
        <v>0</v>
      </c>
      <c r="P365" s="6">
        <f t="shared" si="2"/>
        <v>0</v>
      </c>
    </row>
    <row r="366">
      <c r="A366" s="23"/>
      <c r="B366" s="23"/>
      <c r="C366" s="23"/>
      <c r="D366" s="23"/>
      <c r="E366" s="23"/>
      <c r="F366" s="23"/>
      <c r="G366" s="23"/>
      <c r="H366" s="20"/>
      <c r="I366" s="20"/>
      <c r="J366" s="20"/>
      <c r="K366" s="20"/>
      <c r="L366" s="20"/>
      <c r="M366" s="20"/>
      <c r="N366" s="6" t="str">
        <f t="array" ref="N366">XLOOKUP($B366, XLOOKUP("Tracking Number", Orders!$1:$1, Orders!$A:$AAA), XLOOKUP("Courier Fee", Orders!$1:$1, Orders!$A:$AAA), "Not Found")</f>
        <v>Not Found</v>
      </c>
      <c r="O366" s="6">
        <f t="shared" si="1"/>
        <v>0</v>
      </c>
      <c r="P366" s="6">
        <f t="shared" si="2"/>
        <v>0</v>
      </c>
    </row>
    <row r="367">
      <c r="A367" s="23"/>
      <c r="B367" s="23"/>
      <c r="C367" s="23"/>
      <c r="D367" s="23"/>
      <c r="E367" s="23"/>
      <c r="F367" s="23"/>
      <c r="G367" s="23"/>
      <c r="H367" s="20"/>
      <c r="I367" s="20"/>
      <c r="J367" s="20"/>
      <c r="K367" s="20"/>
      <c r="L367" s="20"/>
      <c r="M367" s="20"/>
      <c r="N367" s="6" t="str">
        <f t="array" ref="N367">XLOOKUP($B367, XLOOKUP("Tracking Number", Orders!$1:$1, Orders!$A:$AAA), XLOOKUP("Courier Fee", Orders!$1:$1, Orders!$A:$AAA), "Not Found")</f>
        <v>Not Found</v>
      </c>
      <c r="O367" s="6">
        <f t="shared" si="1"/>
        <v>0</v>
      </c>
      <c r="P367" s="6">
        <f t="shared" si="2"/>
        <v>0</v>
      </c>
    </row>
    <row r="368">
      <c r="A368" s="23"/>
      <c r="B368" s="23"/>
      <c r="C368" s="23"/>
      <c r="D368" s="23"/>
      <c r="E368" s="23"/>
      <c r="F368" s="23"/>
      <c r="G368" s="23"/>
      <c r="H368" s="20"/>
      <c r="I368" s="20"/>
      <c r="J368" s="20"/>
      <c r="K368" s="20"/>
      <c r="L368" s="20"/>
      <c r="M368" s="20"/>
      <c r="N368" s="6" t="str">
        <f t="array" ref="N368">XLOOKUP($B368, XLOOKUP("Tracking Number", Orders!$1:$1, Orders!$A:$AAA), XLOOKUP("Courier Fee", Orders!$1:$1, Orders!$A:$AAA), "Not Found")</f>
        <v>Not Found</v>
      </c>
      <c r="O368" s="6">
        <f t="shared" si="1"/>
        <v>0</v>
      </c>
      <c r="P368" s="6">
        <f t="shared" si="2"/>
        <v>0</v>
      </c>
    </row>
    <row r="369">
      <c r="A369" s="23"/>
      <c r="B369" s="23"/>
      <c r="C369" s="23"/>
      <c r="D369" s="23"/>
      <c r="E369" s="23"/>
      <c r="F369" s="23"/>
      <c r="G369" s="23"/>
      <c r="H369" s="20"/>
      <c r="I369" s="20"/>
      <c r="J369" s="20"/>
      <c r="K369" s="20"/>
      <c r="L369" s="20"/>
      <c r="M369" s="20"/>
      <c r="N369" s="6" t="str">
        <f t="array" ref="N369">XLOOKUP($B369, XLOOKUP("Tracking Number", Orders!$1:$1, Orders!$A:$AAA), XLOOKUP("Courier Fee", Orders!$1:$1, Orders!$A:$AAA), "Not Found")</f>
        <v>Not Found</v>
      </c>
      <c r="O369" s="6">
        <f t="shared" si="1"/>
        <v>0</v>
      </c>
      <c r="P369" s="6">
        <f t="shared" si="2"/>
        <v>0</v>
      </c>
    </row>
    <row r="370">
      <c r="A370" s="23"/>
      <c r="B370" s="23"/>
      <c r="C370" s="23"/>
      <c r="D370" s="23"/>
      <c r="E370" s="23"/>
      <c r="F370" s="23"/>
      <c r="G370" s="23"/>
      <c r="H370" s="20"/>
      <c r="I370" s="20"/>
      <c r="J370" s="20"/>
      <c r="K370" s="20"/>
      <c r="L370" s="20"/>
      <c r="M370" s="20"/>
      <c r="N370" s="6" t="str">
        <f t="array" ref="N370">XLOOKUP($B370, XLOOKUP("Tracking Number", Orders!$1:$1, Orders!$A:$AAA), XLOOKUP("Courier Fee", Orders!$1:$1, Orders!$A:$AAA), "Not Found")</f>
        <v>Not Found</v>
      </c>
      <c r="O370" s="6">
        <f t="shared" si="1"/>
        <v>0</v>
      </c>
      <c r="P370" s="6">
        <f t="shared" si="2"/>
        <v>0</v>
      </c>
    </row>
    <row r="371">
      <c r="A371" s="23"/>
      <c r="B371" s="23"/>
      <c r="C371" s="23"/>
      <c r="D371" s="23"/>
      <c r="E371" s="23"/>
      <c r="F371" s="23"/>
      <c r="G371" s="23"/>
      <c r="H371" s="20"/>
      <c r="I371" s="20"/>
      <c r="J371" s="20"/>
      <c r="K371" s="20"/>
      <c r="L371" s="20"/>
      <c r="M371" s="20"/>
      <c r="N371" s="6" t="str">
        <f t="array" ref="N371">XLOOKUP($B371, XLOOKUP("Tracking Number", Orders!$1:$1, Orders!$A:$AAA), XLOOKUP("Courier Fee", Orders!$1:$1, Orders!$A:$AAA), "Not Found")</f>
        <v>Not Found</v>
      </c>
      <c r="O371" s="6">
        <f t="shared" si="1"/>
        <v>0</v>
      </c>
      <c r="P371" s="6">
        <f t="shared" si="2"/>
        <v>0</v>
      </c>
    </row>
    <row r="372">
      <c r="A372" s="23"/>
      <c r="B372" s="23"/>
      <c r="C372" s="23"/>
      <c r="D372" s="23"/>
      <c r="E372" s="23"/>
      <c r="F372" s="23"/>
      <c r="G372" s="23"/>
      <c r="H372" s="20"/>
      <c r="I372" s="20"/>
      <c r="J372" s="20"/>
      <c r="K372" s="20"/>
      <c r="L372" s="20"/>
      <c r="M372" s="20"/>
      <c r="N372" s="6" t="str">
        <f t="array" ref="N372">XLOOKUP($B372, XLOOKUP("Tracking Number", Orders!$1:$1, Orders!$A:$AAA), XLOOKUP("Courier Fee", Orders!$1:$1, Orders!$A:$AAA), "Not Found")</f>
        <v>Not Found</v>
      </c>
      <c r="O372" s="6">
        <f t="shared" si="1"/>
        <v>0</v>
      </c>
      <c r="P372" s="6">
        <f t="shared" si="2"/>
        <v>0</v>
      </c>
    </row>
    <row r="373">
      <c r="A373" s="23"/>
      <c r="B373" s="23"/>
      <c r="C373" s="23"/>
      <c r="D373" s="23"/>
      <c r="E373" s="23"/>
      <c r="F373" s="23"/>
      <c r="G373" s="23"/>
      <c r="H373" s="20"/>
      <c r="I373" s="20"/>
      <c r="J373" s="20"/>
      <c r="K373" s="20"/>
      <c r="L373" s="20"/>
      <c r="M373" s="20"/>
      <c r="N373" s="6" t="str">
        <f t="array" ref="N373">XLOOKUP($B373, XLOOKUP("Tracking Number", Orders!$1:$1, Orders!$A:$AAA), XLOOKUP("Courier Fee", Orders!$1:$1, Orders!$A:$AAA), "Not Found")</f>
        <v>Not Found</v>
      </c>
      <c r="O373" s="6">
        <f t="shared" si="1"/>
        <v>0</v>
      </c>
      <c r="P373" s="6">
        <f t="shared" si="2"/>
        <v>0</v>
      </c>
    </row>
    <row r="374">
      <c r="A374" s="23"/>
      <c r="B374" s="23"/>
      <c r="C374" s="23"/>
      <c r="D374" s="23"/>
      <c r="E374" s="23"/>
      <c r="F374" s="23"/>
      <c r="G374" s="23"/>
      <c r="H374" s="20"/>
      <c r="I374" s="20"/>
      <c r="J374" s="20"/>
      <c r="K374" s="20"/>
      <c r="L374" s="20"/>
      <c r="M374" s="20"/>
      <c r="N374" s="6" t="str">
        <f t="array" ref="N374">XLOOKUP($B374, XLOOKUP("Tracking Number", Orders!$1:$1, Orders!$A:$AAA), XLOOKUP("Courier Fee", Orders!$1:$1, Orders!$A:$AAA), "Not Found")</f>
        <v>Not Found</v>
      </c>
      <c r="O374" s="6">
        <f t="shared" si="1"/>
        <v>0</v>
      </c>
      <c r="P374" s="6">
        <f t="shared" si="2"/>
        <v>0</v>
      </c>
    </row>
    <row r="375">
      <c r="A375" s="23"/>
      <c r="B375" s="23"/>
      <c r="C375" s="23"/>
      <c r="D375" s="23"/>
      <c r="E375" s="23"/>
      <c r="F375" s="23"/>
      <c r="G375" s="23"/>
      <c r="H375" s="20"/>
      <c r="I375" s="20"/>
      <c r="J375" s="20"/>
      <c r="K375" s="20"/>
      <c r="L375" s="20"/>
      <c r="M375" s="20"/>
      <c r="N375" s="6" t="str">
        <f t="array" ref="N375">XLOOKUP($B375, XLOOKUP("Tracking Number", Orders!$1:$1, Orders!$A:$AAA), XLOOKUP("Courier Fee", Orders!$1:$1, Orders!$A:$AAA), "Not Found")</f>
        <v>Not Found</v>
      </c>
      <c r="O375" s="6">
        <f t="shared" si="1"/>
        <v>0</v>
      </c>
      <c r="P375" s="6">
        <f t="shared" si="2"/>
        <v>0</v>
      </c>
    </row>
    <row r="376">
      <c r="A376" s="23"/>
      <c r="B376" s="23"/>
      <c r="C376" s="23"/>
      <c r="D376" s="23"/>
      <c r="E376" s="23"/>
      <c r="F376" s="23"/>
      <c r="G376" s="23"/>
      <c r="H376" s="20"/>
      <c r="I376" s="20"/>
      <c r="J376" s="20"/>
      <c r="K376" s="20"/>
      <c r="L376" s="20"/>
      <c r="M376" s="20"/>
      <c r="N376" s="6" t="str">
        <f t="array" ref="N376">XLOOKUP($B376, XLOOKUP("Tracking Number", Orders!$1:$1, Orders!$A:$AAA), XLOOKUP("Courier Fee", Orders!$1:$1, Orders!$A:$AAA), "Not Found")</f>
        <v>Not Found</v>
      </c>
      <c r="O376" s="6">
        <f t="shared" si="1"/>
        <v>0</v>
      </c>
      <c r="P376" s="6">
        <f t="shared" si="2"/>
        <v>0</v>
      </c>
    </row>
    <row r="377">
      <c r="A377" s="23"/>
      <c r="B377" s="23"/>
      <c r="C377" s="23"/>
      <c r="D377" s="23"/>
      <c r="E377" s="23"/>
      <c r="F377" s="23"/>
      <c r="G377" s="23"/>
      <c r="H377" s="20"/>
      <c r="I377" s="20"/>
      <c r="J377" s="20"/>
      <c r="K377" s="20"/>
      <c r="L377" s="20"/>
      <c r="M377" s="20"/>
      <c r="N377" s="6" t="str">
        <f t="array" ref="N377">XLOOKUP($B377, XLOOKUP("Tracking Number", Orders!$1:$1, Orders!$A:$AAA), XLOOKUP("Courier Fee", Orders!$1:$1, Orders!$A:$AAA), "Not Found")</f>
        <v>Not Found</v>
      </c>
      <c r="O377" s="6">
        <f t="shared" si="1"/>
        <v>0</v>
      </c>
      <c r="P377" s="6">
        <f t="shared" si="2"/>
        <v>0</v>
      </c>
    </row>
    <row r="378">
      <c r="A378" s="23"/>
      <c r="B378" s="23"/>
      <c r="C378" s="23"/>
      <c r="D378" s="23"/>
      <c r="E378" s="23"/>
      <c r="F378" s="23"/>
      <c r="G378" s="23"/>
      <c r="H378" s="20"/>
      <c r="I378" s="20"/>
      <c r="J378" s="20"/>
      <c r="K378" s="20"/>
      <c r="L378" s="20"/>
      <c r="M378" s="20"/>
      <c r="N378" s="6" t="str">
        <f t="array" ref="N378">XLOOKUP($B378, XLOOKUP("Tracking Number", Orders!$1:$1, Orders!$A:$AAA), XLOOKUP("Courier Fee", Orders!$1:$1, Orders!$A:$AAA), "Not Found")</f>
        <v>Not Found</v>
      </c>
      <c r="O378" s="6">
        <f t="shared" si="1"/>
        <v>0</v>
      </c>
      <c r="P378" s="6">
        <f t="shared" si="2"/>
        <v>0</v>
      </c>
    </row>
    <row r="379">
      <c r="A379" s="23"/>
      <c r="B379" s="23"/>
      <c r="C379" s="23"/>
      <c r="D379" s="23"/>
      <c r="E379" s="23"/>
      <c r="F379" s="23"/>
      <c r="G379" s="23"/>
      <c r="H379" s="20"/>
      <c r="I379" s="20"/>
      <c r="J379" s="20"/>
      <c r="K379" s="20"/>
      <c r="L379" s="20"/>
      <c r="M379" s="20"/>
      <c r="N379" s="6" t="str">
        <f t="array" ref="N379">XLOOKUP($B379, XLOOKUP("Tracking Number", Orders!$1:$1, Orders!$A:$AAA), XLOOKUP("Courier Fee", Orders!$1:$1, Orders!$A:$AAA), "Not Found")</f>
        <v>Not Found</v>
      </c>
      <c r="O379" s="6">
        <f t="shared" si="1"/>
        <v>0</v>
      </c>
      <c r="P379" s="6">
        <f t="shared" si="2"/>
        <v>0</v>
      </c>
    </row>
    <row r="380">
      <c r="A380" s="23"/>
      <c r="B380" s="23"/>
      <c r="C380" s="23"/>
      <c r="D380" s="23"/>
      <c r="E380" s="23"/>
      <c r="F380" s="23"/>
      <c r="G380" s="23"/>
      <c r="H380" s="20"/>
      <c r="I380" s="20"/>
      <c r="J380" s="20"/>
      <c r="K380" s="20"/>
      <c r="L380" s="20"/>
      <c r="M380" s="20"/>
      <c r="N380" s="6" t="str">
        <f t="array" ref="N380">XLOOKUP($B380, XLOOKUP("Tracking Number", Orders!$1:$1, Orders!$A:$AAA), XLOOKUP("Courier Fee", Orders!$1:$1, Orders!$A:$AAA), "Not Found")</f>
        <v>Not Found</v>
      </c>
      <c r="O380" s="6">
        <f t="shared" si="1"/>
        <v>0</v>
      </c>
      <c r="P380" s="6">
        <f t="shared" si="2"/>
        <v>0</v>
      </c>
    </row>
    <row r="381">
      <c r="A381" s="23"/>
      <c r="B381" s="23"/>
      <c r="C381" s="23"/>
      <c r="D381" s="23"/>
      <c r="E381" s="23"/>
      <c r="F381" s="23"/>
      <c r="G381" s="23"/>
      <c r="H381" s="20"/>
      <c r="I381" s="20"/>
      <c r="J381" s="20"/>
      <c r="K381" s="20"/>
      <c r="L381" s="20"/>
      <c r="M381" s="20"/>
      <c r="N381" s="6" t="str">
        <f t="array" ref="N381">XLOOKUP($B381, XLOOKUP("Tracking Number", Orders!$1:$1, Orders!$A:$AAA), XLOOKUP("Courier Fee", Orders!$1:$1, Orders!$A:$AAA), "Not Found")</f>
        <v>Not Found</v>
      </c>
      <c r="O381" s="6">
        <f t="shared" si="1"/>
        <v>0</v>
      </c>
      <c r="P381" s="6">
        <f t="shared" si="2"/>
        <v>0</v>
      </c>
    </row>
    <row r="382">
      <c r="A382" s="23"/>
      <c r="B382" s="23"/>
      <c r="C382" s="23"/>
      <c r="D382" s="23"/>
      <c r="E382" s="23"/>
      <c r="F382" s="23"/>
      <c r="G382" s="23"/>
      <c r="H382" s="20"/>
      <c r="I382" s="20"/>
      <c r="J382" s="20"/>
      <c r="K382" s="20"/>
      <c r="L382" s="20"/>
      <c r="M382" s="20"/>
      <c r="N382" s="6" t="str">
        <f t="array" ref="N382">XLOOKUP($B382, XLOOKUP("Tracking Number", Orders!$1:$1, Orders!$A:$AAA), XLOOKUP("Courier Fee", Orders!$1:$1, Orders!$A:$AAA), "Not Found")</f>
        <v>Not Found</v>
      </c>
      <c r="O382" s="6">
        <f t="shared" si="1"/>
        <v>0</v>
      </c>
      <c r="P382" s="6">
        <f t="shared" si="2"/>
        <v>0</v>
      </c>
    </row>
    <row r="383">
      <c r="A383" s="23"/>
      <c r="B383" s="23"/>
      <c r="C383" s="23"/>
      <c r="D383" s="23"/>
      <c r="E383" s="23"/>
      <c r="F383" s="23"/>
      <c r="G383" s="23"/>
      <c r="H383" s="20"/>
      <c r="I383" s="20"/>
      <c r="J383" s="20"/>
      <c r="K383" s="20"/>
      <c r="L383" s="20"/>
      <c r="M383" s="20"/>
      <c r="N383" s="6" t="str">
        <f t="array" ref="N383">XLOOKUP($B383, XLOOKUP("Tracking Number", Orders!$1:$1, Orders!$A:$AAA), XLOOKUP("Courier Fee", Orders!$1:$1, Orders!$A:$AAA), "Not Found")</f>
        <v>Not Found</v>
      </c>
      <c r="O383" s="6">
        <f t="shared" si="1"/>
        <v>0</v>
      </c>
      <c r="P383" s="6">
        <f t="shared" si="2"/>
        <v>0</v>
      </c>
    </row>
    <row r="384">
      <c r="A384" s="23"/>
      <c r="B384" s="23"/>
      <c r="C384" s="23"/>
      <c r="D384" s="23"/>
      <c r="E384" s="23"/>
      <c r="F384" s="23"/>
      <c r="G384" s="23"/>
      <c r="H384" s="20"/>
      <c r="I384" s="20"/>
      <c r="J384" s="20"/>
      <c r="K384" s="20"/>
      <c r="L384" s="20"/>
      <c r="M384" s="20"/>
      <c r="N384" s="6" t="str">
        <f t="array" ref="N384">XLOOKUP($B384, XLOOKUP("Tracking Number", Orders!$1:$1, Orders!$A:$AAA), XLOOKUP("Courier Fee", Orders!$1:$1, Orders!$A:$AAA), "Not Found")</f>
        <v>Not Found</v>
      </c>
      <c r="O384" s="6">
        <f t="shared" si="1"/>
        <v>0</v>
      </c>
      <c r="P384" s="6">
        <f t="shared" si="2"/>
        <v>0</v>
      </c>
    </row>
    <row r="385">
      <c r="A385" s="23"/>
      <c r="B385" s="23"/>
      <c r="C385" s="23"/>
      <c r="D385" s="23"/>
      <c r="E385" s="23"/>
      <c r="F385" s="23"/>
      <c r="G385" s="23"/>
      <c r="H385" s="20"/>
      <c r="I385" s="20"/>
      <c r="J385" s="20"/>
      <c r="K385" s="20"/>
      <c r="L385" s="20"/>
      <c r="M385" s="20"/>
      <c r="N385" s="6" t="str">
        <f t="array" ref="N385">XLOOKUP($B385, XLOOKUP("Tracking Number", Orders!$1:$1, Orders!$A:$AAA), XLOOKUP("Courier Fee", Orders!$1:$1, Orders!$A:$AAA), "Not Found")</f>
        <v>Not Found</v>
      </c>
      <c r="O385" s="6">
        <f t="shared" si="1"/>
        <v>0</v>
      </c>
      <c r="P385" s="6">
        <f t="shared" si="2"/>
        <v>0</v>
      </c>
    </row>
    <row r="386">
      <c r="A386" s="23"/>
      <c r="B386" s="23"/>
      <c r="C386" s="23"/>
      <c r="D386" s="23"/>
      <c r="E386" s="23"/>
      <c r="F386" s="23"/>
      <c r="G386" s="23"/>
      <c r="H386" s="20"/>
      <c r="I386" s="20"/>
      <c r="J386" s="20"/>
      <c r="K386" s="20"/>
      <c r="L386" s="20"/>
      <c r="M386" s="20"/>
      <c r="N386" s="6" t="str">
        <f t="array" ref="N386">XLOOKUP($B386, XLOOKUP("Tracking Number", Orders!$1:$1, Orders!$A:$AAA), XLOOKUP("Courier Fee", Orders!$1:$1, Orders!$A:$AAA), "Not Found")</f>
        <v>Not Found</v>
      </c>
      <c r="O386" s="6">
        <f t="shared" si="1"/>
        <v>0</v>
      </c>
      <c r="P386" s="6">
        <f t="shared" si="2"/>
        <v>0</v>
      </c>
    </row>
    <row r="387">
      <c r="A387" s="23"/>
      <c r="B387" s="23"/>
      <c r="C387" s="23"/>
      <c r="D387" s="23"/>
      <c r="E387" s="23"/>
      <c r="F387" s="23"/>
      <c r="G387" s="23"/>
      <c r="H387" s="20"/>
      <c r="I387" s="20"/>
      <c r="J387" s="20"/>
      <c r="K387" s="20"/>
      <c r="L387" s="20"/>
      <c r="M387" s="20"/>
      <c r="N387" s="6" t="str">
        <f t="array" ref="N387">XLOOKUP($B387, XLOOKUP("Tracking Number", Orders!$1:$1, Orders!$A:$AAA), XLOOKUP("Courier Fee", Orders!$1:$1, Orders!$A:$AAA), "Not Found")</f>
        <v>Not Found</v>
      </c>
      <c r="O387" s="6">
        <f t="shared" si="1"/>
        <v>0</v>
      </c>
      <c r="P387" s="6">
        <f t="shared" si="2"/>
        <v>0</v>
      </c>
    </row>
    <row r="388">
      <c r="A388" s="23"/>
      <c r="B388" s="23"/>
      <c r="C388" s="23"/>
      <c r="D388" s="23"/>
      <c r="E388" s="23"/>
      <c r="F388" s="23"/>
      <c r="G388" s="23"/>
      <c r="H388" s="20"/>
      <c r="I388" s="20"/>
      <c r="J388" s="20"/>
      <c r="K388" s="20"/>
      <c r="L388" s="20"/>
      <c r="M388" s="20"/>
      <c r="N388" s="6" t="str">
        <f t="array" ref="N388">XLOOKUP($B388, XLOOKUP("Tracking Number", Orders!$1:$1, Orders!$A:$AAA), XLOOKUP("Courier Fee", Orders!$1:$1, Orders!$A:$AAA), "Not Found")</f>
        <v>Not Found</v>
      </c>
      <c r="O388" s="6">
        <f t="shared" si="1"/>
        <v>0</v>
      </c>
      <c r="P388" s="6">
        <f t="shared" si="2"/>
        <v>0</v>
      </c>
    </row>
    <row r="389">
      <c r="A389" s="23"/>
      <c r="B389" s="23"/>
      <c r="C389" s="23"/>
      <c r="D389" s="23"/>
      <c r="E389" s="23"/>
      <c r="F389" s="23"/>
      <c r="G389" s="23"/>
      <c r="H389" s="20"/>
      <c r="I389" s="20"/>
      <c r="J389" s="20"/>
      <c r="K389" s="20"/>
      <c r="L389" s="20"/>
      <c r="M389" s="20"/>
      <c r="N389" s="6" t="str">
        <f t="array" ref="N389">XLOOKUP($B389, XLOOKUP("Tracking Number", Orders!$1:$1, Orders!$A:$AAA), XLOOKUP("Courier Fee", Orders!$1:$1, Orders!$A:$AAA), "Not Found")</f>
        <v>Not Found</v>
      </c>
      <c r="O389" s="6">
        <f t="shared" si="1"/>
        <v>0</v>
      </c>
      <c r="P389" s="6">
        <f t="shared" si="2"/>
        <v>0</v>
      </c>
    </row>
    <row r="390">
      <c r="A390" s="23"/>
      <c r="B390" s="23"/>
      <c r="C390" s="23"/>
      <c r="D390" s="23"/>
      <c r="E390" s="23"/>
      <c r="F390" s="23"/>
      <c r="G390" s="23"/>
      <c r="H390" s="20"/>
      <c r="I390" s="20"/>
      <c r="J390" s="20"/>
      <c r="K390" s="20"/>
      <c r="L390" s="20"/>
      <c r="M390" s="20"/>
      <c r="N390" s="6" t="str">
        <f t="array" ref="N390">XLOOKUP($B390, XLOOKUP("Tracking Number", Orders!$1:$1, Orders!$A:$AAA), XLOOKUP("Courier Fee", Orders!$1:$1, Orders!$A:$AAA), "Not Found")</f>
        <v>Not Found</v>
      </c>
      <c r="O390" s="6">
        <f t="shared" si="1"/>
        <v>0</v>
      </c>
      <c r="P390" s="6">
        <f t="shared" si="2"/>
        <v>0</v>
      </c>
    </row>
    <row r="391">
      <c r="A391" s="23"/>
      <c r="B391" s="23"/>
      <c r="C391" s="23"/>
      <c r="D391" s="23"/>
      <c r="E391" s="23"/>
      <c r="F391" s="23"/>
      <c r="G391" s="23"/>
      <c r="H391" s="20"/>
      <c r="I391" s="20"/>
      <c r="J391" s="20"/>
      <c r="K391" s="20"/>
      <c r="L391" s="20"/>
      <c r="M391" s="20"/>
      <c r="N391" s="6" t="str">
        <f t="array" ref="N391">XLOOKUP($B391, XLOOKUP("Tracking Number", Orders!$1:$1, Orders!$A:$AAA), XLOOKUP("Courier Fee", Orders!$1:$1, Orders!$A:$AAA), "Not Found")</f>
        <v>Not Found</v>
      </c>
      <c r="O391" s="6">
        <f t="shared" si="1"/>
        <v>0</v>
      </c>
      <c r="P391" s="6">
        <f t="shared" si="2"/>
        <v>0</v>
      </c>
    </row>
    <row r="392">
      <c r="A392" s="23"/>
      <c r="B392" s="23"/>
      <c r="C392" s="23"/>
      <c r="D392" s="23"/>
      <c r="E392" s="23"/>
      <c r="F392" s="23"/>
      <c r="G392" s="23"/>
      <c r="H392" s="20"/>
      <c r="I392" s="20"/>
      <c r="J392" s="20"/>
      <c r="K392" s="20"/>
      <c r="L392" s="20"/>
      <c r="M392" s="20"/>
      <c r="N392" s="6" t="str">
        <f t="array" ref="N392">XLOOKUP($B392, XLOOKUP("Tracking Number", Orders!$1:$1, Orders!$A:$AAA), XLOOKUP("Courier Fee", Orders!$1:$1, Orders!$A:$AAA), "Not Found")</f>
        <v>Not Found</v>
      </c>
      <c r="O392" s="6">
        <f t="shared" si="1"/>
        <v>0</v>
      </c>
      <c r="P392" s="6">
        <f t="shared" si="2"/>
        <v>0</v>
      </c>
    </row>
    <row r="393">
      <c r="A393" s="23"/>
      <c r="B393" s="23"/>
      <c r="C393" s="23"/>
      <c r="D393" s="23"/>
      <c r="E393" s="23"/>
      <c r="F393" s="23"/>
      <c r="G393" s="23"/>
      <c r="H393" s="20"/>
      <c r="I393" s="20"/>
      <c r="J393" s="20"/>
      <c r="K393" s="20"/>
      <c r="L393" s="20"/>
      <c r="M393" s="20"/>
      <c r="N393" s="6" t="str">
        <f t="array" ref="N393">XLOOKUP($B393, XLOOKUP("Tracking Number", Orders!$1:$1, Orders!$A:$AAA), XLOOKUP("Courier Fee", Orders!$1:$1, Orders!$A:$AAA), "Not Found")</f>
        <v>Not Found</v>
      </c>
      <c r="O393" s="6">
        <f t="shared" si="1"/>
        <v>0</v>
      </c>
      <c r="P393" s="6">
        <f t="shared" si="2"/>
        <v>0</v>
      </c>
    </row>
    <row r="394">
      <c r="A394" s="23"/>
      <c r="B394" s="23"/>
      <c r="C394" s="23"/>
      <c r="D394" s="23"/>
      <c r="E394" s="23"/>
      <c r="F394" s="23"/>
      <c r="G394" s="23"/>
      <c r="H394" s="20"/>
      <c r="I394" s="20"/>
      <c r="J394" s="20"/>
      <c r="K394" s="20"/>
      <c r="L394" s="20"/>
      <c r="M394" s="20"/>
      <c r="N394" s="6" t="str">
        <f t="array" ref="N394">XLOOKUP($B394, XLOOKUP("Tracking Number", Orders!$1:$1, Orders!$A:$AAA), XLOOKUP("Courier Fee", Orders!$1:$1, Orders!$A:$AAA), "Not Found")</f>
        <v>Not Found</v>
      </c>
      <c r="O394" s="6">
        <f t="shared" si="1"/>
        <v>0</v>
      </c>
      <c r="P394" s="6">
        <f t="shared" si="2"/>
        <v>0</v>
      </c>
    </row>
    <row r="395">
      <c r="A395" s="23"/>
      <c r="B395" s="23"/>
      <c r="C395" s="23"/>
      <c r="D395" s="23"/>
      <c r="E395" s="23"/>
      <c r="F395" s="23"/>
      <c r="G395" s="23"/>
      <c r="H395" s="20"/>
      <c r="I395" s="20"/>
      <c r="J395" s="20"/>
      <c r="K395" s="20"/>
      <c r="L395" s="20"/>
      <c r="M395" s="20"/>
      <c r="N395" s="6" t="str">
        <f t="array" ref="N395">XLOOKUP($B395, XLOOKUP("Tracking Number", Orders!$1:$1, Orders!$A:$AAA), XLOOKUP("Courier Fee", Orders!$1:$1, Orders!$A:$AAA), "Not Found")</f>
        <v>Not Found</v>
      </c>
      <c r="O395" s="6">
        <f t="shared" si="1"/>
        <v>0</v>
      </c>
      <c r="P395" s="6">
        <f t="shared" si="2"/>
        <v>0</v>
      </c>
    </row>
    <row r="396">
      <c r="A396" s="23"/>
      <c r="B396" s="23"/>
      <c r="C396" s="23"/>
      <c r="D396" s="23"/>
      <c r="E396" s="23"/>
      <c r="F396" s="23"/>
      <c r="G396" s="23"/>
      <c r="H396" s="20"/>
      <c r="I396" s="20"/>
      <c r="J396" s="20"/>
      <c r="K396" s="20"/>
      <c r="L396" s="20"/>
      <c r="M396" s="20"/>
      <c r="N396" s="6" t="str">
        <f t="array" ref="N396">XLOOKUP($B396, XLOOKUP("Tracking Number", Orders!$1:$1, Orders!$A:$AAA), XLOOKUP("Courier Fee", Orders!$1:$1, Orders!$A:$AAA), "Not Found")</f>
        <v>Not Found</v>
      </c>
      <c r="O396" s="6">
        <f t="shared" si="1"/>
        <v>0</v>
      </c>
      <c r="P396" s="6">
        <f t="shared" si="2"/>
        <v>0</v>
      </c>
    </row>
    <row r="397">
      <c r="A397" s="23"/>
      <c r="B397" s="23"/>
      <c r="C397" s="23"/>
      <c r="D397" s="23"/>
      <c r="E397" s="23"/>
      <c r="F397" s="23"/>
      <c r="G397" s="23"/>
      <c r="H397" s="20"/>
      <c r="I397" s="20"/>
      <c r="J397" s="20"/>
      <c r="K397" s="20"/>
      <c r="L397" s="20"/>
      <c r="M397" s="20"/>
      <c r="N397" s="6" t="str">
        <f t="array" ref="N397">XLOOKUP($B397, XLOOKUP("Tracking Number", Orders!$1:$1, Orders!$A:$AAA), XLOOKUP("Courier Fee", Orders!$1:$1, Orders!$A:$AAA), "Not Found")</f>
        <v>Not Found</v>
      </c>
      <c r="O397" s="6">
        <f t="shared" si="1"/>
        <v>0</v>
      </c>
      <c r="P397" s="6">
        <f t="shared" si="2"/>
        <v>0</v>
      </c>
    </row>
    <row r="398">
      <c r="A398" s="23"/>
      <c r="B398" s="23"/>
      <c r="C398" s="23"/>
      <c r="D398" s="23"/>
      <c r="E398" s="23"/>
      <c r="F398" s="23"/>
      <c r="G398" s="23"/>
      <c r="H398" s="20"/>
      <c r="I398" s="20"/>
      <c r="J398" s="20"/>
      <c r="K398" s="20"/>
      <c r="L398" s="20"/>
      <c r="M398" s="20"/>
      <c r="N398" s="6" t="str">
        <f t="array" ref="N398">XLOOKUP($B398, XLOOKUP("Tracking Number", Orders!$1:$1, Orders!$A:$AAA), XLOOKUP("Courier Fee", Orders!$1:$1, Orders!$A:$AAA), "Not Found")</f>
        <v>Not Found</v>
      </c>
      <c r="O398" s="6">
        <f t="shared" si="1"/>
        <v>0</v>
      </c>
      <c r="P398" s="6">
        <f t="shared" si="2"/>
        <v>0</v>
      </c>
    </row>
    <row r="399">
      <c r="A399" s="23"/>
      <c r="B399" s="23"/>
      <c r="C399" s="23"/>
      <c r="D399" s="23"/>
      <c r="E399" s="23"/>
      <c r="F399" s="23"/>
      <c r="G399" s="23"/>
      <c r="H399" s="20"/>
      <c r="I399" s="20"/>
      <c r="J399" s="20"/>
      <c r="K399" s="20"/>
      <c r="L399" s="20"/>
      <c r="M399" s="20"/>
      <c r="N399" s="6" t="str">
        <f t="array" ref="N399">XLOOKUP($B399, XLOOKUP("Tracking Number", Orders!$1:$1, Orders!$A:$AAA), XLOOKUP("Courier Fee", Orders!$1:$1, Orders!$A:$AAA), "Not Found")</f>
        <v>Not Found</v>
      </c>
      <c r="O399" s="6">
        <f t="shared" si="1"/>
        <v>0</v>
      </c>
      <c r="P399" s="6">
        <f t="shared" si="2"/>
        <v>0</v>
      </c>
    </row>
    <row r="400">
      <c r="A400" s="23"/>
      <c r="B400" s="23"/>
      <c r="C400" s="23"/>
      <c r="D400" s="23"/>
      <c r="E400" s="23"/>
      <c r="F400" s="23"/>
      <c r="G400" s="23"/>
      <c r="H400" s="20"/>
      <c r="I400" s="20"/>
      <c r="J400" s="20"/>
      <c r="K400" s="20"/>
      <c r="L400" s="20"/>
      <c r="M400" s="20"/>
      <c r="N400" s="6" t="str">
        <f t="array" ref="N400">XLOOKUP($B400, XLOOKUP("Tracking Number", Orders!$1:$1, Orders!$A:$AAA), XLOOKUP("Courier Fee", Orders!$1:$1, Orders!$A:$AAA), "Not Found")</f>
        <v>Not Found</v>
      </c>
      <c r="O400" s="6">
        <f t="shared" si="1"/>
        <v>0</v>
      </c>
      <c r="P400" s="6">
        <f t="shared" si="2"/>
        <v>0</v>
      </c>
    </row>
    <row r="401">
      <c r="A401" s="23"/>
      <c r="B401" s="23"/>
      <c r="C401" s="23"/>
      <c r="D401" s="23"/>
      <c r="E401" s="23"/>
      <c r="F401" s="23"/>
      <c r="G401" s="23"/>
      <c r="H401" s="20"/>
      <c r="I401" s="20"/>
      <c r="J401" s="20"/>
      <c r="K401" s="20"/>
      <c r="L401" s="20"/>
      <c r="M401" s="20"/>
      <c r="N401" s="6" t="str">
        <f t="array" ref="N401">XLOOKUP($B401, XLOOKUP("Tracking Number", Orders!$1:$1, Orders!$A:$AAA), XLOOKUP("Courier Fee", Orders!$1:$1, Orders!$A:$AAA), "Not Found")</f>
        <v>Not Found</v>
      </c>
      <c r="O401" s="6">
        <f t="shared" si="1"/>
        <v>0</v>
      </c>
      <c r="P401" s="6">
        <f t="shared" si="2"/>
        <v>0</v>
      </c>
    </row>
    <row r="402">
      <c r="A402" s="23"/>
      <c r="B402" s="23"/>
      <c r="C402" s="23"/>
      <c r="D402" s="23"/>
      <c r="E402" s="23"/>
      <c r="F402" s="23"/>
      <c r="G402" s="23"/>
      <c r="H402" s="20"/>
      <c r="I402" s="20"/>
      <c r="J402" s="20"/>
      <c r="K402" s="20"/>
      <c r="L402" s="20"/>
      <c r="M402" s="20"/>
      <c r="N402" s="6" t="str">
        <f t="array" ref="N402">XLOOKUP($B402, XLOOKUP("Tracking Number", Orders!$1:$1, Orders!$A:$AAA), XLOOKUP("Courier Fee", Orders!$1:$1, Orders!$A:$AAA), "Not Found")</f>
        <v>Not Found</v>
      </c>
      <c r="O402" s="6">
        <f t="shared" si="1"/>
        <v>0</v>
      </c>
      <c r="P402" s="6">
        <f t="shared" si="2"/>
        <v>0</v>
      </c>
    </row>
    <row r="403">
      <c r="A403" s="23"/>
      <c r="B403" s="23"/>
      <c r="C403" s="23"/>
      <c r="D403" s="23"/>
      <c r="E403" s="23"/>
      <c r="F403" s="23"/>
      <c r="G403" s="23"/>
      <c r="H403" s="20"/>
      <c r="I403" s="20"/>
      <c r="J403" s="20"/>
      <c r="K403" s="20"/>
      <c r="L403" s="20"/>
      <c r="M403" s="20"/>
      <c r="N403" s="6" t="str">
        <f t="array" ref="N403">XLOOKUP($B403, XLOOKUP("Tracking Number", Orders!$1:$1, Orders!$A:$AAA), XLOOKUP("Courier Fee", Orders!$1:$1, Orders!$A:$AAA), "Not Found")</f>
        <v>Not Found</v>
      </c>
      <c r="O403" s="6">
        <f t="shared" si="1"/>
        <v>0</v>
      </c>
      <c r="P403" s="6">
        <f t="shared" si="2"/>
        <v>0</v>
      </c>
    </row>
    <row r="404">
      <c r="A404" s="23"/>
      <c r="B404" s="23"/>
      <c r="C404" s="23"/>
      <c r="D404" s="23"/>
      <c r="E404" s="23"/>
      <c r="F404" s="23"/>
      <c r="G404" s="23"/>
      <c r="H404" s="20"/>
      <c r="I404" s="20"/>
      <c r="J404" s="20"/>
      <c r="K404" s="20"/>
      <c r="L404" s="20"/>
      <c r="M404" s="20"/>
      <c r="N404" s="6" t="str">
        <f t="array" ref="N404">XLOOKUP($B404, XLOOKUP("Tracking Number", Orders!$1:$1, Orders!$A:$AAA), XLOOKUP("Courier Fee", Orders!$1:$1, Orders!$A:$AAA), "Not Found")</f>
        <v>Not Found</v>
      </c>
      <c r="O404" s="6">
        <f t="shared" si="1"/>
        <v>0</v>
      </c>
      <c r="P404" s="6">
        <f t="shared" si="2"/>
        <v>0</v>
      </c>
    </row>
    <row r="405">
      <c r="A405" s="23"/>
      <c r="B405" s="23"/>
      <c r="C405" s="23"/>
      <c r="D405" s="23"/>
      <c r="E405" s="23"/>
      <c r="F405" s="23"/>
      <c r="G405" s="23"/>
      <c r="H405" s="20"/>
      <c r="I405" s="20"/>
      <c r="J405" s="20"/>
      <c r="K405" s="20"/>
      <c r="L405" s="20"/>
      <c r="M405" s="20"/>
      <c r="N405" s="6" t="str">
        <f t="array" ref="N405">XLOOKUP($B405, XLOOKUP("Tracking Number", Orders!$1:$1, Orders!$A:$AAA), XLOOKUP("Courier Fee", Orders!$1:$1, Orders!$A:$AAA), "Not Found")</f>
        <v>Not Found</v>
      </c>
      <c r="O405" s="6">
        <f t="shared" si="1"/>
        <v>0</v>
      </c>
      <c r="P405" s="6">
        <f t="shared" si="2"/>
        <v>0</v>
      </c>
    </row>
    <row r="406">
      <c r="A406" s="23"/>
      <c r="B406" s="23"/>
      <c r="C406" s="23"/>
      <c r="D406" s="23"/>
      <c r="E406" s="23"/>
      <c r="F406" s="23"/>
      <c r="G406" s="23"/>
      <c r="H406" s="20"/>
      <c r="I406" s="20"/>
      <c r="J406" s="20"/>
      <c r="K406" s="20"/>
      <c r="L406" s="20"/>
      <c r="M406" s="20"/>
      <c r="N406" s="6" t="str">
        <f t="array" ref="N406">XLOOKUP($B406, XLOOKUP("Tracking Number", Orders!$1:$1, Orders!$A:$AAA), XLOOKUP("Courier Fee", Orders!$1:$1, Orders!$A:$AAA), "Not Found")</f>
        <v>Not Found</v>
      </c>
      <c r="O406" s="6">
        <f t="shared" si="1"/>
        <v>0</v>
      </c>
      <c r="P406" s="6">
        <f t="shared" si="2"/>
        <v>0</v>
      </c>
    </row>
    <row r="407">
      <c r="A407" s="23"/>
      <c r="B407" s="23"/>
      <c r="C407" s="23"/>
      <c r="D407" s="23"/>
      <c r="E407" s="23"/>
      <c r="F407" s="23"/>
      <c r="G407" s="23"/>
      <c r="H407" s="20"/>
      <c r="I407" s="20"/>
      <c r="J407" s="20"/>
      <c r="K407" s="20"/>
      <c r="L407" s="20"/>
      <c r="M407" s="20"/>
      <c r="N407" s="6" t="str">
        <f t="array" ref="N407">XLOOKUP($B407, XLOOKUP("Tracking Number", Orders!$1:$1, Orders!$A:$AAA), XLOOKUP("Courier Fee", Orders!$1:$1, Orders!$A:$AAA), "Not Found")</f>
        <v>Not Found</v>
      </c>
      <c r="O407" s="6">
        <f t="shared" si="1"/>
        <v>0</v>
      </c>
      <c r="P407" s="6">
        <f t="shared" si="2"/>
        <v>0</v>
      </c>
    </row>
    <row r="408">
      <c r="A408" s="23"/>
      <c r="B408" s="23"/>
      <c r="C408" s="23"/>
      <c r="D408" s="23"/>
      <c r="E408" s="23"/>
      <c r="F408" s="23"/>
      <c r="G408" s="23"/>
      <c r="H408" s="20"/>
      <c r="I408" s="20"/>
      <c r="J408" s="20"/>
      <c r="K408" s="20"/>
      <c r="L408" s="20"/>
      <c r="M408" s="20"/>
      <c r="N408" s="6" t="str">
        <f t="array" ref="N408">XLOOKUP($B408, XLOOKUP("Tracking Number", Orders!$1:$1, Orders!$A:$AAA), XLOOKUP("Courier Fee", Orders!$1:$1, Orders!$A:$AAA), "Not Found")</f>
        <v>Not Found</v>
      </c>
      <c r="O408" s="6">
        <f t="shared" si="1"/>
        <v>0</v>
      </c>
      <c r="P408" s="6">
        <f t="shared" si="2"/>
        <v>0</v>
      </c>
    </row>
    <row r="409">
      <c r="A409" s="23"/>
      <c r="B409" s="23"/>
      <c r="C409" s="23"/>
      <c r="D409" s="23"/>
      <c r="E409" s="23"/>
      <c r="F409" s="23"/>
      <c r="G409" s="23"/>
      <c r="H409" s="20"/>
      <c r="I409" s="20"/>
      <c r="J409" s="20"/>
      <c r="K409" s="20"/>
      <c r="L409" s="20"/>
      <c r="M409" s="20"/>
      <c r="N409" s="6" t="str">
        <f t="array" ref="N409">XLOOKUP($B409, XLOOKUP("Tracking Number", Orders!$1:$1, Orders!$A:$AAA), XLOOKUP("Courier Fee", Orders!$1:$1, Orders!$A:$AAA), "Not Found")</f>
        <v>Not Found</v>
      </c>
      <c r="O409" s="6">
        <f t="shared" si="1"/>
        <v>0</v>
      </c>
      <c r="P409" s="6">
        <f t="shared" si="2"/>
        <v>0</v>
      </c>
    </row>
    <row r="410">
      <c r="A410" s="23"/>
      <c r="B410" s="23"/>
      <c r="C410" s="23"/>
      <c r="D410" s="23"/>
      <c r="E410" s="23"/>
      <c r="F410" s="23"/>
      <c r="G410" s="23"/>
      <c r="H410" s="20"/>
      <c r="I410" s="20"/>
      <c r="J410" s="20"/>
      <c r="K410" s="20"/>
      <c r="L410" s="20"/>
      <c r="M410" s="20"/>
      <c r="N410" s="6" t="str">
        <f t="array" ref="N410">XLOOKUP($B410, XLOOKUP("Tracking Number", Orders!$1:$1, Orders!$A:$AAA), XLOOKUP("Courier Fee", Orders!$1:$1, Orders!$A:$AAA), "Not Found")</f>
        <v>Not Found</v>
      </c>
      <c r="O410" s="6">
        <f t="shared" si="1"/>
        <v>0</v>
      </c>
      <c r="P410" s="6">
        <f t="shared" si="2"/>
        <v>0</v>
      </c>
    </row>
    <row r="411">
      <c r="A411" s="23"/>
      <c r="B411" s="23"/>
      <c r="C411" s="23"/>
      <c r="D411" s="23"/>
      <c r="E411" s="23"/>
      <c r="F411" s="23"/>
      <c r="G411" s="23"/>
      <c r="H411" s="20"/>
      <c r="I411" s="20"/>
      <c r="J411" s="20"/>
      <c r="K411" s="20"/>
      <c r="L411" s="20"/>
      <c r="M411" s="20"/>
      <c r="N411" s="6" t="str">
        <f t="array" ref="N411">XLOOKUP($B411, XLOOKUP("Tracking Number", Orders!$1:$1, Orders!$A:$AAA), XLOOKUP("Courier Fee", Orders!$1:$1, Orders!$A:$AAA), "Not Found")</f>
        <v>Not Found</v>
      </c>
      <c r="O411" s="6">
        <f t="shared" si="1"/>
        <v>0</v>
      </c>
      <c r="P411" s="6">
        <f t="shared" si="2"/>
        <v>0</v>
      </c>
    </row>
    <row r="412">
      <c r="A412" s="23"/>
      <c r="B412" s="23"/>
      <c r="C412" s="23"/>
      <c r="D412" s="23"/>
      <c r="E412" s="23"/>
      <c r="F412" s="23"/>
      <c r="G412" s="23"/>
      <c r="H412" s="20"/>
      <c r="I412" s="20"/>
      <c r="J412" s="20"/>
      <c r="K412" s="20"/>
      <c r="L412" s="20"/>
      <c r="M412" s="20"/>
      <c r="N412" s="6" t="str">
        <f t="array" ref="N412">XLOOKUP($B412, XLOOKUP("Tracking Number", Orders!$1:$1, Orders!$A:$AAA), XLOOKUP("Courier Fee", Orders!$1:$1, Orders!$A:$AAA), "Not Found")</f>
        <v>Not Found</v>
      </c>
      <c r="O412" s="6">
        <f t="shared" si="1"/>
        <v>0</v>
      </c>
      <c r="P412" s="6">
        <f t="shared" si="2"/>
        <v>0</v>
      </c>
    </row>
    <row r="413">
      <c r="A413" s="23"/>
      <c r="B413" s="23"/>
      <c r="C413" s="23"/>
      <c r="D413" s="23"/>
      <c r="E413" s="23"/>
      <c r="F413" s="23"/>
      <c r="G413" s="23"/>
      <c r="H413" s="20"/>
      <c r="I413" s="20"/>
      <c r="J413" s="20"/>
      <c r="K413" s="20"/>
      <c r="L413" s="20"/>
      <c r="M413" s="20"/>
      <c r="N413" s="6" t="str">
        <f t="array" ref="N413">XLOOKUP($B413, XLOOKUP("Tracking Number", Orders!$1:$1, Orders!$A:$AAA), XLOOKUP("Courier Fee", Orders!$1:$1, Orders!$A:$AAA), "Not Found")</f>
        <v>Not Found</v>
      </c>
      <c r="O413" s="6">
        <f t="shared" si="1"/>
        <v>0</v>
      </c>
      <c r="P413" s="6">
        <f t="shared" si="2"/>
        <v>0</v>
      </c>
    </row>
    <row r="414">
      <c r="A414" s="23"/>
      <c r="B414" s="23"/>
      <c r="C414" s="23"/>
      <c r="D414" s="23"/>
      <c r="E414" s="23"/>
      <c r="F414" s="23"/>
      <c r="G414" s="23"/>
      <c r="H414" s="20"/>
      <c r="I414" s="20"/>
      <c r="J414" s="20"/>
      <c r="K414" s="20"/>
      <c r="L414" s="20"/>
      <c r="M414" s="20"/>
      <c r="N414" s="6" t="str">
        <f t="array" ref="N414">XLOOKUP($B414, XLOOKUP("Tracking Number", Orders!$1:$1, Orders!$A:$AAA), XLOOKUP("Courier Fee", Orders!$1:$1, Orders!$A:$AAA), "Not Found")</f>
        <v>Not Found</v>
      </c>
      <c r="O414" s="6">
        <f t="shared" si="1"/>
        <v>0</v>
      </c>
      <c r="P414" s="6">
        <f t="shared" si="2"/>
        <v>0</v>
      </c>
    </row>
    <row r="415">
      <c r="A415" s="23"/>
      <c r="B415" s="23"/>
      <c r="C415" s="23"/>
      <c r="D415" s="23"/>
      <c r="E415" s="23"/>
      <c r="F415" s="23"/>
      <c r="G415" s="23"/>
      <c r="H415" s="20"/>
      <c r="I415" s="20"/>
      <c r="J415" s="20"/>
      <c r="K415" s="20"/>
      <c r="L415" s="20"/>
      <c r="M415" s="20"/>
      <c r="N415" s="6" t="str">
        <f t="array" ref="N415">XLOOKUP($B415, XLOOKUP("Tracking Number", Orders!$1:$1, Orders!$A:$AAA), XLOOKUP("Courier Fee", Orders!$1:$1, Orders!$A:$AAA), "Not Found")</f>
        <v>Not Found</v>
      </c>
      <c r="O415" s="6">
        <f t="shared" si="1"/>
        <v>0</v>
      </c>
      <c r="P415" s="6">
        <f t="shared" si="2"/>
        <v>0</v>
      </c>
    </row>
    <row r="416">
      <c r="A416" s="23"/>
      <c r="B416" s="23"/>
      <c r="C416" s="23"/>
      <c r="D416" s="23"/>
      <c r="E416" s="23"/>
      <c r="F416" s="23"/>
      <c r="G416" s="23"/>
      <c r="H416" s="20"/>
      <c r="I416" s="20"/>
      <c r="J416" s="20"/>
      <c r="K416" s="20"/>
      <c r="L416" s="20"/>
      <c r="M416" s="20"/>
      <c r="N416" s="6" t="str">
        <f t="array" ref="N416">XLOOKUP($B416, XLOOKUP("Tracking Number", Orders!$1:$1, Orders!$A:$AAA), XLOOKUP("Courier Fee", Orders!$1:$1, Orders!$A:$AAA), "Not Found")</f>
        <v>Not Found</v>
      </c>
      <c r="O416" s="6">
        <f t="shared" si="1"/>
        <v>0</v>
      </c>
      <c r="P416" s="6">
        <f t="shared" si="2"/>
        <v>0</v>
      </c>
    </row>
    <row r="417">
      <c r="A417" s="23"/>
      <c r="B417" s="23"/>
      <c r="C417" s="23"/>
      <c r="D417" s="23"/>
      <c r="E417" s="23"/>
      <c r="F417" s="23"/>
      <c r="G417" s="23"/>
      <c r="H417" s="20"/>
      <c r="I417" s="20"/>
      <c r="J417" s="20"/>
      <c r="K417" s="20"/>
      <c r="L417" s="20"/>
      <c r="M417" s="20"/>
      <c r="N417" s="6" t="str">
        <f t="array" ref="N417">XLOOKUP($B417, XLOOKUP("Tracking Number", Orders!$1:$1, Orders!$A:$AAA), XLOOKUP("Courier Fee", Orders!$1:$1, Orders!$A:$AAA), "Not Found")</f>
        <v>Not Found</v>
      </c>
      <c r="O417" s="6">
        <f t="shared" si="1"/>
        <v>0</v>
      </c>
      <c r="P417" s="6">
        <f t="shared" si="2"/>
        <v>0</v>
      </c>
    </row>
    <row r="418">
      <c r="A418" s="23"/>
      <c r="B418" s="23"/>
      <c r="C418" s="23"/>
      <c r="D418" s="23"/>
      <c r="E418" s="23"/>
      <c r="F418" s="23"/>
      <c r="G418" s="23"/>
      <c r="H418" s="20"/>
      <c r="I418" s="20"/>
      <c r="J418" s="20"/>
      <c r="K418" s="20"/>
      <c r="L418" s="20"/>
      <c r="M418" s="20"/>
      <c r="N418" s="6" t="str">
        <f t="array" ref="N418">XLOOKUP($B418, XLOOKUP("Tracking Number", Orders!$1:$1, Orders!$A:$AAA), XLOOKUP("Courier Fee", Orders!$1:$1, Orders!$A:$AAA), "Not Found")</f>
        <v>Not Found</v>
      </c>
      <c r="O418" s="6">
        <f t="shared" si="1"/>
        <v>0</v>
      </c>
      <c r="P418" s="6">
        <f t="shared" si="2"/>
        <v>0</v>
      </c>
    </row>
    <row r="419">
      <c r="A419" s="23"/>
      <c r="B419" s="23"/>
      <c r="C419" s="23"/>
      <c r="D419" s="23"/>
      <c r="E419" s="23"/>
      <c r="F419" s="23"/>
      <c r="G419" s="23"/>
      <c r="H419" s="20"/>
      <c r="I419" s="20"/>
      <c r="J419" s="20"/>
      <c r="K419" s="20"/>
      <c r="L419" s="20"/>
      <c r="M419" s="20"/>
      <c r="N419" s="6" t="str">
        <f t="array" ref="N419">XLOOKUP($B419, XLOOKUP("Tracking Number", Orders!$1:$1, Orders!$A:$AAA), XLOOKUP("Courier Fee", Orders!$1:$1, Orders!$A:$AAA), "Not Found")</f>
        <v>Not Found</v>
      </c>
      <c r="O419" s="6">
        <f t="shared" si="1"/>
        <v>0</v>
      </c>
      <c r="P419" s="6">
        <f t="shared" si="2"/>
        <v>0</v>
      </c>
    </row>
    <row r="420">
      <c r="A420" s="23"/>
      <c r="B420" s="23"/>
      <c r="C420" s="23"/>
      <c r="D420" s="23"/>
      <c r="E420" s="23"/>
      <c r="F420" s="23"/>
      <c r="G420" s="23"/>
      <c r="H420" s="20"/>
      <c r="I420" s="20"/>
      <c r="J420" s="20"/>
      <c r="K420" s="20"/>
      <c r="L420" s="20"/>
      <c r="M420" s="20"/>
      <c r="N420" s="6" t="str">
        <f t="array" ref="N420">XLOOKUP($B420, XLOOKUP("Tracking Number", Orders!$1:$1, Orders!$A:$AAA), XLOOKUP("Courier Fee", Orders!$1:$1, Orders!$A:$AAA), "Not Found")</f>
        <v>Not Found</v>
      </c>
      <c r="O420" s="6">
        <f t="shared" si="1"/>
        <v>0</v>
      </c>
      <c r="P420" s="6">
        <f t="shared" si="2"/>
        <v>0</v>
      </c>
    </row>
    <row r="421">
      <c r="A421" s="23"/>
      <c r="B421" s="23"/>
      <c r="C421" s="23"/>
      <c r="D421" s="23"/>
      <c r="E421" s="23"/>
      <c r="F421" s="23"/>
      <c r="G421" s="23"/>
      <c r="H421" s="20"/>
      <c r="I421" s="20"/>
      <c r="J421" s="20"/>
      <c r="K421" s="20"/>
      <c r="L421" s="20"/>
      <c r="M421" s="20"/>
      <c r="N421" s="6" t="str">
        <f t="array" ref="N421">XLOOKUP($B421, XLOOKUP("Tracking Number", Orders!$1:$1, Orders!$A:$AAA), XLOOKUP("Courier Fee", Orders!$1:$1, Orders!$A:$AAA), "Not Found")</f>
        <v>Not Found</v>
      </c>
      <c r="O421" s="6">
        <f t="shared" si="1"/>
        <v>0</v>
      </c>
      <c r="P421" s="6">
        <f t="shared" si="2"/>
        <v>0</v>
      </c>
    </row>
    <row r="422">
      <c r="A422" s="23"/>
      <c r="B422" s="23"/>
      <c r="C422" s="23"/>
      <c r="D422" s="23"/>
      <c r="E422" s="23"/>
      <c r="F422" s="23"/>
      <c r="G422" s="23"/>
      <c r="H422" s="20"/>
      <c r="I422" s="20"/>
      <c r="J422" s="20"/>
      <c r="K422" s="20"/>
      <c r="L422" s="20"/>
      <c r="M422" s="20"/>
      <c r="N422" s="6" t="str">
        <f t="array" ref="N422">XLOOKUP($B422, XLOOKUP("Tracking Number", Orders!$1:$1, Orders!$A:$AAA), XLOOKUP("Courier Fee", Orders!$1:$1, Orders!$A:$AAA), "Not Found")</f>
        <v>Not Found</v>
      </c>
      <c r="O422" s="6">
        <f t="shared" si="1"/>
        <v>0</v>
      </c>
      <c r="P422" s="6">
        <f t="shared" si="2"/>
        <v>0</v>
      </c>
    </row>
    <row r="423">
      <c r="A423" s="23"/>
      <c r="B423" s="23"/>
      <c r="C423" s="23"/>
      <c r="D423" s="23"/>
      <c r="E423" s="23"/>
      <c r="F423" s="23"/>
      <c r="G423" s="23"/>
      <c r="H423" s="20"/>
      <c r="I423" s="20"/>
      <c r="J423" s="20"/>
      <c r="K423" s="20"/>
      <c r="L423" s="20"/>
      <c r="M423" s="20"/>
      <c r="N423" s="6" t="str">
        <f t="array" ref="N423">XLOOKUP($B423, XLOOKUP("Tracking Number", Orders!$1:$1, Orders!$A:$AAA), XLOOKUP("Courier Fee", Orders!$1:$1, Orders!$A:$AAA), "Not Found")</f>
        <v>Not Found</v>
      </c>
      <c r="O423" s="6">
        <f t="shared" si="1"/>
        <v>0</v>
      </c>
      <c r="P423" s="6">
        <f t="shared" si="2"/>
        <v>0</v>
      </c>
    </row>
    <row r="424">
      <c r="A424" s="23"/>
      <c r="B424" s="23"/>
      <c r="C424" s="23"/>
      <c r="D424" s="23"/>
      <c r="E424" s="23"/>
      <c r="F424" s="23"/>
      <c r="G424" s="23"/>
      <c r="H424" s="20"/>
      <c r="I424" s="20"/>
      <c r="J424" s="20"/>
      <c r="K424" s="20"/>
      <c r="L424" s="20"/>
      <c r="M424" s="20"/>
      <c r="N424" s="6" t="str">
        <f t="array" ref="N424">XLOOKUP($B424, XLOOKUP("Tracking Number", Orders!$1:$1, Orders!$A:$AAA), XLOOKUP("Courier Fee", Orders!$1:$1, Orders!$A:$AAA), "Not Found")</f>
        <v>Not Found</v>
      </c>
      <c r="O424" s="6">
        <f t="shared" si="1"/>
        <v>0</v>
      </c>
      <c r="P424" s="6">
        <f t="shared" si="2"/>
        <v>0</v>
      </c>
    </row>
    <row r="425">
      <c r="A425" s="23"/>
      <c r="B425" s="23"/>
      <c r="C425" s="23"/>
      <c r="D425" s="23"/>
      <c r="E425" s="23"/>
      <c r="F425" s="23"/>
      <c r="G425" s="23"/>
      <c r="H425" s="20"/>
      <c r="I425" s="20"/>
      <c r="J425" s="20"/>
      <c r="K425" s="20"/>
      <c r="L425" s="20"/>
      <c r="M425" s="20"/>
      <c r="N425" s="6" t="str">
        <f t="array" ref="N425">XLOOKUP($B425, XLOOKUP("Tracking Number", Orders!$1:$1, Orders!$A:$AAA), XLOOKUP("Courier Fee", Orders!$1:$1, Orders!$A:$AAA), "Not Found")</f>
        <v>Not Found</v>
      </c>
      <c r="O425" s="6">
        <f t="shared" si="1"/>
        <v>0</v>
      </c>
      <c r="P425" s="6">
        <f t="shared" si="2"/>
        <v>0</v>
      </c>
    </row>
    <row r="426">
      <c r="A426" s="23"/>
      <c r="B426" s="23"/>
      <c r="C426" s="23"/>
      <c r="D426" s="23"/>
      <c r="E426" s="23"/>
      <c r="F426" s="23"/>
      <c r="G426" s="23"/>
      <c r="H426" s="20"/>
      <c r="I426" s="20"/>
      <c r="J426" s="20"/>
      <c r="K426" s="20"/>
      <c r="L426" s="20"/>
      <c r="M426" s="20"/>
      <c r="N426" s="6" t="str">
        <f t="array" ref="N426">XLOOKUP($B426, XLOOKUP("Tracking Number", Orders!$1:$1, Orders!$A:$AAA), XLOOKUP("Courier Fee", Orders!$1:$1, Orders!$A:$AAA), "Not Found")</f>
        <v>Not Found</v>
      </c>
      <c r="O426" s="6">
        <f t="shared" si="1"/>
        <v>0</v>
      </c>
      <c r="P426" s="6">
        <f t="shared" si="2"/>
        <v>0</v>
      </c>
    </row>
    <row r="427">
      <c r="A427" s="23"/>
      <c r="B427" s="23"/>
      <c r="C427" s="23"/>
      <c r="D427" s="23"/>
      <c r="E427" s="23"/>
      <c r="F427" s="23"/>
      <c r="G427" s="23"/>
      <c r="H427" s="20"/>
      <c r="I427" s="20"/>
      <c r="J427" s="20"/>
      <c r="K427" s="20"/>
      <c r="L427" s="20"/>
      <c r="M427" s="20"/>
      <c r="N427" s="6" t="str">
        <f t="array" ref="N427">XLOOKUP($B427, XLOOKUP("Tracking Number", Orders!$1:$1, Orders!$A:$AAA), XLOOKUP("Courier Fee", Orders!$1:$1, Orders!$A:$AAA), "Not Found")</f>
        <v>Not Found</v>
      </c>
      <c r="O427" s="6">
        <f t="shared" si="1"/>
        <v>0</v>
      </c>
      <c r="P427" s="6">
        <f t="shared" si="2"/>
        <v>0</v>
      </c>
    </row>
    <row r="428">
      <c r="A428" s="23"/>
      <c r="B428" s="23"/>
      <c r="C428" s="23"/>
      <c r="D428" s="23"/>
      <c r="E428" s="23"/>
      <c r="F428" s="23"/>
      <c r="G428" s="23"/>
      <c r="H428" s="20"/>
      <c r="I428" s="20"/>
      <c r="J428" s="20"/>
      <c r="K428" s="20"/>
      <c r="L428" s="20"/>
      <c r="M428" s="20"/>
      <c r="N428" s="6" t="str">
        <f t="array" ref="N428">XLOOKUP($B428, XLOOKUP("Tracking Number", Orders!$1:$1, Orders!$A:$AAA), XLOOKUP("Courier Fee", Orders!$1:$1, Orders!$A:$AAA), "Not Found")</f>
        <v>Not Found</v>
      </c>
      <c r="O428" s="6">
        <f t="shared" si="1"/>
        <v>0</v>
      </c>
      <c r="P428" s="6">
        <f t="shared" si="2"/>
        <v>0</v>
      </c>
    </row>
    <row r="429">
      <c r="A429" s="23"/>
      <c r="B429" s="23"/>
      <c r="C429" s="23"/>
      <c r="D429" s="23"/>
      <c r="E429" s="23"/>
      <c r="F429" s="23"/>
      <c r="G429" s="23"/>
      <c r="H429" s="20"/>
      <c r="I429" s="20"/>
      <c r="J429" s="20"/>
      <c r="K429" s="20"/>
      <c r="L429" s="20"/>
      <c r="M429" s="20"/>
      <c r="N429" s="6" t="str">
        <f t="array" ref="N429">XLOOKUP($B429, XLOOKUP("Tracking Number", Orders!$1:$1, Orders!$A:$AAA), XLOOKUP("Courier Fee", Orders!$1:$1, Orders!$A:$AAA), "Not Found")</f>
        <v>Not Found</v>
      </c>
      <c r="O429" s="6">
        <f t="shared" si="1"/>
        <v>0</v>
      </c>
      <c r="P429" s="6">
        <f t="shared" si="2"/>
        <v>0</v>
      </c>
    </row>
    <row r="430">
      <c r="A430" s="23"/>
      <c r="B430" s="23"/>
      <c r="C430" s="23"/>
      <c r="D430" s="23"/>
      <c r="E430" s="23"/>
      <c r="F430" s="23"/>
      <c r="G430" s="23"/>
      <c r="H430" s="20"/>
      <c r="I430" s="20"/>
      <c r="J430" s="20"/>
      <c r="K430" s="20"/>
      <c r="L430" s="20"/>
      <c r="M430" s="20"/>
      <c r="N430" s="6" t="str">
        <f t="array" ref="N430">XLOOKUP($B430, XLOOKUP("Tracking Number", Orders!$1:$1, Orders!$A:$AAA), XLOOKUP("Courier Fee", Orders!$1:$1, Orders!$A:$AAA), "Not Found")</f>
        <v>Not Found</v>
      </c>
      <c r="O430" s="6">
        <f t="shared" si="1"/>
        <v>0</v>
      </c>
      <c r="P430" s="6">
        <f t="shared" si="2"/>
        <v>0</v>
      </c>
    </row>
    <row r="431">
      <c r="A431" s="23"/>
      <c r="B431" s="23"/>
      <c r="C431" s="23"/>
      <c r="D431" s="23"/>
      <c r="E431" s="23"/>
      <c r="F431" s="23"/>
      <c r="G431" s="23"/>
      <c r="H431" s="20"/>
      <c r="I431" s="20"/>
      <c r="J431" s="20"/>
      <c r="K431" s="20"/>
      <c r="L431" s="20"/>
      <c r="M431" s="20"/>
      <c r="N431" s="6" t="str">
        <f t="array" ref="N431">XLOOKUP($B431, XLOOKUP("Tracking Number", Orders!$1:$1, Orders!$A:$AAA), XLOOKUP("Courier Fee", Orders!$1:$1, Orders!$A:$AAA), "Not Found")</f>
        <v>Not Found</v>
      </c>
      <c r="O431" s="6">
        <f t="shared" si="1"/>
        <v>0</v>
      </c>
      <c r="P431" s="6">
        <f t="shared" si="2"/>
        <v>0</v>
      </c>
    </row>
    <row r="432">
      <c r="A432" s="23"/>
      <c r="B432" s="23"/>
      <c r="C432" s="23"/>
      <c r="D432" s="23"/>
      <c r="E432" s="23"/>
      <c r="F432" s="23"/>
      <c r="G432" s="23"/>
      <c r="H432" s="20"/>
      <c r="I432" s="20"/>
      <c r="J432" s="20"/>
      <c r="K432" s="20"/>
      <c r="L432" s="20"/>
      <c r="M432" s="20"/>
      <c r="N432" s="6" t="str">
        <f t="array" ref="N432">XLOOKUP($B432, XLOOKUP("Tracking Number", Orders!$1:$1, Orders!$A:$AAA), XLOOKUP("Courier Fee", Orders!$1:$1, Orders!$A:$AAA), "Not Found")</f>
        <v>Not Found</v>
      </c>
      <c r="O432" s="6">
        <f t="shared" si="1"/>
        <v>0</v>
      </c>
      <c r="P432" s="6">
        <f t="shared" si="2"/>
        <v>0</v>
      </c>
    </row>
    <row r="433">
      <c r="A433" s="23"/>
      <c r="B433" s="23"/>
      <c r="C433" s="23"/>
      <c r="D433" s="23"/>
      <c r="E433" s="23"/>
      <c r="F433" s="23"/>
      <c r="G433" s="23"/>
      <c r="H433" s="20"/>
      <c r="I433" s="20"/>
      <c r="J433" s="20"/>
      <c r="K433" s="20"/>
      <c r="L433" s="20"/>
      <c r="M433" s="20"/>
      <c r="N433" s="6" t="str">
        <f t="array" ref="N433">XLOOKUP($B433, XLOOKUP("Tracking Number", Orders!$1:$1, Orders!$A:$AAA), XLOOKUP("Courier Fee", Orders!$1:$1, Orders!$A:$AAA), "Not Found")</f>
        <v>Not Found</v>
      </c>
      <c r="O433" s="6">
        <f t="shared" si="1"/>
        <v>0</v>
      </c>
      <c r="P433" s="6">
        <f t="shared" si="2"/>
        <v>0</v>
      </c>
    </row>
    <row r="434">
      <c r="A434" s="23"/>
      <c r="B434" s="23"/>
      <c r="C434" s="23"/>
      <c r="D434" s="23"/>
      <c r="E434" s="23"/>
      <c r="F434" s="23"/>
      <c r="G434" s="23"/>
      <c r="H434" s="20"/>
      <c r="I434" s="20"/>
      <c r="J434" s="20"/>
      <c r="K434" s="20"/>
      <c r="L434" s="20"/>
      <c r="M434" s="20"/>
      <c r="N434" s="6" t="str">
        <f t="array" ref="N434">XLOOKUP($B434, XLOOKUP("Tracking Number", Orders!$1:$1, Orders!$A:$AAA), XLOOKUP("Courier Fee", Orders!$1:$1, Orders!$A:$AAA), "Not Found")</f>
        <v>Not Found</v>
      </c>
      <c r="O434" s="6">
        <f t="shared" si="1"/>
        <v>0</v>
      </c>
      <c r="P434" s="6">
        <f t="shared" si="2"/>
        <v>0</v>
      </c>
    </row>
    <row r="435">
      <c r="A435" s="23"/>
      <c r="B435" s="23"/>
      <c r="C435" s="23"/>
      <c r="D435" s="23"/>
      <c r="E435" s="23"/>
      <c r="F435" s="23"/>
      <c r="G435" s="23"/>
      <c r="H435" s="20"/>
      <c r="I435" s="20"/>
      <c r="J435" s="20"/>
      <c r="K435" s="20"/>
      <c r="L435" s="20"/>
      <c r="M435" s="20"/>
      <c r="N435" s="6" t="str">
        <f t="array" ref="N435">XLOOKUP($B435, XLOOKUP("Tracking Number", Orders!$1:$1, Orders!$A:$AAA), XLOOKUP("Courier Fee", Orders!$1:$1, Orders!$A:$AAA), "Not Found")</f>
        <v>Not Found</v>
      </c>
      <c r="O435" s="6">
        <f t="shared" si="1"/>
        <v>0</v>
      </c>
      <c r="P435" s="6">
        <f t="shared" si="2"/>
        <v>0</v>
      </c>
    </row>
    <row r="436">
      <c r="A436" s="23"/>
      <c r="B436" s="23"/>
      <c r="C436" s="23"/>
      <c r="D436" s="23"/>
      <c r="E436" s="23"/>
      <c r="F436" s="23"/>
      <c r="G436" s="23"/>
      <c r="H436" s="20"/>
      <c r="I436" s="20"/>
      <c r="J436" s="20"/>
      <c r="K436" s="20"/>
      <c r="L436" s="20"/>
      <c r="M436" s="20"/>
      <c r="N436" s="6" t="str">
        <f t="array" ref="N436">XLOOKUP($B436, XLOOKUP("Tracking Number", Orders!$1:$1, Orders!$A:$AAA), XLOOKUP("Courier Fee", Orders!$1:$1, Orders!$A:$AAA), "Not Found")</f>
        <v>Not Found</v>
      </c>
      <c r="O436" s="6">
        <f t="shared" si="1"/>
        <v>0</v>
      </c>
      <c r="P436" s="6">
        <f t="shared" si="2"/>
        <v>0</v>
      </c>
    </row>
    <row r="437">
      <c r="A437" s="23"/>
      <c r="B437" s="23"/>
      <c r="C437" s="23"/>
      <c r="D437" s="23"/>
      <c r="E437" s="23"/>
      <c r="F437" s="23"/>
      <c r="G437" s="23"/>
      <c r="H437" s="20"/>
      <c r="I437" s="20"/>
      <c r="J437" s="20"/>
      <c r="K437" s="20"/>
      <c r="L437" s="20"/>
      <c r="M437" s="20"/>
      <c r="N437" s="6" t="str">
        <f t="array" ref="N437">XLOOKUP($B437, XLOOKUP("Tracking Number", Orders!$1:$1, Orders!$A:$AAA), XLOOKUP("Courier Fee", Orders!$1:$1, Orders!$A:$AAA), "Not Found")</f>
        <v>Not Found</v>
      </c>
      <c r="O437" s="6">
        <f t="shared" si="1"/>
        <v>0</v>
      </c>
      <c r="P437" s="6">
        <f t="shared" si="2"/>
        <v>0</v>
      </c>
    </row>
    <row r="438">
      <c r="A438" s="23"/>
      <c r="B438" s="23"/>
      <c r="C438" s="23"/>
      <c r="D438" s="23"/>
      <c r="E438" s="23"/>
      <c r="F438" s="23"/>
      <c r="G438" s="23"/>
      <c r="H438" s="20"/>
      <c r="I438" s="20"/>
      <c r="J438" s="20"/>
      <c r="K438" s="20"/>
      <c r="L438" s="20"/>
      <c r="M438" s="20"/>
      <c r="N438" s="6" t="str">
        <f t="array" ref="N438">XLOOKUP($B438, XLOOKUP("Tracking Number", Orders!$1:$1, Orders!$A:$AAA), XLOOKUP("Courier Fee", Orders!$1:$1, Orders!$A:$AAA), "Not Found")</f>
        <v>Not Found</v>
      </c>
      <c r="O438" s="6">
        <f t="shared" si="1"/>
        <v>0</v>
      </c>
      <c r="P438" s="6">
        <f t="shared" si="2"/>
        <v>0</v>
      </c>
    </row>
    <row r="439">
      <c r="A439" s="23"/>
      <c r="B439" s="23"/>
      <c r="C439" s="23"/>
      <c r="D439" s="23"/>
      <c r="E439" s="23"/>
      <c r="F439" s="23"/>
      <c r="G439" s="23"/>
      <c r="H439" s="20"/>
      <c r="I439" s="20"/>
      <c r="J439" s="20"/>
      <c r="K439" s="20"/>
      <c r="L439" s="20"/>
      <c r="M439" s="20"/>
      <c r="N439" s="6" t="str">
        <f t="array" ref="N439">XLOOKUP($B439, XLOOKUP("Tracking Number", Orders!$1:$1, Orders!$A:$AAA), XLOOKUP("Courier Fee", Orders!$1:$1, Orders!$A:$AAA), "Not Found")</f>
        <v>Not Found</v>
      </c>
      <c r="O439" s="6">
        <f t="shared" si="1"/>
        <v>0</v>
      </c>
      <c r="P439" s="6">
        <f t="shared" si="2"/>
        <v>0</v>
      </c>
    </row>
    <row r="440">
      <c r="A440" s="23"/>
      <c r="B440" s="23"/>
      <c r="C440" s="23"/>
      <c r="D440" s="23"/>
      <c r="E440" s="23"/>
      <c r="F440" s="23"/>
      <c r="G440" s="23"/>
      <c r="H440" s="20"/>
      <c r="I440" s="20"/>
      <c r="J440" s="20"/>
      <c r="K440" s="20"/>
      <c r="L440" s="20"/>
      <c r="M440" s="20"/>
      <c r="N440" s="6" t="str">
        <f t="array" ref="N440">XLOOKUP($B440, XLOOKUP("Tracking Number", Orders!$1:$1, Orders!$A:$AAA), XLOOKUP("Courier Fee", Orders!$1:$1, Orders!$A:$AAA), "Not Found")</f>
        <v>Not Found</v>
      </c>
      <c r="O440" s="6">
        <f t="shared" si="1"/>
        <v>0</v>
      </c>
      <c r="P440" s="6">
        <f t="shared" si="2"/>
        <v>0</v>
      </c>
    </row>
    <row r="441">
      <c r="A441" s="23"/>
      <c r="B441" s="23"/>
      <c r="C441" s="23"/>
      <c r="D441" s="23"/>
      <c r="E441" s="23"/>
      <c r="F441" s="23"/>
      <c r="G441" s="23"/>
      <c r="H441" s="20"/>
      <c r="I441" s="20"/>
      <c r="J441" s="20"/>
      <c r="K441" s="20"/>
      <c r="L441" s="20"/>
      <c r="M441" s="20"/>
      <c r="N441" s="6" t="str">
        <f t="array" ref="N441">XLOOKUP($B441, XLOOKUP("Tracking Number", Orders!$1:$1, Orders!$A:$AAA), XLOOKUP("Courier Fee", Orders!$1:$1, Orders!$A:$AAA), "Not Found")</f>
        <v>Not Found</v>
      </c>
      <c r="O441" s="6">
        <f t="shared" si="1"/>
        <v>0</v>
      </c>
      <c r="P441" s="6">
        <f t="shared" si="2"/>
        <v>0</v>
      </c>
    </row>
    <row r="442">
      <c r="A442" s="23"/>
      <c r="B442" s="23"/>
      <c r="C442" s="23"/>
      <c r="D442" s="23"/>
      <c r="E442" s="23"/>
      <c r="F442" s="23"/>
      <c r="G442" s="23"/>
      <c r="H442" s="20"/>
      <c r="I442" s="20"/>
      <c r="J442" s="20"/>
      <c r="K442" s="20"/>
      <c r="L442" s="20"/>
      <c r="M442" s="20"/>
      <c r="N442" s="6" t="str">
        <f t="array" ref="N442">XLOOKUP($B442, XLOOKUP("Tracking Number", Orders!$1:$1, Orders!$A:$AAA), XLOOKUP("Courier Fee", Orders!$1:$1, Orders!$A:$AAA), "Not Found")</f>
        <v>Not Found</v>
      </c>
      <c r="O442" s="6">
        <f t="shared" si="1"/>
        <v>0</v>
      </c>
      <c r="P442" s="6">
        <f t="shared" si="2"/>
        <v>0</v>
      </c>
    </row>
    <row r="443">
      <c r="A443" s="23"/>
      <c r="B443" s="23"/>
      <c r="C443" s="23"/>
      <c r="D443" s="23"/>
      <c r="E443" s="23"/>
      <c r="F443" s="23"/>
      <c r="G443" s="23"/>
      <c r="H443" s="20"/>
      <c r="I443" s="20"/>
      <c r="J443" s="20"/>
      <c r="K443" s="20"/>
      <c r="L443" s="20"/>
      <c r="M443" s="20"/>
      <c r="N443" s="6" t="str">
        <f t="array" ref="N443">XLOOKUP($B443, XLOOKUP("Tracking Number", Orders!$1:$1, Orders!$A:$AAA), XLOOKUP("Courier Fee", Orders!$1:$1, Orders!$A:$AAA), "Not Found")</f>
        <v>Not Found</v>
      </c>
      <c r="O443" s="6">
        <f t="shared" si="1"/>
        <v>0</v>
      </c>
      <c r="P443" s="6">
        <f t="shared" si="2"/>
        <v>0</v>
      </c>
    </row>
    <row r="444">
      <c r="A444" s="23"/>
      <c r="B444" s="23"/>
      <c r="C444" s="23"/>
      <c r="D444" s="23"/>
      <c r="E444" s="23"/>
      <c r="F444" s="23"/>
      <c r="G444" s="23"/>
      <c r="H444" s="20"/>
      <c r="I444" s="20"/>
      <c r="J444" s="20"/>
      <c r="K444" s="20"/>
      <c r="L444" s="20"/>
      <c r="M444" s="20"/>
      <c r="N444" s="6" t="str">
        <f t="array" ref="N444">XLOOKUP($B444, XLOOKUP("Tracking Number", Orders!$1:$1, Orders!$A:$AAA), XLOOKUP("Courier Fee", Orders!$1:$1, Orders!$A:$AAA), "Not Found")</f>
        <v>Not Found</v>
      </c>
      <c r="O444" s="6">
        <f t="shared" si="1"/>
        <v>0</v>
      </c>
      <c r="P444" s="6">
        <f t="shared" si="2"/>
        <v>0</v>
      </c>
    </row>
    <row r="445">
      <c r="A445" s="23"/>
      <c r="B445" s="23"/>
      <c r="C445" s="23"/>
      <c r="D445" s="23"/>
      <c r="E445" s="23"/>
      <c r="F445" s="23"/>
      <c r="G445" s="23"/>
      <c r="H445" s="20"/>
      <c r="I445" s="20"/>
      <c r="J445" s="20"/>
      <c r="K445" s="20"/>
      <c r="L445" s="20"/>
      <c r="M445" s="20"/>
      <c r="N445" s="6" t="str">
        <f t="array" ref="N445">XLOOKUP($B445, XLOOKUP("Tracking Number", Orders!$1:$1, Orders!$A:$AAA), XLOOKUP("Courier Fee", Orders!$1:$1, Orders!$A:$AAA), "Not Found")</f>
        <v>Not Found</v>
      </c>
      <c r="O445" s="6">
        <f t="shared" si="1"/>
        <v>0</v>
      </c>
      <c r="P445" s="6">
        <f t="shared" si="2"/>
        <v>0</v>
      </c>
    </row>
    <row r="446">
      <c r="A446" s="23"/>
      <c r="B446" s="23"/>
      <c r="C446" s="23"/>
      <c r="D446" s="23"/>
      <c r="E446" s="23"/>
      <c r="F446" s="23"/>
      <c r="G446" s="23"/>
      <c r="H446" s="20"/>
      <c r="I446" s="20"/>
      <c r="J446" s="20"/>
      <c r="K446" s="20"/>
      <c r="L446" s="20"/>
      <c r="M446" s="20"/>
      <c r="N446" s="6" t="str">
        <f t="array" ref="N446">XLOOKUP($B446, XLOOKUP("Tracking Number", Orders!$1:$1, Orders!$A:$AAA), XLOOKUP("Courier Fee", Orders!$1:$1, Orders!$A:$AAA), "Not Found")</f>
        <v>Not Found</v>
      </c>
      <c r="O446" s="6">
        <f t="shared" si="1"/>
        <v>0</v>
      </c>
      <c r="P446" s="6">
        <f t="shared" si="2"/>
        <v>0</v>
      </c>
    </row>
    <row r="447">
      <c r="A447" s="23"/>
      <c r="B447" s="23"/>
      <c r="C447" s="23"/>
      <c r="D447" s="23"/>
      <c r="E447" s="23"/>
      <c r="F447" s="23"/>
      <c r="G447" s="23"/>
      <c r="H447" s="20"/>
      <c r="I447" s="20"/>
      <c r="J447" s="20"/>
      <c r="K447" s="20"/>
      <c r="L447" s="20"/>
      <c r="M447" s="20"/>
      <c r="N447" s="6" t="str">
        <f t="array" ref="N447">XLOOKUP($B447, XLOOKUP("Tracking Number", Orders!$1:$1, Orders!$A:$AAA), XLOOKUP("Courier Fee", Orders!$1:$1, Orders!$A:$AAA), "Not Found")</f>
        <v>Not Found</v>
      </c>
      <c r="O447" s="6">
        <f t="shared" si="1"/>
        <v>0</v>
      </c>
      <c r="P447" s="6">
        <f t="shared" si="2"/>
        <v>0</v>
      </c>
    </row>
    <row r="448">
      <c r="A448" s="23"/>
      <c r="B448" s="23"/>
      <c r="C448" s="23"/>
      <c r="D448" s="23"/>
      <c r="E448" s="23"/>
      <c r="F448" s="23"/>
      <c r="G448" s="23"/>
      <c r="H448" s="20"/>
      <c r="I448" s="20"/>
      <c r="J448" s="20"/>
      <c r="K448" s="20"/>
      <c r="L448" s="20"/>
      <c r="M448" s="20"/>
      <c r="N448" s="6" t="str">
        <f t="array" ref="N448">XLOOKUP($B448, XLOOKUP("Tracking Number", Orders!$1:$1, Orders!$A:$AAA), XLOOKUP("Courier Fee", Orders!$1:$1, Orders!$A:$AAA), "Not Found")</f>
        <v>Not Found</v>
      </c>
      <c r="O448" s="6">
        <f t="shared" si="1"/>
        <v>0</v>
      </c>
      <c r="P448" s="6">
        <f t="shared" si="2"/>
        <v>0</v>
      </c>
    </row>
    <row r="449">
      <c r="A449" s="23"/>
      <c r="B449" s="23"/>
      <c r="C449" s="23"/>
      <c r="D449" s="23"/>
      <c r="E449" s="23"/>
      <c r="F449" s="23"/>
      <c r="G449" s="23"/>
      <c r="H449" s="20"/>
      <c r="I449" s="20"/>
      <c r="J449" s="20"/>
      <c r="K449" s="20"/>
      <c r="L449" s="20"/>
      <c r="M449" s="20"/>
      <c r="N449" s="6" t="str">
        <f t="array" ref="N449">XLOOKUP($B449, XLOOKUP("Tracking Number", Orders!$1:$1, Orders!$A:$AAA), XLOOKUP("Courier Fee", Orders!$1:$1, Orders!$A:$AAA), "Not Found")</f>
        <v>Not Found</v>
      </c>
      <c r="O449" s="6">
        <f t="shared" si="1"/>
        <v>0</v>
      </c>
      <c r="P449" s="6">
        <f t="shared" si="2"/>
        <v>0</v>
      </c>
    </row>
    <row r="450">
      <c r="A450" s="23"/>
      <c r="B450" s="23"/>
      <c r="C450" s="23"/>
      <c r="D450" s="23"/>
      <c r="E450" s="23"/>
      <c r="F450" s="23"/>
      <c r="G450" s="23"/>
      <c r="H450" s="20"/>
      <c r="I450" s="20"/>
      <c r="J450" s="20"/>
      <c r="K450" s="20"/>
      <c r="L450" s="20"/>
      <c r="M450" s="20"/>
      <c r="N450" s="6" t="str">
        <f t="array" ref="N450">XLOOKUP($B450, XLOOKUP("Tracking Number", Orders!$1:$1, Orders!$A:$AAA), XLOOKUP("Courier Fee", Orders!$1:$1, Orders!$A:$AAA), "Not Found")</f>
        <v>Not Found</v>
      </c>
      <c r="O450" s="6">
        <f t="shared" si="1"/>
        <v>0</v>
      </c>
      <c r="P450" s="6">
        <f t="shared" si="2"/>
        <v>0</v>
      </c>
    </row>
    <row r="451">
      <c r="A451" s="23"/>
      <c r="B451" s="23"/>
      <c r="C451" s="23"/>
      <c r="D451" s="23"/>
      <c r="E451" s="23"/>
      <c r="F451" s="23"/>
      <c r="G451" s="23"/>
      <c r="H451" s="20"/>
      <c r="I451" s="20"/>
      <c r="J451" s="20"/>
      <c r="K451" s="20"/>
      <c r="L451" s="20"/>
      <c r="M451" s="20"/>
      <c r="N451" s="6" t="str">
        <f t="array" ref="N451">XLOOKUP($B451, XLOOKUP("Tracking Number", Orders!$1:$1, Orders!$A:$AAA), XLOOKUP("Courier Fee", Orders!$1:$1, Orders!$A:$AAA), "Not Found")</f>
        <v>Not Found</v>
      </c>
      <c r="O451" s="6">
        <f t="shared" si="1"/>
        <v>0</v>
      </c>
      <c r="P451" s="6">
        <f t="shared" si="2"/>
        <v>0</v>
      </c>
    </row>
    <row r="452">
      <c r="A452" s="23"/>
      <c r="B452" s="23"/>
      <c r="C452" s="23"/>
      <c r="D452" s="23"/>
      <c r="E452" s="23"/>
      <c r="F452" s="23"/>
      <c r="G452" s="23"/>
      <c r="H452" s="20"/>
      <c r="I452" s="20"/>
      <c r="J452" s="20"/>
      <c r="K452" s="20"/>
      <c r="L452" s="20"/>
      <c r="M452" s="20"/>
      <c r="N452" s="6" t="str">
        <f t="array" ref="N452">XLOOKUP($B452, XLOOKUP("Tracking Number", Orders!$1:$1, Orders!$A:$AAA), XLOOKUP("Courier Fee", Orders!$1:$1, Orders!$A:$AAA), "Not Found")</f>
        <v>Not Found</v>
      </c>
      <c r="O452" s="6">
        <f t="shared" si="1"/>
        <v>0</v>
      </c>
      <c r="P452" s="6">
        <f t="shared" si="2"/>
        <v>0</v>
      </c>
    </row>
    <row r="453">
      <c r="A453" s="23"/>
      <c r="B453" s="23"/>
      <c r="C453" s="23"/>
      <c r="D453" s="23"/>
      <c r="E453" s="23"/>
      <c r="F453" s="23"/>
      <c r="G453" s="23"/>
      <c r="H453" s="20"/>
      <c r="I453" s="20"/>
      <c r="J453" s="20"/>
      <c r="K453" s="20"/>
      <c r="L453" s="20"/>
      <c r="M453" s="20"/>
      <c r="N453" s="6" t="str">
        <f t="array" ref="N453">XLOOKUP($B453, XLOOKUP("Tracking Number", Orders!$1:$1, Orders!$A:$AAA), XLOOKUP("Courier Fee", Orders!$1:$1, Orders!$A:$AAA), "Not Found")</f>
        <v>Not Found</v>
      </c>
      <c r="O453" s="6">
        <f t="shared" si="1"/>
        <v>0</v>
      </c>
      <c r="P453" s="6">
        <f t="shared" si="2"/>
        <v>0</v>
      </c>
    </row>
    <row r="454">
      <c r="A454" s="23"/>
      <c r="B454" s="23"/>
      <c r="C454" s="23"/>
      <c r="D454" s="23"/>
      <c r="E454" s="23"/>
      <c r="F454" s="23"/>
      <c r="G454" s="23"/>
      <c r="H454" s="20"/>
      <c r="I454" s="20"/>
      <c r="J454" s="20"/>
      <c r="K454" s="20"/>
      <c r="L454" s="20"/>
      <c r="M454" s="20"/>
      <c r="N454" s="6" t="str">
        <f t="array" ref="N454">XLOOKUP($B454, XLOOKUP("Tracking Number", Orders!$1:$1, Orders!$A:$AAA), XLOOKUP("Courier Fee", Orders!$1:$1, Orders!$A:$AAA), "Not Found")</f>
        <v>Not Found</v>
      </c>
      <c r="O454" s="6">
        <f t="shared" si="1"/>
        <v>0</v>
      </c>
      <c r="P454" s="6">
        <f t="shared" si="2"/>
        <v>0</v>
      </c>
    </row>
    <row r="455">
      <c r="A455" s="23"/>
      <c r="B455" s="23"/>
      <c r="C455" s="23"/>
      <c r="D455" s="23"/>
      <c r="E455" s="23"/>
      <c r="F455" s="23"/>
      <c r="G455" s="23"/>
      <c r="H455" s="20"/>
      <c r="I455" s="20"/>
      <c r="J455" s="20"/>
      <c r="K455" s="20"/>
      <c r="L455" s="20"/>
      <c r="M455" s="20"/>
      <c r="N455" s="6" t="str">
        <f t="array" ref="N455">XLOOKUP($B455, XLOOKUP("Tracking Number", Orders!$1:$1, Orders!$A:$AAA), XLOOKUP("Courier Fee", Orders!$1:$1, Orders!$A:$AAA), "Not Found")</f>
        <v>Not Found</v>
      </c>
      <c r="O455" s="6">
        <f t="shared" si="1"/>
        <v>0</v>
      </c>
      <c r="P455" s="6">
        <f t="shared" si="2"/>
        <v>0</v>
      </c>
    </row>
    <row r="456">
      <c r="A456" s="23"/>
      <c r="B456" s="23"/>
      <c r="C456" s="23"/>
      <c r="D456" s="23"/>
      <c r="E456" s="23"/>
      <c r="F456" s="23"/>
      <c r="G456" s="23"/>
      <c r="H456" s="20"/>
      <c r="I456" s="20"/>
      <c r="J456" s="20"/>
      <c r="K456" s="20"/>
      <c r="L456" s="20"/>
      <c r="M456" s="20"/>
      <c r="N456" s="6" t="str">
        <f t="array" ref="N456">XLOOKUP($B456, XLOOKUP("Tracking Number", Orders!$1:$1, Orders!$A:$AAA), XLOOKUP("Courier Fee", Orders!$1:$1, Orders!$A:$AAA), "Not Found")</f>
        <v>Not Found</v>
      </c>
      <c r="O456" s="6">
        <f t="shared" si="1"/>
        <v>0</v>
      </c>
      <c r="P456" s="6">
        <f t="shared" si="2"/>
        <v>0</v>
      </c>
    </row>
    <row r="457">
      <c r="A457" s="23"/>
      <c r="B457" s="23"/>
      <c r="C457" s="23"/>
      <c r="D457" s="23"/>
      <c r="E457" s="23"/>
      <c r="F457" s="23"/>
      <c r="G457" s="23"/>
      <c r="H457" s="20"/>
      <c r="I457" s="20"/>
      <c r="J457" s="20"/>
      <c r="K457" s="20"/>
      <c r="L457" s="20"/>
      <c r="M457" s="20"/>
      <c r="N457" s="6" t="str">
        <f t="array" ref="N457">XLOOKUP($B457, XLOOKUP("Tracking Number", Orders!$1:$1, Orders!$A:$AAA), XLOOKUP("Courier Fee", Orders!$1:$1, Orders!$A:$AAA), "Not Found")</f>
        <v>Not Found</v>
      </c>
      <c r="O457" s="6">
        <f t="shared" si="1"/>
        <v>0</v>
      </c>
      <c r="P457" s="6">
        <f t="shared" si="2"/>
        <v>0</v>
      </c>
    </row>
    <row r="458">
      <c r="A458" s="23"/>
      <c r="B458" s="23"/>
      <c r="C458" s="23"/>
      <c r="D458" s="23"/>
      <c r="E458" s="23"/>
      <c r="F458" s="23"/>
      <c r="G458" s="23"/>
      <c r="H458" s="20"/>
      <c r="I458" s="20"/>
      <c r="J458" s="20"/>
      <c r="K458" s="20"/>
      <c r="L458" s="20"/>
      <c r="M458" s="20"/>
      <c r="N458" s="6" t="str">
        <f t="array" ref="N458">XLOOKUP($B458, XLOOKUP("Tracking Number", Orders!$1:$1, Orders!$A:$AAA), XLOOKUP("Courier Fee", Orders!$1:$1, Orders!$A:$AAA), "Not Found")</f>
        <v>Not Found</v>
      </c>
      <c r="O458" s="6">
        <f t="shared" si="1"/>
        <v>0</v>
      </c>
      <c r="P458" s="6">
        <f t="shared" si="2"/>
        <v>0</v>
      </c>
    </row>
    <row r="459">
      <c r="A459" s="23"/>
      <c r="B459" s="23"/>
      <c r="C459" s="23"/>
      <c r="D459" s="23"/>
      <c r="E459" s="23"/>
      <c r="F459" s="23"/>
      <c r="G459" s="23"/>
      <c r="H459" s="20"/>
      <c r="I459" s="20"/>
      <c r="J459" s="20"/>
      <c r="K459" s="20"/>
      <c r="L459" s="20"/>
      <c r="M459" s="20"/>
      <c r="N459" s="6" t="str">
        <f t="array" ref="N459">XLOOKUP($B459, XLOOKUP("Tracking Number", Orders!$1:$1, Orders!$A:$AAA), XLOOKUP("Courier Fee", Orders!$1:$1, Orders!$A:$AAA), "Not Found")</f>
        <v>Not Found</v>
      </c>
      <c r="O459" s="6">
        <f t="shared" si="1"/>
        <v>0</v>
      </c>
      <c r="P459" s="6">
        <f t="shared" si="2"/>
        <v>0</v>
      </c>
    </row>
    <row r="460">
      <c r="A460" s="23"/>
      <c r="B460" s="23"/>
      <c r="C460" s="23"/>
      <c r="D460" s="23"/>
      <c r="E460" s="23"/>
      <c r="F460" s="23"/>
      <c r="G460" s="23"/>
      <c r="H460" s="20"/>
      <c r="I460" s="20"/>
      <c r="J460" s="20"/>
      <c r="K460" s="20"/>
      <c r="L460" s="20"/>
      <c r="M460" s="20"/>
      <c r="N460" s="6" t="str">
        <f t="array" ref="N460">XLOOKUP($B460, XLOOKUP("Tracking Number", Orders!$1:$1, Orders!$A:$AAA), XLOOKUP("Courier Fee", Orders!$1:$1, Orders!$A:$AAA), "Not Found")</f>
        <v>Not Found</v>
      </c>
      <c r="O460" s="6">
        <f t="shared" si="1"/>
        <v>0</v>
      </c>
      <c r="P460" s="6">
        <f t="shared" si="2"/>
        <v>0</v>
      </c>
    </row>
    <row r="461">
      <c r="A461" s="23"/>
      <c r="B461" s="23"/>
      <c r="C461" s="23"/>
      <c r="D461" s="23"/>
      <c r="E461" s="23"/>
      <c r="F461" s="23"/>
      <c r="G461" s="23"/>
      <c r="H461" s="20"/>
      <c r="I461" s="20"/>
      <c r="J461" s="20"/>
      <c r="K461" s="20"/>
      <c r="L461" s="20"/>
      <c r="M461" s="20"/>
      <c r="N461" s="6" t="str">
        <f t="array" ref="N461">XLOOKUP($B461, XLOOKUP("Tracking Number", Orders!$1:$1, Orders!$A:$AAA), XLOOKUP("Courier Fee", Orders!$1:$1, Orders!$A:$AAA), "Not Found")</f>
        <v>Not Found</v>
      </c>
      <c r="O461" s="6">
        <f t="shared" si="1"/>
        <v>0</v>
      </c>
      <c r="P461" s="6">
        <f t="shared" si="2"/>
        <v>0</v>
      </c>
    </row>
    <row r="462">
      <c r="A462" s="23"/>
      <c r="B462" s="23"/>
      <c r="C462" s="23"/>
      <c r="D462" s="23"/>
      <c r="E462" s="23"/>
      <c r="F462" s="23"/>
      <c r="G462" s="23"/>
      <c r="H462" s="20"/>
      <c r="I462" s="20"/>
      <c r="J462" s="20"/>
      <c r="K462" s="20"/>
      <c r="L462" s="20"/>
      <c r="M462" s="20"/>
      <c r="N462" s="6" t="str">
        <f t="array" ref="N462">XLOOKUP($B462, XLOOKUP("Tracking Number", Orders!$1:$1, Orders!$A:$AAA), XLOOKUP("Courier Fee", Orders!$1:$1, Orders!$A:$AAA), "Not Found")</f>
        <v>Not Found</v>
      </c>
      <c r="O462" s="6">
        <f t="shared" si="1"/>
        <v>0</v>
      </c>
      <c r="P462" s="6">
        <f t="shared" si="2"/>
        <v>0</v>
      </c>
    </row>
    <row r="463">
      <c r="A463" s="23"/>
      <c r="B463" s="23"/>
      <c r="C463" s="23"/>
      <c r="D463" s="23"/>
      <c r="E463" s="23"/>
      <c r="F463" s="23"/>
      <c r="G463" s="23"/>
      <c r="H463" s="20"/>
      <c r="I463" s="20"/>
      <c r="J463" s="20"/>
      <c r="K463" s="20"/>
      <c r="L463" s="20"/>
      <c r="M463" s="20"/>
      <c r="N463" s="6" t="str">
        <f t="array" ref="N463">XLOOKUP($B463, XLOOKUP("Tracking Number", Orders!$1:$1, Orders!$A:$AAA), XLOOKUP("Courier Fee", Orders!$1:$1, Orders!$A:$AAA), "Not Found")</f>
        <v>Not Found</v>
      </c>
      <c r="O463" s="6">
        <f t="shared" si="1"/>
        <v>0</v>
      </c>
      <c r="P463" s="6">
        <f t="shared" si="2"/>
        <v>0</v>
      </c>
    </row>
    <row r="464">
      <c r="A464" s="23"/>
      <c r="B464" s="23"/>
      <c r="C464" s="23"/>
      <c r="D464" s="23"/>
      <c r="E464" s="23"/>
      <c r="F464" s="23"/>
      <c r="G464" s="23"/>
      <c r="H464" s="20"/>
      <c r="I464" s="20"/>
      <c r="J464" s="20"/>
      <c r="K464" s="20"/>
      <c r="L464" s="20"/>
      <c r="M464" s="20"/>
      <c r="N464" s="6" t="str">
        <f t="array" ref="N464">XLOOKUP($B464, XLOOKUP("Tracking Number", Orders!$1:$1, Orders!$A:$AAA), XLOOKUP("Courier Fee", Orders!$1:$1, Orders!$A:$AAA), "Not Found")</f>
        <v>Not Found</v>
      </c>
      <c r="O464" s="6">
        <f t="shared" si="1"/>
        <v>0</v>
      </c>
      <c r="P464" s="6">
        <f t="shared" si="2"/>
        <v>0</v>
      </c>
    </row>
    <row r="465">
      <c r="A465" s="23"/>
      <c r="B465" s="23"/>
      <c r="C465" s="23"/>
      <c r="D465" s="23"/>
      <c r="E465" s="23"/>
      <c r="F465" s="23"/>
      <c r="G465" s="23"/>
      <c r="H465" s="20"/>
      <c r="I465" s="20"/>
      <c r="J465" s="20"/>
      <c r="K465" s="20"/>
      <c r="L465" s="20"/>
      <c r="M465" s="20"/>
      <c r="N465" s="6" t="str">
        <f t="array" ref="N465">XLOOKUP($B465, XLOOKUP("Tracking Number", Orders!$1:$1, Orders!$A:$AAA), XLOOKUP("Courier Fee", Orders!$1:$1, Orders!$A:$AAA), "Not Found")</f>
        <v>Not Found</v>
      </c>
      <c r="O465" s="6">
        <f t="shared" si="1"/>
        <v>0</v>
      </c>
      <c r="P465" s="6">
        <f t="shared" si="2"/>
        <v>0</v>
      </c>
    </row>
    <row r="466">
      <c r="A466" s="23"/>
      <c r="B466" s="23"/>
      <c r="C466" s="23"/>
      <c r="D466" s="23"/>
      <c r="E466" s="23"/>
      <c r="F466" s="23"/>
      <c r="G466" s="23"/>
      <c r="H466" s="20"/>
      <c r="I466" s="20"/>
      <c r="J466" s="20"/>
      <c r="K466" s="20"/>
      <c r="L466" s="20"/>
      <c r="M466" s="20"/>
      <c r="N466" s="6" t="str">
        <f t="array" ref="N466">XLOOKUP($B466, XLOOKUP("Tracking Number", Orders!$1:$1, Orders!$A:$AAA), XLOOKUP("Courier Fee", Orders!$1:$1, Orders!$A:$AAA), "Not Found")</f>
        <v>Not Found</v>
      </c>
      <c r="O466" s="6">
        <f t="shared" si="1"/>
        <v>0</v>
      </c>
      <c r="P466" s="6">
        <f t="shared" si="2"/>
        <v>0</v>
      </c>
    </row>
    <row r="467">
      <c r="A467" s="23"/>
      <c r="B467" s="23"/>
      <c r="C467" s="23"/>
      <c r="D467" s="23"/>
      <c r="E467" s="23"/>
      <c r="F467" s="23"/>
      <c r="G467" s="23"/>
      <c r="H467" s="20"/>
      <c r="I467" s="20"/>
      <c r="J467" s="20"/>
      <c r="K467" s="20"/>
      <c r="L467" s="20"/>
      <c r="M467" s="20"/>
      <c r="N467" s="6" t="str">
        <f t="array" ref="N467">XLOOKUP($B467, XLOOKUP("Tracking Number", Orders!$1:$1, Orders!$A:$AAA), XLOOKUP("Courier Fee", Orders!$1:$1, Orders!$A:$AAA), "Not Found")</f>
        <v>Not Found</v>
      </c>
      <c r="O467" s="6">
        <f t="shared" si="1"/>
        <v>0</v>
      </c>
      <c r="P467" s="6">
        <f t="shared" si="2"/>
        <v>0</v>
      </c>
    </row>
    <row r="468">
      <c r="A468" s="23"/>
      <c r="B468" s="23"/>
      <c r="C468" s="23"/>
      <c r="D468" s="23"/>
      <c r="E468" s="23"/>
      <c r="F468" s="23"/>
      <c r="G468" s="23"/>
      <c r="H468" s="20"/>
      <c r="I468" s="20"/>
      <c r="J468" s="20"/>
      <c r="K468" s="20"/>
      <c r="L468" s="20"/>
      <c r="M468" s="20"/>
      <c r="N468" s="6" t="str">
        <f t="array" ref="N468">XLOOKUP($B468, XLOOKUP("Tracking Number", Orders!$1:$1, Orders!$A:$AAA), XLOOKUP("Courier Fee", Orders!$1:$1, Orders!$A:$AAA), "Not Found")</f>
        <v>Not Found</v>
      </c>
      <c r="O468" s="6">
        <f t="shared" si="1"/>
        <v>0</v>
      </c>
      <c r="P468" s="6">
        <f t="shared" si="2"/>
        <v>0</v>
      </c>
    </row>
    <row r="469">
      <c r="A469" s="23"/>
      <c r="B469" s="23"/>
      <c r="C469" s="23"/>
      <c r="D469" s="23"/>
      <c r="E469" s="23"/>
      <c r="F469" s="23"/>
      <c r="G469" s="23"/>
      <c r="H469" s="20"/>
      <c r="I469" s="20"/>
      <c r="J469" s="20"/>
      <c r="K469" s="20"/>
      <c r="L469" s="20"/>
      <c r="M469" s="20"/>
      <c r="N469" s="6" t="str">
        <f t="array" ref="N469">XLOOKUP($B469, XLOOKUP("Tracking Number", Orders!$1:$1, Orders!$A:$AAA), XLOOKUP("Courier Fee", Orders!$1:$1, Orders!$A:$AAA), "Not Found")</f>
        <v>Not Found</v>
      </c>
      <c r="O469" s="6">
        <f t="shared" si="1"/>
        <v>0</v>
      </c>
      <c r="P469" s="6">
        <f t="shared" si="2"/>
        <v>0</v>
      </c>
    </row>
    <row r="470">
      <c r="A470" s="23"/>
      <c r="B470" s="23"/>
      <c r="C470" s="23"/>
      <c r="D470" s="23"/>
      <c r="E470" s="23"/>
      <c r="F470" s="23"/>
      <c r="G470" s="23"/>
      <c r="H470" s="20"/>
      <c r="I470" s="20"/>
      <c r="J470" s="20"/>
      <c r="K470" s="20"/>
      <c r="L470" s="20"/>
      <c r="M470" s="20"/>
      <c r="N470" s="6" t="str">
        <f t="array" ref="N470">XLOOKUP($B470, XLOOKUP("Tracking Number", Orders!$1:$1, Orders!$A:$AAA), XLOOKUP("Courier Fee", Orders!$1:$1, Orders!$A:$AAA), "Not Found")</f>
        <v>Not Found</v>
      </c>
      <c r="O470" s="6">
        <f t="shared" si="1"/>
        <v>0</v>
      </c>
      <c r="P470" s="6">
        <f t="shared" si="2"/>
        <v>0</v>
      </c>
    </row>
    <row r="471">
      <c r="A471" s="23"/>
      <c r="B471" s="23"/>
      <c r="C471" s="23"/>
      <c r="D471" s="23"/>
      <c r="E471" s="23"/>
      <c r="F471" s="23"/>
      <c r="G471" s="23"/>
      <c r="H471" s="20"/>
      <c r="I471" s="20"/>
      <c r="J471" s="20"/>
      <c r="K471" s="20"/>
      <c r="L471" s="20"/>
      <c r="M471" s="20"/>
      <c r="N471" s="6" t="str">
        <f t="array" ref="N471">XLOOKUP($B471, XLOOKUP("Tracking Number", Orders!$1:$1, Orders!$A:$AAA), XLOOKUP("Courier Fee", Orders!$1:$1, Orders!$A:$AAA), "Not Found")</f>
        <v>Not Found</v>
      </c>
      <c r="O471" s="6">
        <f t="shared" si="1"/>
        <v>0</v>
      </c>
      <c r="P471" s="6">
        <f t="shared" si="2"/>
        <v>0</v>
      </c>
    </row>
    <row r="472">
      <c r="A472" s="23"/>
      <c r="B472" s="23"/>
      <c r="C472" s="23"/>
      <c r="D472" s="23"/>
      <c r="E472" s="23"/>
      <c r="F472" s="23"/>
      <c r="G472" s="23"/>
      <c r="H472" s="20"/>
      <c r="I472" s="20"/>
      <c r="J472" s="20"/>
      <c r="K472" s="20"/>
      <c r="L472" s="20"/>
      <c r="M472" s="20"/>
      <c r="N472" s="6" t="str">
        <f t="array" ref="N472">XLOOKUP($B472, XLOOKUP("Tracking Number", Orders!$1:$1, Orders!$A:$AAA), XLOOKUP("Courier Fee", Orders!$1:$1, Orders!$A:$AAA), "Not Found")</f>
        <v>Not Found</v>
      </c>
      <c r="O472" s="6">
        <f t="shared" si="1"/>
        <v>0</v>
      </c>
      <c r="P472" s="6">
        <f t="shared" si="2"/>
        <v>0</v>
      </c>
    </row>
    <row r="473">
      <c r="A473" s="23"/>
      <c r="B473" s="23"/>
      <c r="C473" s="23"/>
      <c r="D473" s="23"/>
      <c r="E473" s="23"/>
      <c r="F473" s="23"/>
      <c r="G473" s="23"/>
      <c r="H473" s="20"/>
      <c r="I473" s="20"/>
      <c r="J473" s="20"/>
      <c r="K473" s="20"/>
      <c r="L473" s="20"/>
      <c r="M473" s="20"/>
      <c r="N473" s="6" t="str">
        <f t="array" ref="N473">XLOOKUP($B473, XLOOKUP("Tracking Number", Orders!$1:$1, Orders!$A:$AAA), XLOOKUP("Courier Fee", Orders!$1:$1, Orders!$A:$AAA), "Not Found")</f>
        <v>Not Found</v>
      </c>
      <c r="O473" s="6">
        <f t="shared" si="1"/>
        <v>0</v>
      </c>
      <c r="P473" s="6">
        <f t="shared" si="2"/>
        <v>0</v>
      </c>
    </row>
    <row r="474">
      <c r="A474" s="23"/>
      <c r="B474" s="23"/>
      <c r="C474" s="23"/>
      <c r="D474" s="23"/>
      <c r="E474" s="23"/>
      <c r="F474" s="23"/>
      <c r="G474" s="23"/>
      <c r="H474" s="20"/>
      <c r="I474" s="20"/>
      <c r="J474" s="20"/>
      <c r="K474" s="20"/>
      <c r="L474" s="20"/>
      <c r="M474" s="20"/>
      <c r="N474" s="6" t="str">
        <f t="array" ref="N474">XLOOKUP($B474, XLOOKUP("Tracking Number", Orders!$1:$1, Orders!$A:$AAA), XLOOKUP("Courier Fee", Orders!$1:$1, Orders!$A:$AAA), "Not Found")</f>
        <v>Not Found</v>
      </c>
      <c r="O474" s="6">
        <f t="shared" si="1"/>
        <v>0</v>
      </c>
      <c r="P474" s="6">
        <f t="shared" si="2"/>
        <v>0</v>
      </c>
    </row>
    <row r="475">
      <c r="A475" s="23"/>
      <c r="B475" s="23"/>
      <c r="C475" s="23"/>
      <c r="D475" s="23"/>
      <c r="E475" s="23"/>
      <c r="F475" s="23"/>
      <c r="G475" s="23"/>
      <c r="H475" s="20"/>
      <c r="I475" s="20"/>
      <c r="J475" s="20"/>
      <c r="K475" s="20"/>
      <c r="L475" s="20"/>
      <c r="M475" s="20"/>
      <c r="N475" s="6" t="str">
        <f t="array" ref="N475">XLOOKUP($B475, XLOOKUP("Tracking Number", Orders!$1:$1, Orders!$A:$AAA), XLOOKUP("Courier Fee", Orders!$1:$1, Orders!$A:$AAA), "Not Found")</f>
        <v>Not Found</v>
      </c>
      <c r="O475" s="6">
        <f t="shared" si="1"/>
        <v>0</v>
      </c>
      <c r="P475" s="6">
        <f t="shared" si="2"/>
        <v>0</v>
      </c>
    </row>
    <row r="476">
      <c r="A476" s="23"/>
      <c r="B476" s="23"/>
      <c r="C476" s="23"/>
      <c r="D476" s="23"/>
      <c r="E476" s="23"/>
      <c r="F476" s="23"/>
      <c r="G476" s="23"/>
      <c r="H476" s="20"/>
      <c r="I476" s="20"/>
      <c r="J476" s="20"/>
      <c r="K476" s="20"/>
      <c r="L476" s="20"/>
      <c r="M476" s="20"/>
      <c r="N476" s="6" t="str">
        <f t="array" ref="N476">XLOOKUP($B476, XLOOKUP("Tracking Number", Orders!$1:$1, Orders!$A:$AAA), XLOOKUP("Courier Fee", Orders!$1:$1, Orders!$A:$AAA), "Not Found")</f>
        <v>Not Found</v>
      </c>
      <c r="O476" s="6">
        <f t="shared" si="1"/>
        <v>0</v>
      </c>
      <c r="P476" s="6">
        <f t="shared" si="2"/>
        <v>0</v>
      </c>
    </row>
    <row r="477">
      <c r="A477" s="23"/>
      <c r="B477" s="23"/>
      <c r="C477" s="23"/>
      <c r="D477" s="23"/>
      <c r="E477" s="23"/>
      <c r="F477" s="23"/>
      <c r="G477" s="23"/>
      <c r="H477" s="20"/>
      <c r="I477" s="20"/>
      <c r="J477" s="20"/>
      <c r="K477" s="20"/>
      <c r="L477" s="20"/>
      <c r="M477" s="20"/>
      <c r="N477" s="6" t="str">
        <f t="array" ref="N477">XLOOKUP($B477, XLOOKUP("Tracking Number", Orders!$1:$1, Orders!$A:$AAA), XLOOKUP("Courier Fee", Orders!$1:$1, Orders!$A:$AAA), "Not Found")</f>
        <v>Not Found</v>
      </c>
      <c r="O477" s="6">
        <f t="shared" si="1"/>
        <v>0</v>
      </c>
      <c r="P477" s="6">
        <f t="shared" si="2"/>
        <v>0</v>
      </c>
    </row>
    <row r="478">
      <c r="A478" s="23"/>
      <c r="B478" s="23"/>
      <c r="C478" s="23"/>
      <c r="D478" s="23"/>
      <c r="E478" s="23"/>
      <c r="F478" s="23"/>
      <c r="G478" s="23"/>
      <c r="H478" s="20"/>
      <c r="I478" s="20"/>
      <c r="J478" s="20"/>
      <c r="K478" s="20"/>
      <c r="L478" s="20"/>
      <c r="M478" s="20"/>
      <c r="N478" s="6" t="str">
        <f t="array" ref="N478">XLOOKUP($B478, XLOOKUP("Tracking Number", Orders!$1:$1, Orders!$A:$AAA), XLOOKUP("Courier Fee", Orders!$1:$1, Orders!$A:$AAA), "Not Found")</f>
        <v>Not Found</v>
      </c>
      <c r="O478" s="6">
        <f t="shared" si="1"/>
        <v>0</v>
      </c>
      <c r="P478" s="6">
        <f t="shared" si="2"/>
        <v>0</v>
      </c>
    </row>
    <row r="479">
      <c r="A479" s="23"/>
      <c r="B479" s="23"/>
      <c r="C479" s="23"/>
      <c r="D479" s="23"/>
      <c r="E479" s="23"/>
      <c r="F479" s="23"/>
      <c r="G479" s="23"/>
      <c r="H479" s="20"/>
      <c r="I479" s="20"/>
      <c r="J479" s="20"/>
      <c r="K479" s="20"/>
      <c r="L479" s="20"/>
      <c r="M479" s="20"/>
      <c r="N479" s="6" t="str">
        <f t="array" ref="N479">XLOOKUP($B479, XLOOKUP("Tracking Number", Orders!$1:$1, Orders!$A:$AAA), XLOOKUP("Courier Fee", Orders!$1:$1, Orders!$A:$AAA), "Not Found")</f>
        <v>Not Found</v>
      </c>
      <c r="O479" s="6">
        <f t="shared" si="1"/>
        <v>0</v>
      </c>
      <c r="P479" s="6">
        <f t="shared" si="2"/>
        <v>0</v>
      </c>
    </row>
    <row r="480">
      <c r="A480" s="23"/>
      <c r="B480" s="23"/>
      <c r="C480" s="23"/>
      <c r="D480" s="23"/>
      <c r="E480" s="23"/>
      <c r="F480" s="23"/>
      <c r="G480" s="23"/>
      <c r="H480" s="20"/>
      <c r="I480" s="20"/>
      <c r="J480" s="20"/>
      <c r="K480" s="20"/>
      <c r="L480" s="20"/>
      <c r="M480" s="20"/>
      <c r="N480" s="6" t="str">
        <f t="array" ref="N480">XLOOKUP($B480, XLOOKUP("Tracking Number", Orders!$1:$1, Orders!$A:$AAA), XLOOKUP("Courier Fee", Orders!$1:$1, Orders!$A:$AAA), "Not Found")</f>
        <v>Not Found</v>
      </c>
      <c r="O480" s="6">
        <f t="shared" si="1"/>
        <v>0</v>
      </c>
      <c r="P480" s="6">
        <f t="shared" si="2"/>
        <v>0</v>
      </c>
    </row>
    <row r="481">
      <c r="A481" s="23"/>
      <c r="B481" s="23"/>
      <c r="C481" s="23"/>
      <c r="D481" s="23"/>
      <c r="E481" s="23"/>
      <c r="F481" s="23"/>
      <c r="G481" s="23"/>
      <c r="H481" s="20"/>
      <c r="I481" s="20"/>
      <c r="J481" s="20"/>
      <c r="K481" s="20"/>
      <c r="L481" s="20"/>
      <c r="M481" s="20"/>
      <c r="N481" s="6" t="str">
        <f t="array" ref="N481">XLOOKUP($B481, XLOOKUP("Tracking Number", Orders!$1:$1, Orders!$A:$AAA), XLOOKUP("Courier Fee", Orders!$1:$1, Orders!$A:$AAA), "Not Found")</f>
        <v>Not Found</v>
      </c>
      <c r="O481" s="6">
        <f t="shared" si="1"/>
        <v>0</v>
      </c>
      <c r="P481" s="6">
        <f t="shared" si="2"/>
        <v>0</v>
      </c>
    </row>
    <row r="482">
      <c r="A482" s="23"/>
      <c r="B482" s="23"/>
      <c r="C482" s="23"/>
      <c r="D482" s="23"/>
      <c r="E482" s="23"/>
      <c r="F482" s="23"/>
      <c r="G482" s="23"/>
      <c r="H482" s="20"/>
      <c r="I482" s="20"/>
      <c r="J482" s="20"/>
      <c r="K482" s="20"/>
      <c r="L482" s="20"/>
      <c r="M482" s="20"/>
      <c r="N482" s="6" t="str">
        <f t="array" ref="N482">XLOOKUP($B482, XLOOKUP("Tracking Number", Orders!$1:$1, Orders!$A:$AAA), XLOOKUP("Courier Fee", Orders!$1:$1, Orders!$A:$AAA), "Not Found")</f>
        <v>Not Found</v>
      </c>
      <c r="O482" s="6">
        <f t="shared" si="1"/>
        <v>0</v>
      </c>
      <c r="P482" s="6">
        <f t="shared" si="2"/>
        <v>0</v>
      </c>
    </row>
    <row r="483">
      <c r="A483" s="23"/>
      <c r="B483" s="23"/>
      <c r="C483" s="23"/>
      <c r="D483" s="23"/>
      <c r="E483" s="23"/>
      <c r="F483" s="23"/>
      <c r="G483" s="23"/>
      <c r="H483" s="20"/>
      <c r="I483" s="20"/>
      <c r="J483" s="20"/>
      <c r="K483" s="20"/>
      <c r="L483" s="20"/>
      <c r="M483" s="20"/>
      <c r="N483" s="6" t="str">
        <f t="array" ref="N483">XLOOKUP($B483, XLOOKUP("Tracking Number", Orders!$1:$1, Orders!$A:$AAA), XLOOKUP("Courier Fee", Orders!$1:$1, Orders!$A:$AAA), "Not Found")</f>
        <v>Not Found</v>
      </c>
      <c r="O483" s="6">
        <f t="shared" si="1"/>
        <v>0</v>
      </c>
      <c r="P483" s="6">
        <f t="shared" si="2"/>
        <v>0</v>
      </c>
    </row>
    <row r="484">
      <c r="A484" s="23"/>
      <c r="B484" s="23"/>
      <c r="C484" s="23"/>
      <c r="D484" s="23"/>
      <c r="E484" s="23"/>
      <c r="F484" s="23"/>
      <c r="G484" s="23"/>
      <c r="H484" s="20"/>
      <c r="I484" s="20"/>
      <c r="J484" s="20"/>
      <c r="K484" s="20"/>
      <c r="L484" s="20"/>
      <c r="M484" s="20"/>
      <c r="N484" s="6" t="str">
        <f t="array" ref="N484">XLOOKUP($B484, XLOOKUP("Tracking Number", Orders!$1:$1, Orders!$A:$AAA), XLOOKUP("Courier Fee", Orders!$1:$1, Orders!$A:$AAA), "Not Found")</f>
        <v>Not Found</v>
      </c>
      <c r="O484" s="6">
        <f t="shared" si="1"/>
        <v>0</v>
      </c>
      <c r="P484" s="6">
        <f t="shared" si="2"/>
        <v>0</v>
      </c>
    </row>
    <row r="485">
      <c r="A485" s="23"/>
      <c r="B485" s="23"/>
      <c r="C485" s="23"/>
      <c r="D485" s="23"/>
      <c r="E485" s="23"/>
      <c r="F485" s="23"/>
      <c r="G485" s="23"/>
      <c r="H485" s="20"/>
      <c r="I485" s="20"/>
      <c r="J485" s="20"/>
      <c r="K485" s="20"/>
      <c r="L485" s="20"/>
      <c r="M485" s="20"/>
      <c r="N485" s="6" t="str">
        <f t="array" ref="N485">XLOOKUP($B485, XLOOKUP("Tracking Number", Orders!$1:$1, Orders!$A:$AAA), XLOOKUP("Courier Fee", Orders!$1:$1, Orders!$A:$AAA), "Not Found")</f>
        <v>Not Found</v>
      </c>
      <c r="O485" s="6">
        <f t="shared" si="1"/>
        <v>0</v>
      </c>
      <c r="P485" s="6">
        <f t="shared" si="2"/>
        <v>0</v>
      </c>
    </row>
    <row r="486">
      <c r="A486" s="23"/>
      <c r="B486" s="23"/>
      <c r="C486" s="23"/>
      <c r="D486" s="23"/>
      <c r="E486" s="23"/>
      <c r="F486" s="23"/>
      <c r="G486" s="23"/>
      <c r="H486" s="20"/>
      <c r="I486" s="20"/>
      <c r="J486" s="20"/>
      <c r="K486" s="20"/>
      <c r="L486" s="20"/>
      <c r="M486" s="20"/>
      <c r="N486" s="6" t="str">
        <f t="array" ref="N486">XLOOKUP($B486, XLOOKUP("Tracking Number", Orders!$1:$1, Orders!$A:$AAA), XLOOKUP("Courier Fee", Orders!$1:$1, Orders!$A:$AAA), "Not Found")</f>
        <v>Not Found</v>
      </c>
      <c r="O486" s="6">
        <f t="shared" si="1"/>
        <v>0</v>
      </c>
      <c r="P486" s="6">
        <f t="shared" si="2"/>
        <v>0</v>
      </c>
    </row>
    <row r="487">
      <c r="A487" s="23"/>
      <c r="B487" s="23"/>
      <c r="C487" s="23"/>
      <c r="D487" s="23"/>
      <c r="E487" s="23"/>
      <c r="F487" s="23"/>
      <c r="G487" s="23"/>
      <c r="H487" s="20"/>
      <c r="I487" s="20"/>
      <c r="J487" s="20"/>
      <c r="K487" s="20"/>
      <c r="L487" s="20"/>
      <c r="M487" s="20"/>
      <c r="N487" s="6" t="str">
        <f t="array" ref="N487">XLOOKUP($B487, XLOOKUP("Tracking Number", Orders!$1:$1, Orders!$A:$AAA), XLOOKUP("Courier Fee", Orders!$1:$1, Orders!$A:$AAA), "Not Found")</f>
        <v>Not Found</v>
      </c>
      <c r="O487" s="6">
        <f t="shared" si="1"/>
        <v>0</v>
      </c>
      <c r="P487" s="6">
        <f t="shared" si="2"/>
        <v>0</v>
      </c>
    </row>
    <row r="488">
      <c r="A488" s="23"/>
      <c r="B488" s="23"/>
      <c r="C488" s="23"/>
      <c r="D488" s="23"/>
      <c r="E488" s="23"/>
      <c r="F488" s="23"/>
      <c r="G488" s="23"/>
      <c r="H488" s="20"/>
      <c r="I488" s="20"/>
      <c r="J488" s="20"/>
      <c r="K488" s="20"/>
      <c r="L488" s="20"/>
      <c r="M488" s="20"/>
      <c r="N488" s="6" t="str">
        <f t="array" ref="N488">XLOOKUP($B488, XLOOKUP("Tracking Number", Orders!$1:$1, Orders!$A:$AAA), XLOOKUP("Courier Fee", Orders!$1:$1, Orders!$A:$AAA), "Not Found")</f>
        <v>Not Found</v>
      </c>
      <c r="O488" s="6">
        <f t="shared" si="1"/>
        <v>0</v>
      </c>
      <c r="P488" s="6">
        <f t="shared" si="2"/>
        <v>0</v>
      </c>
    </row>
    <row r="489">
      <c r="A489" s="23"/>
      <c r="B489" s="23"/>
      <c r="C489" s="23"/>
      <c r="D489" s="23"/>
      <c r="E489" s="23"/>
      <c r="F489" s="23"/>
      <c r="G489" s="23"/>
      <c r="H489" s="20"/>
      <c r="I489" s="20"/>
      <c r="J489" s="20"/>
      <c r="K489" s="20"/>
      <c r="L489" s="20"/>
      <c r="M489" s="20"/>
      <c r="N489" s="6" t="str">
        <f t="array" ref="N489">XLOOKUP($B489, XLOOKUP("Tracking Number", Orders!$1:$1, Orders!$A:$AAA), XLOOKUP("Courier Fee", Orders!$1:$1, Orders!$A:$AAA), "Not Found")</f>
        <v>Not Found</v>
      </c>
      <c r="O489" s="6">
        <f t="shared" si="1"/>
        <v>0</v>
      </c>
      <c r="P489" s="6">
        <f t="shared" si="2"/>
        <v>0</v>
      </c>
    </row>
    <row r="490">
      <c r="A490" s="23"/>
      <c r="B490" s="23"/>
      <c r="C490" s="23"/>
      <c r="D490" s="23"/>
      <c r="E490" s="23"/>
      <c r="F490" s="23"/>
      <c r="G490" s="23"/>
      <c r="H490" s="20"/>
      <c r="I490" s="20"/>
      <c r="J490" s="20"/>
      <c r="K490" s="20"/>
      <c r="L490" s="20"/>
      <c r="M490" s="20"/>
      <c r="N490" s="6" t="str">
        <f t="array" ref="N490">XLOOKUP($B490, XLOOKUP("Tracking Number", Orders!$1:$1, Orders!$A:$AAA), XLOOKUP("Courier Fee", Orders!$1:$1, Orders!$A:$AAA), "Not Found")</f>
        <v>Not Found</v>
      </c>
      <c r="O490" s="6">
        <f t="shared" si="1"/>
        <v>0</v>
      </c>
      <c r="P490" s="6">
        <f t="shared" si="2"/>
        <v>0</v>
      </c>
    </row>
    <row r="491">
      <c r="A491" s="23"/>
      <c r="B491" s="23"/>
      <c r="C491" s="23"/>
      <c r="D491" s="23"/>
      <c r="E491" s="23"/>
      <c r="F491" s="23"/>
      <c r="G491" s="23"/>
      <c r="H491" s="20"/>
      <c r="I491" s="20"/>
      <c r="J491" s="20"/>
      <c r="K491" s="20"/>
      <c r="L491" s="20"/>
      <c r="M491" s="20"/>
      <c r="N491" s="6" t="str">
        <f t="array" ref="N491">XLOOKUP($B491, XLOOKUP("Tracking Number", Orders!$1:$1, Orders!$A:$AAA), XLOOKUP("Courier Fee", Orders!$1:$1, Orders!$A:$AAA), "Not Found")</f>
        <v>Not Found</v>
      </c>
      <c r="O491" s="6">
        <f t="shared" si="1"/>
        <v>0</v>
      </c>
      <c r="P491" s="6">
        <f t="shared" si="2"/>
        <v>0</v>
      </c>
    </row>
    <row r="492">
      <c r="A492" s="23"/>
      <c r="B492" s="23"/>
      <c r="C492" s="23"/>
      <c r="D492" s="23"/>
      <c r="E492" s="23"/>
      <c r="F492" s="23"/>
      <c r="G492" s="23"/>
      <c r="H492" s="20"/>
      <c r="I492" s="20"/>
      <c r="J492" s="20"/>
      <c r="K492" s="20"/>
      <c r="L492" s="20"/>
      <c r="M492" s="20"/>
      <c r="N492" s="6" t="str">
        <f t="array" ref="N492">XLOOKUP($B492, XLOOKUP("Tracking Number", Orders!$1:$1, Orders!$A:$AAA), XLOOKUP("Courier Fee", Orders!$1:$1, Orders!$A:$AAA), "Not Found")</f>
        <v>Not Found</v>
      </c>
      <c r="O492" s="6">
        <f t="shared" si="1"/>
        <v>0</v>
      </c>
      <c r="P492" s="6">
        <f t="shared" si="2"/>
        <v>0</v>
      </c>
    </row>
    <row r="493">
      <c r="A493" s="23"/>
      <c r="B493" s="23"/>
      <c r="C493" s="23"/>
      <c r="D493" s="23"/>
      <c r="E493" s="23"/>
      <c r="F493" s="23"/>
      <c r="G493" s="23"/>
      <c r="H493" s="20"/>
      <c r="I493" s="20"/>
      <c r="J493" s="20"/>
      <c r="K493" s="20"/>
      <c r="L493" s="20"/>
      <c r="M493" s="20"/>
      <c r="N493" s="6" t="str">
        <f t="array" ref="N493">XLOOKUP($B493, XLOOKUP("Tracking Number", Orders!$1:$1, Orders!$A:$AAA), XLOOKUP("Courier Fee", Orders!$1:$1, Orders!$A:$AAA), "Not Found")</f>
        <v>Not Found</v>
      </c>
      <c r="O493" s="6">
        <f t="shared" si="1"/>
        <v>0</v>
      </c>
      <c r="P493" s="6">
        <f t="shared" si="2"/>
        <v>0</v>
      </c>
    </row>
    <row r="494">
      <c r="A494" s="23"/>
      <c r="B494" s="23"/>
      <c r="C494" s="23"/>
      <c r="D494" s="23"/>
      <c r="E494" s="23"/>
      <c r="F494" s="23"/>
      <c r="G494" s="23"/>
      <c r="H494" s="20"/>
      <c r="I494" s="20"/>
      <c r="J494" s="20"/>
      <c r="K494" s="20"/>
      <c r="L494" s="20"/>
      <c r="M494" s="20"/>
      <c r="N494" s="6" t="str">
        <f t="array" ref="N494">XLOOKUP($B494, XLOOKUP("Tracking Number", Orders!$1:$1, Orders!$A:$AAA), XLOOKUP("Courier Fee", Orders!$1:$1, Orders!$A:$AAA), "Not Found")</f>
        <v>Not Found</v>
      </c>
      <c r="O494" s="6">
        <f t="shared" si="1"/>
        <v>0</v>
      </c>
      <c r="P494" s="6">
        <f t="shared" si="2"/>
        <v>0</v>
      </c>
    </row>
    <row r="495">
      <c r="A495" s="23"/>
      <c r="B495" s="23"/>
      <c r="C495" s="23"/>
      <c r="D495" s="23"/>
      <c r="E495" s="23"/>
      <c r="F495" s="23"/>
      <c r="G495" s="23"/>
      <c r="H495" s="20"/>
      <c r="I495" s="20"/>
      <c r="J495" s="20"/>
      <c r="K495" s="20"/>
      <c r="L495" s="20"/>
      <c r="M495" s="20"/>
      <c r="N495" s="6" t="str">
        <f t="array" ref="N495">XLOOKUP($B495, XLOOKUP("Tracking Number", Orders!$1:$1, Orders!$A:$AAA), XLOOKUP("Courier Fee", Orders!$1:$1, Orders!$A:$AAA), "Not Found")</f>
        <v>Not Found</v>
      </c>
      <c r="O495" s="6">
        <f t="shared" si="1"/>
        <v>0</v>
      </c>
      <c r="P495" s="6">
        <f t="shared" si="2"/>
        <v>0</v>
      </c>
    </row>
    <row r="496">
      <c r="A496" s="23"/>
      <c r="B496" s="23"/>
      <c r="C496" s="23"/>
      <c r="D496" s="23"/>
      <c r="E496" s="23"/>
      <c r="F496" s="23"/>
      <c r="G496" s="23"/>
      <c r="H496" s="20"/>
      <c r="I496" s="20"/>
      <c r="J496" s="20"/>
      <c r="K496" s="20"/>
      <c r="L496" s="20"/>
      <c r="M496" s="20"/>
      <c r="N496" s="6" t="str">
        <f t="array" ref="N496">XLOOKUP($B496, XLOOKUP("Tracking Number", Orders!$1:$1, Orders!$A:$AAA), XLOOKUP("Courier Fee", Orders!$1:$1, Orders!$A:$AAA), "Not Found")</f>
        <v>Not Found</v>
      </c>
      <c r="O496" s="6">
        <f t="shared" si="1"/>
        <v>0</v>
      </c>
      <c r="P496" s="6">
        <f t="shared" si="2"/>
        <v>0</v>
      </c>
    </row>
    <row r="497">
      <c r="A497" s="23"/>
      <c r="B497" s="23"/>
      <c r="C497" s="23"/>
      <c r="D497" s="23"/>
      <c r="E497" s="23"/>
      <c r="F497" s="23"/>
      <c r="G497" s="23"/>
      <c r="H497" s="20"/>
      <c r="I497" s="20"/>
      <c r="J497" s="20"/>
      <c r="K497" s="20"/>
      <c r="L497" s="20"/>
      <c r="M497" s="20"/>
      <c r="N497" s="6" t="str">
        <f t="array" ref="N497">XLOOKUP($B497, XLOOKUP("Tracking Number", Orders!$1:$1, Orders!$A:$AAA), XLOOKUP("Courier Fee", Orders!$1:$1, Orders!$A:$AAA), "Not Found")</f>
        <v>Not Found</v>
      </c>
      <c r="O497" s="6">
        <f t="shared" si="1"/>
        <v>0</v>
      </c>
      <c r="P497" s="6">
        <f t="shared" si="2"/>
        <v>0</v>
      </c>
    </row>
    <row r="498">
      <c r="A498" s="23"/>
      <c r="B498" s="23"/>
      <c r="C498" s="23"/>
      <c r="D498" s="23"/>
      <c r="E498" s="23"/>
      <c r="F498" s="23"/>
      <c r="G498" s="23"/>
      <c r="H498" s="20"/>
      <c r="I498" s="20"/>
      <c r="J498" s="20"/>
      <c r="K498" s="20"/>
      <c r="L498" s="20"/>
      <c r="M498" s="20"/>
      <c r="N498" s="6" t="str">
        <f t="array" ref="N498">XLOOKUP($B498, XLOOKUP("Tracking Number", Orders!$1:$1, Orders!$A:$AAA), XLOOKUP("Courier Fee", Orders!$1:$1, Orders!$A:$AAA), "Not Found")</f>
        <v>Not Found</v>
      </c>
      <c r="O498" s="6">
        <f t="shared" si="1"/>
        <v>0</v>
      </c>
      <c r="P498" s="6">
        <f t="shared" si="2"/>
        <v>0</v>
      </c>
    </row>
    <row r="499">
      <c r="A499" s="23"/>
      <c r="B499" s="23"/>
      <c r="C499" s="23"/>
      <c r="D499" s="23"/>
      <c r="E499" s="23"/>
      <c r="F499" s="23"/>
      <c r="G499" s="23"/>
      <c r="H499" s="20"/>
      <c r="I499" s="20"/>
      <c r="J499" s="20"/>
      <c r="K499" s="20"/>
      <c r="L499" s="20"/>
      <c r="M499" s="20"/>
      <c r="N499" s="6" t="str">
        <f t="array" ref="N499">XLOOKUP($B499, XLOOKUP("Tracking Number", Orders!$1:$1, Orders!$A:$AAA), XLOOKUP("Courier Fee", Orders!$1:$1, Orders!$A:$AAA), "Not Found")</f>
        <v>Not Found</v>
      </c>
      <c r="O499" s="6">
        <f t="shared" si="1"/>
        <v>0</v>
      </c>
      <c r="P499" s="6">
        <f t="shared" si="2"/>
        <v>0</v>
      </c>
    </row>
    <row r="500">
      <c r="A500" s="23"/>
      <c r="B500" s="23"/>
      <c r="C500" s="23"/>
      <c r="D500" s="23"/>
      <c r="E500" s="23"/>
      <c r="F500" s="23"/>
      <c r="G500" s="23"/>
      <c r="H500" s="20"/>
      <c r="I500" s="20"/>
      <c r="J500" s="20"/>
      <c r="K500" s="20"/>
      <c r="L500" s="20"/>
      <c r="M500" s="20"/>
      <c r="N500" s="6" t="str">
        <f t="array" ref="N500">XLOOKUP($B500, XLOOKUP("Tracking Number", Orders!$1:$1, Orders!$A:$AAA), XLOOKUP("Courier Fee", Orders!$1:$1, Orders!$A:$AAA), "Not Found")</f>
        <v>Not Found</v>
      </c>
      <c r="O500" s="6">
        <f t="shared" si="1"/>
        <v>0</v>
      </c>
      <c r="P500" s="6">
        <f t="shared" si="2"/>
        <v>0</v>
      </c>
    </row>
    <row r="501">
      <c r="A501" s="23"/>
      <c r="B501" s="23"/>
      <c r="C501" s="23"/>
      <c r="D501" s="23"/>
      <c r="E501" s="23"/>
      <c r="F501" s="23"/>
      <c r="G501" s="23"/>
      <c r="H501" s="20"/>
      <c r="I501" s="20"/>
      <c r="J501" s="20"/>
      <c r="K501" s="20"/>
      <c r="L501" s="20"/>
      <c r="M501" s="20"/>
      <c r="N501" s="6" t="str">
        <f t="array" ref="N501">XLOOKUP($B501, XLOOKUP("Tracking Number", Orders!$1:$1, Orders!$A:$AAA), XLOOKUP("Courier Fee", Orders!$1:$1, Orders!$A:$AAA), "Not Found")</f>
        <v>Not Found</v>
      </c>
      <c r="O501" s="6">
        <f t="shared" si="1"/>
        <v>0</v>
      </c>
      <c r="P501" s="6">
        <f t="shared" si="2"/>
        <v>0</v>
      </c>
    </row>
    <row r="502">
      <c r="A502" s="23"/>
      <c r="B502" s="23"/>
      <c r="C502" s="23"/>
      <c r="D502" s="23"/>
      <c r="E502" s="23"/>
      <c r="F502" s="23"/>
      <c r="G502" s="23"/>
      <c r="H502" s="20"/>
      <c r="I502" s="20"/>
      <c r="J502" s="20"/>
      <c r="K502" s="20"/>
      <c r="L502" s="20"/>
      <c r="M502" s="20"/>
      <c r="N502" s="6" t="str">
        <f t="array" ref="N502">XLOOKUP($B502, XLOOKUP("Tracking Number", Orders!$1:$1, Orders!$A:$AAA), XLOOKUP("Courier Fee", Orders!$1:$1, Orders!$A:$AAA), "Not Found")</f>
        <v>Not Found</v>
      </c>
      <c r="O502" s="6">
        <f t="shared" si="1"/>
        <v>0</v>
      </c>
      <c r="P502" s="6">
        <f t="shared" si="2"/>
        <v>0</v>
      </c>
    </row>
    <row r="503">
      <c r="A503" s="23"/>
      <c r="B503" s="23"/>
      <c r="C503" s="23"/>
      <c r="D503" s="23"/>
      <c r="E503" s="23"/>
      <c r="F503" s="23"/>
      <c r="G503" s="23"/>
      <c r="H503" s="20"/>
      <c r="I503" s="20"/>
      <c r="J503" s="20"/>
      <c r="K503" s="20"/>
      <c r="L503" s="20"/>
      <c r="M503" s="20"/>
      <c r="N503" s="6" t="str">
        <f t="array" ref="N503">XLOOKUP($B503, XLOOKUP("Tracking Number", Orders!$1:$1, Orders!$A:$AAA), XLOOKUP("Courier Fee", Orders!$1:$1, Orders!$A:$AAA), "Not Found")</f>
        <v>Not Found</v>
      </c>
      <c r="O503" s="6">
        <f t="shared" si="1"/>
        <v>0</v>
      </c>
      <c r="P503" s="6">
        <f t="shared" si="2"/>
        <v>0</v>
      </c>
    </row>
    <row r="504">
      <c r="A504" s="23"/>
      <c r="B504" s="23"/>
      <c r="C504" s="23"/>
      <c r="D504" s="23"/>
      <c r="E504" s="23"/>
      <c r="F504" s="23"/>
      <c r="G504" s="23"/>
      <c r="H504" s="20"/>
      <c r="I504" s="20"/>
      <c r="J504" s="20"/>
      <c r="K504" s="20"/>
      <c r="L504" s="20"/>
      <c r="M504" s="20"/>
      <c r="N504" s="6" t="str">
        <f t="array" ref="N504">XLOOKUP($B504, XLOOKUP("Tracking Number", Orders!$1:$1, Orders!$A:$AAA), XLOOKUP("Courier Fee", Orders!$1:$1, Orders!$A:$AAA), "Not Found")</f>
        <v>Not Found</v>
      </c>
      <c r="O504" s="6">
        <f t="shared" si="1"/>
        <v>0</v>
      </c>
      <c r="P504" s="6">
        <f t="shared" si="2"/>
        <v>0</v>
      </c>
    </row>
    <row r="505">
      <c r="A505" s="23"/>
      <c r="B505" s="23"/>
      <c r="C505" s="23"/>
      <c r="D505" s="23"/>
      <c r="E505" s="23"/>
      <c r="F505" s="23"/>
      <c r="G505" s="23"/>
      <c r="H505" s="20"/>
      <c r="I505" s="20"/>
      <c r="J505" s="20"/>
      <c r="K505" s="20"/>
      <c r="L505" s="20"/>
      <c r="M505" s="20"/>
      <c r="N505" s="6" t="str">
        <f t="array" ref="N505">XLOOKUP($B505, XLOOKUP("Tracking Number", Orders!$1:$1, Orders!$A:$AAA), XLOOKUP("Courier Fee", Orders!$1:$1, Orders!$A:$AAA), "Not Found")</f>
        <v>Not Found</v>
      </c>
      <c r="O505" s="6">
        <f t="shared" si="1"/>
        <v>0</v>
      </c>
      <c r="P505" s="6">
        <f t="shared" si="2"/>
        <v>0</v>
      </c>
    </row>
    <row r="506">
      <c r="A506" s="23"/>
      <c r="B506" s="23"/>
      <c r="C506" s="23"/>
      <c r="D506" s="23"/>
      <c r="E506" s="23"/>
      <c r="F506" s="23"/>
      <c r="G506" s="23"/>
      <c r="H506" s="20"/>
      <c r="I506" s="20"/>
      <c r="J506" s="20"/>
      <c r="K506" s="20"/>
      <c r="L506" s="20"/>
      <c r="M506" s="20"/>
      <c r="N506" s="6" t="str">
        <f t="array" ref="N506">XLOOKUP($B506, XLOOKUP("Tracking Number", Orders!$1:$1, Orders!$A:$AAA), XLOOKUP("Courier Fee", Orders!$1:$1, Orders!$A:$AAA), "Not Found")</f>
        <v>Not Found</v>
      </c>
      <c r="O506" s="6">
        <f t="shared" si="1"/>
        <v>0</v>
      </c>
      <c r="P506" s="6">
        <f t="shared" si="2"/>
        <v>0</v>
      </c>
    </row>
    <row r="507">
      <c r="A507" s="23"/>
      <c r="B507" s="23"/>
      <c r="C507" s="23"/>
      <c r="D507" s="23"/>
      <c r="E507" s="23"/>
      <c r="F507" s="23"/>
      <c r="G507" s="23"/>
      <c r="H507" s="20"/>
      <c r="I507" s="20"/>
      <c r="J507" s="20"/>
      <c r="K507" s="20"/>
      <c r="L507" s="20"/>
      <c r="M507" s="20"/>
      <c r="N507" s="6" t="str">
        <f t="array" ref="N507">XLOOKUP($B507, XLOOKUP("Tracking Number", Orders!$1:$1, Orders!$A:$AAA), XLOOKUP("Courier Fee", Orders!$1:$1, Orders!$A:$AAA), "Not Found")</f>
        <v>Not Found</v>
      </c>
      <c r="O507" s="6">
        <f t="shared" si="1"/>
        <v>0</v>
      </c>
      <c r="P507" s="6">
        <f t="shared" si="2"/>
        <v>0</v>
      </c>
    </row>
    <row r="508">
      <c r="A508" s="23"/>
      <c r="B508" s="23"/>
      <c r="C508" s="23"/>
      <c r="D508" s="23"/>
      <c r="E508" s="23"/>
      <c r="F508" s="23"/>
      <c r="G508" s="23"/>
      <c r="H508" s="20"/>
      <c r="I508" s="20"/>
      <c r="J508" s="20"/>
      <c r="K508" s="20"/>
      <c r="L508" s="20"/>
      <c r="M508" s="20"/>
      <c r="N508" s="6" t="str">
        <f t="array" ref="N508">XLOOKUP($B508, XLOOKUP("Tracking Number", Orders!$1:$1, Orders!$A:$AAA), XLOOKUP("Courier Fee", Orders!$1:$1, Orders!$A:$AAA), "Not Found")</f>
        <v>Not Found</v>
      </c>
      <c r="O508" s="6">
        <f t="shared" si="1"/>
        <v>0</v>
      </c>
      <c r="P508" s="6">
        <f t="shared" si="2"/>
        <v>0</v>
      </c>
    </row>
    <row r="509">
      <c r="A509" s="23"/>
      <c r="B509" s="23"/>
      <c r="C509" s="23"/>
      <c r="D509" s="23"/>
      <c r="E509" s="23"/>
      <c r="F509" s="23"/>
      <c r="G509" s="23"/>
      <c r="H509" s="20"/>
      <c r="I509" s="20"/>
      <c r="J509" s="20"/>
      <c r="K509" s="20"/>
      <c r="L509" s="20"/>
      <c r="M509" s="20"/>
      <c r="N509" s="6" t="str">
        <f t="array" ref="N509">XLOOKUP($B509, XLOOKUP("Tracking Number", Orders!$1:$1, Orders!$A:$AAA), XLOOKUP("Courier Fee", Orders!$1:$1, Orders!$A:$AAA), "Not Found")</f>
        <v>Not Found</v>
      </c>
      <c r="O509" s="6">
        <f t="shared" si="1"/>
        <v>0</v>
      </c>
      <c r="P509" s="6">
        <f t="shared" si="2"/>
        <v>0</v>
      </c>
    </row>
    <row r="510">
      <c r="A510" s="23"/>
      <c r="B510" s="23"/>
      <c r="C510" s="23"/>
      <c r="D510" s="23"/>
      <c r="E510" s="23"/>
      <c r="F510" s="23"/>
      <c r="G510" s="23"/>
      <c r="H510" s="20"/>
      <c r="I510" s="20"/>
      <c r="J510" s="20"/>
      <c r="K510" s="20"/>
      <c r="L510" s="20"/>
      <c r="M510" s="20"/>
      <c r="N510" s="6" t="str">
        <f t="array" ref="N510">XLOOKUP($B510, XLOOKUP("Tracking Number", Orders!$1:$1, Orders!$A:$AAA), XLOOKUP("Courier Fee", Orders!$1:$1, Orders!$A:$AAA), "Not Found")</f>
        <v>Not Found</v>
      </c>
      <c r="O510" s="6">
        <f t="shared" si="1"/>
        <v>0</v>
      </c>
      <c r="P510" s="6">
        <f t="shared" si="2"/>
        <v>0</v>
      </c>
    </row>
    <row r="511">
      <c r="A511" s="23"/>
      <c r="B511" s="23"/>
      <c r="C511" s="23"/>
      <c r="D511" s="23"/>
      <c r="E511" s="23"/>
      <c r="F511" s="23"/>
      <c r="G511" s="23"/>
      <c r="H511" s="20"/>
      <c r="I511" s="20"/>
      <c r="J511" s="20"/>
      <c r="K511" s="20"/>
      <c r="L511" s="20"/>
      <c r="M511" s="20"/>
      <c r="N511" s="6" t="str">
        <f t="array" ref="N511">XLOOKUP($B511, XLOOKUP("Tracking Number", Orders!$1:$1, Orders!$A:$AAA), XLOOKUP("Courier Fee", Orders!$1:$1, Orders!$A:$AAA), "Not Found")</f>
        <v>Not Found</v>
      </c>
      <c r="O511" s="6">
        <f t="shared" si="1"/>
        <v>0</v>
      </c>
      <c r="P511" s="6">
        <f t="shared" si="2"/>
        <v>0</v>
      </c>
    </row>
    <row r="512">
      <c r="A512" s="23"/>
      <c r="B512" s="23"/>
      <c r="C512" s="23"/>
      <c r="D512" s="23"/>
      <c r="E512" s="23"/>
      <c r="F512" s="23"/>
      <c r="G512" s="23"/>
      <c r="H512" s="20"/>
      <c r="I512" s="20"/>
      <c r="J512" s="20"/>
      <c r="K512" s="20"/>
      <c r="L512" s="20"/>
      <c r="M512" s="20"/>
      <c r="N512" s="6" t="str">
        <f t="array" ref="N512">XLOOKUP($B512, XLOOKUP("Tracking Number", Orders!$1:$1, Orders!$A:$AAA), XLOOKUP("Courier Fee", Orders!$1:$1, Orders!$A:$AAA), "Not Found")</f>
        <v>Not Found</v>
      </c>
      <c r="O512" s="6">
        <f t="shared" si="1"/>
        <v>0</v>
      </c>
      <c r="P512" s="6">
        <f t="shared" si="2"/>
        <v>0</v>
      </c>
    </row>
    <row r="513">
      <c r="A513" s="23"/>
      <c r="B513" s="23"/>
      <c r="C513" s="23"/>
      <c r="D513" s="23"/>
      <c r="E513" s="23"/>
      <c r="F513" s="23"/>
      <c r="G513" s="23"/>
      <c r="H513" s="20"/>
      <c r="I513" s="20"/>
      <c r="J513" s="20"/>
      <c r="K513" s="20"/>
      <c r="L513" s="20"/>
      <c r="M513" s="20"/>
      <c r="N513" s="6" t="str">
        <f t="array" ref="N513">XLOOKUP($B513, XLOOKUP("Tracking Number", Orders!$1:$1, Orders!$A:$AAA), XLOOKUP("Courier Fee", Orders!$1:$1, Orders!$A:$AAA), "Not Found")</f>
        <v>Not Found</v>
      </c>
      <c r="O513" s="6">
        <f t="shared" si="1"/>
        <v>0</v>
      </c>
      <c r="P513" s="6">
        <f t="shared" si="2"/>
        <v>0</v>
      </c>
    </row>
    <row r="514">
      <c r="A514" s="23"/>
      <c r="B514" s="23"/>
      <c r="C514" s="23"/>
      <c r="D514" s="23"/>
      <c r="E514" s="23"/>
      <c r="F514" s="23"/>
      <c r="G514" s="23"/>
      <c r="H514" s="20"/>
      <c r="I514" s="20"/>
      <c r="J514" s="20"/>
      <c r="K514" s="20"/>
      <c r="L514" s="20"/>
      <c r="M514" s="20"/>
      <c r="N514" s="6" t="str">
        <f t="array" ref="N514">XLOOKUP($B514, XLOOKUP("Tracking Number", Orders!$1:$1, Orders!$A:$AAA), XLOOKUP("Courier Fee", Orders!$1:$1, Orders!$A:$AAA), "Not Found")</f>
        <v>Not Found</v>
      </c>
      <c r="O514" s="6">
        <f t="shared" si="1"/>
        <v>0</v>
      </c>
      <c r="P514" s="6">
        <f t="shared" si="2"/>
        <v>0</v>
      </c>
    </row>
    <row r="515">
      <c r="A515" s="23"/>
      <c r="B515" s="23"/>
      <c r="C515" s="23"/>
      <c r="D515" s="23"/>
      <c r="E515" s="23"/>
      <c r="F515" s="23"/>
      <c r="G515" s="23"/>
      <c r="H515" s="20"/>
      <c r="I515" s="20"/>
      <c r="J515" s="20"/>
      <c r="K515" s="20"/>
      <c r="L515" s="20"/>
      <c r="M515" s="20"/>
      <c r="N515" s="6" t="str">
        <f t="array" ref="N515">XLOOKUP($B515, XLOOKUP("Tracking Number", Orders!$1:$1, Orders!$A:$AAA), XLOOKUP("Courier Fee", Orders!$1:$1, Orders!$A:$AAA), "Not Found")</f>
        <v>Not Found</v>
      </c>
      <c r="O515" s="6">
        <f t="shared" si="1"/>
        <v>0</v>
      </c>
      <c r="P515" s="6">
        <f t="shared" si="2"/>
        <v>0</v>
      </c>
    </row>
    <row r="516">
      <c r="A516" s="23"/>
      <c r="B516" s="23"/>
      <c r="C516" s="23"/>
      <c r="D516" s="23"/>
      <c r="E516" s="23"/>
      <c r="F516" s="23"/>
      <c r="G516" s="23"/>
      <c r="H516" s="20"/>
      <c r="I516" s="20"/>
      <c r="J516" s="20"/>
      <c r="K516" s="20"/>
      <c r="L516" s="20"/>
      <c r="M516" s="20"/>
      <c r="N516" s="6" t="str">
        <f t="array" ref="N516">XLOOKUP($B516, XLOOKUP("Tracking Number", Orders!$1:$1, Orders!$A:$AAA), XLOOKUP("Courier Fee", Orders!$1:$1, Orders!$A:$AAA), "Not Found")</f>
        <v>Not Found</v>
      </c>
      <c r="O516" s="6">
        <f t="shared" si="1"/>
        <v>0</v>
      </c>
      <c r="P516" s="6">
        <f t="shared" si="2"/>
        <v>0</v>
      </c>
    </row>
    <row r="517">
      <c r="A517" s="23"/>
      <c r="B517" s="23"/>
      <c r="C517" s="23"/>
      <c r="D517" s="23"/>
      <c r="E517" s="23"/>
      <c r="F517" s="23"/>
      <c r="G517" s="23"/>
      <c r="H517" s="20"/>
      <c r="I517" s="20"/>
      <c r="J517" s="20"/>
      <c r="K517" s="20"/>
      <c r="L517" s="20"/>
      <c r="M517" s="20"/>
      <c r="N517" s="6" t="str">
        <f t="array" ref="N517">XLOOKUP($B517, XLOOKUP("Tracking Number", Orders!$1:$1, Orders!$A:$AAA), XLOOKUP("Courier Fee", Orders!$1:$1, Orders!$A:$AAA), "Not Found")</f>
        <v>Not Found</v>
      </c>
      <c r="O517" s="6">
        <f t="shared" si="1"/>
        <v>0</v>
      </c>
      <c r="P517" s="6">
        <f t="shared" si="2"/>
        <v>0</v>
      </c>
    </row>
    <row r="518">
      <c r="A518" s="23"/>
      <c r="B518" s="23"/>
      <c r="C518" s="23"/>
      <c r="D518" s="23"/>
      <c r="E518" s="23"/>
      <c r="F518" s="23"/>
      <c r="G518" s="23"/>
      <c r="H518" s="20"/>
      <c r="I518" s="20"/>
      <c r="J518" s="20"/>
      <c r="K518" s="20"/>
      <c r="L518" s="20"/>
      <c r="M518" s="20"/>
      <c r="N518" s="6" t="str">
        <f t="array" ref="N518">XLOOKUP($B518, XLOOKUP("Tracking Number", Orders!$1:$1, Orders!$A:$AAA), XLOOKUP("Courier Fee", Orders!$1:$1, Orders!$A:$AAA), "Not Found")</f>
        <v>Not Found</v>
      </c>
      <c r="O518" s="6">
        <f t="shared" si="1"/>
        <v>0</v>
      </c>
      <c r="P518" s="6">
        <f t="shared" si="2"/>
        <v>0</v>
      </c>
    </row>
    <row r="519">
      <c r="A519" s="23"/>
      <c r="B519" s="23"/>
      <c r="C519" s="23"/>
      <c r="D519" s="23"/>
      <c r="E519" s="23"/>
      <c r="F519" s="23"/>
      <c r="G519" s="23"/>
      <c r="H519" s="20"/>
      <c r="I519" s="20"/>
      <c r="J519" s="20"/>
      <c r="K519" s="20"/>
      <c r="L519" s="20"/>
      <c r="M519" s="20"/>
      <c r="N519" s="6" t="str">
        <f t="array" ref="N519">XLOOKUP($B519, XLOOKUP("Tracking Number", Orders!$1:$1, Orders!$A:$AAA), XLOOKUP("Courier Fee", Orders!$1:$1, Orders!$A:$AAA), "Not Found")</f>
        <v>Not Found</v>
      </c>
      <c r="O519" s="6">
        <f t="shared" si="1"/>
        <v>0</v>
      </c>
      <c r="P519" s="6">
        <f t="shared" si="2"/>
        <v>0</v>
      </c>
    </row>
    <row r="520">
      <c r="A520" s="23"/>
      <c r="B520" s="23"/>
      <c r="C520" s="23"/>
      <c r="D520" s="23"/>
      <c r="E520" s="23"/>
      <c r="F520" s="23"/>
      <c r="G520" s="23"/>
      <c r="H520" s="20"/>
      <c r="I520" s="20"/>
      <c r="J520" s="20"/>
      <c r="K520" s="20"/>
      <c r="L520" s="20"/>
      <c r="M520" s="20"/>
      <c r="N520" s="6" t="str">
        <f t="array" ref="N520">XLOOKUP($B520, XLOOKUP("Tracking Number", Orders!$1:$1, Orders!$A:$AAA), XLOOKUP("Courier Fee", Orders!$1:$1, Orders!$A:$AAA), "Not Found")</f>
        <v>Not Found</v>
      </c>
      <c r="O520" s="6">
        <f t="shared" si="1"/>
        <v>0</v>
      </c>
      <c r="P520" s="6">
        <f t="shared" si="2"/>
        <v>0</v>
      </c>
    </row>
    <row r="521">
      <c r="A521" s="23"/>
      <c r="B521" s="23"/>
      <c r="C521" s="23"/>
      <c r="D521" s="23"/>
      <c r="E521" s="23"/>
      <c r="F521" s="23"/>
      <c r="G521" s="23"/>
      <c r="H521" s="20"/>
      <c r="I521" s="20"/>
      <c r="J521" s="20"/>
      <c r="K521" s="20"/>
      <c r="L521" s="20"/>
      <c r="M521" s="20"/>
      <c r="N521" s="6" t="str">
        <f t="array" ref="N521">XLOOKUP($B521, XLOOKUP("Tracking Number", Orders!$1:$1, Orders!$A:$AAA), XLOOKUP("Courier Fee", Orders!$1:$1, Orders!$A:$AAA), "Not Found")</f>
        <v>Not Found</v>
      </c>
      <c r="O521" s="6">
        <f t="shared" si="1"/>
        <v>0</v>
      </c>
      <c r="P521" s="6">
        <f t="shared" si="2"/>
        <v>0</v>
      </c>
    </row>
    <row r="522">
      <c r="A522" s="23"/>
      <c r="B522" s="23"/>
      <c r="C522" s="23"/>
      <c r="D522" s="23"/>
      <c r="E522" s="23"/>
      <c r="F522" s="23"/>
      <c r="G522" s="23"/>
      <c r="H522" s="20"/>
      <c r="I522" s="20"/>
      <c r="J522" s="20"/>
      <c r="K522" s="20"/>
      <c r="L522" s="20"/>
      <c r="M522" s="20"/>
      <c r="N522" s="6" t="str">
        <f t="array" ref="N522">XLOOKUP($B522, XLOOKUP("Tracking Number", Orders!$1:$1, Orders!$A:$AAA), XLOOKUP("Courier Fee", Orders!$1:$1, Orders!$A:$AAA), "Not Found")</f>
        <v>Not Found</v>
      </c>
      <c r="O522" s="6">
        <f t="shared" si="1"/>
        <v>0</v>
      </c>
      <c r="P522" s="6">
        <f t="shared" si="2"/>
        <v>0</v>
      </c>
    </row>
    <row r="523">
      <c r="A523" s="23"/>
      <c r="B523" s="23"/>
      <c r="C523" s="23"/>
      <c r="D523" s="23"/>
      <c r="E523" s="23"/>
      <c r="F523" s="23"/>
      <c r="G523" s="23"/>
      <c r="H523" s="20"/>
      <c r="I523" s="20"/>
      <c r="J523" s="20"/>
      <c r="K523" s="20"/>
      <c r="L523" s="20"/>
      <c r="M523" s="20"/>
      <c r="N523" s="6" t="str">
        <f t="array" ref="N523">XLOOKUP($B523, XLOOKUP("Tracking Number", Orders!$1:$1, Orders!$A:$AAA), XLOOKUP("Courier Fee", Orders!$1:$1, Orders!$A:$AAA), "Not Found")</f>
        <v>Not Found</v>
      </c>
      <c r="O523" s="6">
        <f t="shared" si="1"/>
        <v>0</v>
      </c>
      <c r="P523" s="6">
        <f t="shared" si="2"/>
        <v>0</v>
      </c>
    </row>
    <row r="524">
      <c r="A524" s="23"/>
      <c r="B524" s="23"/>
      <c r="C524" s="23"/>
      <c r="D524" s="23"/>
      <c r="E524" s="23"/>
      <c r="F524" s="23"/>
      <c r="G524" s="23"/>
      <c r="H524" s="20"/>
      <c r="I524" s="20"/>
      <c r="J524" s="20"/>
      <c r="K524" s="20"/>
      <c r="L524" s="20"/>
      <c r="M524" s="20"/>
      <c r="N524" s="6" t="str">
        <f t="array" ref="N524">XLOOKUP($B524, XLOOKUP("Tracking Number", Orders!$1:$1, Orders!$A:$AAA), XLOOKUP("Courier Fee", Orders!$1:$1, Orders!$A:$AAA), "Not Found")</f>
        <v>Not Found</v>
      </c>
      <c r="O524" s="6">
        <f t="shared" si="1"/>
        <v>0</v>
      </c>
      <c r="P524" s="6">
        <f t="shared" si="2"/>
        <v>0</v>
      </c>
    </row>
    <row r="525">
      <c r="A525" s="23"/>
      <c r="B525" s="23"/>
      <c r="C525" s="23"/>
      <c r="D525" s="23"/>
      <c r="E525" s="23"/>
      <c r="F525" s="23"/>
      <c r="G525" s="23"/>
      <c r="H525" s="20"/>
      <c r="I525" s="20"/>
      <c r="J525" s="20"/>
      <c r="K525" s="20"/>
      <c r="L525" s="20"/>
      <c r="M525" s="20"/>
      <c r="N525" s="6" t="str">
        <f t="array" ref="N525">XLOOKUP($B525, XLOOKUP("Tracking Number", Orders!$1:$1, Orders!$A:$AAA), XLOOKUP("Courier Fee", Orders!$1:$1, Orders!$A:$AAA), "Not Found")</f>
        <v>Not Found</v>
      </c>
      <c r="O525" s="6">
        <f t="shared" si="1"/>
        <v>0</v>
      </c>
      <c r="P525" s="6">
        <f t="shared" si="2"/>
        <v>0</v>
      </c>
    </row>
    <row r="526">
      <c r="A526" s="23"/>
      <c r="B526" s="23"/>
      <c r="C526" s="23"/>
      <c r="D526" s="23"/>
      <c r="E526" s="23"/>
      <c r="F526" s="23"/>
      <c r="G526" s="23"/>
      <c r="H526" s="20"/>
      <c r="I526" s="20"/>
      <c r="J526" s="20"/>
      <c r="K526" s="20"/>
      <c r="L526" s="20"/>
      <c r="M526" s="20"/>
      <c r="N526" s="6" t="str">
        <f t="array" ref="N526">XLOOKUP($B526, XLOOKUP("Tracking Number", Orders!$1:$1, Orders!$A:$AAA), XLOOKUP("Courier Fee", Orders!$1:$1, Orders!$A:$AAA), "Not Found")</f>
        <v>Not Found</v>
      </c>
      <c r="O526" s="6">
        <f t="shared" si="1"/>
        <v>0</v>
      </c>
      <c r="P526" s="6">
        <f t="shared" si="2"/>
        <v>0</v>
      </c>
    </row>
    <row r="527">
      <c r="A527" s="23"/>
      <c r="B527" s="23"/>
      <c r="C527" s="23"/>
      <c r="D527" s="23"/>
      <c r="E527" s="23"/>
      <c r="F527" s="23"/>
      <c r="G527" s="23"/>
      <c r="H527" s="20"/>
      <c r="I527" s="20"/>
      <c r="J527" s="20"/>
      <c r="K527" s="20"/>
      <c r="L527" s="20"/>
      <c r="M527" s="20"/>
      <c r="N527" s="6" t="str">
        <f t="array" ref="N527">XLOOKUP($B527, XLOOKUP("Tracking Number", Orders!$1:$1, Orders!$A:$AAA), XLOOKUP("Courier Fee", Orders!$1:$1, Orders!$A:$AAA), "Not Found")</f>
        <v>Not Found</v>
      </c>
      <c r="O527" s="6">
        <f t="shared" si="1"/>
        <v>0</v>
      </c>
      <c r="P527" s="6">
        <f t="shared" si="2"/>
        <v>0</v>
      </c>
    </row>
    <row r="528">
      <c r="A528" s="23"/>
      <c r="B528" s="23"/>
      <c r="C528" s="23"/>
      <c r="D528" s="23"/>
      <c r="E528" s="23"/>
      <c r="F528" s="23"/>
      <c r="G528" s="23"/>
      <c r="H528" s="20"/>
      <c r="I528" s="20"/>
      <c r="J528" s="20"/>
      <c r="K528" s="20"/>
      <c r="L528" s="20"/>
      <c r="M528" s="20"/>
      <c r="N528" s="6" t="str">
        <f t="array" ref="N528">XLOOKUP($B528, XLOOKUP("Tracking Number", Orders!$1:$1, Orders!$A:$AAA), XLOOKUP("Courier Fee", Orders!$1:$1, Orders!$A:$AAA), "Not Found")</f>
        <v>Not Found</v>
      </c>
      <c r="O528" s="6">
        <f t="shared" si="1"/>
        <v>0</v>
      </c>
      <c r="P528" s="6">
        <f t="shared" si="2"/>
        <v>0</v>
      </c>
    </row>
    <row r="529">
      <c r="A529" s="23"/>
      <c r="B529" s="23"/>
      <c r="C529" s="23"/>
      <c r="D529" s="23"/>
      <c r="E529" s="23"/>
      <c r="F529" s="23"/>
      <c r="G529" s="23"/>
      <c r="H529" s="20"/>
      <c r="I529" s="20"/>
      <c r="J529" s="20"/>
      <c r="K529" s="20"/>
      <c r="L529" s="20"/>
      <c r="M529" s="20"/>
      <c r="N529" s="6" t="str">
        <f t="array" ref="N529">XLOOKUP($B529, XLOOKUP("Tracking Number", Orders!$1:$1, Orders!$A:$AAA), XLOOKUP("Courier Fee", Orders!$1:$1, Orders!$A:$AAA), "Not Found")</f>
        <v>Not Found</v>
      </c>
      <c r="O529" s="6">
        <f t="shared" si="1"/>
        <v>0</v>
      </c>
      <c r="P529" s="6">
        <f t="shared" si="2"/>
        <v>0</v>
      </c>
    </row>
    <row r="530">
      <c r="A530" s="23"/>
      <c r="B530" s="23"/>
      <c r="C530" s="23"/>
      <c r="D530" s="23"/>
      <c r="E530" s="23"/>
      <c r="F530" s="23"/>
      <c r="G530" s="23"/>
      <c r="H530" s="20"/>
      <c r="I530" s="20"/>
      <c r="J530" s="20"/>
      <c r="K530" s="20"/>
      <c r="L530" s="20"/>
      <c r="M530" s="20"/>
      <c r="N530" s="6" t="str">
        <f t="array" ref="N530">XLOOKUP($B530, XLOOKUP("Tracking Number", Orders!$1:$1, Orders!$A:$AAA), XLOOKUP("Courier Fee", Orders!$1:$1, Orders!$A:$AAA), "Not Found")</f>
        <v>Not Found</v>
      </c>
      <c r="O530" s="6">
        <f t="shared" si="1"/>
        <v>0</v>
      </c>
      <c r="P530" s="6">
        <f t="shared" si="2"/>
        <v>0</v>
      </c>
    </row>
    <row r="531">
      <c r="A531" s="23"/>
      <c r="B531" s="23"/>
      <c r="C531" s="23"/>
      <c r="D531" s="23"/>
      <c r="E531" s="23"/>
      <c r="F531" s="23"/>
      <c r="G531" s="23"/>
      <c r="H531" s="20"/>
      <c r="I531" s="20"/>
      <c r="J531" s="20"/>
      <c r="K531" s="20"/>
      <c r="L531" s="20"/>
      <c r="M531" s="20"/>
      <c r="N531" s="6" t="str">
        <f t="array" ref="N531">XLOOKUP($B531, XLOOKUP("Tracking Number", Orders!$1:$1, Orders!$A:$AAA), XLOOKUP("Courier Fee", Orders!$1:$1, Orders!$A:$AAA), "Not Found")</f>
        <v>Not Found</v>
      </c>
      <c r="O531" s="6">
        <f t="shared" si="1"/>
        <v>0</v>
      </c>
      <c r="P531" s="6">
        <f t="shared" si="2"/>
        <v>0</v>
      </c>
    </row>
    <row r="532">
      <c r="A532" s="23"/>
      <c r="B532" s="23"/>
      <c r="C532" s="23"/>
      <c r="D532" s="23"/>
      <c r="E532" s="23"/>
      <c r="F532" s="23"/>
      <c r="G532" s="23"/>
      <c r="H532" s="20"/>
      <c r="I532" s="20"/>
      <c r="J532" s="20"/>
      <c r="K532" s="20"/>
      <c r="L532" s="20"/>
      <c r="M532" s="20"/>
      <c r="N532" s="6" t="str">
        <f t="array" ref="N532">XLOOKUP($B532, XLOOKUP("Tracking Number", Orders!$1:$1, Orders!$A:$AAA), XLOOKUP("Courier Fee", Orders!$1:$1, Orders!$A:$AAA), "Not Found")</f>
        <v>Not Found</v>
      </c>
      <c r="O532" s="6">
        <f t="shared" si="1"/>
        <v>0</v>
      </c>
      <c r="P532" s="6">
        <f t="shared" si="2"/>
        <v>0</v>
      </c>
    </row>
    <row r="533">
      <c r="A533" s="23"/>
      <c r="B533" s="23"/>
      <c r="C533" s="23"/>
      <c r="D533" s="23"/>
      <c r="E533" s="23"/>
      <c r="F533" s="23"/>
      <c r="G533" s="23"/>
      <c r="H533" s="20"/>
      <c r="I533" s="20"/>
      <c r="J533" s="20"/>
      <c r="K533" s="20"/>
      <c r="L533" s="20"/>
      <c r="M533" s="20"/>
      <c r="N533" s="6" t="str">
        <f t="array" ref="N533">XLOOKUP($B533, XLOOKUP("Tracking Number", Orders!$1:$1, Orders!$A:$AAA), XLOOKUP("Courier Fee", Orders!$1:$1, Orders!$A:$AAA), "Not Found")</f>
        <v>Not Found</v>
      </c>
      <c r="O533" s="6">
        <f t="shared" si="1"/>
        <v>0</v>
      </c>
      <c r="P533" s="6">
        <f t="shared" si="2"/>
        <v>0</v>
      </c>
    </row>
    <row r="534">
      <c r="A534" s="23"/>
      <c r="B534" s="23"/>
      <c r="C534" s="23"/>
      <c r="D534" s="23"/>
      <c r="E534" s="23"/>
      <c r="F534" s="23"/>
      <c r="G534" s="23"/>
      <c r="H534" s="20"/>
      <c r="I534" s="20"/>
      <c r="J534" s="20"/>
      <c r="K534" s="20"/>
      <c r="L534" s="20"/>
      <c r="M534" s="20"/>
      <c r="N534" s="6" t="str">
        <f t="array" ref="N534">XLOOKUP($B534, XLOOKUP("Tracking Number", Orders!$1:$1, Orders!$A:$AAA), XLOOKUP("Courier Fee", Orders!$1:$1, Orders!$A:$AAA), "Not Found")</f>
        <v>Not Found</v>
      </c>
      <c r="O534" s="6">
        <f t="shared" si="1"/>
        <v>0</v>
      </c>
      <c r="P534" s="6">
        <f t="shared" si="2"/>
        <v>0</v>
      </c>
    </row>
    <row r="535">
      <c r="A535" s="23"/>
      <c r="B535" s="23"/>
      <c r="C535" s="23"/>
      <c r="D535" s="23"/>
      <c r="E535" s="23"/>
      <c r="F535" s="23"/>
      <c r="G535" s="23"/>
      <c r="H535" s="20"/>
      <c r="I535" s="20"/>
      <c r="J535" s="20"/>
      <c r="K535" s="20"/>
      <c r="L535" s="20"/>
      <c r="M535" s="20"/>
      <c r="N535" s="6" t="str">
        <f t="array" ref="N535">XLOOKUP($B535, XLOOKUP("Tracking Number", Orders!$1:$1, Orders!$A:$AAA), XLOOKUP("Courier Fee", Orders!$1:$1, Orders!$A:$AAA), "Not Found")</f>
        <v>Not Found</v>
      </c>
      <c r="O535" s="6">
        <f t="shared" si="1"/>
        <v>0</v>
      </c>
      <c r="P535" s="6">
        <f t="shared" si="2"/>
        <v>0</v>
      </c>
    </row>
    <row r="536">
      <c r="A536" s="23"/>
      <c r="B536" s="23"/>
      <c r="C536" s="23"/>
      <c r="D536" s="23"/>
      <c r="E536" s="23"/>
      <c r="F536" s="23"/>
      <c r="G536" s="23"/>
      <c r="H536" s="20"/>
      <c r="I536" s="20"/>
      <c r="J536" s="20"/>
      <c r="K536" s="20"/>
      <c r="L536" s="20"/>
      <c r="M536" s="20"/>
      <c r="N536" s="6" t="str">
        <f t="array" ref="N536">XLOOKUP($B536, XLOOKUP("Tracking Number", Orders!$1:$1, Orders!$A:$AAA), XLOOKUP("Courier Fee", Orders!$1:$1, Orders!$A:$AAA), "Not Found")</f>
        <v>Not Found</v>
      </c>
      <c r="O536" s="6">
        <f t="shared" si="1"/>
        <v>0</v>
      </c>
      <c r="P536" s="6">
        <f t="shared" si="2"/>
        <v>0</v>
      </c>
    </row>
    <row r="537">
      <c r="A537" s="23"/>
      <c r="B537" s="23"/>
      <c r="C537" s="23"/>
      <c r="D537" s="23"/>
      <c r="E537" s="23"/>
      <c r="F537" s="23"/>
      <c r="G537" s="23"/>
      <c r="H537" s="20"/>
      <c r="I537" s="20"/>
      <c r="J537" s="20"/>
      <c r="K537" s="20"/>
      <c r="L537" s="20"/>
      <c r="M537" s="20"/>
      <c r="N537" s="6" t="str">
        <f t="array" ref="N537">XLOOKUP($B537, XLOOKUP("Tracking Number", Orders!$1:$1, Orders!$A:$AAA), XLOOKUP("Courier Fee", Orders!$1:$1, Orders!$A:$AAA), "Not Found")</f>
        <v>Not Found</v>
      </c>
      <c r="O537" s="6">
        <f t="shared" si="1"/>
        <v>0</v>
      </c>
      <c r="P537" s="6">
        <f t="shared" si="2"/>
        <v>0</v>
      </c>
    </row>
    <row r="538">
      <c r="A538" s="23"/>
      <c r="B538" s="23"/>
      <c r="C538" s="23"/>
      <c r="D538" s="23"/>
      <c r="E538" s="23"/>
      <c r="F538" s="23"/>
      <c r="G538" s="23"/>
      <c r="H538" s="20"/>
      <c r="I538" s="20"/>
      <c r="J538" s="20"/>
      <c r="K538" s="20"/>
      <c r="L538" s="20"/>
      <c r="M538" s="20"/>
      <c r="N538" s="6" t="str">
        <f t="array" ref="N538">XLOOKUP($B538, XLOOKUP("Tracking Number", Orders!$1:$1, Orders!$A:$AAA), XLOOKUP("Courier Fee", Orders!$1:$1, Orders!$A:$AAA), "Not Found")</f>
        <v>Not Found</v>
      </c>
      <c r="O538" s="6">
        <f t="shared" si="1"/>
        <v>0</v>
      </c>
      <c r="P538" s="6">
        <f t="shared" si="2"/>
        <v>0</v>
      </c>
    </row>
    <row r="539">
      <c r="A539" s="23"/>
      <c r="B539" s="23"/>
      <c r="C539" s="23"/>
      <c r="D539" s="23"/>
      <c r="E539" s="23"/>
      <c r="F539" s="23"/>
      <c r="G539" s="23"/>
      <c r="H539" s="20"/>
      <c r="I539" s="20"/>
      <c r="J539" s="20"/>
      <c r="K539" s="20"/>
      <c r="L539" s="20"/>
      <c r="M539" s="20"/>
      <c r="N539" s="6" t="str">
        <f t="array" ref="N539">XLOOKUP($B539, XLOOKUP("Tracking Number", Orders!$1:$1, Orders!$A:$AAA), XLOOKUP("Courier Fee", Orders!$1:$1, Orders!$A:$AAA), "Not Found")</f>
        <v>Not Found</v>
      </c>
      <c r="O539" s="6">
        <f t="shared" si="1"/>
        <v>0</v>
      </c>
      <c r="P539" s="6">
        <f t="shared" si="2"/>
        <v>0</v>
      </c>
    </row>
    <row r="540">
      <c r="A540" s="23"/>
      <c r="B540" s="23"/>
      <c r="C540" s="23"/>
      <c r="D540" s="23"/>
      <c r="E540" s="23"/>
      <c r="F540" s="23"/>
      <c r="G540" s="23"/>
      <c r="H540" s="20"/>
      <c r="I540" s="20"/>
      <c r="J540" s="20"/>
      <c r="K540" s="20"/>
      <c r="L540" s="20"/>
      <c r="M540" s="20"/>
      <c r="N540" s="6" t="str">
        <f t="array" ref="N540">XLOOKUP($B540, XLOOKUP("Tracking Number", Orders!$1:$1, Orders!$A:$AAA), XLOOKUP("Courier Fee", Orders!$1:$1, Orders!$A:$AAA), "Not Found")</f>
        <v>Not Found</v>
      </c>
      <c r="O540" s="6">
        <f t="shared" si="1"/>
        <v>0</v>
      </c>
      <c r="P540" s="6">
        <f t="shared" si="2"/>
        <v>0</v>
      </c>
    </row>
    <row r="541">
      <c r="A541" s="23"/>
      <c r="B541" s="23"/>
      <c r="C541" s="23"/>
      <c r="D541" s="23"/>
      <c r="E541" s="23"/>
      <c r="F541" s="23"/>
      <c r="G541" s="23"/>
      <c r="H541" s="20"/>
      <c r="I541" s="20"/>
      <c r="J541" s="20"/>
      <c r="K541" s="20"/>
      <c r="L541" s="20"/>
      <c r="M541" s="20"/>
      <c r="N541" s="6" t="str">
        <f t="array" ref="N541">XLOOKUP($B541, XLOOKUP("Tracking Number", Orders!$1:$1, Orders!$A:$AAA), XLOOKUP("Courier Fee", Orders!$1:$1, Orders!$A:$AAA), "Not Found")</f>
        <v>Not Found</v>
      </c>
      <c r="O541" s="6">
        <f t="shared" si="1"/>
        <v>0</v>
      </c>
      <c r="P541" s="6">
        <f t="shared" si="2"/>
        <v>0</v>
      </c>
    </row>
    <row r="542">
      <c r="A542" s="23"/>
      <c r="B542" s="23"/>
      <c r="C542" s="23"/>
      <c r="D542" s="23"/>
      <c r="E542" s="23"/>
      <c r="F542" s="23"/>
      <c r="G542" s="23"/>
      <c r="H542" s="20"/>
      <c r="I542" s="20"/>
      <c r="J542" s="20"/>
      <c r="K542" s="20"/>
      <c r="L542" s="20"/>
      <c r="M542" s="20"/>
      <c r="N542" s="6" t="str">
        <f t="array" ref="N542">XLOOKUP($B542, XLOOKUP("Tracking Number", Orders!$1:$1, Orders!$A:$AAA), XLOOKUP("Courier Fee", Orders!$1:$1, Orders!$A:$AAA), "Not Found")</f>
        <v>Not Found</v>
      </c>
      <c r="O542" s="6">
        <f t="shared" si="1"/>
        <v>0</v>
      </c>
      <c r="P542" s="6">
        <f t="shared" si="2"/>
        <v>0</v>
      </c>
    </row>
    <row r="543">
      <c r="A543" s="23"/>
      <c r="B543" s="23"/>
      <c r="C543" s="23"/>
      <c r="D543" s="23"/>
      <c r="E543" s="23"/>
      <c r="F543" s="23"/>
      <c r="G543" s="23"/>
      <c r="H543" s="20"/>
      <c r="I543" s="20"/>
      <c r="J543" s="20"/>
      <c r="K543" s="20"/>
      <c r="L543" s="20"/>
      <c r="M543" s="20"/>
      <c r="N543" s="6" t="str">
        <f t="array" ref="N543">XLOOKUP($B543, XLOOKUP("Tracking Number", Orders!$1:$1, Orders!$A:$AAA), XLOOKUP("Courier Fee", Orders!$1:$1, Orders!$A:$AAA), "Not Found")</f>
        <v>Not Found</v>
      </c>
      <c r="O543" s="6">
        <f t="shared" si="1"/>
        <v>0</v>
      </c>
      <c r="P543" s="6">
        <f t="shared" si="2"/>
        <v>0</v>
      </c>
    </row>
    <row r="544">
      <c r="A544" s="23"/>
      <c r="B544" s="23"/>
      <c r="C544" s="23"/>
      <c r="D544" s="23"/>
      <c r="E544" s="23"/>
      <c r="F544" s="23"/>
      <c r="G544" s="23"/>
      <c r="H544" s="20"/>
      <c r="I544" s="20"/>
      <c r="J544" s="20"/>
      <c r="K544" s="20"/>
      <c r="L544" s="20"/>
      <c r="M544" s="20"/>
      <c r="N544" s="6" t="str">
        <f t="array" ref="N544">XLOOKUP($B544, XLOOKUP("Tracking Number", Orders!$1:$1, Orders!$A:$AAA), XLOOKUP("Courier Fee", Orders!$1:$1, Orders!$A:$AAA), "Not Found")</f>
        <v>Not Found</v>
      </c>
      <c r="O544" s="6">
        <f t="shared" si="1"/>
        <v>0</v>
      </c>
      <c r="P544" s="6">
        <f t="shared" si="2"/>
        <v>0</v>
      </c>
    </row>
    <row r="545">
      <c r="A545" s="23"/>
      <c r="B545" s="23"/>
      <c r="C545" s="23"/>
      <c r="D545" s="23"/>
      <c r="E545" s="23"/>
      <c r="F545" s="23"/>
      <c r="G545" s="23"/>
      <c r="H545" s="20"/>
      <c r="I545" s="20"/>
      <c r="J545" s="20"/>
      <c r="K545" s="20"/>
      <c r="L545" s="20"/>
      <c r="M545" s="20"/>
      <c r="N545" s="6" t="str">
        <f t="array" ref="N545">XLOOKUP($B545, XLOOKUP("Tracking Number", Orders!$1:$1, Orders!$A:$AAA), XLOOKUP("Courier Fee", Orders!$1:$1, Orders!$A:$AAA), "Not Found")</f>
        <v>Not Found</v>
      </c>
      <c r="O545" s="6">
        <f t="shared" si="1"/>
        <v>0</v>
      </c>
      <c r="P545" s="6">
        <f t="shared" si="2"/>
        <v>0</v>
      </c>
    </row>
    <row r="546">
      <c r="A546" s="23"/>
      <c r="B546" s="23"/>
      <c r="C546" s="23"/>
      <c r="D546" s="23"/>
      <c r="E546" s="23"/>
      <c r="F546" s="23"/>
      <c r="G546" s="23"/>
      <c r="H546" s="20"/>
      <c r="I546" s="20"/>
      <c r="J546" s="20"/>
      <c r="K546" s="20"/>
      <c r="L546" s="20"/>
      <c r="M546" s="20"/>
      <c r="N546" s="6" t="str">
        <f t="array" ref="N546">XLOOKUP($B546, XLOOKUP("Tracking Number", Orders!$1:$1, Orders!$A:$AAA), XLOOKUP("Courier Fee", Orders!$1:$1, Orders!$A:$AAA), "Not Found")</f>
        <v>Not Found</v>
      </c>
      <c r="O546" s="6">
        <f t="shared" si="1"/>
        <v>0</v>
      </c>
      <c r="P546" s="6">
        <f t="shared" si="2"/>
        <v>0</v>
      </c>
    </row>
    <row r="547">
      <c r="A547" s="23"/>
      <c r="B547" s="23"/>
      <c r="C547" s="23"/>
      <c r="D547" s="23"/>
      <c r="E547" s="23"/>
      <c r="F547" s="23"/>
      <c r="G547" s="23"/>
      <c r="H547" s="20"/>
      <c r="I547" s="20"/>
      <c r="J547" s="20"/>
      <c r="K547" s="20"/>
      <c r="L547" s="20"/>
      <c r="M547" s="20"/>
      <c r="N547" s="6" t="str">
        <f t="array" ref="N547">XLOOKUP($B547, XLOOKUP("Tracking Number", Orders!$1:$1, Orders!$A:$AAA), XLOOKUP("Courier Fee", Orders!$1:$1, Orders!$A:$AAA), "Not Found")</f>
        <v>Not Found</v>
      </c>
      <c r="O547" s="6">
        <f t="shared" si="1"/>
        <v>0</v>
      </c>
      <c r="P547" s="6">
        <f t="shared" si="2"/>
        <v>0</v>
      </c>
    </row>
    <row r="548">
      <c r="A548" s="23"/>
      <c r="B548" s="23"/>
      <c r="C548" s="23"/>
      <c r="D548" s="23"/>
      <c r="E548" s="23"/>
      <c r="F548" s="23"/>
      <c r="G548" s="23"/>
      <c r="H548" s="20"/>
      <c r="I548" s="20"/>
      <c r="J548" s="20"/>
      <c r="K548" s="20"/>
      <c r="L548" s="20"/>
      <c r="M548" s="20"/>
      <c r="N548" s="6" t="str">
        <f t="array" ref="N548">XLOOKUP($B548, XLOOKUP("Tracking Number", Orders!$1:$1, Orders!$A:$AAA), XLOOKUP("Courier Fee", Orders!$1:$1, Orders!$A:$AAA), "Not Found")</f>
        <v>Not Found</v>
      </c>
      <c r="O548" s="6">
        <f t="shared" si="1"/>
        <v>0</v>
      </c>
      <c r="P548" s="6">
        <f t="shared" si="2"/>
        <v>0</v>
      </c>
    </row>
    <row r="549">
      <c r="A549" s="23"/>
      <c r="B549" s="23"/>
      <c r="C549" s="23"/>
      <c r="D549" s="23"/>
      <c r="E549" s="23"/>
      <c r="F549" s="23"/>
      <c r="G549" s="23"/>
      <c r="H549" s="20"/>
      <c r="I549" s="20"/>
      <c r="J549" s="20"/>
      <c r="K549" s="20"/>
      <c r="L549" s="20"/>
      <c r="M549" s="20"/>
      <c r="N549" s="6" t="str">
        <f t="array" ref="N549">XLOOKUP($B549, XLOOKUP("Tracking Number", Orders!$1:$1, Orders!$A:$AAA), XLOOKUP("Courier Fee", Orders!$1:$1, Orders!$A:$AAA), "Not Found")</f>
        <v>Not Found</v>
      </c>
      <c r="O549" s="6">
        <f t="shared" si="1"/>
        <v>0</v>
      </c>
      <c r="P549" s="6">
        <f t="shared" si="2"/>
        <v>0</v>
      </c>
    </row>
    <row r="550">
      <c r="A550" s="23"/>
      <c r="B550" s="23"/>
      <c r="C550" s="23"/>
      <c r="D550" s="23"/>
      <c r="E550" s="23"/>
      <c r="F550" s="23"/>
      <c r="G550" s="23"/>
      <c r="H550" s="20"/>
      <c r="I550" s="20"/>
      <c r="J550" s="20"/>
      <c r="K550" s="20"/>
      <c r="L550" s="20"/>
      <c r="M550" s="20"/>
      <c r="N550" s="6" t="str">
        <f t="array" ref="N550">XLOOKUP($B550, XLOOKUP("Tracking Number", Orders!$1:$1, Orders!$A:$AAA), XLOOKUP("Courier Fee", Orders!$1:$1, Orders!$A:$AAA), "Not Found")</f>
        <v>Not Found</v>
      </c>
      <c r="O550" s="6">
        <f t="shared" si="1"/>
        <v>0</v>
      </c>
      <c r="P550" s="6">
        <f t="shared" si="2"/>
        <v>0</v>
      </c>
    </row>
    <row r="551">
      <c r="A551" s="23"/>
      <c r="B551" s="23"/>
      <c r="C551" s="23"/>
      <c r="D551" s="23"/>
      <c r="E551" s="23"/>
      <c r="F551" s="23"/>
      <c r="G551" s="23"/>
      <c r="H551" s="20"/>
      <c r="I551" s="20"/>
      <c r="J551" s="20"/>
      <c r="K551" s="20"/>
      <c r="L551" s="20"/>
      <c r="M551" s="20"/>
      <c r="N551" s="6" t="str">
        <f t="array" ref="N551">XLOOKUP($B551, XLOOKUP("Tracking Number", Orders!$1:$1, Orders!$A:$AAA), XLOOKUP("Courier Fee", Orders!$1:$1, Orders!$A:$AAA), "Not Found")</f>
        <v>Not Found</v>
      </c>
      <c r="O551" s="6">
        <f t="shared" si="1"/>
        <v>0</v>
      </c>
      <c r="P551" s="6">
        <f t="shared" si="2"/>
        <v>0</v>
      </c>
    </row>
    <row r="552">
      <c r="A552" s="23"/>
      <c r="B552" s="23"/>
      <c r="C552" s="23"/>
      <c r="D552" s="23"/>
      <c r="E552" s="23"/>
      <c r="F552" s="23"/>
      <c r="G552" s="23"/>
      <c r="H552" s="20"/>
      <c r="I552" s="20"/>
      <c r="J552" s="20"/>
      <c r="K552" s="20"/>
      <c r="L552" s="20"/>
      <c r="M552" s="20"/>
      <c r="N552" s="6" t="str">
        <f t="array" ref="N552">XLOOKUP($B552, XLOOKUP("Tracking Number", Orders!$1:$1, Orders!$A:$AAA), XLOOKUP("Courier Fee", Orders!$1:$1, Orders!$A:$AAA), "Not Found")</f>
        <v>Not Found</v>
      </c>
      <c r="O552" s="6">
        <f t="shared" si="1"/>
        <v>0</v>
      </c>
      <c r="P552" s="6">
        <f t="shared" si="2"/>
        <v>0</v>
      </c>
    </row>
    <row r="553">
      <c r="A553" s="23"/>
      <c r="B553" s="23"/>
      <c r="C553" s="23"/>
      <c r="D553" s="23"/>
      <c r="E553" s="23"/>
      <c r="F553" s="23"/>
      <c r="G553" s="23"/>
      <c r="H553" s="20"/>
      <c r="I553" s="20"/>
      <c r="J553" s="20"/>
      <c r="K553" s="20"/>
      <c r="L553" s="20"/>
      <c r="M553" s="20"/>
      <c r="N553" s="6" t="str">
        <f t="array" ref="N553">XLOOKUP($B553, XLOOKUP("Tracking Number", Orders!$1:$1, Orders!$A:$AAA), XLOOKUP("Courier Fee", Orders!$1:$1, Orders!$A:$AAA), "Not Found")</f>
        <v>Not Found</v>
      </c>
      <c r="O553" s="6">
        <f t="shared" si="1"/>
        <v>0</v>
      </c>
      <c r="P553" s="6">
        <f t="shared" si="2"/>
        <v>0</v>
      </c>
    </row>
    <row r="554">
      <c r="A554" s="23"/>
      <c r="B554" s="23"/>
      <c r="C554" s="23"/>
      <c r="D554" s="23"/>
      <c r="E554" s="23"/>
      <c r="F554" s="23"/>
      <c r="G554" s="23"/>
      <c r="H554" s="20"/>
      <c r="I554" s="20"/>
      <c r="J554" s="20"/>
      <c r="K554" s="20"/>
      <c r="L554" s="20"/>
      <c r="M554" s="20"/>
      <c r="N554" s="6" t="str">
        <f t="array" ref="N554">XLOOKUP($B554, XLOOKUP("Tracking Number", Orders!$1:$1, Orders!$A:$AAA), XLOOKUP("Courier Fee", Orders!$1:$1, Orders!$A:$AAA), "Not Found")</f>
        <v>Not Found</v>
      </c>
      <c r="O554" s="6">
        <f t="shared" si="1"/>
        <v>0</v>
      </c>
      <c r="P554" s="6">
        <f t="shared" si="2"/>
        <v>0</v>
      </c>
    </row>
    <row r="555">
      <c r="A555" s="23"/>
      <c r="B555" s="23"/>
      <c r="C555" s="23"/>
      <c r="D555" s="23"/>
      <c r="E555" s="23"/>
      <c r="F555" s="23"/>
      <c r="G555" s="23"/>
      <c r="H555" s="20"/>
      <c r="I555" s="20"/>
      <c r="J555" s="20"/>
      <c r="K555" s="20"/>
      <c r="L555" s="20"/>
      <c r="M555" s="20"/>
      <c r="N555" s="6" t="str">
        <f t="array" ref="N555">XLOOKUP($B555, XLOOKUP("Tracking Number", Orders!$1:$1, Orders!$A:$AAA), XLOOKUP("Courier Fee", Orders!$1:$1, Orders!$A:$AAA), "Not Found")</f>
        <v>Not Found</v>
      </c>
      <c r="O555" s="6">
        <f t="shared" si="1"/>
        <v>0</v>
      </c>
      <c r="P555" s="6">
        <f t="shared" si="2"/>
        <v>0</v>
      </c>
    </row>
    <row r="556">
      <c r="A556" s="23"/>
      <c r="B556" s="23"/>
      <c r="C556" s="23"/>
      <c r="D556" s="23"/>
      <c r="E556" s="23"/>
      <c r="F556" s="23"/>
      <c r="G556" s="23"/>
      <c r="H556" s="20"/>
      <c r="I556" s="20"/>
      <c r="J556" s="20"/>
      <c r="K556" s="20"/>
      <c r="L556" s="20"/>
      <c r="M556" s="20"/>
      <c r="N556" s="6" t="str">
        <f t="array" ref="N556">XLOOKUP($B556, XLOOKUP("Tracking Number", Orders!$1:$1, Orders!$A:$AAA), XLOOKUP("Courier Fee", Orders!$1:$1, Orders!$A:$AAA), "Not Found")</f>
        <v>Not Found</v>
      </c>
      <c r="O556" s="6">
        <f t="shared" si="1"/>
        <v>0</v>
      </c>
      <c r="P556" s="6">
        <f t="shared" si="2"/>
        <v>0</v>
      </c>
    </row>
    <row r="557">
      <c r="A557" s="23"/>
      <c r="B557" s="23"/>
      <c r="C557" s="23"/>
      <c r="D557" s="23"/>
      <c r="E557" s="23"/>
      <c r="F557" s="23"/>
      <c r="G557" s="23"/>
      <c r="H557" s="20"/>
      <c r="I557" s="20"/>
      <c r="J557" s="20"/>
      <c r="K557" s="20"/>
      <c r="L557" s="20"/>
      <c r="M557" s="20"/>
      <c r="N557" s="6" t="str">
        <f t="array" ref="N557">XLOOKUP($B557, XLOOKUP("Tracking Number", Orders!$1:$1, Orders!$A:$AAA), XLOOKUP("Courier Fee", Orders!$1:$1, Orders!$A:$AAA), "Not Found")</f>
        <v>Not Found</v>
      </c>
      <c r="O557" s="6">
        <f t="shared" si="1"/>
        <v>0</v>
      </c>
      <c r="P557" s="6">
        <f t="shared" si="2"/>
        <v>0</v>
      </c>
    </row>
    <row r="558">
      <c r="A558" s="23"/>
      <c r="B558" s="23"/>
      <c r="C558" s="23"/>
      <c r="D558" s="23"/>
      <c r="E558" s="23"/>
      <c r="F558" s="23"/>
      <c r="G558" s="23"/>
      <c r="H558" s="20"/>
      <c r="I558" s="20"/>
      <c r="J558" s="20"/>
      <c r="K558" s="20"/>
      <c r="L558" s="20"/>
      <c r="M558" s="20"/>
      <c r="N558" s="6" t="str">
        <f t="array" ref="N558">XLOOKUP($B558, XLOOKUP("Tracking Number", Orders!$1:$1, Orders!$A:$AAA), XLOOKUP("Courier Fee", Orders!$1:$1, Orders!$A:$AAA), "Not Found")</f>
        <v>Not Found</v>
      </c>
      <c r="O558" s="6">
        <f t="shared" si="1"/>
        <v>0</v>
      </c>
      <c r="P558" s="6">
        <f t="shared" si="2"/>
        <v>0</v>
      </c>
    </row>
    <row r="559">
      <c r="A559" s="23"/>
      <c r="B559" s="23"/>
      <c r="C559" s="23"/>
      <c r="D559" s="23"/>
      <c r="E559" s="23"/>
      <c r="F559" s="23"/>
      <c r="G559" s="23"/>
      <c r="H559" s="20"/>
      <c r="I559" s="20"/>
      <c r="J559" s="20"/>
      <c r="K559" s="20"/>
      <c r="L559" s="20"/>
      <c r="M559" s="20"/>
      <c r="N559" s="6" t="str">
        <f t="array" ref="N559">XLOOKUP($B559, XLOOKUP("Tracking Number", Orders!$1:$1, Orders!$A:$AAA), XLOOKUP("Courier Fee", Orders!$1:$1, Orders!$A:$AAA), "Not Found")</f>
        <v>Not Found</v>
      </c>
      <c r="O559" s="6">
        <f t="shared" si="1"/>
        <v>0</v>
      </c>
      <c r="P559" s="6">
        <f t="shared" si="2"/>
        <v>0</v>
      </c>
    </row>
    <row r="560">
      <c r="A560" s="23"/>
      <c r="B560" s="23"/>
      <c r="C560" s="23"/>
      <c r="D560" s="23"/>
      <c r="E560" s="23"/>
      <c r="F560" s="23"/>
      <c r="G560" s="23"/>
      <c r="H560" s="20"/>
      <c r="I560" s="20"/>
      <c r="J560" s="20"/>
      <c r="K560" s="20"/>
      <c r="L560" s="20"/>
      <c r="M560" s="20"/>
      <c r="N560" s="6" t="str">
        <f t="array" ref="N560">XLOOKUP($B560, XLOOKUP("Tracking Number", Orders!$1:$1, Orders!$A:$AAA), XLOOKUP("Courier Fee", Orders!$1:$1, Orders!$A:$AAA), "Not Found")</f>
        <v>Not Found</v>
      </c>
      <c r="O560" s="6">
        <f t="shared" si="1"/>
        <v>0</v>
      </c>
      <c r="P560" s="6">
        <f t="shared" si="2"/>
        <v>0</v>
      </c>
    </row>
    <row r="561">
      <c r="A561" s="23"/>
      <c r="B561" s="23"/>
      <c r="C561" s="23"/>
      <c r="D561" s="23"/>
      <c r="E561" s="23"/>
      <c r="F561" s="23"/>
      <c r="G561" s="23"/>
      <c r="H561" s="20"/>
      <c r="I561" s="20"/>
      <c r="J561" s="20"/>
      <c r="K561" s="20"/>
      <c r="L561" s="20"/>
      <c r="M561" s="20"/>
      <c r="N561" s="6" t="str">
        <f t="array" ref="N561">XLOOKUP($B561, XLOOKUP("Tracking Number", Orders!$1:$1, Orders!$A:$AAA), XLOOKUP("Courier Fee", Orders!$1:$1, Orders!$A:$AAA), "Not Found")</f>
        <v>Not Found</v>
      </c>
      <c r="O561" s="6">
        <f t="shared" si="1"/>
        <v>0</v>
      </c>
      <c r="P561" s="6">
        <f t="shared" si="2"/>
        <v>0</v>
      </c>
    </row>
    <row r="562">
      <c r="A562" s="23"/>
      <c r="B562" s="23"/>
      <c r="C562" s="23"/>
      <c r="D562" s="23"/>
      <c r="E562" s="23"/>
      <c r="F562" s="23"/>
      <c r="G562" s="23"/>
      <c r="H562" s="20"/>
      <c r="I562" s="20"/>
      <c r="J562" s="20"/>
      <c r="K562" s="20"/>
      <c r="L562" s="20"/>
      <c r="M562" s="20"/>
      <c r="N562" s="6" t="str">
        <f t="array" ref="N562">XLOOKUP($B562, XLOOKUP("Tracking Number", Orders!$1:$1, Orders!$A:$AAA), XLOOKUP("Courier Fee", Orders!$1:$1, Orders!$A:$AAA), "Not Found")</f>
        <v>Not Found</v>
      </c>
      <c r="O562" s="6">
        <f t="shared" si="1"/>
        <v>0</v>
      </c>
      <c r="P562" s="6">
        <f t="shared" si="2"/>
        <v>0</v>
      </c>
    </row>
    <row r="563">
      <c r="A563" s="23"/>
      <c r="B563" s="23"/>
      <c r="C563" s="23"/>
      <c r="D563" s="23"/>
      <c r="E563" s="23"/>
      <c r="F563" s="23"/>
      <c r="G563" s="23"/>
      <c r="H563" s="20"/>
      <c r="I563" s="20"/>
      <c r="J563" s="20"/>
      <c r="K563" s="20"/>
      <c r="L563" s="20"/>
      <c r="M563" s="20"/>
      <c r="N563" s="6" t="str">
        <f t="array" ref="N563">XLOOKUP($B563, XLOOKUP("Tracking Number", Orders!$1:$1, Orders!$A:$AAA), XLOOKUP("Courier Fee", Orders!$1:$1, Orders!$A:$AAA), "Not Found")</f>
        <v>Not Found</v>
      </c>
      <c r="O563" s="6">
        <f t="shared" si="1"/>
        <v>0</v>
      </c>
      <c r="P563" s="6">
        <f t="shared" si="2"/>
        <v>0</v>
      </c>
    </row>
    <row r="564">
      <c r="A564" s="23"/>
      <c r="B564" s="23"/>
      <c r="C564" s="23"/>
      <c r="D564" s="23"/>
      <c r="E564" s="23"/>
      <c r="F564" s="23"/>
      <c r="G564" s="23"/>
      <c r="H564" s="20"/>
      <c r="I564" s="20"/>
      <c r="J564" s="20"/>
      <c r="K564" s="20"/>
      <c r="L564" s="20"/>
      <c r="M564" s="20"/>
      <c r="N564" s="6" t="str">
        <f t="array" ref="N564">XLOOKUP($B564, XLOOKUP("Tracking Number", Orders!$1:$1, Orders!$A:$AAA), XLOOKUP("Courier Fee", Orders!$1:$1, Orders!$A:$AAA), "Not Found")</f>
        <v>Not Found</v>
      </c>
      <c r="O564" s="6">
        <f t="shared" si="1"/>
        <v>0</v>
      </c>
      <c r="P564" s="6">
        <f t="shared" si="2"/>
        <v>0</v>
      </c>
    </row>
    <row r="565">
      <c r="A565" s="23"/>
      <c r="B565" s="23"/>
      <c r="C565" s="23"/>
      <c r="D565" s="23"/>
      <c r="E565" s="23"/>
      <c r="F565" s="23"/>
      <c r="G565" s="23"/>
      <c r="H565" s="20"/>
      <c r="I565" s="20"/>
      <c r="J565" s="20"/>
      <c r="K565" s="20"/>
      <c r="L565" s="20"/>
      <c r="M565" s="20"/>
      <c r="N565" s="6" t="str">
        <f t="array" ref="N565">XLOOKUP($B565, XLOOKUP("Tracking Number", Orders!$1:$1, Orders!$A:$AAA), XLOOKUP("Courier Fee", Orders!$1:$1, Orders!$A:$AAA), "Not Found")</f>
        <v>Not Found</v>
      </c>
      <c r="O565" s="6">
        <f t="shared" si="1"/>
        <v>0</v>
      </c>
      <c r="P565" s="6">
        <f t="shared" si="2"/>
        <v>0</v>
      </c>
    </row>
    <row r="566">
      <c r="A566" s="23"/>
      <c r="B566" s="23"/>
      <c r="C566" s="23"/>
      <c r="D566" s="23"/>
      <c r="E566" s="23"/>
      <c r="F566" s="23"/>
      <c r="G566" s="23"/>
      <c r="H566" s="20"/>
      <c r="I566" s="20"/>
      <c r="J566" s="20"/>
      <c r="K566" s="20"/>
      <c r="L566" s="20"/>
      <c r="M566" s="20"/>
      <c r="N566" s="6" t="str">
        <f t="array" ref="N566">XLOOKUP($B566, XLOOKUP("Tracking Number", Orders!$1:$1, Orders!$A:$AAA), XLOOKUP("Courier Fee", Orders!$1:$1, Orders!$A:$AAA), "Not Found")</f>
        <v>Not Found</v>
      </c>
      <c r="O566" s="6">
        <f t="shared" si="1"/>
        <v>0</v>
      </c>
      <c r="P566" s="6">
        <f t="shared" si="2"/>
        <v>0</v>
      </c>
    </row>
    <row r="567">
      <c r="A567" s="23"/>
      <c r="B567" s="23"/>
      <c r="C567" s="23"/>
      <c r="D567" s="23"/>
      <c r="E567" s="23"/>
      <c r="F567" s="23"/>
      <c r="G567" s="23"/>
      <c r="H567" s="20"/>
      <c r="I567" s="20"/>
      <c r="J567" s="20"/>
      <c r="K567" s="20"/>
      <c r="L567" s="20"/>
      <c r="M567" s="20"/>
      <c r="N567" s="6" t="str">
        <f t="array" ref="N567">XLOOKUP($B567, XLOOKUP("Tracking Number", Orders!$1:$1, Orders!$A:$AAA), XLOOKUP("Courier Fee", Orders!$1:$1, Orders!$A:$AAA), "Not Found")</f>
        <v>Not Found</v>
      </c>
      <c r="O567" s="6">
        <f t="shared" si="1"/>
        <v>0</v>
      </c>
      <c r="P567" s="6">
        <f t="shared" si="2"/>
        <v>0</v>
      </c>
    </row>
    <row r="568">
      <c r="A568" s="23"/>
      <c r="B568" s="23"/>
      <c r="C568" s="23"/>
      <c r="D568" s="23"/>
      <c r="E568" s="23"/>
      <c r="F568" s="23"/>
      <c r="G568" s="23"/>
      <c r="H568" s="20"/>
      <c r="I568" s="20"/>
      <c r="J568" s="20"/>
      <c r="K568" s="20"/>
      <c r="L568" s="20"/>
      <c r="M568" s="20"/>
      <c r="N568" s="6" t="str">
        <f t="array" ref="N568">XLOOKUP($B568, XLOOKUP("Tracking Number", Orders!$1:$1, Orders!$A:$AAA), XLOOKUP("Courier Fee", Orders!$1:$1, Orders!$A:$AAA), "Not Found")</f>
        <v>Not Found</v>
      </c>
      <c r="O568" s="6">
        <f t="shared" si="1"/>
        <v>0</v>
      </c>
      <c r="P568" s="6">
        <f t="shared" si="2"/>
        <v>0</v>
      </c>
    </row>
    <row r="569">
      <c r="A569" s="23"/>
      <c r="B569" s="23"/>
      <c r="C569" s="23"/>
      <c r="D569" s="23"/>
      <c r="E569" s="23"/>
      <c r="F569" s="23"/>
      <c r="G569" s="23"/>
      <c r="H569" s="20"/>
      <c r="I569" s="20"/>
      <c r="J569" s="20"/>
      <c r="K569" s="20"/>
      <c r="L569" s="20"/>
      <c r="M569" s="20"/>
      <c r="N569" s="6" t="str">
        <f t="array" ref="N569">XLOOKUP($B569, XLOOKUP("Tracking Number", Orders!$1:$1, Orders!$A:$AAA), XLOOKUP("Courier Fee", Orders!$1:$1, Orders!$A:$AAA), "Not Found")</f>
        <v>Not Found</v>
      </c>
      <c r="O569" s="6">
        <f t="shared" si="1"/>
        <v>0</v>
      </c>
      <c r="P569" s="6">
        <f t="shared" si="2"/>
        <v>0</v>
      </c>
    </row>
    <row r="570">
      <c r="A570" s="23"/>
      <c r="B570" s="23"/>
      <c r="C570" s="23"/>
      <c r="D570" s="23"/>
      <c r="E570" s="23"/>
      <c r="F570" s="23"/>
      <c r="G570" s="23"/>
      <c r="H570" s="20"/>
      <c r="I570" s="20"/>
      <c r="J570" s="20"/>
      <c r="K570" s="20"/>
      <c r="L570" s="20"/>
      <c r="M570" s="20"/>
      <c r="N570" s="6" t="str">
        <f t="array" ref="N570">XLOOKUP($B570, XLOOKUP("Tracking Number", Orders!$1:$1, Orders!$A:$AAA), XLOOKUP("Courier Fee", Orders!$1:$1, Orders!$A:$AAA), "Not Found")</f>
        <v>Not Found</v>
      </c>
      <c r="O570" s="6">
        <f t="shared" si="1"/>
        <v>0</v>
      </c>
      <c r="P570" s="6">
        <f t="shared" si="2"/>
        <v>0</v>
      </c>
    </row>
    <row r="571">
      <c r="A571" s="23"/>
      <c r="B571" s="23"/>
      <c r="C571" s="23"/>
      <c r="D571" s="23"/>
      <c r="E571" s="23"/>
      <c r="F571" s="23"/>
      <c r="G571" s="23"/>
      <c r="H571" s="20"/>
      <c r="I571" s="20"/>
      <c r="J571" s="20"/>
      <c r="K571" s="20"/>
      <c r="L571" s="20"/>
      <c r="M571" s="20"/>
      <c r="N571" s="6" t="str">
        <f t="array" ref="N571">XLOOKUP($B571, XLOOKUP("Tracking Number", Orders!$1:$1, Orders!$A:$AAA), XLOOKUP("Courier Fee", Orders!$1:$1, Orders!$A:$AAA), "Not Found")</f>
        <v>Not Found</v>
      </c>
      <c r="O571" s="6">
        <f t="shared" si="1"/>
        <v>0</v>
      </c>
      <c r="P571" s="6">
        <f t="shared" si="2"/>
        <v>0</v>
      </c>
    </row>
    <row r="572">
      <c r="A572" s="23"/>
      <c r="B572" s="23"/>
      <c r="C572" s="23"/>
      <c r="D572" s="23"/>
      <c r="E572" s="23"/>
      <c r="F572" s="23"/>
      <c r="G572" s="23"/>
      <c r="H572" s="20"/>
      <c r="I572" s="20"/>
      <c r="J572" s="20"/>
      <c r="K572" s="20"/>
      <c r="L572" s="20"/>
      <c r="M572" s="20"/>
      <c r="N572" s="6" t="str">
        <f t="array" ref="N572">XLOOKUP($B572, XLOOKUP("Tracking Number", Orders!$1:$1, Orders!$A:$AAA), XLOOKUP("Courier Fee", Orders!$1:$1, Orders!$A:$AAA), "Not Found")</f>
        <v>Not Found</v>
      </c>
      <c r="O572" s="6">
        <f t="shared" si="1"/>
        <v>0</v>
      </c>
      <c r="P572" s="6">
        <f t="shared" si="2"/>
        <v>0</v>
      </c>
    </row>
    <row r="573">
      <c r="A573" s="23"/>
      <c r="B573" s="23"/>
      <c r="C573" s="23"/>
      <c r="D573" s="23"/>
      <c r="E573" s="23"/>
      <c r="F573" s="23"/>
      <c r="G573" s="23"/>
      <c r="H573" s="20"/>
      <c r="I573" s="20"/>
      <c r="J573" s="20"/>
      <c r="K573" s="20"/>
      <c r="L573" s="20"/>
      <c r="M573" s="20"/>
      <c r="N573" s="6" t="str">
        <f t="array" ref="N573">XLOOKUP($B573, XLOOKUP("Tracking Number", Orders!$1:$1, Orders!$A:$AAA), XLOOKUP("Courier Fee", Orders!$1:$1, Orders!$A:$AAA), "Not Found")</f>
        <v>Not Found</v>
      </c>
      <c r="O573" s="6">
        <f t="shared" si="1"/>
        <v>0</v>
      </c>
      <c r="P573" s="6">
        <f t="shared" si="2"/>
        <v>0</v>
      </c>
    </row>
    <row r="574">
      <c r="A574" s="23"/>
      <c r="B574" s="23"/>
      <c r="C574" s="23"/>
      <c r="D574" s="23"/>
      <c r="E574" s="23"/>
      <c r="F574" s="23"/>
      <c r="G574" s="23"/>
      <c r="H574" s="20"/>
      <c r="I574" s="20"/>
      <c r="J574" s="20"/>
      <c r="K574" s="20"/>
      <c r="L574" s="20"/>
      <c r="M574" s="20"/>
      <c r="N574" s="6" t="str">
        <f t="array" ref="N574">XLOOKUP($B574, XLOOKUP("Tracking Number", Orders!$1:$1, Orders!$A:$AAA), XLOOKUP("Courier Fee", Orders!$1:$1, Orders!$A:$AAA), "Not Found")</f>
        <v>Not Found</v>
      </c>
      <c r="O574" s="6">
        <f t="shared" si="1"/>
        <v>0</v>
      </c>
      <c r="P574" s="6">
        <f t="shared" si="2"/>
        <v>0</v>
      </c>
    </row>
    <row r="575">
      <c r="A575" s="23"/>
      <c r="B575" s="23"/>
      <c r="C575" s="23"/>
      <c r="D575" s="23"/>
      <c r="E575" s="23"/>
      <c r="F575" s="23"/>
      <c r="G575" s="23"/>
      <c r="H575" s="20"/>
      <c r="I575" s="20"/>
      <c r="J575" s="20"/>
      <c r="K575" s="20"/>
      <c r="L575" s="20"/>
      <c r="M575" s="20"/>
      <c r="N575" s="6" t="str">
        <f t="array" ref="N575">XLOOKUP($B575, XLOOKUP("Tracking Number", Orders!$1:$1, Orders!$A:$AAA), XLOOKUP("Courier Fee", Orders!$1:$1, Orders!$A:$AAA), "Not Found")</f>
        <v>Not Found</v>
      </c>
      <c r="O575" s="6">
        <f t="shared" si="1"/>
        <v>0</v>
      </c>
      <c r="P575" s="6">
        <f t="shared" si="2"/>
        <v>0</v>
      </c>
    </row>
    <row r="576">
      <c r="A576" s="23"/>
      <c r="B576" s="23"/>
      <c r="C576" s="23"/>
      <c r="D576" s="23"/>
      <c r="E576" s="23"/>
      <c r="F576" s="23"/>
      <c r="G576" s="23"/>
      <c r="H576" s="20"/>
      <c r="I576" s="20"/>
      <c r="J576" s="20"/>
      <c r="K576" s="20"/>
      <c r="L576" s="20"/>
      <c r="M576" s="20"/>
      <c r="N576" s="6" t="str">
        <f t="array" ref="N576">XLOOKUP($B576, XLOOKUP("Tracking Number", Orders!$1:$1, Orders!$A:$AAA), XLOOKUP("Courier Fee", Orders!$1:$1, Orders!$A:$AAA), "Not Found")</f>
        <v>Not Found</v>
      </c>
      <c r="O576" s="6">
        <f t="shared" si="1"/>
        <v>0</v>
      </c>
      <c r="P576" s="6">
        <f t="shared" si="2"/>
        <v>0</v>
      </c>
    </row>
    <row r="577">
      <c r="A577" s="23"/>
      <c r="B577" s="23"/>
      <c r="C577" s="23"/>
      <c r="D577" s="23"/>
      <c r="E577" s="23"/>
      <c r="F577" s="23"/>
      <c r="G577" s="23"/>
      <c r="H577" s="20"/>
      <c r="I577" s="20"/>
      <c r="J577" s="20"/>
      <c r="K577" s="20"/>
      <c r="L577" s="20"/>
      <c r="M577" s="20"/>
      <c r="N577" s="6" t="str">
        <f t="array" ref="N577">XLOOKUP($B577, XLOOKUP("Tracking Number", Orders!$1:$1, Orders!$A:$AAA), XLOOKUP("Courier Fee", Orders!$1:$1, Orders!$A:$AAA), "Not Found")</f>
        <v>Not Found</v>
      </c>
      <c r="O577" s="6">
        <f t="shared" si="1"/>
        <v>0</v>
      </c>
      <c r="P577" s="6">
        <f t="shared" si="2"/>
        <v>0</v>
      </c>
    </row>
    <row r="578">
      <c r="A578" s="23"/>
      <c r="B578" s="23"/>
      <c r="C578" s="23"/>
      <c r="D578" s="23"/>
      <c r="E578" s="23"/>
      <c r="F578" s="23"/>
      <c r="G578" s="23"/>
      <c r="H578" s="20"/>
      <c r="I578" s="20"/>
      <c r="J578" s="20"/>
      <c r="K578" s="20"/>
      <c r="L578" s="20"/>
      <c r="M578" s="20"/>
      <c r="N578" s="6" t="str">
        <f t="array" ref="N578">XLOOKUP($B578, XLOOKUP("Tracking Number", Orders!$1:$1, Orders!$A:$AAA), XLOOKUP("Courier Fee", Orders!$1:$1, Orders!$A:$AAA), "Not Found")</f>
        <v>Not Found</v>
      </c>
      <c r="O578" s="6">
        <f t="shared" si="1"/>
        <v>0</v>
      </c>
      <c r="P578" s="6">
        <f t="shared" si="2"/>
        <v>0</v>
      </c>
    </row>
    <row r="579">
      <c r="A579" s="23"/>
      <c r="B579" s="23"/>
      <c r="C579" s="23"/>
      <c r="D579" s="23"/>
      <c r="E579" s="23"/>
      <c r="F579" s="23"/>
      <c r="G579" s="23"/>
      <c r="H579" s="20"/>
      <c r="I579" s="20"/>
      <c r="J579" s="20"/>
      <c r="K579" s="20"/>
      <c r="L579" s="20"/>
      <c r="M579" s="20"/>
      <c r="N579" s="6" t="str">
        <f t="array" ref="N579">XLOOKUP($B579, XLOOKUP("Tracking Number", Orders!$1:$1, Orders!$A:$AAA), XLOOKUP("Courier Fee", Orders!$1:$1, Orders!$A:$AAA), "Not Found")</f>
        <v>Not Found</v>
      </c>
      <c r="O579" s="6">
        <f t="shared" si="1"/>
        <v>0</v>
      </c>
      <c r="P579" s="6">
        <f t="shared" si="2"/>
        <v>0</v>
      </c>
    </row>
    <row r="580">
      <c r="A580" s="23"/>
      <c r="B580" s="23"/>
      <c r="C580" s="23"/>
      <c r="D580" s="23"/>
      <c r="E580" s="23"/>
      <c r="F580" s="23"/>
      <c r="G580" s="23"/>
      <c r="H580" s="20"/>
      <c r="I580" s="20"/>
      <c r="J580" s="20"/>
      <c r="K580" s="20"/>
      <c r="L580" s="20"/>
      <c r="M580" s="20"/>
      <c r="N580" s="6" t="str">
        <f t="array" ref="N580">XLOOKUP($B580, XLOOKUP("Tracking Number", Orders!$1:$1, Orders!$A:$AAA), XLOOKUP("Courier Fee", Orders!$1:$1, Orders!$A:$AAA), "Not Found")</f>
        <v>Not Found</v>
      </c>
      <c r="O580" s="6">
        <f t="shared" si="1"/>
        <v>0</v>
      </c>
      <c r="P580" s="6">
        <f t="shared" si="2"/>
        <v>0</v>
      </c>
    </row>
    <row r="581">
      <c r="A581" s="23"/>
      <c r="B581" s="23"/>
      <c r="C581" s="23"/>
      <c r="D581" s="23"/>
      <c r="E581" s="23"/>
      <c r="F581" s="23"/>
      <c r="G581" s="23"/>
      <c r="H581" s="20"/>
      <c r="I581" s="20"/>
      <c r="J581" s="20"/>
      <c r="K581" s="20"/>
      <c r="L581" s="20"/>
      <c r="M581" s="20"/>
      <c r="N581" s="6" t="str">
        <f t="array" ref="N581">XLOOKUP($B581, XLOOKUP("Tracking Number", Orders!$1:$1, Orders!$A:$AAA), XLOOKUP("Courier Fee", Orders!$1:$1, Orders!$A:$AAA), "Not Found")</f>
        <v>Not Found</v>
      </c>
      <c r="O581" s="6">
        <f t="shared" si="1"/>
        <v>0</v>
      </c>
      <c r="P581" s="6">
        <f t="shared" si="2"/>
        <v>0</v>
      </c>
    </row>
    <row r="582">
      <c r="A582" s="23"/>
      <c r="B582" s="23"/>
      <c r="C582" s="23"/>
      <c r="D582" s="23"/>
      <c r="E582" s="23"/>
      <c r="F582" s="23"/>
      <c r="G582" s="23"/>
      <c r="H582" s="20"/>
      <c r="I582" s="20"/>
      <c r="J582" s="20"/>
      <c r="K582" s="20"/>
      <c r="L582" s="20"/>
      <c r="M582" s="20"/>
      <c r="N582" s="6" t="str">
        <f t="array" ref="N582">XLOOKUP($B582, XLOOKUP("Tracking Number", Orders!$1:$1, Orders!$A:$AAA), XLOOKUP("Courier Fee", Orders!$1:$1, Orders!$A:$AAA), "Not Found")</f>
        <v>Not Found</v>
      </c>
      <c r="O582" s="6">
        <f t="shared" si="1"/>
        <v>0</v>
      </c>
      <c r="P582" s="6">
        <f t="shared" si="2"/>
        <v>0</v>
      </c>
    </row>
    <row r="583">
      <c r="A583" s="23"/>
      <c r="B583" s="23"/>
      <c r="C583" s="23"/>
      <c r="D583" s="23"/>
      <c r="E583" s="23"/>
      <c r="F583" s="23"/>
      <c r="G583" s="23"/>
      <c r="H583" s="20"/>
      <c r="I583" s="20"/>
      <c r="J583" s="20"/>
      <c r="K583" s="20"/>
      <c r="L583" s="20"/>
      <c r="M583" s="20"/>
      <c r="N583" s="6" t="str">
        <f t="array" ref="N583">XLOOKUP($B583, XLOOKUP("Tracking Number", Orders!$1:$1, Orders!$A:$AAA), XLOOKUP("Courier Fee", Orders!$1:$1, Orders!$A:$AAA), "Not Found")</f>
        <v>Not Found</v>
      </c>
      <c r="O583" s="6">
        <f t="shared" si="1"/>
        <v>0</v>
      </c>
      <c r="P583" s="6">
        <f t="shared" si="2"/>
        <v>0</v>
      </c>
    </row>
    <row r="584">
      <c r="A584" s="23"/>
      <c r="B584" s="23"/>
      <c r="C584" s="23"/>
      <c r="D584" s="23"/>
      <c r="E584" s="23"/>
      <c r="F584" s="23"/>
      <c r="G584" s="23"/>
      <c r="H584" s="20"/>
      <c r="I584" s="20"/>
      <c r="J584" s="20"/>
      <c r="K584" s="20"/>
      <c r="L584" s="20"/>
      <c r="M584" s="20"/>
      <c r="N584" s="6" t="str">
        <f t="array" ref="N584">XLOOKUP($B584, XLOOKUP("Tracking Number", Orders!$1:$1, Orders!$A:$AAA), XLOOKUP("Courier Fee", Orders!$1:$1, Orders!$A:$AAA), "Not Found")</f>
        <v>Not Found</v>
      </c>
      <c r="O584" s="6">
        <f t="shared" si="1"/>
        <v>0</v>
      </c>
      <c r="P584" s="6">
        <f t="shared" si="2"/>
        <v>0</v>
      </c>
    </row>
    <row r="585">
      <c r="A585" s="23"/>
      <c r="B585" s="23"/>
      <c r="C585" s="23"/>
      <c r="D585" s="23"/>
      <c r="E585" s="23"/>
      <c r="F585" s="23"/>
      <c r="G585" s="23"/>
      <c r="H585" s="20"/>
      <c r="I585" s="20"/>
      <c r="J585" s="20"/>
      <c r="K585" s="20"/>
      <c r="L585" s="20"/>
      <c r="M585" s="20"/>
      <c r="N585" s="6" t="str">
        <f t="array" ref="N585">XLOOKUP($B585, XLOOKUP("Tracking Number", Orders!$1:$1, Orders!$A:$AAA), XLOOKUP("Courier Fee", Orders!$1:$1, Orders!$A:$AAA), "Not Found")</f>
        <v>Not Found</v>
      </c>
      <c r="O585" s="6">
        <f t="shared" si="1"/>
        <v>0</v>
      </c>
      <c r="P585" s="6">
        <f t="shared" si="2"/>
        <v>0</v>
      </c>
    </row>
    <row r="586">
      <c r="A586" s="23"/>
      <c r="B586" s="23"/>
      <c r="C586" s="23"/>
      <c r="D586" s="23"/>
      <c r="E586" s="23"/>
      <c r="F586" s="23"/>
      <c r="G586" s="23"/>
      <c r="H586" s="20"/>
      <c r="I586" s="20"/>
      <c r="J586" s="20"/>
      <c r="K586" s="20"/>
      <c r="L586" s="20"/>
      <c r="M586" s="20"/>
      <c r="N586" s="6" t="str">
        <f t="array" ref="N586">XLOOKUP($B586, XLOOKUP("Tracking Number", Orders!$1:$1, Orders!$A:$AAA), XLOOKUP("Courier Fee", Orders!$1:$1, Orders!$A:$AAA), "Not Found")</f>
        <v>Not Found</v>
      </c>
      <c r="O586" s="6">
        <f t="shared" si="1"/>
        <v>0</v>
      </c>
      <c r="P586" s="6">
        <f t="shared" si="2"/>
        <v>0</v>
      </c>
    </row>
    <row r="587">
      <c r="A587" s="23"/>
      <c r="B587" s="23"/>
      <c r="C587" s="23"/>
      <c r="D587" s="23"/>
      <c r="E587" s="23"/>
      <c r="F587" s="23"/>
      <c r="G587" s="23"/>
      <c r="H587" s="20"/>
      <c r="I587" s="20"/>
      <c r="J587" s="20"/>
      <c r="K587" s="20"/>
      <c r="L587" s="20"/>
      <c r="M587" s="20"/>
      <c r="N587" s="6" t="str">
        <f t="array" ref="N587">XLOOKUP($B587, XLOOKUP("Tracking Number", Orders!$1:$1, Orders!$A:$AAA), XLOOKUP("Courier Fee", Orders!$1:$1, Orders!$A:$AAA), "Not Found")</f>
        <v>Not Found</v>
      </c>
      <c r="O587" s="6">
        <f t="shared" si="1"/>
        <v>0</v>
      </c>
      <c r="P587" s="6">
        <f t="shared" si="2"/>
        <v>0</v>
      </c>
    </row>
    <row r="588">
      <c r="A588" s="23"/>
      <c r="B588" s="23"/>
      <c r="C588" s="23"/>
      <c r="D588" s="23"/>
      <c r="E588" s="23"/>
      <c r="F588" s="23"/>
      <c r="G588" s="23"/>
      <c r="H588" s="20"/>
      <c r="I588" s="20"/>
      <c r="J588" s="20"/>
      <c r="K588" s="20"/>
      <c r="L588" s="20"/>
      <c r="M588" s="20"/>
      <c r="N588" s="6" t="str">
        <f t="array" ref="N588">XLOOKUP($B588, XLOOKUP("Tracking Number", Orders!$1:$1, Orders!$A:$AAA), XLOOKUP("Courier Fee", Orders!$1:$1, Orders!$A:$AAA), "Not Found")</f>
        <v>Not Found</v>
      </c>
      <c r="O588" s="6">
        <f t="shared" si="1"/>
        <v>0</v>
      </c>
      <c r="P588" s="6">
        <f t="shared" si="2"/>
        <v>0</v>
      </c>
    </row>
    <row r="589">
      <c r="A589" s="23"/>
      <c r="B589" s="23"/>
      <c r="C589" s="23"/>
      <c r="D589" s="23"/>
      <c r="E589" s="23"/>
      <c r="F589" s="23"/>
      <c r="G589" s="23"/>
      <c r="H589" s="20"/>
      <c r="I589" s="20"/>
      <c r="J589" s="20"/>
      <c r="K589" s="20"/>
      <c r="L589" s="20"/>
      <c r="M589" s="20"/>
      <c r="N589" s="6" t="str">
        <f t="array" ref="N589">XLOOKUP($B589, XLOOKUP("Tracking Number", Orders!$1:$1, Orders!$A:$AAA), XLOOKUP("Courier Fee", Orders!$1:$1, Orders!$A:$AAA), "Not Found")</f>
        <v>Not Found</v>
      </c>
      <c r="O589" s="6">
        <f t="shared" si="1"/>
        <v>0</v>
      </c>
      <c r="P589" s="6">
        <f t="shared" si="2"/>
        <v>0</v>
      </c>
    </row>
    <row r="590">
      <c r="A590" s="23"/>
      <c r="B590" s="23"/>
      <c r="C590" s="23"/>
      <c r="D590" s="23"/>
      <c r="E590" s="23"/>
      <c r="F590" s="23"/>
      <c r="G590" s="23"/>
      <c r="H590" s="20"/>
      <c r="I590" s="20"/>
      <c r="J590" s="20"/>
      <c r="K590" s="20"/>
      <c r="L590" s="20"/>
      <c r="M590" s="20"/>
      <c r="N590" s="6" t="str">
        <f t="array" ref="N590">XLOOKUP($B590, XLOOKUP("Tracking Number", Orders!$1:$1, Orders!$A:$AAA), XLOOKUP("Courier Fee", Orders!$1:$1, Orders!$A:$AAA), "Not Found")</f>
        <v>Not Found</v>
      </c>
      <c r="O590" s="6">
        <f t="shared" si="1"/>
        <v>0</v>
      </c>
      <c r="P590" s="6">
        <f t="shared" si="2"/>
        <v>0</v>
      </c>
    </row>
    <row r="591">
      <c r="A591" s="23"/>
      <c r="B591" s="23"/>
      <c r="C591" s="23"/>
      <c r="D591" s="23"/>
      <c r="E591" s="23"/>
      <c r="F591" s="23"/>
      <c r="G591" s="23"/>
      <c r="H591" s="20"/>
      <c r="I591" s="20"/>
      <c r="J591" s="20"/>
      <c r="K591" s="20"/>
      <c r="L591" s="20"/>
      <c r="M591" s="20"/>
      <c r="N591" s="6" t="str">
        <f t="array" ref="N591">XLOOKUP($B591, XLOOKUP("Tracking Number", Orders!$1:$1, Orders!$A:$AAA), XLOOKUP("Courier Fee", Orders!$1:$1, Orders!$A:$AAA), "Not Found")</f>
        <v>Not Found</v>
      </c>
      <c r="O591" s="6">
        <f t="shared" si="1"/>
        <v>0</v>
      </c>
      <c r="P591" s="6">
        <f t="shared" si="2"/>
        <v>0</v>
      </c>
    </row>
    <row r="592">
      <c r="A592" s="23"/>
      <c r="B592" s="23"/>
      <c r="C592" s="23"/>
      <c r="D592" s="23"/>
      <c r="E592" s="23"/>
      <c r="F592" s="23"/>
      <c r="G592" s="23"/>
      <c r="H592" s="20"/>
      <c r="I592" s="20"/>
      <c r="J592" s="20"/>
      <c r="K592" s="20"/>
      <c r="L592" s="20"/>
      <c r="M592" s="20"/>
      <c r="N592" s="6" t="str">
        <f t="array" ref="N592">XLOOKUP($B592, XLOOKUP("Tracking Number", Orders!$1:$1, Orders!$A:$AAA), XLOOKUP("Courier Fee", Orders!$1:$1, Orders!$A:$AAA), "Not Found")</f>
        <v>Not Found</v>
      </c>
      <c r="O592" s="6">
        <f t="shared" si="1"/>
        <v>0</v>
      </c>
      <c r="P592" s="6">
        <f t="shared" si="2"/>
        <v>0</v>
      </c>
    </row>
    <row r="593">
      <c r="A593" s="23"/>
      <c r="B593" s="23"/>
      <c r="C593" s="23"/>
      <c r="D593" s="23"/>
      <c r="E593" s="23"/>
      <c r="F593" s="23"/>
      <c r="G593" s="23"/>
      <c r="H593" s="20"/>
      <c r="I593" s="20"/>
      <c r="J593" s="20"/>
      <c r="K593" s="20"/>
      <c r="L593" s="20"/>
      <c r="M593" s="20"/>
      <c r="N593" s="6" t="str">
        <f t="array" ref="N593">XLOOKUP($B593, XLOOKUP("Tracking Number", Orders!$1:$1, Orders!$A:$AAA), XLOOKUP("Courier Fee", Orders!$1:$1, Orders!$A:$AAA), "Not Found")</f>
        <v>Not Found</v>
      </c>
      <c r="O593" s="6">
        <f t="shared" si="1"/>
        <v>0</v>
      </c>
      <c r="P593" s="6">
        <f t="shared" si="2"/>
        <v>0</v>
      </c>
    </row>
    <row r="594">
      <c r="A594" s="23"/>
      <c r="B594" s="23"/>
      <c r="C594" s="23"/>
      <c r="D594" s="23"/>
      <c r="E594" s="23"/>
      <c r="F594" s="23"/>
      <c r="G594" s="23"/>
      <c r="H594" s="20"/>
      <c r="I594" s="20"/>
      <c r="J594" s="20"/>
      <c r="K594" s="20"/>
      <c r="L594" s="20"/>
      <c r="M594" s="20"/>
      <c r="N594" s="6" t="str">
        <f t="array" ref="N594">XLOOKUP($B594, XLOOKUP("Tracking Number", Orders!$1:$1, Orders!$A:$AAA), XLOOKUP("Courier Fee", Orders!$1:$1, Orders!$A:$AAA), "Not Found")</f>
        <v>Not Found</v>
      </c>
      <c r="O594" s="6">
        <f t="shared" si="1"/>
        <v>0</v>
      </c>
      <c r="P594" s="6">
        <f t="shared" si="2"/>
        <v>0</v>
      </c>
    </row>
    <row r="595">
      <c r="A595" s="23"/>
      <c r="B595" s="23"/>
      <c r="C595" s="23"/>
      <c r="D595" s="23"/>
      <c r="E595" s="23"/>
      <c r="F595" s="23"/>
      <c r="G595" s="23"/>
      <c r="H595" s="20"/>
      <c r="I595" s="20"/>
      <c r="J595" s="20"/>
      <c r="K595" s="20"/>
      <c r="L595" s="20"/>
      <c r="M595" s="20"/>
      <c r="N595" s="6" t="str">
        <f t="array" ref="N595">XLOOKUP($B595, XLOOKUP("Tracking Number", Orders!$1:$1, Orders!$A:$AAA), XLOOKUP("Courier Fee", Orders!$1:$1, Orders!$A:$AAA), "Not Found")</f>
        <v>Not Found</v>
      </c>
      <c r="O595" s="6">
        <f t="shared" si="1"/>
        <v>0</v>
      </c>
      <c r="P595" s="6">
        <f t="shared" si="2"/>
        <v>0</v>
      </c>
    </row>
    <row r="596">
      <c r="A596" s="23"/>
      <c r="B596" s="23"/>
      <c r="C596" s="23"/>
      <c r="D596" s="23"/>
      <c r="E596" s="23"/>
      <c r="F596" s="23"/>
      <c r="G596" s="23"/>
      <c r="H596" s="20"/>
      <c r="I596" s="20"/>
      <c r="J596" s="20"/>
      <c r="K596" s="20"/>
      <c r="L596" s="20"/>
      <c r="M596" s="20"/>
      <c r="N596" s="6" t="str">
        <f t="array" ref="N596">XLOOKUP($B596, XLOOKUP("Tracking Number", Orders!$1:$1, Orders!$A:$AAA), XLOOKUP("Courier Fee", Orders!$1:$1, Orders!$A:$AAA), "Not Found")</f>
        <v>Not Found</v>
      </c>
      <c r="O596" s="6">
        <f t="shared" si="1"/>
        <v>0</v>
      </c>
      <c r="P596" s="6">
        <f t="shared" si="2"/>
        <v>0</v>
      </c>
    </row>
    <row r="597">
      <c r="A597" s="23"/>
      <c r="B597" s="23"/>
      <c r="C597" s="23"/>
      <c r="D597" s="23"/>
      <c r="E597" s="23"/>
      <c r="F597" s="23"/>
      <c r="G597" s="23"/>
      <c r="H597" s="20"/>
      <c r="I597" s="20"/>
      <c r="J597" s="20"/>
      <c r="K597" s="20"/>
      <c r="L597" s="20"/>
      <c r="M597" s="20"/>
      <c r="N597" s="6" t="str">
        <f t="array" ref="N597">XLOOKUP($B597, XLOOKUP("Tracking Number", Orders!$1:$1, Orders!$A:$AAA), XLOOKUP("Courier Fee", Orders!$1:$1, Orders!$A:$AAA), "Not Found")</f>
        <v>Not Found</v>
      </c>
      <c r="O597" s="6">
        <f t="shared" si="1"/>
        <v>0</v>
      </c>
      <c r="P597" s="6">
        <f t="shared" si="2"/>
        <v>0</v>
      </c>
    </row>
    <row r="598">
      <c r="A598" s="23"/>
      <c r="B598" s="23"/>
      <c r="C598" s="23"/>
      <c r="D598" s="23"/>
      <c r="E598" s="23"/>
      <c r="F598" s="23"/>
      <c r="G598" s="23"/>
      <c r="H598" s="20"/>
      <c r="I598" s="20"/>
      <c r="J598" s="20"/>
      <c r="K598" s="20"/>
      <c r="L598" s="20"/>
      <c r="M598" s="20"/>
      <c r="N598" s="6" t="str">
        <f t="array" ref="N598">XLOOKUP($B598, XLOOKUP("Tracking Number", Orders!$1:$1, Orders!$A:$AAA), XLOOKUP("Courier Fee", Orders!$1:$1, Orders!$A:$AAA), "Not Found")</f>
        <v>Not Found</v>
      </c>
      <c r="O598" s="6">
        <f t="shared" si="1"/>
        <v>0</v>
      </c>
      <c r="P598" s="6">
        <f t="shared" si="2"/>
        <v>0</v>
      </c>
    </row>
    <row r="599">
      <c r="A599" s="23"/>
      <c r="B599" s="23"/>
      <c r="C599" s="23"/>
      <c r="D599" s="23"/>
      <c r="E599" s="23"/>
      <c r="F599" s="23"/>
      <c r="G599" s="23"/>
      <c r="H599" s="20"/>
      <c r="I599" s="20"/>
      <c r="J599" s="20"/>
      <c r="K599" s="20"/>
      <c r="L599" s="20"/>
      <c r="M599" s="20"/>
      <c r="N599" s="6" t="str">
        <f t="array" ref="N599">XLOOKUP($B599, XLOOKUP("Tracking Number", Orders!$1:$1, Orders!$A:$AAA), XLOOKUP("Courier Fee", Orders!$1:$1, Orders!$A:$AAA), "Not Found")</f>
        <v>Not Found</v>
      </c>
      <c r="O599" s="6">
        <f t="shared" si="1"/>
        <v>0</v>
      </c>
      <c r="P599" s="6">
        <f t="shared" si="2"/>
        <v>0</v>
      </c>
    </row>
    <row r="600">
      <c r="A600" s="23"/>
      <c r="B600" s="23"/>
      <c r="C600" s="23"/>
      <c r="D600" s="23"/>
      <c r="E600" s="23"/>
      <c r="F600" s="23"/>
      <c r="G600" s="23"/>
      <c r="H600" s="20"/>
      <c r="I600" s="20"/>
      <c r="J600" s="20"/>
      <c r="K600" s="20"/>
      <c r="L600" s="20"/>
      <c r="M600" s="20"/>
      <c r="N600" s="6" t="str">
        <f t="array" ref="N600">XLOOKUP($B600, XLOOKUP("Tracking Number", Orders!$1:$1, Orders!$A:$AAA), XLOOKUP("Courier Fee", Orders!$1:$1, Orders!$A:$AAA), "Not Found")</f>
        <v>Not Found</v>
      </c>
      <c r="O600" s="6">
        <f t="shared" si="1"/>
        <v>0</v>
      </c>
      <c r="P600" s="6">
        <f t="shared" si="2"/>
        <v>0</v>
      </c>
    </row>
    <row r="601">
      <c r="A601" s="23"/>
      <c r="B601" s="23"/>
      <c r="C601" s="23"/>
      <c r="D601" s="23"/>
      <c r="E601" s="23"/>
      <c r="F601" s="23"/>
      <c r="G601" s="23"/>
      <c r="H601" s="20"/>
      <c r="I601" s="20"/>
      <c r="J601" s="20"/>
      <c r="K601" s="20"/>
      <c r="L601" s="20"/>
      <c r="M601" s="20"/>
      <c r="N601" s="6" t="str">
        <f t="array" ref="N601">XLOOKUP($B601, XLOOKUP("Tracking Number", Orders!$1:$1, Orders!$A:$AAA), XLOOKUP("Courier Fee", Orders!$1:$1, Orders!$A:$AAA), "Not Found")</f>
        <v>Not Found</v>
      </c>
      <c r="O601" s="6">
        <f t="shared" si="1"/>
        <v>0</v>
      </c>
      <c r="P601" s="6">
        <f t="shared" si="2"/>
        <v>0</v>
      </c>
    </row>
    <row r="602">
      <c r="A602" s="23"/>
      <c r="B602" s="23"/>
      <c r="C602" s="23"/>
      <c r="D602" s="23"/>
      <c r="E602" s="23"/>
      <c r="F602" s="23"/>
      <c r="G602" s="23"/>
      <c r="H602" s="20"/>
      <c r="I602" s="20"/>
      <c r="J602" s="20"/>
      <c r="K602" s="20"/>
      <c r="L602" s="20"/>
      <c r="M602" s="20"/>
      <c r="N602" s="6" t="str">
        <f t="array" ref="N602">XLOOKUP($B602, XLOOKUP("Tracking Number", Orders!$1:$1, Orders!$A:$AAA), XLOOKUP("Courier Fee", Orders!$1:$1, Orders!$A:$AAA), "Not Found")</f>
        <v>Not Found</v>
      </c>
      <c r="O602" s="6">
        <f t="shared" si="1"/>
        <v>0</v>
      </c>
      <c r="P602" s="6">
        <f t="shared" si="2"/>
        <v>0</v>
      </c>
    </row>
    <row r="603">
      <c r="A603" s="23"/>
      <c r="B603" s="23"/>
      <c r="C603" s="23"/>
      <c r="D603" s="23"/>
      <c r="E603" s="23"/>
      <c r="F603" s="23"/>
      <c r="G603" s="23"/>
      <c r="H603" s="20"/>
      <c r="I603" s="20"/>
      <c r="J603" s="20"/>
      <c r="K603" s="20"/>
      <c r="L603" s="20"/>
      <c r="M603" s="20"/>
      <c r="N603" s="6" t="str">
        <f t="array" ref="N603">XLOOKUP($B603, XLOOKUP("Tracking Number", Orders!$1:$1, Orders!$A:$AAA), XLOOKUP("Courier Fee", Orders!$1:$1, Orders!$A:$AAA), "Not Found")</f>
        <v>Not Found</v>
      </c>
      <c r="O603" s="6">
        <f t="shared" si="1"/>
        <v>0</v>
      </c>
      <c r="P603" s="6">
        <f t="shared" si="2"/>
        <v>0</v>
      </c>
    </row>
    <row r="604">
      <c r="A604" s="23"/>
      <c r="B604" s="23"/>
      <c r="C604" s="23"/>
      <c r="D604" s="23"/>
      <c r="E604" s="23"/>
      <c r="F604" s="23"/>
      <c r="G604" s="23"/>
      <c r="H604" s="20"/>
      <c r="I604" s="20"/>
      <c r="J604" s="20"/>
      <c r="K604" s="20"/>
      <c r="L604" s="20"/>
      <c r="M604" s="20"/>
      <c r="N604" s="6" t="str">
        <f t="array" ref="N604">XLOOKUP($B604, XLOOKUP("Tracking Number", Orders!$1:$1, Orders!$A:$AAA), XLOOKUP("Courier Fee", Orders!$1:$1, Orders!$A:$AAA), "Not Found")</f>
        <v>Not Found</v>
      </c>
      <c r="O604" s="6">
        <f t="shared" si="1"/>
        <v>0</v>
      </c>
      <c r="P604" s="6">
        <f t="shared" si="2"/>
        <v>0</v>
      </c>
    </row>
    <row r="605">
      <c r="A605" s="23"/>
      <c r="B605" s="23"/>
      <c r="C605" s="23"/>
      <c r="D605" s="23"/>
      <c r="E605" s="23"/>
      <c r="F605" s="23"/>
      <c r="G605" s="23"/>
      <c r="H605" s="20"/>
      <c r="I605" s="20"/>
      <c r="J605" s="20"/>
      <c r="K605" s="20"/>
      <c r="L605" s="20"/>
      <c r="M605" s="20"/>
      <c r="N605" s="6" t="str">
        <f t="array" ref="N605">XLOOKUP($B605, XLOOKUP("Tracking Number", Orders!$1:$1, Orders!$A:$AAA), XLOOKUP("Courier Fee", Orders!$1:$1, Orders!$A:$AAA), "Not Found")</f>
        <v>Not Found</v>
      </c>
      <c r="O605" s="6">
        <f t="shared" si="1"/>
        <v>0</v>
      </c>
      <c r="P605" s="6">
        <f t="shared" si="2"/>
        <v>0</v>
      </c>
    </row>
    <row r="606">
      <c r="A606" s="23"/>
      <c r="B606" s="23"/>
      <c r="C606" s="23"/>
      <c r="D606" s="23"/>
      <c r="E606" s="23"/>
      <c r="F606" s="23"/>
      <c r="G606" s="23"/>
      <c r="H606" s="20"/>
      <c r="I606" s="20"/>
      <c r="J606" s="20"/>
      <c r="K606" s="20"/>
      <c r="L606" s="20"/>
      <c r="M606" s="20"/>
      <c r="N606" s="6" t="str">
        <f t="array" ref="N606">XLOOKUP($B606, XLOOKUP("Tracking Number", Orders!$1:$1, Orders!$A:$AAA), XLOOKUP("Courier Fee", Orders!$1:$1, Orders!$A:$AAA), "Not Found")</f>
        <v>Not Found</v>
      </c>
      <c r="O606" s="6">
        <f t="shared" si="1"/>
        <v>0</v>
      </c>
      <c r="P606" s="6">
        <f t="shared" si="2"/>
        <v>0</v>
      </c>
    </row>
    <row r="607">
      <c r="A607" s="23"/>
      <c r="B607" s="23"/>
      <c r="C607" s="23"/>
      <c r="D607" s="23"/>
      <c r="E607" s="23"/>
      <c r="F607" s="23"/>
      <c r="G607" s="23"/>
      <c r="H607" s="20"/>
      <c r="I607" s="20"/>
      <c r="J607" s="20"/>
      <c r="K607" s="20"/>
      <c r="L607" s="20"/>
      <c r="M607" s="20"/>
      <c r="N607" s="6" t="str">
        <f t="array" ref="N607">XLOOKUP($B607, XLOOKUP("Tracking Number", Orders!$1:$1, Orders!$A:$AAA), XLOOKUP("Courier Fee", Orders!$1:$1, Orders!$A:$AAA), "Not Found")</f>
        <v>Not Found</v>
      </c>
      <c r="O607" s="6">
        <f t="shared" si="1"/>
        <v>0</v>
      </c>
      <c r="P607" s="6">
        <f t="shared" si="2"/>
        <v>0</v>
      </c>
    </row>
    <row r="608">
      <c r="A608" s="23"/>
      <c r="B608" s="23"/>
      <c r="C608" s="23"/>
      <c r="D608" s="23"/>
      <c r="E608" s="23"/>
      <c r="F608" s="23"/>
      <c r="G608" s="23"/>
      <c r="H608" s="20"/>
      <c r="I608" s="20"/>
      <c r="J608" s="20"/>
      <c r="K608" s="20"/>
      <c r="L608" s="20"/>
      <c r="M608" s="20"/>
      <c r="N608" s="6" t="str">
        <f t="array" ref="N608">XLOOKUP($B608, XLOOKUP("Tracking Number", Orders!$1:$1, Orders!$A:$AAA), XLOOKUP("Courier Fee", Orders!$1:$1, Orders!$A:$AAA), "Not Found")</f>
        <v>Not Found</v>
      </c>
      <c r="O608" s="6">
        <f t="shared" si="1"/>
        <v>0</v>
      </c>
      <c r="P608" s="6">
        <f t="shared" si="2"/>
        <v>0</v>
      </c>
    </row>
    <row r="609">
      <c r="A609" s="23"/>
      <c r="B609" s="23"/>
      <c r="C609" s="23"/>
      <c r="D609" s="23"/>
      <c r="E609" s="23"/>
      <c r="F609" s="23"/>
      <c r="G609" s="23"/>
      <c r="H609" s="20"/>
      <c r="I609" s="20"/>
      <c r="J609" s="20"/>
      <c r="K609" s="20"/>
      <c r="L609" s="20"/>
      <c r="M609" s="20"/>
      <c r="N609" s="6" t="str">
        <f t="array" ref="N609">XLOOKUP($B609, XLOOKUP("Tracking Number", Orders!$1:$1, Orders!$A:$AAA), XLOOKUP("Courier Fee", Orders!$1:$1, Orders!$A:$AAA), "Not Found")</f>
        <v>Not Found</v>
      </c>
      <c r="O609" s="6">
        <f t="shared" si="1"/>
        <v>0</v>
      </c>
      <c r="P609" s="6">
        <f t="shared" si="2"/>
        <v>0</v>
      </c>
    </row>
    <row r="610">
      <c r="A610" s="23"/>
      <c r="B610" s="23"/>
      <c r="C610" s="23"/>
      <c r="D610" s="23"/>
      <c r="E610" s="23"/>
      <c r="F610" s="23"/>
      <c r="G610" s="23"/>
      <c r="H610" s="20"/>
      <c r="I610" s="20"/>
      <c r="J610" s="20"/>
      <c r="K610" s="20"/>
      <c r="L610" s="20"/>
      <c r="M610" s="20"/>
      <c r="N610" s="6" t="str">
        <f t="array" ref="N610">XLOOKUP($B610, XLOOKUP("Tracking Number", Orders!$1:$1, Orders!$A:$AAA), XLOOKUP("Courier Fee", Orders!$1:$1, Orders!$A:$AAA), "Not Found")</f>
        <v>Not Found</v>
      </c>
      <c r="O610" s="6">
        <f t="shared" si="1"/>
        <v>0</v>
      </c>
      <c r="P610" s="6">
        <f t="shared" si="2"/>
        <v>0</v>
      </c>
    </row>
    <row r="611">
      <c r="A611" s="23"/>
      <c r="B611" s="23"/>
      <c r="C611" s="23"/>
      <c r="D611" s="23"/>
      <c r="E611" s="23"/>
      <c r="F611" s="23"/>
      <c r="G611" s="23"/>
      <c r="H611" s="20"/>
      <c r="I611" s="20"/>
      <c r="J611" s="20"/>
      <c r="K611" s="20"/>
      <c r="L611" s="20"/>
      <c r="M611" s="20"/>
      <c r="N611" s="6" t="str">
        <f t="array" ref="N611">XLOOKUP($B611, XLOOKUP("Tracking Number", Orders!$1:$1, Orders!$A:$AAA), XLOOKUP("Courier Fee", Orders!$1:$1, Orders!$A:$AAA), "Not Found")</f>
        <v>Not Found</v>
      </c>
      <c r="O611" s="6">
        <f t="shared" si="1"/>
        <v>0</v>
      </c>
      <c r="P611" s="6">
        <f t="shared" si="2"/>
        <v>0</v>
      </c>
    </row>
    <row r="612">
      <c r="A612" s="23"/>
      <c r="B612" s="23"/>
      <c r="C612" s="23"/>
      <c r="D612" s="23"/>
      <c r="E612" s="23"/>
      <c r="F612" s="23"/>
      <c r="G612" s="23"/>
      <c r="H612" s="20"/>
      <c r="I612" s="20"/>
      <c r="J612" s="20"/>
      <c r="K612" s="20"/>
      <c r="L612" s="20"/>
      <c r="M612" s="20"/>
      <c r="N612" s="6" t="str">
        <f t="array" ref="N612">XLOOKUP($B612, XLOOKUP("Tracking Number", Orders!$1:$1, Orders!$A:$AAA), XLOOKUP("Courier Fee", Orders!$1:$1, Orders!$A:$AAA), "Not Found")</f>
        <v>Not Found</v>
      </c>
      <c r="O612" s="6">
        <f t="shared" si="1"/>
        <v>0</v>
      </c>
      <c r="P612" s="6">
        <f t="shared" si="2"/>
        <v>0</v>
      </c>
    </row>
    <row r="613">
      <c r="A613" s="23"/>
      <c r="B613" s="23"/>
      <c r="C613" s="23"/>
      <c r="D613" s="23"/>
      <c r="E613" s="23"/>
      <c r="F613" s="23"/>
      <c r="G613" s="23"/>
      <c r="H613" s="20"/>
      <c r="I613" s="20"/>
      <c r="J613" s="20"/>
      <c r="K613" s="20"/>
      <c r="L613" s="20"/>
      <c r="M613" s="20"/>
      <c r="N613" s="6" t="str">
        <f t="array" ref="N613">XLOOKUP($B613, XLOOKUP("Tracking Number", Orders!$1:$1, Orders!$A:$AAA), XLOOKUP("Courier Fee", Orders!$1:$1, Orders!$A:$AAA), "Not Found")</f>
        <v>Not Found</v>
      </c>
      <c r="O613" s="6">
        <f t="shared" si="1"/>
        <v>0</v>
      </c>
      <c r="P613" s="6">
        <f t="shared" si="2"/>
        <v>0</v>
      </c>
    </row>
    <row r="614">
      <c r="A614" s="23"/>
      <c r="B614" s="23"/>
      <c r="C614" s="23"/>
      <c r="D614" s="23"/>
      <c r="E614" s="23"/>
      <c r="F614" s="23"/>
      <c r="G614" s="23"/>
      <c r="H614" s="20"/>
      <c r="I614" s="20"/>
      <c r="J614" s="20"/>
      <c r="K614" s="20"/>
      <c r="L614" s="20"/>
      <c r="M614" s="20"/>
      <c r="N614" s="6" t="str">
        <f t="array" ref="N614">XLOOKUP($B614, XLOOKUP("Tracking Number", Orders!$1:$1, Orders!$A:$AAA), XLOOKUP("Courier Fee", Orders!$1:$1, Orders!$A:$AAA), "Not Found")</f>
        <v>Not Found</v>
      </c>
      <c r="O614" s="6">
        <f t="shared" si="1"/>
        <v>0</v>
      </c>
      <c r="P614" s="6">
        <f t="shared" si="2"/>
        <v>0</v>
      </c>
    </row>
    <row r="615">
      <c r="A615" s="23"/>
      <c r="B615" s="23"/>
      <c r="C615" s="23"/>
      <c r="D615" s="23"/>
      <c r="E615" s="23"/>
      <c r="F615" s="23"/>
      <c r="G615" s="23"/>
      <c r="H615" s="20"/>
      <c r="I615" s="20"/>
      <c r="J615" s="20"/>
      <c r="K615" s="20"/>
      <c r="L615" s="20"/>
      <c r="M615" s="20"/>
      <c r="N615" s="6" t="str">
        <f t="array" ref="N615">XLOOKUP($B615, XLOOKUP("Tracking Number", Orders!$1:$1, Orders!$A:$AAA), XLOOKUP("Courier Fee", Orders!$1:$1, Orders!$A:$AAA), "Not Found")</f>
        <v>Not Found</v>
      </c>
      <c r="O615" s="6">
        <f t="shared" si="1"/>
        <v>0</v>
      </c>
      <c r="P615" s="6">
        <f t="shared" si="2"/>
        <v>0</v>
      </c>
    </row>
    <row r="616">
      <c r="A616" s="23"/>
      <c r="B616" s="23"/>
      <c r="C616" s="23"/>
      <c r="D616" s="23"/>
      <c r="E616" s="23"/>
      <c r="F616" s="23"/>
      <c r="G616" s="23"/>
      <c r="H616" s="20"/>
      <c r="I616" s="20"/>
      <c r="J616" s="20"/>
      <c r="K616" s="20"/>
      <c r="L616" s="20"/>
      <c r="M616" s="20"/>
      <c r="N616" s="6" t="str">
        <f t="array" ref="N616">XLOOKUP($B616, XLOOKUP("Tracking Number", Orders!$1:$1, Orders!$A:$AAA), XLOOKUP("Courier Fee", Orders!$1:$1, Orders!$A:$AAA), "Not Found")</f>
        <v>Not Found</v>
      </c>
      <c r="O616" s="6">
        <f t="shared" si="1"/>
        <v>0</v>
      </c>
      <c r="P616" s="6">
        <f t="shared" si="2"/>
        <v>0</v>
      </c>
    </row>
    <row r="617">
      <c r="A617" s="23"/>
      <c r="B617" s="23"/>
      <c r="C617" s="23"/>
      <c r="D617" s="23"/>
      <c r="E617" s="23"/>
      <c r="F617" s="23"/>
      <c r="G617" s="23"/>
      <c r="H617" s="20"/>
      <c r="I617" s="20"/>
      <c r="J617" s="20"/>
      <c r="K617" s="20"/>
      <c r="L617" s="20"/>
      <c r="M617" s="20"/>
      <c r="N617" s="6" t="str">
        <f t="array" ref="N617">XLOOKUP($B617, XLOOKUP("Tracking Number", Orders!$1:$1, Orders!$A:$AAA), XLOOKUP("Courier Fee", Orders!$1:$1, Orders!$A:$AAA), "Not Found")</f>
        <v>Not Found</v>
      </c>
      <c r="O617" s="6">
        <f t="shared" si="1"/>
        <v>0</v>
      </c>
      <c r="P617" s="6">
        <f t="shared" si="2"/>
        <v>0</v>
      </c>
    </row>
    <row r="618">
      <c r="A618" s="23"/>
      <c r="B618" s="23"/>
      <c r="C618" s="23"/>
      <c r="D618" s="23"/>
      <c r="E618" s="23"/>
      <c r="F618" s="23"/>
      <c r="G618" s="23"/>
      <c r="H618" s="20"/>
      <c r="I618" s="20"/>
      <c r="J618" s="20"/>
      <c r="K618" s="20"/>
      <c r="L618" s="20"/>
      <c r="M618" s="20"/>
      <c r="N618" s="6" t="str">
        <f t="array" ref="N618">XLOOKUP($B618, XLOOKUP("Tracking Number", Orders!$1:$1, Orders!$A:$AAA), XLOOKUP("Courier Fee", Orders!$1:$1, Orders!$A:$AAA), "Not Found")</f>
        <v>Not Found</v>
      </c>
      <c r="O618" s="6">
        <f t="shared" si="1"/>
        <v>0</v>
      </c>
      <c r="P618" s="6">
        <f t="shared" si="2"/>
        <v>0</v>
      </c>
    </row>
    <row r="619">
      <c r="A619" s="23"/>
      <c r="B619" s="23"/>
      <c r="C619" s="23"/>
      <c r="D619" s="23"/>
      <c r="E619" s="23"/>
      <c r="F619" s="23"/>
      <c r="G619" s="23"/>
      <c r="H619" s="20"/>
      <c r="I619" s="20"/>
      <c r="J619" s="20"/>
      <c r="K619" s="20"/>
      <c r="L619" s="20"/>
      <c r="M619" s="20"/>
      <c r="N619" s="6" t="str">
        <f t="array" ref="N619">XLOOKUP($B619, XLOOKUP("Tracking Number", Orders!$1:$1, Orders!$A:$AAA), XLOOKUP("Courier Fee", Orders!$1:$1, Orders!$A:$AAA), "Not Found")</f>
        <v>Not Found</v>
      </c>
      <c r="O619" s="6">
        <f t="shared" si="1"/>
        <v>0</v>
      </c>
      <c r="P619" s="6">
        <f t="shared" si="2"/>
        <v>0</v>
      </c>
    </row>
    <row r="620">
      <c r="A620" s="23"/>
      <c r="B620" s="23"/>
      <c r="C620" s="23"/>
      <c r="D620" s="23"/>
      <c r="E620" s="23"/>
      <c r="F620" s="23"/>
      <c r="G620" s="23"/>
      <c r="H620" s="20"/>
      <c r="I620" s="20"/>
      <c r="J620" s="20"/>
      <c r="K620" s="20"/>
      <c r="L620" s="20"/>
      <c r="M620" s="20"/>
      <c r="N620" s="6" t="str">
        <f t="array" ref="N620">XLOOKUP($B620, XLOOKUP("Tracking Number", Orders!$1:$1, Orders!$A:$AAA), XLOOKUP("Courier Fee", Orders!$1:$1, Orders!$A:$AAA), "Not Found")</f>
        <v>Not Found</v>
      </c>
      <c r="O620" s="6">
        <f t="shared" si="1"/>
        <v>0</v>
      </c>
      <c r="P620" s="6">
        <f t="shared" si="2"/>
        <v>0</v>
      </c>
    </row>
    <row r="621">
      <c r="A621" s="23"/>
      <c r="B621" s="23"/>
      <c r="C621" s="23"/>
      <c r="D621" s="23"/>
      <c r="E621" s="23"/>
      <c r="F621" s="23"/>
      <c r="G621" s="23"/>
      <c r="H621" s="20"/>
      <c r="I621" s="20"/>
      <c r="J621" s="20"/>
      <c r="K621" s="20"/>
      <c r="L621" s="20"/>
      <c r="M621" s="20"/>
      <c r="N621" s="6" t="str">
        <f t="array" ref="N621">XLOOKUP($B621, XLOOKUP("Tracking Number", Orders!$1:$1, Orders!$A:$AAA), XLOOKUP("Courier Fee", Orders!$1:$1, Orders!$A:$AAA), "Not Found")</f>
        <v>Not Found</v>
      </c>
      <c r="O621" s="6">
        <f t="shared" si="1"/>
        <v>0</v>
      </c>
      <c r="P621" s="6">
        <f t="shared" si="2"/>
        <v>0</v>
      </c>
    </row>
    <row r="622">
      <c r="A622" s="23"/>
      <c r="B622" s="23"/>
      <c r="C622" s="23"/>
      <c r="D622" s="23"/>
      <c r="E622" s="23"/>
      <c r="F622" s="23"/>
      <c r="G622" s="23"/>
      <c r="H622" s="20"/>
      <c r="I622" s="20"/>
      <c r="J622" s="20"/>
      <c r="K622" s="20"/>
      <c r="L622" s="20"/>
      <c r="M622" s="20"/>
      <c r="N622" s="6" t="str">
        <f t="array" ref="N622">XLOOKUP($B622, XLOOKUP("Tracking Number", Orders!$1:$1, Orders!$A:$AAA), XLOOKUP("Courier Fee", Orders!$1:$1, Orders!$A:$AAA), "Not Found")</f>
        <v>Not Found</v>
      </c>
      <c r="O622" s="6">
        <f t="shared" si="1"/>
        <v>0</v>
      </c>
      <c r="P622" s="6">
        <f t="shared" si="2"/>
        <v>0</v>
      </c>
    </row>
    <row r="623">
      <c r="A623" s="23"/>
      <c r="B623" s="23"/>
      <c r="C623" s="23"/>
      <c r="D623" s="23"/>
      <c r="E623" s="23"/>
      <c r="F623" s="23"/>
      <c r="G623" s="23"/>
      <c r="H623" s="20"/>
      <c r="I623" s="20"/>
      <c r="J623" s="20"/>
      <c r="K623" s="20"/>
      <c r="L623" s="20"/>
      <c r="M623" s="20"/>
      <c r="N623" s="6" t="str">
        <f t="array" ref="N623">XLOOKUP($B623, XLOOKUP("Tracking Number", Orders!$1:$1, Orders!$A:$AAA), XLOOKUP("Courier Fee", Orders!$1:$1, Orders!$A:$AAA), "Not Found")</f>
        <v>Not Found</v>
      </c>
      <c r="O623" s="6">
        <f t="shared" si="1"/>
        <v>0</v>
      </c>
      <c r="P623" s="6">
        <f t="shared" si="2"/>
        <v>0</v>
      </c>
    </row>
    <row r="624">
      <c r="A624" s="23"/>
      <c r="B624" s="23"/>
      <c r="C624" s="23"/>
      <c r="D624" s="23"/>
      <c r="E624" s="23"/>
      <c r="F624" s="23"/>
      <c r="G624" s="23"/>
      <c r="H624" s="20"/>
      <c r="I624" s="20"/>
      <c r="J624" s="20"/>
      <c r="K624" s="20"/>
      <c r="L624" s="20"/>
      <c r="M624" s="20"/>
      <c r="N624" s="6" t="str">
        <f t="array" ref="N624">XLOOKUP($B624, XLOOKUP("Tracking Number", Orders!$1:$1, Orders!$A:$AAA), XLOOKUP("Courier Fee", Orders!$1:$1, Orders!$A:$AAA), "Not Found")</f>
        <v>Not Found</v>
      </c>
      <c r="O624" s="6">
        <f t="shared" si="1"/>
        <v>0</v>
      </c>
      <c r="P624" s="6">
        <f t="shared" si="2"/>
        <v>0</v>
      </c>
    </row>
    <row r="625">
      <c r="A625" s="23"/>
      <c r="B625" s="23"/>
      <c r="C625" s="23"/>
      <c r="D625" s="23"/>
      <c r="E625" s="23"/>
      <c r="F625" s="23"/>
      <c r="G625" s="23"/>
      <c r="H625" s="20"/>
      <c r="I625" s="20"/>
      <c r="J625" s="20"/>
      <c r="K625" s="20"/>
      <c r="L625" s="20"/>
      <c r="M625" s="20"/>
      <c r="N625" s="6" t="str">
        <f t="array" ref="N625">XLOOKUP($B625, XLOOKUP("Tracking Number", Orders!$1:$1, Orders!$A:$AAA), XLOOKUP("Courier Fee", Orders!$1:$1, Orders!$A:$AAA), "Not Found")</f>
        <v>Not Found</v>
      </c>
      <c r="O625" s="6">
        <f t="shared" si="1"/>
        <v>0</v>
      </c>
      <c r="P625" s="6">
        <f t="shared" si="2"/>
        <v>0</v>
      </c>
    </row>
    <row r="626">
      <c r="A626" s="23"/>
      <c r="B626" s="23"/>
      <c r="C626" s="23"/>
      <c r="D626" s="23"/>
      <c r="E626" s="23"/>
      <c r="F626" s="23"/>
      <c r="G626" s="23"/>
      <c r="H626" s="20"/>
      <c r="I626" s="20"/>
      <c r="J626" s="20"/>
      <c r="K626" s="20"/>
      <c r="L626" s="20"/>
      <c r="M626" s="20"/>
      <c r="N626" s="6" t="str">
        <f t="array" ref="N626">XLOOKUP($B626, XLOOKUP("Tracking Number", Orders!$1:$1, Orders!$A:$AAA), XLOOKUP("Courier Fee", Orders!$1:$1, Orders!$A:$AAA), "Not Found")</f>
        <v>Not Found</v>
      </c>
      <c r="O626" s="6">
        <f t="shared" si="1"/>
        <v>0</v>
      </c>
      <c r="P626" s="6">
        <f t="shared" si="2"/>
        <v>0</v>
      </c>
    </row>
    <row r="627">
      <c r="A627" s="23"/>
      <c r="B627" s="23"/>
      <c r="C627" s="23"/>
      <c r="D627" s="23"/>
      <c r="E627" s="23"/>
      <c r="F627" s="23"/>
      <c r="G627" s="23"/>
      <c r="H627" s="20"/>
      <c r="I627" s="20"/>
      <c r="J627" s="20"/>
      <c r="K627" s="20"/>
      <c r="L627" s="20"/>
      <c r="M627" s="20"/>
      <c r="N627" s="6" t="str">
        <f t="array" ref="N627">XLOOKUP($B627, XLOOKUP("Tracking Number", Orders!$1:$1, Orders!$A:$AAA), XLOOKUP("Courier Fee", Orders!$1:$1, Orders!$A:$AAA), "Not Found")</f>
        <v>Not Found</v>
      </c>
      <c r="O627" s="6">
        <f t="shared" si="1"/>
        <v>0</v>
      </c>
      <c r="P627" s="6">
        <f t="shared" si="2"/>
        <v>0</v>
      </c>
    </row>
    <row r="628">
      <c r="A628" s="23"/>
      <c r="B628" s="23"/>
      <c r="C628" s="23"/>
      <c r="D628" s="23"/>
      <c r="E628" s="23"/>
      <c r="F628" s="23"/>
      <c r="G628" s="23"/>
      <c r="H628" s="20"/>
      <c r="I628" s="20"/>
      <c r="J628" s="20"/>
      <c r="K628" s="20"/>
      <c r="L628" s="20"/>
      <c r="M628" s="20"/>
      <c r="N628" s="6" t="str">
        <f t="array" ref="N628">XLOOKUP($B628, XLOOKUP("Tracking Number", Orders!$1:$1, Orders!$A:$AAA), XLOOKUP("Courier Fee", Orders!$1:$1, Orders!$A:$AAA), "Not Found")</f>
        <v>Not Found</v>
      </c>
      <c r="O628" s="6">
        <f t="shared" si="1"/>
        <v>0</v>
      </c>
      <c r="P628" s="6">
        <f t="shared" si="2"/>
        <v>0</v>
      </c>
    </row>
    <row r="629">
      <c r="A629" s="23"/>
      <c r="B629" s="23"/>
      <c r="C629" s="23"/>
      <c r="D629" s="23"/>
      <c r="E629" s="23"/>
      <c r="F629" s="23"/>
      <c r="G629" s="23"/>
      <c r="H629" s="20"/>
      <c r="I629" s="20"/>
      <c r="J629" s="20"/>
      <c r="K629" s="20"/>
      <c r="L629" s="20"/>
      <c r="M629" s="20"/>
      <c r="N629" s="6" t="str">
        <f t="array" ref="N629">XLOOKUP($B629, XLOOKUP("Tracking Number", Orders!$1:$1, Orders!$A:$AAA), XLOOKUP("Courier Fee", Orders!$1:$1, Orders!$A:$AAA), "Not Found")</f>
        <v>Not Found</v>
      </c>
      <c r="O629" s="6">
        <f t="shared" si="1"/>
        <v>0</v>
      </c>
      <c r="P629" s="6">
        <f t="shared" si="2"/>
        <v>0</v>
      </c>
    </row>
    <row r="630">
      <c r="A630" s="23"/>
      <c r="B630" s="23"/>
      <c r="C630" s="23"/>
      <c r="D630" s="23"/>
      <c r="E630" s="23"/>
      <c r="F630" s="23"/>
      <c r="G630" s="23"/>
      <c r="H630" s="20"/>
      <c r="I630" s="20"/>
      <c r="J630" s="20"/>
      <c r="K630" s="20"/>
      <c r="L630" s="20"/>
      <c r="M630" s="20"/>
      <c r="N630" s="6" t="str">
        <f t="array" ref="N630">XLOOKUP($B630, XLOOKUP("Tracking Number", Orders!$1:$1, Orders!$A:$AAA), XLOOKUP("Courier Fee", Orders!$1:$1, Orders!$A:$AAA), "Not Found")</f>
        <v>Not Found</v>
      </c>
      <c r="O630" s="6">
        <f t="shared" si="1"/>
        <v>0</v>
      </c>
      <c r="P630" s="6">
        <f t="shared" si="2"/>
        <v>0</v>
      </c>
    </row>
    <row r="631">
      <c r="A631" s="23"/>
      <c r="B631" s="23"/>
      <c r="C631" s="23"/>
      <c r="D631" s="23"/>
      <c r="E631" s="23"/>
      <c r="F631" s="23"/>
      <c r="G631" s="23"/>
      <c r="H631" s="20"/>
      <c r="I631" s="20"/>
      <c r="J631" s="20"/>
      <c r="K631" s="20"/>
      <c r="L631" s="20"/>
      <c r="M631" s="20"/>
      <c r="N631" s="6" t="str">
        <f t="array" ref="N631">XLOOKUP($B631, XLOOKUP("Tracking Number", Orders!$1:$1, Orders!$A:$AAA), XLOOKUP("Courier Fee", Orders!$1:$1, Orders!$A:$AAA), "Not Found")</f>
        <v>Not Found</v>
      </c>
      <c r="O631" s="6">
        <f t="shared" si="1"/>
        <v>0</v>
      </c>
      <c r="P631" s="6">
        <f t="shared" si="2"/>
        <v>0</v>
      </c>
    </row>
    <row r="632">
      <c r="A632" s="23"/>
      <c r="B632" s="23"/>
      <c r="C632" s="23"/>
      <c r="D632" s="23"/>
      <c r="E632" s="23"/>
      <c r="F632" s="23"/>
      <c r="G632" s="23"/>
      <c r="H632" s="20"/>
      <c r="I632" s="20"/>
      <c r="J632" s="20"/>
      <c r="K632" s="20"/>
      <c r="L632" s="20"/>
      <c r="M632" s="20"/>
      <c r="N632" s="6" t="str">
        <f t="array" ref="N632">XLOOKUP($B632, XLOOKUP("Tracking Number", Orders!$1:$1, Orders!$A:$AAA), XLOOKUP("Courier Fee", Orders!$1:$1, Orders!$A:$AAA), "Not Found")</f>
        <v>Not Found</v>
      </c>
      <c r="O632" s="6">
        <f t="shared" si="1"/>
        <v>0</v>
      </c>
      <c r="P632" s="6">
        <f t="shared" si="2"/>
        <v>0</v>
      </c>
    </row>
    <row r="633">
      <c r="A633" s="23"/>
      <c r="B633" s="23"/>
      <c r="C633" s="23"/>
      <c r="D633" s="23"/>
      <c r="E633" s="23"/>
      <c r="F633" s="23"/>
      <c r="G633" s="23"/>
      <c r="H633" s="20"/>
      <c r="I633" s="20"/>
      <c r="J633" s="20"/>
      <c r="K633" s="20"/>
      <c r="L633" s="20"/>
      <c r="M633" s="20"/>
      <c r="N633" s="6" t="str">
        <f t="array" ref="N633">XLOOKUP($B633, XLOOKUP("Tracking Number", Orders!$1:$1, Orders!$A:$AAA), XLOOKUP("Courier Fee", Orders!$1:$1, Orders!$A:$AAA), "Not Found")</f>
        <v>Not Found</v>
      </c>
      <c r="O633" s="6">
        <f t="shared" si="1"/>
        <v>0</v>
      </c>
      <c r="P633" s="6">
        <f t="shared" si="2"/>
        <v>0</v>
      </c>
    </row>
    <row r="634">
      <c r="A634" s="23"/>
      <c r="B634" s="23"/>
      <c r="C634" s="23"/>
      <c r="D634" s="23"/>
      <c r="E634" s="23"/>
      <c r="F634" s="23"/>
      <c r="G634" s="23"/>
      <c r="H634" s="20"/>
      <c r="I634" s="20"/>
      <c r="J634" s="20"/>
      <c r="K634" s="20"/>
      <c r="L634" s="20"/>
      <c r="M634" s="20"/>
      <c r="N634" s="6" t="str">
        <f t="array" ref="N634">XLOOKUP($B634, XLOOKUP("Tracking Number", Orders!$1:$1, Orders!$A:$AAA), XLOOKUP("Courier Fee", Orders!$1:$1, Orders!$A:$AAA), "Not Found")</f>
        <v>Not Found</v>
      </c>
      <c r="O634" s="6">
        <f t="shared" si="1"/>
        <v>0</v>
      </c>
      <c r="P634" s="6">
        <f t="shared" si="2"/>
        <v>0</v>
      </c>
    </row>
    <row r="635">
      <c r="A635" s="23"/>
      <c r="B635" s="23"/>
      <c r="C635" s="23"/>
      <c r="D635" s="23"/>
      <c r="E635" s="23"/>
      <c r="F635" s="23"/>
      <c r="G635" s="23"/>
      <c r="H635" s="20"/>
      <c r="I635" s="20"/>
      <c r="J635" s="20"/>
      <c r="K635" s="20"/>
      <c r="L635" s="20"/>
      <c r="M635" s="20"/>
      <c r="N635" s="6" t="str">
        <f t="array" ref="N635">XLOOKUP($B635, XLOOKUP("Tracking Number", Orders!$1:$1, Orders!$A:$AAA), XLOOKUP("Courier Fee", Orders!$1:$1, Orders!$A:$AAA), "Not Found")</f>
        <v>Not Found</v>
      </c>
      <c r="O635" s="6">
        <f t="shared" si="1"/>
        <v>0</v>
      </c>
      <c r="P635" s="6">
        <f t="shared" si="2"/>
        <v>0</v>
      </c>
    </row>
    <row r="636">
      <c r="A636" s="23"/>
      <c r="B636" s="23"/>
      <c r="C636" s="23"/>
      <c r="D636" s="23"/>
      <c r="E636" s="23"/>
      <c r="F636" s="23"/>
      <c r="G636" s="23"/>
      <c r="H636" s="20"/>
      <c r="I636" s="20"/>
      <c r="J636" s="20"/>
      <c r="K636" s="20"/>
      <c r="L636" s="20"/>
      <c r="M636" s="20"/>
      <c r="N636" s="6" t="str">
        <f t="array" ref="N636">XLOOKUP($B636, XLOOKUP("Tracking Number", Orders!$1:$1, Orders!$A:$AAA), XLOOKUP("Courier Fee", Orders!$1:$1, Orders!$A:$AAA), "Not Found")</f>
        <v>Not Found</v>
      </c>
      <c r="O636" s="6">
        <f t="shared" si="1"/>
        <v>0</v>
      </c>
      <c r="P636" s="6">
        <f t="shared" si="2"/>
        <v>0</v>
      </c>
    </row>
    <row r="637">
      <c r="A637" s="23"/>
      <c r="B637" s="23"/>
      <c r="C637" s="23"/>
      <c r="D637" s="23"/>
      <c r="E637" s="23"/>
      <c r="F637" s="23"/>
      <c r="G637" s="23"/>
      <c r="H637" s="20"/>
      <c r="I637" s="20"/>
      <c r="J637" s="20"/>
      <c r="K637" s="20"/>
      <c r="L637" s="20"/>
      <c r="M637" s="20"/>
      <c r="N637" s="6" t="str">
        <f t="array" ref="N637">XLOOKUP($B637, XLOOKUP("Tracking Number", Orders!$1:$1, Orders!$A:$AAA), XLOOKUP("Courier Fee", Orders!$1:$1, Orders!$A:$AAA), "Not Found")</f>
        <v>Not Found</v>
      </c>
      <c r="O637" s="6">
        <f t="shared" si="1"/>
        <v>0</v>
      </c>
      <c r="P637" s="6">
        <f t="shared" si="2"/>
        <v>0</v>
      </c>
    </row>
    <row r="638">
      <c r="A638" s="23"/>
      <c r="B638" s="23"/>
      <c r="C638" s="23"/>
      <c r="D638" s="23"/>
      <c r="E638" s="23"/>
      <c r="F638" s="23"/>
      <c r="G638" s="23"/>
      <c r="H638" s="20"/>
      <c r="I638" s="20"/>
      <c r="J638" s="20"/>
      <c r="K638" s="20"/>
      <c r="L638" s="20"/>
      <c r="M638" s="20"/>
      <c r="N638" s="6" t="str">
        <f t="array" ref="N638">XLOOKUP($B638, XLOOKUP("Tracking Number", Orders!$1:$1, Orders!$A:$AAA), XLOOKUP("Courier Fee", Orders!$1:$1, Orders!$A:$AAA), "Not Found")</f>
        <v>Not Found</v>
      </c>
      <c r="O638" s="6">
        <f t="shared" si="1"/>
        <v>0</v>
      </c>
      <c r="P638" s="6">
        <f t="shared" si="2"/>
        <v>0</v>
      </c>
    </row>
    <row r="639">
      <c r="A639" s="23"/>
      <c r="B639" s="23"/>
      <c r="C639" s="23"/>
      <c r="D639" s="23"/>
      <c r="E639" s="23"/>
      <c r="F639" s="23"/>
      <c r="G639" s="23"/>
      <c r="H639" s="20"/>
      <c r="I639" s="20"/>
      <c r="J639" s="20"/>
      <c r="K639" s="20"/>
      <c r="L639" s="20"/>
      <c r="M639" s="20"/>
      <c r="N639" s="6" t="str">
        <f t="array" ref="N639">XLOOKUP($B639, XLOOKUP("Tracking Number", Orders!$1:$1, Orders!$A:$AAA), XLOOKUP("Courier Fee", Orders!$1:$1, Orders!$A:$AAA), "Not Found")</f>
        <v>Not Found</v>
      </c>
      <c r="O639" s="6">
        <f t="shared" si="1"/>
        <v>0</v>
      </c>
      <c r="P639" s="6">
        <f t="shared" si="2"/>
        <v>0</v>
      </c>
    </row>
    <row r="640">
      <c r="A640" s="23"/>
      <c r="B640" s="23"/>
      <c r="C640" s="23"/>
      <c r="D640" s="23"/>
      <c r="E640" s="23"/>
      <c r="F640" s="23"/>
      <c r="G640" s="23"/>
      <c r="H640" s="20"/>
      <c r="I640" s="20"/>
      <c r="J640" s="20"/>
      <c r="K640" s="20"/>
      <c r="L640" s="20"/>
      <c r="M640" s="20"/>
      <c r="N640" s="6" t="str">
        <f t="array" ref="N640">XLOOKUP($B640, XLOOKUP("Tracking Number", Orders!$1:$1, Orders!$A:$AAA), XLOOKUP("Courier Fee", Orders!$1:$1, Orders!$A:$AAA), "Not Found")</f>
        <v>Not Found</v>
      </c>
      <c r="O640" s="6">
        <f t="shared" si="1"/>
        <v>0</v>
      </c>
      <c r="P640" s="6">
        <f t="shared" si="2"/>
        <v>0</v>
      </c>
    </row>
    <row r="641">
      <c r="A641" s="23"/>
      <c r="B641" s="23"/>
      <c r="C641" s="23"/>
      <c r="D641" s="23"/>
      <c r="E641" s="23"/>
      <c r="F641" s="23"/>
      <c r="G641" s="23"/>
      <c r="H641" s="20"/>
      <c r="I641" s="20"/>
      <c r="J641" s="20"/>
      <c r="K641" s="20"/>
      <c r="L641" s="20"/>
      <c r="M641" s="20"/>
      <c r="N641" s="6" t="str">
        <f t="array" ref="N641">XLOOKUP($B641, XLOOKUP("Tracking Number", Orders!$1:$1, Orders!$A:$AAA), XLOOKUP("Courier Fee", Orders!$1:$1, Orders!$A:$AAA), "Not Found")</f>
        <v>Not Found</v>
      </c>
      <c r="O641" s="6">
        <f t="shared" si="1"/>
        <v>0</v>
      </c>
      <c r="P641" s="6">
        <f t="shared" si="2"/>
        <v>0</v>
      </c>
    </row>
    <row r="642">
      <c r="A642" s="23"/>
      <c r="B642" s="23"/>
      <c r="C642" s="23"/>
      <c r="D642" s="23"/>
      <c r="E642" s="23"/>
      <c r="F642" s="23"/>
      <c r="G642" s="23"/>
      <c r="H642" s="20"/>
      <c r="I642" s="20"/>
      <c r="J642" s="20"/>
      <c r="K642" s="20"/>
      <c r="L642" s="20"/>
      <c r="M642" s="20"/>
      <c r="N642" s="6" t="str">
        <f t="array" ref="N642">XLOOKUP($B642, XLOOKUP("Tracking Number", Orders!$1:$1, Orders!$A:$AAA), XLOOKUP("Courier Fee", Orders!$1:$1, Orders!$A:$AAA), "Not Found")</f>
        <v>Not Found</v>
      </c>
      <c r="O642" s="6">
        <f t="shared" si="1"/>
        <v>0</v>
      </c>
      <c r="P642" s="6">
        <f t="shared" si="2"/>
        <v>0</v>
      </c>
    </row>
    <row r="643">
      <c r="A643" s="23"/>
      <c r="B643" s="23"/>
      <c r="C643" s="23"/>
      <c r="D643" s="23"/>
      <c r="E643" s="23"/>
      <c r="F643" s="23"/>
      <c r="G643" s="23"/>
      <c r="H643" s="20"/>
      <c r="I643" s="20"/>
      <c r="J643" s="20"/>
      <c r="K643" s="20"/>
      <c r="L643" s="20"/>
      <c r="M643" s="20"/>
      <c r="N643" s="6" t="str">
        <f t="array" ref="N643">XLOOKUP($B643, XLOOKUP("Tracking Number", Orders!$1:$1, Orders!$A:$AAA), XLOOKUP("Courier Fee", Orders!$1:$1, Orders!$A:$AAA), "Not Found")</f>
        <v>Not Found</v>
      </c>
      <c r="O643" s="6">
        <f t="shared" si="1"/>
        <v>0</v>
      </c>
      <c r="P643" s="6">
        <f t="shared" si="2"/>
        <v>0</v>
      </c>
    </row>
    <row r="644">
      <c r="A644" s="23"/>
      <c r="B644" s="23"/>
      <c r="C644" s="23"/>
      <c r="D644" s="23"/>
      <c r="E644" s="23"/>
      <c r="F644" s="23"/>
      <c r="G644" s="23"/>
      <c r="H644" s="20"/>
      <c r="I644" s="20"/>
      <c r="J644" s="20"/>
      <c r="K644" s="20"/>
      <c r="L644" s="20"/>
      <c r="M644" s="20"/>
      <c r="N644" s="6" t="str">
        <f t="array" ref="N644">XLOOKUP($B644, XLOOKUP("Tracking Number", Orders!$1:$1, Orders!$A:$AAA), XLOOKUP("Courier Fee", Orders!$1:$1, Orders!$A:$AAA), "Not Found")</f>
        <v>Not Found</v>
      </c>
      <c r="O644" s="6">
        <f t="shared" si="1"/>
        <v>0</v>
      </c>
      <c r="P644" s="6">
        <f t="shared" si="2"/>
        <v>0</v>
      </c>
    </row>
    <row r="645">
      <c r="A645" s="23"/>
      <c r="B645" s="23"/>
      <c r="C645" s="23"/>
      <c r="D645" s="23"/>
      <c r="E645" s="23"/>
      <c r="F645" s="23"/>
      <c r="G645" s="23"/>
      <c r="H645" s="20"/>
      <c r="I645" s="20"/>
      <c r="J645" s="20"/>
      <c r="K645" s="20"/>
      <c r="L645" s="20"/>
      <c r="M645" s="20"/>
      <c r="N645" s="6" t="str">
        <f t="array" ref="N645">XLOOKUP($B645, XLOOKUP("Tracking Number", Orders!$1:$1, Orders!$A:$AAA), XLOOKUP("Courier Fee", Orders!$1:$1, Orders!$A:$AAA), "Not Found")</f>
        <v>Not Found</v>
      </c>
      <c r="O645" s="6">
        <f t="shared" si="1"/>
        <v>0</v>
      </c>
      <c r="P645" s="6">
        <f t="shared" si="2"/>
        <v>0</v>
      </c>
    </row>
    <row r="646">
      <c r="A646" s="23"/>
      <c r="B646" s="23"/>
      <c r="C646" s="23"/>
      <c r="D646" s="23"/>
      <c r="E646" s="23"/>
      <c r="F646" s="23"/>
      <c r="G646" s="23"/>
      <c r="H646" s="20"/>
      <c r="I646" s="20"/>
      <c r="J646" s="20"/>
      <c r="K646" s="20"/>
      <c r="L646" s="20"/>
      <c r="M646" s="20"/>
      <c r="N646" s="6" t="str">
        <f t="array" ref="N646">XLOOKUP($B646, XLOOKUP("Tracking Number", Orders!$1:$1, Orders!$A:$AAA), XLOOKUP("Courier Fee", Orders!$1:$1, Orders!$A:$AAA), "Not Found")</f>
        <v>Not Found</v>
      </c>
      <c r="O646" s="6">
        <f t="shared" si="1"/>
        <v>0</v>
      </c>
      <c r="P646" s="6">
        <f t="shared" si="2"/>
        <v>0</v>
      </c>
    </row>
    <row r="647">
      <c r="A647" s="23"/>
      <c r="B647" s="23"/>
      <c r="C647" s="23"/>
      <c r="D647" s="23"/>
      <c r="E647" s="23"/>
      <c r="F647" s="23"/>
      <c r="G647" s="23"/>
      <c r="H647" s="20"/>
      <c r="I647" s="20"/>
      <c r="J647" s="20"/>
      <c r="K647" s="20"/>
      <c r="L647" s="20"/>
      <c r="M647" s="20"/>
      <c r="N647" s="6" t="str">
        <f t="array" ref="N647">XLOOKUP($B647, XLOOKUP("Tracking Number", Orders!$1:$1, Orders!$A:$AAA), XLOOKUP("Courier Fee", Orders!$1:$1, Orders!$A:$AAA), "Not Found")</f>
        <v>Not Found</v>
      </c>
      <c r="O647" s="6">
        <f t="shared" si="1"/>
        <v>0</v>
      </c>
      <c r="P647" s="6">
        <f t="shared" si="2"/>
        <v>0</v>
      </c>
    </row>
    <row r="648">
      <c r="A648" s="23"/>
      <c r="B648" s="23"/>
      <c r="C648" s="23"/>
      <c r="D648" s="23"/>
      <c r="E648" s="23"/>
      <c r="F648" s="23"/>
      <c r="G648" s="23"/>
      <c r="H648" s="20"/>
      <c r="I648" s="20"/>
      <c r="J648" s="20"/>
      <c r="K648" s="20"/>
      <c r="L648" s="20"/>
      <c r="M648" s="20"/>
      <c r="N648" s="6" t="str">
        <f t="array" ref="N648">XLOOKUP($B648, XLOOKUP("Tracking Number", Orders!$1:$1, Orders!$A:$AAA), XLOOKUP("Courier Fee", Orders!$1:$1, Orders!$A:$AAA), "Not Found")</f>
        <v>Not Found</v>
      </c>
      <c r="O648" s="6">
        <f t="shared" si="1"/>
        <v>0</v>
      </c>
      <c r="P648" s="6">
        <f t="shared" si="2"/>
        <v>0</v>
      </c>
    </row>
    <row r="649">
      <c r="A649" s="23"/>
      <c r="B649" s="23"/>
      <c r="C649" s="23"/>
      <c r="D649" s="23"/>
      <c r="E649" s="23"/>
      <c r="F649" s="23"/>
      <c r="G649" s="23"/>
      <c r="H649" s="20"/>
      <c r="I649" s="20"/>
      <c r="J649" s="20"/>
      <c r="K649" s="20"/>
      <c r="L649" s="20"/>
      <c r="M649" s="20"/>
      <c r="N649" s="6" t="str">
        <f t="array" ref="N649">XLOOKUP($B649, XLOOKUP("Tracking Number", Orders!$1:$1, Orders!$A:$AAA), XLOOKUP("Courier Fee", Orders!$1:$1, Orders!$A:$AAA), "Not Found")</f>
        <v>Not Found</v>
      </c>
      <c r="O649" s="6">
        <f t="shared" si="1"/>
        <v>0</v>
      </c>
      <c r="P649" s="6">
        <f t="shared" si="2"/>
        <v>0</v>
      </c>
    </row>
    <row r="650">
      <c r="A650" s="23"/>
      <c r="B650" s="23"/>
      <c r="C650" s="23"/>
      <c r="D650" s="23"/>
      <c r="E650" s="23"/>
      <c r="F650" s="23"/>
      <c r="G650" s="23"/>
      <c r="H650" s="20"/>
      <c r="I650" s="20"/>
      <c r="J650" s="20"/>
      <c r="K650" s="20"/>
      <c r="L650" s="20"/>
      <c r="M650" s="20"/>
      <c r="N650" s="6" t="str">
        <f t="array" ref="N650">XLOOKUP($B650, XLOOKUP("Tracking Number", Orders!$1:$1, Orders!$A:$AAA), XLOOKUP("Courier Fee", Orders!$1:$1, Orders!$A:$AAA), "Not Found")</f>
        <v>Not Found</v>
      </c>
      <c r="O650" s="6">
        <f t="shared" si="1"/>
        <v>0</v>
      </c>
      <c r="P650" s="6">
        <f t="shared" si="2"/>
        <v>0</v>
      </c>
    </row>
    <row r="651">
      <c r="A651" s="23"/>
      <c r="B651" s="23"/>
      <c r="C651" s="23"/>
      <c r="D651" s="23"/>
      <c r="E651" s="23"/>
      <c r="F651" s="23"/>
      <c r="G651" s="23"/>
      <c r="H651" s="20"/>
      <c r="I651" s="20"/>
      <c r="J651" s="20"/>
      <c r="K651" s="20"/>
      <c r="L651" s="20"/>
      <c r="M651" s="20"/>
      <c r="N651" s="6" t="str">
        <f t="array" ref="N651">XLOOKUP($B651, XLOOKUP("Tracking Number", Orders!$1:$1, Orders!$A:$AAA), XLOOKUP("Courier Fee", Orders!$1:$1, Orders!$A:$AAA), "Not Found")</f>
        <v>Not Found</v>
      </c>
      <c r="O651" s="6">
        <f t="shared" si="1"/>
        <v>0</v>
      </c>
      <c r="P651" s="6">
        <f t="shared" si="2"/>
        <v>0</v>
      </c>
    </row>
    <row r="652">
      <c r="A652" s="23"/>
      <c r="B652" s="23"/>
      <c r="C652" s="23"/>
      <c r="D652" s="23"/>
      <c r="E652" s="23"/>
      <c r="F652" s="23"/>
      <c r="G652" s="23"/>
      <c r="H652" s="20"/>
      <c r="I652" s="20"/>
      <c r="J652" s="20"/>
      <c r="K652" s="20"/>
      <c r="L652" s="20"/>
      <c r="M652" s="20"/>
      <c r="N652" s="6" t="str">
        <f t="array" ref="N652">XLOOKUP($B652, XLOOKUP("Tracking Number", Orders!$1:$1, Orders!$A:$AAA), XLOOKUP("Courier Fee", Orders!$1:$1, Orders!$A:$AAA), "Not Found")</f>
        <v>Not Found</v>
      </c>
      <c r="O652" s="6">
        <f t="shared" si="1"/>
        <v>0</v>
      </c>
      <c r="P652" s="6">
        <f t="shared" si="2"/>
        <v>0</v>
      </c>
    </row>
    <row r="653">
      <c r="A653" s="23"/>
      <c r="B653" s="23"/>
      <c r="C653" s="23"/>
      <c r="D653" s="23"/>
      <c r="E653" s="23"/>
      <c r="F653" s="23"/>
      <c r="G653" s="23"/>
      <c r="H653" s="20"/>
      <c r="I653" s="20"/>
      <c r="J653" s="20"/>
      <c r="K653" s="20"/>
      <c r="L653" s="20"/>
      <c r="M653" s="20"/>
      <c r="N653" s="6" t="str">
        <f t="array" ref="N653">XLOOKUP($B653, XLOOKUP("Tracking Number", Orders!$1:$1, Orders!$A:$AAA), XLOOKUP("Courier Fee", Orders!$1:$1, Orders!$A:$AAA), "Not Found")</f>
        <v>Not Found</v>
      </c>
      <c r="O653" s="6">
        <f t="shared" si="1"/>
        <v>0</v>
      </c>
      <c r="P653" s="6">
        <f t="shared" si="2"/>
        <v>0</v>
      </c>
    </row>
    <row r="654">
      <c r="A654" s="23"/>
      <c r="B654" s="23"/>
      <c r="C654" s="23"/>
      <c r="D654" s="23"/>
      <c r="E654" s="23"/>
      <c r="F654" s="23"/>
      <c r="G654" s="23"/>
      <c r="H654" s="20"/>
      <c r="I654" s="20"/>
      <c r="J654" s="20"/>
      <c r="K654" s="20"/>
      <c r="L654" s="20"/>
      <c r="M654" s="20"/>
      <c r="N654" s="6" t="str">
        <f t="array" ref="N654">XLOOKUP($B654, XLOOKUP("Tracking Number", Orders!$1:$1, Orders!$A:$AAA), XLOOKUP("Courier Fee", Orders!$1:$1, Orders!$A:$AAA), "Not Found")</f>
        <v>Not Found</v>
      </c>
      <c r="O654" s="6">
        <f t="shared" si="1"/>
        <v>0</v>
      </c>
      <c r="P654" s="6">
        <f t="shared" si="2"/>
        <v>0</v>
      </c>
    </row>
    <row r="655">
      <c r="A655" s="23"/>
      <c r="B655" s="23"/>
      <c r="C655" s="23"/>
      <c r="D655" s="23"/>
      <c r="E655" s="23"/>
      <c r="F655" s="23"/>
      <c r="G655" s="23"/>
      <c r="H655" s="20"/>
      <c r="I655" s="20"/>
      <c r="J655" s="20"/>
      <c r="K655" s="20"/>
      <c r="L655" s="20"/>
      <c r="M655" s="20"/>
      <c r="N655" s="6" t="str">
        <f t="array" ref="N655">XLOOKUP($B655, XLOOKUP("Tracking Number", Orders!$1:$1, Orders!$A:$AAA), XLOOKUP("Courier Fee", Orders!$1:$1, Orders!$A:$AAA), "Not Found")</f>
        <v>Not Found</v>
      </c>
      <c r="O655" s="6">
        <f t="shared" si="1"/>
        <v>0</v>
      </c>
      <c r="P655" s="6">
        <f t="shared" si="2"/>
        <v>0</v>
      </c>
    </row>
    <row r="656">
      <c r="A656" s="23"/>
      <c r="B656" s="23"/>
      <c r="C656" s="23"/>
      <c r="D656" s="23"/>
      <c r="E656" s="23"/>
      <c r="F656" s="23"/>
      <c r="G656" s="23"/>
      <c r="H656" s="20"/>
      <c r="I656" s="20"/>
      <c r="J656" s="20"/>
      <c r="K656" s="20"/>
      <c r="L656" s="20"/>
      <c r="M656" s="20"/>
      <c r="N656" s="6" t="str">
        <f t="array" ref="N656">XLOOKUP($B656, XLOOKUP("Tracking Number", Orders!$1:$1, Orders!$A:$AAA), XLOOKUP("Courier Fee", Orders!$1:$1, Orders!$A:$AAA), "Not Found")</f>
        <v>Not Found</v>
      </c>
      <c r="O656" s="6">
        <f t="shared" si="1"/>
        <v>0</v>
      </c>
      <c r="P656" s="6">
        <f t="shared" si="2"/>
        <v>0</v>
      </c>
    </row>
    <row r="657">
      <c r="A657" s="23"/>
      <c r="B657" s="23"/>
      <c r="C657" s="23"/>
      <c r="D657" s="23"/>
      <c r="E657" s="23"/>
      <c r="F657" s="23"/>
      <c r="G657" s="23"/>
      <c r="H657" s="20"/>
      <c r="I657" s="20"/>
      <c r="J657" s="20"/>
      <c r="K657" s="20"/>
      <c r="L657" s="20"/>
      <c r="M657" s="20"/>
      <c r="N657" s="6" t="str">
        <f t="array" ref="N657">XLOOKUP($B657, XLOOKUP("Tracking Number", Orders!$1:$1, Orders!$A:$AAA), XLOOKUP("Courier Fee", Orders!$1:$1, Orders!$A:$AAA), "Not Found")</f>
        <v>Not Found</v>
      </c>
      <c r="O657" s="6">
        <f t="shared" si="1"/>
        <v>0</v>
      </c>
      <c r="P657" s="6">
        <f t="shared" si="2"/>
        <v>0</v>
      </c>
    </row>
    <row r="658">
      <c r="A658" s="23"/>
      <c r="B658" s="23"/>
      <c r="C658" s="23"/>
      <c r="D658" s="23"/>
      <c r="E658" s="23"/>
      <c r="F658" s="23"/>
      <c r="G658" s="23"/>
      <c r="H658" s="20"/>
      <c r="I658" s="20"/>
      <c r="J658" s="20"/>
      <c r="K658" s="20"/>
      <c r="L658" s="20"/>
      <c r="M658" s="20"/>
      <c r="N658" s="6" t="str">
        <f t="array" ref="N658">XLOOKUP($B658, XLOOKUP("Tracking Number", Orders!$1:$1, Orders!$A:$AAA), XLOOKUP("Courier Fee", Orders!$1:$1, Orders!$A:$AAA), "Not Found")</f>
        <v>Not Found</v>
      </c>
      <c r="O658" s="6">
        <f t="shared" si="1"/>
        <v>0</v>
      </c>
      <c r="P658" s="6">
        <f t="shared" si="2"/>
        <v>0</v>
      </c>
    </row>
    <row r="659">
      <c r="A659" s="23"/>
      <c r="B659" s="23"/>
      <c r="C659" s="23"/>
      <c r="D659" s="23"/>
      <c r="E659" s="23"/>
      <c r="F659" s="23"/>
      <c r="G659" s="23"/>
      <c r="H659" s="20"/>
      <c r="I659" s="20"/>
      <c r="J659" s="20"/>
      <c r="K659" s="20"/>
      <c r="L659" s="20"/>
      <c r="M659" s="20"/>
      <c r="N659" s="6" t="str">
        <f t="array" ref="N659">XLOOKUP($B659, XLOOKUP("Tracking Number", Orders!$1:$1, Orders!$A:$AAA), XLOOKUP("Courier Fee", Orders!$1:$1, Orders!$A:$AAA), "Not Found")</f>
        <v>Not Found</v>
      </c>
      <c r="O659" s="6">
        <f t="shared" si="1"/>
        <v>0</v>
      </c>
      <c r="P659" s="6">
        <f t="shared" si="2"/>
        <v>0</v>
      </c>
    </row>
    <row r="660">
      <c r="A660" s="23"/>
      <c r="B660" s="23"/>
      <c r="C660" s="23"/>
      <c r="D660" s="23"/>
      <c r="E660" s="23"/>
      <c r="F660" s="23"/>
      <c r="G660" s="23"/>
      <c r="H660" s="20"/>
      <c r="I660" s="20"/>
      <c r="J660" s="20"/>
      <c r="K660" s="20"/>
      <c r="L660" s="20"/>
      <c r="M660" s="20"/>
      <c r="N660" s="6" t="str">
        <f t="array" ref="N660">XLOOKUP($B660, XLOOKUP("Tracking Number", Orders!$1:$1, Orders!$A:$AAA), XLOOKUP("Courier Fee", Orders!$1:$1, Orders!$A:$AAA), "Not Found")</f>
        <v>Not Found</v>
      </c>
      <c r="O660" s="6">
        <f t="shared" si="1"/>
        <v>0</v>
      </c>
      <c r="P660" s="6">
        <f t="shared" si="2"/>
        <v>0</v>
      </c>
    </row>
    <row r="661">
      <c r="A661" s="23"/>
      <c r="B661" s="23"/>
      <c r="C661" s="23"/>
      <c r="D661" s="23"/>
      <c r="E661" s="23"/>
      <c r="F661" s="23"/>
      <c r="G661" s="23"/>
      <c r="H661" s="20"/>
      <c r="I661" s="20"/>
      <c r="J661" s="20"/>
      <c r="K661" s="20"/>
      <c r="L661" s="20"/>
      <c r="M661" s="20"/>
      <c r="N661" s="6" t="str">
        <f t="array" ref="N661">XLOOKUP($B661, XLOOKUP("Tracking Number", Orders!$1:$1, Orders!$A:$AAA), XLOOKUP("Courier Fee", Orders!$1:$1, Orders!$A:$AAA), "Not Found")</f>
        <v>Not Found</v>
      </c>
      <c r="O661" s="6">
        <f t="shared" si="1"/>
        <v>0</v>
      </c>
      <c r="P661" s="6">
        <f t="shared" si="2"/>
        <v>0</v>
      </c>
    </row>
    <row r="662">
      <c r="A662" s="23"/>
      <c r="B662" s="23"/>
      <c r="C662" s="23"/>
      <c r="D662" s="23"/>
      <c r="E662" s="23"/>
      <c r="F662" s="23"/>
      <c r="G662" s="23"/>
      <c r="H662" s="20"/>
      <c r="I662" s="20"/>
      <c r="J662" s="20"/>
      <c r="K662" s="20"/>
      <c r="L662" s="20"/>
      <c r="M662" s="20"/>
      <c r="N662" s="6" t="str">
        <f t="array" ref="N662">XLOOKUP($B662, XLOOKUP("Tracking Number", Orders!$1:$1, Orders!$A:$AAA), XLOOKUP("Courier Fee", Orders!$1:$1, Orders!$A:$AAA), "Not Found")</f>
        <v>Not Found</v>
      </c>
      <c r="O662" s="6">
        <f t="shared" si="1"/>
        <v>0</v>
      </c>
      <c r="P662" s="6">
        <f t="shared" si="2"/>
        <v>0</v>
      </c>
    </row>
    <row r="663">
      <c r="A663" s="23"/>
      <c r="B663" s="23"/>
      <c r="C663" s="23"/>
      <c r="D663" s="23"/>
      <c r="E663" s="23"/>
      <c r="F663" s="23"/>
      <c r="G663" s="23"/>
      <c r="H663" s="20"/>
      <c r="I663" s="20"/>
      <c r="J663" s="20"/>
      <c r="K663" s="20"/>
      <c r="L663" s="20"/>
      <c r="M663" s="20"/>
      <c r="N663" s="6" t="str">
        <f t="array" ref="N663">XLOOKUP($B663, XLOOKUP("Tracking Number", Orders!$1:$1, Orders!$A:$AAA), XLOOKUP("Courier Fee", Orders!$1:$1, Orders!$A:$AAA), "Not Found")</f>
        <v>Not Found</v>
      </c>
      <c r="O663" s="6">
        <f t="shared" si="1"/>
        <v>0</v>
      </c>
      <c r="P663" s="6">
        <f t="shared" si="2"/>
        <v>0</v>
      </c>
    </row>
    <row r="664">
      <c r="A664" s="23"/>
      <c r="B664" s="23"/>
      <c r="C664" s="23"/>
      <c r="D664" s="23"/>
      <c r="E664" s="23"/>
      <c r="F664" s="23"/>
      <c r="G664" s="23"/>
      <c r="H664" s="20"/>
      <c r="I664" s="20"/>
      <c r="J664" s="20"/>
      <c r="K664" s="20"/>
      <c r="L664" s="20"/>
      <c r="M664" s="20"/>
      <c r="N664" s="6" t="str">
        <f t="array" ref="N664">XLOOKUP($B664, XLOOKUP("Tracking Number", Orders!$1:$1, Orders!$A:$AAA), XLOOKUP("Courier Fee", Orders!$1:$1, Orders!$A:$AAA), "Not Found")</f>
        <v>Not Found</v>
      </c>
      <c r="O664" s="6">
        <f t="shared" si="1"/>
        <v>0</v>
      </c>
      <c r="P664" s="6">
        <f t="shared" si="2"/>
        <v>0</v>
      </c>
    </row>
    <row r="665">
      <c r="A665" s="23"/>
      <c r="B665" s="23"/>
      <c r="C665" s="23"/>
      <c r="D665" s="23"/>
      <c r="E665" s="23"/>
      <c r="F665" s="23"/>
      <c r="G665" s="23"/>
      <c r="H665" s="20"/>
      <c r="I665" s="20"/>
      <c r="J665" s="20"/>
      <c r="K665" s="20"/>
      <c r="L665" s="20"/>
      <c r="M665" s="20"/>
      <c r="N665" s="6" t="str">
        <f t="array" ref="N665">XLOOKUP($B665, XLOOKUP("Tracking Number", Orders!$1:$1, Orders!$A:$AAA), XLOOKUP("Courier Fee", Orders!$1:$1, Orders!$A:$AAA), "Not Found")</f>
        <v>Not Found</v>
      </c>
      <c r="O665" s="6">
        <f t="shared" si="1"/>
        <v>0</v>
      </c>
      <c r="P665" s="6">
        <f t="shared" si="2"/>
        <v>0</v>
      </c>
    </row>
    <row r="666">
      <c r="A666" s="23"/>
      <c r="B666" s="23"/>
      <c r="C666" s="23"/>
      <c r="D666" s="23"/>
      <c r="E666" s="23"/>
      <c r="F666" s="23"/>
      <c r="G666" s="23"/>
      <c r="H666" s="20"/>
      <c r="I666" s="20"/>
      <c r="J666" s="20"/>
      <c r="K666" s="20"/>
      <c r="L666" s="20"/>
      <c r="M666" s="20"/>
      <c r="N666" s="6" t="str">
        <f t="array" ref="N666">XLOOKUP($B666, XLOOKUP("Tracking Number", Orders!$1:$1, Orders!$A:$AAA), XLOOKUP("Courier Fee", Orders!$1:$1, Orders!$A:$AAA), "Not Found")</f>
        <v>Not Found</v>
      </c>
      <c r="O666" s="6">
        <f t="shared" si="1"/>
        <v>0</v>
      </c>
      <c r="P666" s="6">
        <f t="shared" si="2"/>
        <v>0</v>
      </c>
    </row>
    <row r="667">
      <c r="A667" s="23"/>
      <c r="B667" s="23"/>
      <c r="C667" s="23"/>
      <c r="D667" s="23"/>
      <c r="E667" s="23"/>
      <c r="F667" s="23"/>
      <c r="G667" s="23"/>
      <c r="H667" s="20"/>
      <c r="I667" s="20"/>
      <c r="J667" s="20"/>
      <c r="K667" s="20"/>
      <c r="L667" s="20"/>
      <c r="M667" s="20"/>
      <c r="N667" s="6" t="str">
        <f t="array" ref="N667">XLOOKUP($B667, XLOOKUP("Tracking Number", Orders!$1:$1, Orders!$A:$AAA), XLOOKUP("Courier Fee", Orders!$1:$1, Orders!$A:$AAA), "Not Found")</f>
        <v>Not Found</v>
      </c>
      <c r="O667" s="6">
        <f t="shared" si="1"/>
        <v>0</v>
      </c>
      <c r="P667" s="6">
        <f t="shared" si="2"/>
        <v>0</v>
      </c>
    </row>
    <row r="668">
      <c r="A668" s="23"/>
      <c r="B668" s="23"/>
      <c r="C668" s="23"/>
      <c r="D668" s="23"/>
      <c r="E668" s="23"/>
      <c r="F668" s="23"/>
      <c r="G668" s="23"/>
      <c r="H668" s="20"/>
      <c r="I668" s="20"/>
      <c r="J668" s="20"/>
      <c r="K668" s="20"/>
      <c r="L668" s="20"/>
      <c r="M668" s="20"/>
      <c r="N668" s="6" t="str">
        <f t="array" ref="N668">XLOOKUP($B668, XLOOKUP("Tracking Number", Orders!$1:$1, Orders!$A:$AAA), XLOOKUP("Courier Fee", Orders!$1:$1, Orders!$A:$AAA), "Not Found")</f>
        <v>Not Found</v>
      </c>
      <c r="O668" s="6">
        <f t="shared" si="1"/>
        <v>0</v>
      </c>
      <c r="P668" s="6">
        <f t="shared" si="2"/>
        <v>0</v>
      </c>
    </row>
    <row r="669">
      <c r="A669" s="23"/>
      <c r="B669" s="23"/>
      <c r="C669" s="23"/>
      <c r="D669" s="23"/>
      <c r="E669" s="23"/>
      <c r="F669" s="23"/>
      <c r="G669" s="23"/>
      <c r="H669" s="20"/>
      <c r="I669" s="20"/>
      <c r="J669" s="20"/>
      <c r="K669" s="20"/>
      <c r="L669" s="20"/>
      <c r="M669" s="20"/>
      <c r="N669" s="6" t="str">
        <f t="array" ref="N669">XLOOKUP($B669, XLOOKUP("Tracking Number", Orders!$1:$1, Orders!$A:$AAA), XLOOKUP("Courier Fee", Orders!$1:$1, Orders!$A:$AAA), "Not Found")</f>
        <v>Not Found</v>
      </c>
      <c r="O669" s="6">
        <f t="shared" si="1"/>
        <v>0</v>
      </c>
      <c r="P669" s="6">
        <f t="shared" si="2"/>
        <v>0</v>
      </c>
    </row>
    <row r="670">
      <c r="A670" s="23"/>
      <c r="B670" s="23"/>
      <c r="C670" s="23"/>
      <c r="D670" s="23"/>
      <c r="E670" s="23"/>
      <c r="F670" s="23"/>
      <c r="G670" s="23"/>
      <c r="H670" s="20"/>
      <c r="I670" s="20"/>
      <c r="J670" s="20"/>
      <c r="K670" s="20"/>
      <c r="L670" s="20"/>
      <c r="M670" s="20"/>
      <c r="N670" s="6" t="str">
        <f t="array" ref="N670">XLOOKUP($B670, XLOOKUP("Tracking Number", Orders!$1:$1, Orders!$A:$AAA), XLOOKUP("Courier Fee", Orders!$1:$1, Orders!$A:$AAA), "Not Found")</f>
        <v>Not Found</v>
      </c>
      <c r="O670" s="6">
        <f t="shared" si="1"/>
        <v>0</v>
      </c>
      <c r="P670" s="6">
        <f t="shared" si="2"/>
        <v>0</v>
      </c>
    </row>
    <row r="671">
      <c r="A671" s="23"/>
      <c r="B671" s="23"/>
      <c r="C671" s="23"/>
      <c r="D671" s="23"/>
      <c r="E671" s="23"/>
      <c r="F671" s="23"/>
      <c r="G671" s="23"/>
      <c r="H671" s="20"/>
      <c r="I671" s="20"/>
      <c r="J671" s="20"/>
      <c r="K671" s="20"/>
      <c r="L671" s="20"/>
      <c r="M671" s="20"/>
      <c r="N671" s="6" t="str">
        <f t="array" ref="N671">XLOOKUP($B671, XLOOKUP("Tracking Number", Orders!$1:$1, Orders!$A:$AAA), XLOOKUP("Courier Fee", Orders!$1:$1, Orders!$A:$AAA), "Not Found")</f>
        <v>Not Found</v>
      </c>
      <c r="O671" s="6">
        <f t="shared" si="1"/>
        <v>0</v>
      </c>
      <c r="P671" s="6">
        <f t="shared" si="2"/>
        <v>0</v>
      </c>
    </row>
    <row r="672">
      <c r="A672" s="23"/>
      <c r="B672" s="23"/>
      <c r="C672" s="23"/>
      <c r="D672" s="23"/>
      <c r="E672" s="23"/>
      <c r="F672" s="23"/>
      <c r="G672" s="23"/>
      <c r="H672" s="20"/>
      <c r="I672" s="20"/>
      <c r="J672" s="20"/>
      <c r="K672" s="20"/>
      <c r="L672" s="20"/>
      <c r="M672" s="20"/>
      <c r="N672" s="6" t="str">
        <f t="array" ref="N672">XLOOKUP($B672, XLOOKUP("Tracking Number", Orders!$1:$1, Orders!$A:$AAA), XLOOKUP("Courier Fee", Orders!$1:$1, Orders!$A:$AAA), "Not Found")</f>
        <v>Not Found</v>
      </c>
      <c r="O672" s="6">
        <f t="shared" si="1"/>
        <v>0</v>
      </c>
      <c r="P672" s="6">
        <f t="shared" si="2"/>
        <v>0</v>
      </c>
    </row>
    <row r="673">
      <c r="A673" s="23"/>
      <c r="B673" s="23"/>
      <c r="C673" s="23"/>
      <c r="D673" s="23"/>
      <c r="E673" s="23"/>
      <c r="F673" s="23"/>
      <c r="G673" s="23"/>
      <c r="H673" s="20"/>
      <c r="I673" s="20"/>
      <c r="J673" s="20"/>
      <c r="K673" s="20"/>
      <c r="L673" s="20"/>
      <c r="M673" s="20"/>
      <c r="N673" s="6" t="str">
        <f t="array" ref="N673">XLOOKUP($B673, XLOOKUP("Tracking Number", Orders!$1:$1, Orders!$A:$AAA), XLOOKUP("Courier Fee", Orders!$1:$1, Orders!$A:$AAA), "Not Found")</f>
        <v>Not Found</v>
      </c>
      <c r="O673" s="6">
        <f t="shared" si="1"/>
        <v>0</v>
      </c>
      <c r="P673" s="6">
        <f t="shared" si="2"/>
        <v>0</v>
      </c>
    </row>
    <row r="674">
      <c r="A674" s="23"/>
      <c r="B674" s="23"/>
      <c r="C674" s="23"/>
      <c r="D674" s="23"/>
      <c r="E674" s="23"/>
      <c r="F674" s="23"/>
      <c r="G674" s="23"/>
      <c r="H674" s="20"/>
      <c r="I674" s="20"/>
      <c r="J674" s="20"/>
      <c r="K674" s="20"/>
      <c r="L674" s="20"/>
      <c r="M674" s="20"/>
      <c r="N674" s="6" t="str">
        <f t="array" ref="N674">XLOOKUP($B674, XLOOKUP("Tracking Number", Orders!$1:$1, Orders!$A:$AAA), XLOOKUP("Courier Fee", Orders!$1:$1, Orders!$A:$AAA), "Not Found")</f>
        <v>Not Found</v>
      </c>
      <c r="O674" s="6">
        <f t="shared" si="1"/>
        <v>0</v>
      </c>
      <c r="P674" s="6">
        <f t="shared" si="2"/>
        <v>0</v>
      </c>
    </row>
    <row r="675">
      <c r="A675" s="23"/>
      <c r="B675" s="23"/>
      <c r="C675" s="23"/>
      <c r="D675" s="23"/>
      <c r="E675" s="23"/>
      <c r="F675" s="23"/>
      <c r="G675" s="23"/>
      <c r="H675" s="20"/>
      <c r="I675" s="20"/>
      <c r="J675" s="20"/>
      <c r="K675" s="20"/>
      <c r="L675" s="20"/>
      <c r="M675" s="20"/>
      <c r="N675" s="6" t="str">
        <f t="array" ref="N675">XLOOKUP($B675, XLOOKUP("Tracking Number", Orders!$1:$1, Orders!$A:$AAA), XLOOKUP("Courier Fee", Orders!$1:$1, Orders!$A:$AAA), "Not Found")</f>
        <v>Not Found</v>
      </c>
      <c r="O675" s="6">
        <f t="shared" si="1"/>
        <v>0</v>
      </c>
      <c r="P675" s="6">
        <f t="shared" si="2"/>
        <v>0</v>
      </c>
    </row>
    <row r="676">
      <c r="A676" s="23"/>
      <c r="B676" s="23"/>
      <c r="C676" s="23"/>
      <c r="D676" s="23"/>
      <c r="E676" s="23"/>
      <c r="F676" s="23"/>
      <c r="G676" s="23"/>
      <c r="H676" s="20"/>
      <c r="I676" s="20"/>
      <c r="J676" s="20"/>
      <c r="K676" s="20"/>
      <c r="L676" s="20"/>
      <c r="M676" s="20"/>
      <c r="N676" s="6" t="str">
        <f t="array" ref="N676">XLOOKUP($B676, XLOOKUP("Tracking Number", Orders!$1:$1, Orders!$A:$AAA), XLOOKUP("Courier Fee", Orders!$1:$1, Orders!$A:$AAA), "Not Found")</f>
        <v>Not Found</v>
      </c>
      <c r="O676" s="6">
        <f t="shared" si="1"/>
        <v>0</v>
      </c>
      <c r="P676" s="6">
        <f t="shared" si="2"/>
        <v>0</v>
      </c>
    </row>
    <row r="677">
      <c r="A677" s="23"/>
      <c r="B677" s="23"/>
      <c r="C677" s="23"/>
      <c r="D677" s="23"/>
      <c r="E677" s="23"/>
      <c r="F677" s="23"/>
      <c r="G677" s="23"/>
      <c r="H677" s="20"/>
      <c r="I677" s="20"/>
      <c r="J677" s="20"/>
      <c r="K677" s="20"/>
      <c r="L677" s="20"/>
      <c r="M677" s="20"/>
      <c r="N677" s="6" t="str">
        <f t="array" ref="N677">XLOOKUP($B677, XLOOKUP("Tracking Number", Orders!$1:$1, Orders!$A:$AAA), XLOOKUP("Courier Fee", Orders!$1:$1, Orders!$A:$AAA), "Not Found")</f>
        <v>Not Found</v>
      </c>
      <c r="O677" s="6">
        <f t="shared" si="1"/>
        <v>0</v>
      </c>
      <c r="P677" s="6">
        <f t="shared" si="2"/>
        <v>0</v>
      </c>
    </row>
    <row r="678">
      <c r="A678" s="23"/>
      <c r="B678" s="23"/>
      <c r="C678" s="23"/>
      <c r="D678" s="23"/>
      <c r="E678" s="23"/>
      <c r="F678" s="23"/>
      <c r="G678" s="23"/>
      <c r="H678" s="20"/>
      <c r="I678" s="20"/>
      <c r="J678" s="20"/>
      <c r="K678" s="20"/>
      <c r="L678" s="20"/>
      <c r="M678" s="20"/>
      <c r="N678" s="6" t="str">
        <f t="array" ref="N678">XLOOKUP($B678, XLOOKUP("Tracking Number", Orders!$1:$1, Orders!$A:$AAA), XLOOKUP("Courier Fee", Orders!$1:$1, Orders!$A:$AAA), "Not Found")</f>
        <v>Not Found</v>
      </c>
      <c r="O678" s="6">
        <f t="shared" si="1"/>
        <v>0</v>
      </c>
      <c r="P678" s="6">
        <f t="shared" si="2"/>
        <v>0</v>
      </c>
    </row>
    <row r="679">
      <c r="A679" s="23"/>
      <c r="B679" s="23"/>
      <c r="C679" s="23"/>
      <c r="D679" s="23"/>
      <c r="E679" s="23"/>
      <c r="F679" s="23"/>
      <c r="G679" s="23"/>
      <c r="H679" s="20"/>
      <c r="I679" s="20"/>
      <c r="J679" s="20"/>
      <c r="K679" s="20"/>
      <c r="L679" s="20"/>
      <c r="M679" s="20"/>
      <c r="N679" s="6" t="str">
        <f t="array" ref="N679">XLOOKUP($B679, XLOOKUP("Tracking Number", Orders!$1:$1, Orders!$A:$AAA), XLOOKUP("Courier Fee", Orders!$1:$1, Orders!$A:$AAA), "Not Found")</f>
        <v>Not Found</v>
      </c>
      <c r="O679" s="6">
        <f t="shared" si="1"/>
        <v>0</v>
      </c>
      <c r="P679" s="6">
        <f t="shared" si="2"/>
        <v>0</v>
      </c>
    </row>
    <row r="680">
      <c r="A680" s="23"/>
      <c r="B680" s="23"/>
      <c r="C680" s="23"/>
      <c r="D680" s="23"/>
      <c r="E680" s="23"/>
      <c r="F680" s="23"/>
      <c r="G680" s="23"/>
      <c r="H680" s="20"/>
      <c r="I680" s="20"/>
      <c r="J680" s="20"/>
      <c r="K680" s="20"/>
      <c r="L680" s="20"/>
      <c r="M680" s="20"/>
      <c r="N680" s="6" t="str">
        <f t="array" ref="N680">XLOOKUP($B680, XLOOKUP("Tracking Number", Orders!$1:$1, Orders!$A:$AAA), XLOOKUP("Courier Fee", Orders!$1:$1, Orders!$A:$AAA), "Not Found")</f>
        <v>Not Found</v>
      </c>
      <c r="O680" s="6">
        <f t="shared" si="1"/>
        <v>0</v>
      </c>
      <c r="P680" s="6">
        <f t="shared" si="2"/>
        <v>0</v>
      </c>
    </row>
    <row r="681">
      <c r="A681" s="23"/>
      <c r="B681" s="23"/>
      <c r="C681" s="23"/>
      <c r="D681" s="23"/>
      <c r="E681" s="23"/>
      <c r="F681" s="23"/>
      <c r="G681" s="23"/>
      <c r="H681" s="20"/>
      <c r="I681" s="20"/>
      <c r="J681" s="20"/>
      <c r="K681" s="20"/>
      <c r="L681" s="20"/>
      <c r="M681" s="20"/>
      <c r="N681" s="6" t="str">
        <f t="array" ref="N681">XLOOKUP($B681, XLOOKUP("Tracking Number", Orders!$1:$1, Orders!$A:$AAA), XLOOKUP("Courier Fee", Orders!$1:$1, Orders!$A:$AAA), "Not Found")</f>
        <v>Not Found</v>
      </c>
      <c r="O681" s="6">
        <f t="shared" si="1"/>
        <v>0</v>
      </c>
      <c r="P681" s="6">
        <f t="shared" si="2"/>
        <v>0</v>
      </c>
    </row>
    <row r="682">
      <c r="A682" s="23"/>
      <c r="B682" s="23"/>
      <c r="C682" s="23"/>
      <c r="D682" s="23"/>
      <c r="E682" s="23"/>
      <c r="F682" s="23"/>
      <c r="G682" s="23"/>
      <c r="H682" s="20"/>
      <c r="I682" s="20"/>
      <c r="J682" s="20"/>
      <c r="K682" s="20"/>
      <c r="L682" s="20"/>
      <c r="M682" s="20"/>
      <c r="N682" s="6" t="str">
        <f t="array" ref="N682">XLOOKUP($B682, XLOOKUP("Tracking Number", Orders!$1:$1, Orders!$A:$AAA), XLOOKUP("Courier Fee", Orders!$1:$1, Orders!$A:$AAA), "Not Found")</f>
        <v>Not Found</v>
      </c>
      <c r="O682" s="6">
        <f t="shared" si="1"/>
        <v>0</v>
      </c>
      <c r="P682" s="6">
        <f t="shared" si="2"/>
        <v>0</v>
      </c>
    </row>
    <row r="683">
      <c r="A683" s="23"/>
      <c r="B683" s="23"/>
      <c r="C683" s="23"/>
      <c r="D683" s="23"/>
      <c r="E683" s="23"/>
      <c r="F683" s="23"/>
      <c r="G683" s="23"/>
      <c r="H683" s="20"/>
      <c r="I683" s="20"/>
      <c r="J683" s="20"/>
      <c r="K683" s="20"/>
      <c r="L683" s="20"/>
      <c r="M683" s="20"/>
      <c r="N683" s="6" t="str">
        <f t="array" ref="N683">XLOOKUP($B683, XLOOKUP("Tracking Number", Orders!$1:$1, Orders!$A:$AAA), XLOOKUP("Courier Fee", Orders!$1:$1, Orders!$A:$AAA), "Not Found")</f>
        <v>Not Found</v>
      </c>
      <c r="O683" s="6">
        <f t="shared" si="1"/>
        <v>0</v>
      </c>
      <c r="P683" s="6">
        <f t="shared" si="2"/>
        <v>0</v>
      </c>
    </row>
    <row r="684">
      <c r="A684" s="23"/>
      <c r="B684" s="23"/>
      <c r="C684" s="23"/>
      <c r="D684" s="23"/>
      <c r="E684" s="23"/>
      <c r="F684" s="23"/>
      <c r="G684" s="23"/>
      <c r="H684" s="20"/>
      <c r="I684" s="20"/>
      <c r="J684" s="20"/>
      <c r="K684" s="20"/>
      <c r="L684" s="20"/>
      <c r="M684" s="20"/>
      <c r="N684" s="6" t="str">
        <f t="array" ref="N684">XLOOKUP($B684, XLOOKUP("Tracking Number", Orders!$1:$1, Orders!$A:$AAA), XLOOKUP("Courier Fee", Orders!$1:$1, Orders!$A:$AAA), "Not Found")</f>
        <v>Not Found</v>
      </c>
      <c r="O684" s="6">
        <f t="shared" si="1"/>
        <v>0</v>
      </c>
      <c r="P684" s="6">
        <f t="shared" si="2"/>
        <v>0</v>
      </c>
    </row>
    <row r="685">
      <c r="A685" s="23"/>
      <c r="B685" s="23"/>
      <c r="C685" s="23"/>
      <c r="D685" s="23"/>
      <c r="E685" s="23"/>
      <c r="F685" s="23"/>
      <c r="G685" s="23"/>
      <c r="H685" s="20"/>
      <c r="I685" s="20"/>
      <c r="J685" s="20"/>
      <c r="K685" s="20"/>
      <c r="L685" s="20"/>
      <c r="M685" s="20"/>
      <c r="N685" s="6" t="str">
        <f t="array" ref="N685">XLOOKUP($B685, XLOOKUP("Tracking Number", Orders!$1:$1, Orders!$A:$AAA), XLOOKUP("Courier Fee", Orders!$1:$1, Orders!$A:$AAA), "Not Found")</f>
        <v>Not Found</v>
      </c>
      <c r="O685" s="6">
        <f t="shared" si="1"/>
        <v>0</v>
      </c>
      <c r="P685" s="6">
        <f t="shared" si="2"/>
        <v>0</v>
      </c>
    </row>
    <row r="686">
      <c r="A686" s="23"/>
      <c r="B686" s="23"/>
      <c r="C686" s="23"/>
      <c r="D686" s="23"/>
      <c r="E686" s="23"/>
      <c r="F686" s="23"/>
      <c r="G686" s="23"/>
      <c r="H686" s="20"/>
      <c r="I686" s="20"/>
      <c r="J686" s="20"/>
      <c r="K686" s="20"/>
      <c r="L686" s="20"/>
      <c r="M686" s="20"/>
      <c r="N686" s="6" t="str">
        <f t="array" ref="N686">XLOOKUP($B686, XLOOKUP("Tracking Number", Orders!$1:$1, Orders!$A:$AAA), XLOOKUP("Courier Fee", Orders!$1:$1, Orders!$A:$AAA), "Not Found")</f>
        <v>Not Found</v>
      </c>
      <c r="O686" s="6">
        <f t="shared" si="1"/>
        <v>0</v>
      </c>
      <c r="P686" s="6">
        <f t="shared" si="2"/>
        <v>0</v>
      </c>
    </row>
    <row r="687">
      <c r="A687" s="23"/>
      <c r="B687" s="23"/>
      <c r="C687" s="23"/>
      <c r="D687" s="23"/>
      <c r="E687" s="23"/>
      <c r="F687" s="23"/>
      <c r="G687" s="23"/>
      <c r="H687" s="20"/>
      <c r="I687" s="20"/>
      <c r="J687" s="20"/>
      <c r="K687" s="20"/>
      <c r="L687" s="20"/>
      <c r="M687" s="20"/>
      <c r="N687" s="6" t="str">
        <f t="array" ref="N687">XLOOKUP($B687, XLOOKUP("Tracking Number", Orders!$1:$1, Orders!$A:$AAA), XLOOKUP("Courier Fee", Orders!$1:$1, Orders!$A:$AAA), "Not Found")</f>
        <v>Not Found</v>
      </c>
      <c r="O687" s="6">
        <f t="shared" si="1"/>
        <v>0</v>
      </c>
      <c r="P687" s="6">
        <f t="shared" si="2"/>
        <v>0</v>
      </c>
    </row>
    <row r="688">
      <c r="A688" s="23"/>
      <c r="B688" s="23"/>
      <c r="C688" s="23"/>
      <c r="D688" s="23"/>
      <c r="E688" s="23"/>
      <c r="F688" s="23"/>
      <c r="G688" s="23"/>
      <c r="H688" s="20"/>
      <c r="I688" s="20"/>
      <c r="J688" s="20"/>
      <c r="K688" s="20"/>
      <c r="L688" s="20"/>
      <c r="M688" s="20"/>
      <c r="N688" s="6" t="str">
        <f t="array" ref="N688">XLOOKUP($B688, XLOOKUP("Tracking Number", Orders!$1:$1, Orders!$A:$AAA), XLOOKUP("Courier Fee", Orders!$1:$1, Orders!$A:$AAA), "Not Found")</f>
        <v>Not Found</v>
      </c>
      <c r="O688" s="6">
        <f t="shared" si="1"/>
        <v>0</v>
      </c>
      <c r="P688" s="6">
        <f t="shared" si="2"/>
        <v>0</v>
      </c>
    </row>
    <row r="689">
      <c r="A689" s="23"/>
      <c r="B689" s="23"/>
      <c r="C689" s="23"/>
      <c r="D689" s="23"/>
      <c r="E689" s="23"/>
      <c r="F689" s="23"/>
      <c r="G689" s="23"/>
      <c r="H689" s="20"/>
      <c r="I689" s="20"/>
      <c r="J689" s="20"/>
      <c r="K689" s="20"/>
      <c r="L689" s="20"/>
      <c r="M689" s="20"/>
      <c r="N689" s="6" t="str">
        <f t="array" ref="N689">XLOOKUP($B689, XLOOKUP("Tracking Number", Orders!$1:$1, Orders!$A:$AAA), XLOOKUP("Courier Fee", Orders!$1:$1, Orders!$A:$AAA), "Not Found")</f>
        <v>Not Found</v>
      </c>
      <c r="O689" s="6">
        <f t="shared" si="1"/>
        <v>0</v>
      </c>
      <c r="P689" s="6">
        <f t="shared" si="2"/>
        <v>0</v>
      </c>
    </row>
    <row r="690">
      <c r="A690" s="23"/>
      <c r="B690" s="23"/>
      <c r="C690" s="23"/>
      <c r="D690" s="23"/>
      <c r="E690" s="23"/>
      <c r="F690" s="23"/>
      <c r="G690" s="23"/>
      <c r="H690" s="20"/>
      <c r="I690" s="20"/>
      <c r="J690" s="20"/>
      <c r="K690" s="20"/>
      <c r="L690" s="20"/>
      <c r="M690" s="20"/>
      <c r="N690" s="6" t="str">
        <f t="array" ref="N690">XLOOKUP($B690, XLOOKUP("Tracking Number", Orders!$1:$1, Orders!$A:$AAA), XLOOKUP("Courier Fee", Orders!$1:$1, Orders!$A:$AAA), "Not Found")</f>
        <v>Not Found</v>
      </c>
      <c r="O690" s="6">
        <f t="shared" si="1"/>
        <v>0</v>
      </c>
      <c r="P690" s="6">
        <f t="shared" si="2"/>
        <v>0</v>
      </c>
    </row>
    <row r="691">
      <c r="A691" s="23"/>
      <c r="B691" s="23"/>
      <c r="C691" s="23"/>
      <c r="D691" s="23"/>
      <c r="E691" s="23"/>
      <c r="F691" s="23"/>
      <c r="G691" s="23"/>
      <c r="H691" s="20"/>
      <c r="I691" s="20"/>
      <c r="J691" s="20"/>
      <c r="K691" s="20"/>
      <c r="L691" s="20"/>
      <c r="M691" s="20"/>
      <c r="N691" s="6" t="str">
        <f t="array" ref="N691">XLOOKUP($B691, XLOOKUP("Tracking Number", Orders!$1:$1, Orders!$A:$AAA), XLOOKUP("Courier Fee", Orders!$1:$1, Orders!$A:$AAA), "Not Found")</f>
        <v>Not Found</v>
      </c>
      <c r="O691" s="6">
        <f t="shared" si="1"/>
        <v>0</v>
      </c>
      <c r="P691" s="6">
        <f t="shared" si="2"/>
        <v>0</v>
      </c>
    </row>
    <row r="692">
      <c r="A692" s="23"/>
      <c r="B692" s="23"/>
      <c r="C692" s="23"/>
      <c r="D692" s="23"/>
      <c r="E692" s="23"/>
      <c r="F692" s="23"/>
      <c r="G692" s="23"/>
      <c r="H692" s="20"/>
      <c r="I692" s="20"/>
      <c r="J692" s="20"/>
      <c r="K692" s="20"/>
      <c r="L692" s="20"/>
      <c r="M692" s="20"/>
      <c r="N692" s="6" t="str">
        <f t="array" ref="N692">XLOOKUP($B692, XLOOKUP("Tracking Number", Orders!$1:$1, Orders!$A:$AAA), XLOOKUP("Courier Fee", Orders!$1:$1, Orders!$A:$AAA), "Not Found")</f>
        <v>Not Found</v>
      </c>
      <c r="O692" s="6">
        <f t="shared" si="1"/>
        <v>0</v>
      </c>
      <c r="P692" s="6">
        <f t="shared" si="2"/>
        <v>0</v>
      </c>
    </row>
    <row r="693">
      <c r="A693" s="23"/>
      <c r="B693" s="23"/>
      <c r="C693" s="23"/>
      <c r="D693" s="23"/>
      <c r="E693" s="23"/>
      <c r="F693" s="23"/>
      <c r="G693" s="23"/>
      <c r="H693" s="20"/>
      <c r="I693" s="20"/>
      <c r="J693" s="20"/>
      <c r="K693" s="20"/>
      <c r="L693" s="20"/>
      <c r="M693" s="20"/>
      <c r="N693" s="6" t="str">
        <f t="array" ref="N693">XLOOKUP($B693, XLOOKUP("Tracking Number", Orders!$1:$1, Orders!$A:$AAA), XLOOKUP("Courier Fee", Orders!$1:$1, Orders!$A:$AAA), "Not Found")</f>
        <v>Not Found</v>
      </c>
      <c r="O693" s="6">
        <f t="shared" si="1"/>
        <v>0</v>
      </c>
      <c r="P693" s="6">
        <f t="shared" si="2"/>
        <v>0</v>
      </c>
    </row>
    <row r="694">
      <c r="A694" s="23"/>
      <c r="B694" s="23"/>
      <c r="C694" s="23"/>
      <c r="D694" s="23"/>
      <c r="E694" s="23"/>
      <c r="F694" s="23"/>
      <c r="G694" s="23"/>
      <c r="H694" s="20"/>
      <c r="I694" s="20"/>
      <c r="J694" s="20"/>
      <c r="K694" s="20"/>
      <c r="L694" s="20"/>
      <c r="M694" s="20"/>
      <c r="N694" s="6" t="str">
        <f t="array" ref="N694">XLOOKUP($B694, XLOOKUP("Tracking Number", Orders!$1:$1, Orders!$A:$AAA), XLOOKUP("Courier Fee", Orders!$1:$1, Orders!$A:$AAA), "Not Found")</f>
        <v>Not Found</v>
      </c>
      <c r="O694" s="6">
        <f t="shared" si="1"/>
        <v>0</v>
      </c>
      <c r="P694" s="6">
        <f t="shared" si="2"/>
        <v>0</v>
      </c>
    </row>
    <row r="695">
      <c r="A695" s="23"/>
      <c r="B695" s="23"/>
      <c r="C695" s="23"/>
      <c r="D695" s="23"/>
      <c r="E695" s="23"/>
      <c r="F695" s="23"/>
      <c r="G695" s="23"/>
      <c r="H695" s="20"/>
      <c r="I695" s="20"/>
      <c r="J695" s="20"/>
      <c r="K695" s="20"/>
      <c r="L695" s="20"/>
      <c r="M695" s="20"/>
      <c r="N695" s="6" t="str">
        <f t="array" ref="N695">XLOOKUP($B695, XLOOKUP("Tracking Number", Orders!$1:$1, Orders!$A:$AAA), XLOOKUP("Courier Fee", Orders!$1:$1, Orders!$A:$AAA), "Not Found")</f>
        <v>Not Found</v>
      </c>
      <c r="O695" s="6">
        <f t="shared" si="1"/>
        <v>0</v>
      </c>
      <c r="P695" s="6">
        <f t="shared" si="2"/>
        <v>0</v>
      </c>
    </row>
    <row r="696">
      <c r="A696" s="23"/>
      <c r="B696" s="23"/>
      <c r="C696" s="23"/>
      <c r="D696" s="23"/>
      <c r="E696" s="23"/>
      <c r="F696" s="23"/>
      <c r="G696" s="23"/>
      <c r="H696" s="20"/>
      <c r="I696" s="20"/>
      <c r="J696" s="20"/>
      <c r="K696" s="20"/>
      <c r="L696" s="20"/>
      <c r="M696" s="20"/>
      <c r="N696" s="6" t="str">
        <f t="array" ref="N696">XLOOKUP($B696, XLOOKUP("Tracking Number", Orders!$1:$1, Orders!$A:$AAA), XLOOKUP("Courier Fee", Orders!$1:$1, Orders!$A:$AAA), "Not Found")</f>
        <v>Not Found</v>
      </c>
      <c r="O696" s="6">
        <f t="shared" si="1"/>
        <v>0</v>
      </c>
      <c r="P696" s="6">
        <f t="shared" si="2"/>
        <v>0</v>
      </c>
    </row>
    <row r="697">
      <c r="A697" s="23"/>
      <c r="B697" s="23"/>
      <c r="C697" s="23"/>
      <c r="D697" s="23"/>
      <c r="E697" s="23"/>
      <c r="F697" s="23"/>
      <c r="G697" s="23"/>
      <c r="H697" s="20"/>
      <c r="I697" s="20"/>
      <c r="J697" s="20"/>
      <c r="K697" s="20"/>
      <c r="L697" s="20"/>
      <c r="M697" s="20"/>
      <c r="N697" s="6" t="str">
        <f t="array" ref="N697">XLOOKUP($B697, XLOOKUP("Tracking Number", Orders!$1:$1, Orders!$A:$AAA), XLOOKUP("Courier Fee", Orders!$1:$1, Orders!$A:$AAA), "Not Found")</f>
        <v>Not Found</v>
      </c>
      <c r="O697" s="6">
        <f t="shared" si="1"/>
        <v>0</v>
      </c>
      <c r="P697" s="6">
        <f t="shared" si="2"/>
        <v>0</v>
      </c>
    </row>
    <row r="698">
      <c r="A698" s="23"/>
      <c r="B698" s="23"/>
      <c r="C698" s="23"/>
      <c r="D698" s="23"/>
      <c r="E698" s="23"/>
      <c r="F698" s="23"/>
      <c r="G698" s="23"/>
      <c r="H698" s="20"/>
      <c r="I698" s="20"/>
      <c r="J698" s="20"/>
      <c r="K698" s="20"/>
      <c r="L698" s="20"/>
      <c r="M698" s="20"/>
      <c r="N698" s="6" t="str">
        <f t="array" ref="N698">XLOOKUP($B698, XLOOKUP("Tracking Number", Orders!$1:$1, Orders!$A:$AAA), XLOOKUP("Courier Fee", Orders!$1:$1, Orders!$A:$AAA), "Not Found")</f>
        <v>Not Found</v>
      </c>
      <c r="O698" s="6">
        <f t="shared" si="1"/>
        <v>0</v>
      </c>
      <c r="P698" s="6">
        <f t="shared" si="2"/>
        <v>0</v>
      </c>
    </row>
    <row r="699">
      <c r="A699" s="23"/>
      <c r="B699" s="23"/>
      <c r="C699" s="23"/>
      <c r="D699" s="23"/>
      <c r="E699" s="23"/>
      <c r="F699" s="23"/>
      <c r="G699" s="23"/>
      <c r="H699" s="20"/>
      <c r="I699" s="20"/>
      <c r="J699" s="20"/>
      <c r="K699" s="20"/>
      <c r="L699" s="20"/>
      <c r="M699" s="20"/>
      <c r="N699" s="6" t="str">
        <f t="array" ref="N699">XLOOKUP($B699, XLOOKUP("Tracking Number", Orders!$1:$1, Orders!$A:$AAA), XLOOKUP("Courier Fee", Orders!$1:$1, Orders!$A:$AAA), "Not Found")</f>
        <v>Not Found</v>
      </c>
      <c r="O699" s="6">
        <f t="shared" si="1"/>
        <v>0</v>
      </c>
      <c r="P699" s="6">
        <f t="shared" si="2"/>
        <v>0</v>
      </c>
    </row>
    <row r="700">
      <c r="A700" s="23"/>
      <c r="B700" s="23"/>
      <c r="C700" s="23"/>
      <c r="D700" s="23"/>
      <c r="E700" s="23"/>
      <c r="F700" s="23"/>
      <c r="G700" s="23"/>
      <c r="H700" s="20"/>
      <c r="I700" s="20"/>
      <c r="J700" s="20"/>
      <c r="K700" s="20"/>
      <c r="L700" s="20"/>
      <c r="M700" s="20"/>
      <c r="N700" s="6" t="str">
        <f t="array" ref="N700">XLOOKUP($B700, XLOOKUP("Tracking Number", Orders!$1:$1, Orders!$A:$AAA), XLOOKUP("Courier Fee", Orders!$1:$1, Orders!$A:$AAA), "Not Found")</f>
        <v>Not Found</v>
      </c>
      <c r="O700" s="6">
        <f t="shared" si="1"/>
        <v>0</v>
      </c>
      <c r="P700" s="6">
        <f t="shared" si="2"/>
        <v>0</v>
      </c>
    </row>
    <row r="701">
      <c r="A701" s="23"/>
      <c r="B701" s="23"/>
      <c r="C701" s="23"/>
      <c r="D701" s="23"/>
      <c r="E701" s="23"/>
      <c r="F701" s="23"/>
      <c r="G701" s="23"/>
      <c r="H701" s="20"/>
      <c r="I701" s="20"/>
      <c r="J701" s="20"/>
      <c r="K701" s="20"/>
      <c r="L701" s="20"/>
      <c r="M701" s="20"/>
      <c r="N701" s="6" t="str">
        <f t="array" ref="N701">XLOOKUP($B701, XLOOKUP("Tracking Number", Orders!$1:$1, Orders!$A:$AAA), XLOOKUP("Courier Fee", Orders!$1:$1, Orders!$A:$AAA), "Not Found")</f>
        <v>Not Found</v>
      </c>
      <c r="O701" s="6">
        <f t="shared" si="1"/>
        <v>0</v>
      </c>
      <c r="P701" s="6">
        <f t="shared" si="2"/>
        <v>0</v>
      </c>
    </row>
    <row r="702">
      <c r="A702" s="23"/>
      <c r="B702" s="23"/>
      <c r="C702" s="23"/>
      <c r="D702" s="23"/>
      <c r="E702" s="23"/>
      <c r="F702" s="23"/>
      <c r="G702" s="23"/>
      <c r="H702" s="20"/>
      <c r="I702" s="20"/>
      <c r="J702" s="20"/>
      <c r="K702" s="20"/>
      <c r="L702" s="20"/>
      <c r="M702" s="20"/>
      <c r="N702" s="6" t="str">
        <f t="array" ref="N702">XLOOKUP($B702, XLOOKUP("Tracking Number", Orders!$1:$1, Orders!$A:$AAA), XLOOKUP("Courier Fee", Orders!$1:$1, Orders!$A:$AAA), "Not Found")</f>
        <v>Not Found</v>
      </c>
      <c r="O702" s="6">
        <f t="shared" si="1"/>
        <v>0</v>
      </c>
      <c r="P702" s="6">
        <f t="shared" si="2"/>
        <v>0</v>
      </c>
    </row>
    <row r="703">
      <c r="A703" s="23"/>
      <c r="B703" s="23"/>
      <c r="C703" s="23"/>
      <c r="D703" s="23"/>
      <c r="E703" s="23"/>
      <c r="F703" s="23"/>
      <c r="G703" s="23"/>
      <c r="H703" s="20"/>
      <c r="I703" s="20"/>
      <c r="J703" s="20"/>
      <c r="K703" s="20"/>
      <c r="L703" s="20"/>
      <c r="M703" s="20"/>
      <c r="N703" s="6" t="str">
        <f t="array" ref="N703">XLOOKUP($B703, XLOOKUP("Tracking Number", Orders!$1:$1, Orders!$A:$AAA), XLOOKUP("Courier Fee", Orders!$1:$1, Orders!$A:$AAA), "Not Found")</f>
        <v>Not Found</v>
      </c>
      <c r="O703" s="6">
        <f t="shared" si="1"/>
        <v>0</v>
      </c>
      <c r="P703" s="6">
        <f t="shared" si="2"/>
        <v>0</v>
      </c>
    </row>
    <row r="704">
      <c r="A704" s="23"/>
      <c r="B704" s="23"/>
      <c r="C704" s="23"/>
      <c r="D704" s="23"/>
      <c r="E704" s="23"/>
      <c r="F704" s="23"/>
      <c r="G704" s="23"/>
      <c r="H704" s="20"/>
      <c r="I704" s="20"/>
      <c r="J704" s="20"/>
      <c r="K704" s="20"/>
      <c r="L704" s="20"/>
      <c r="M704" s="20"/>
      <c r="N704" s="6" t="str">
        <f t="array" ref="N704">XLOOKUP($B704, XLOOKUP("Tracking Number", Orders!$1:$1, Orders!$A:$AAA), XLOOKUP("Courier Fee", Orders!$1:$1, Orders!$A:$AAA), "Not Found")</f>
        <v>Not Found</v>
      </c>
      <c r="O704" s="6">
        <f t="shared" si="1"/>
        <v>0</v>
      </c>
      <c r="P704" s="6">
        <f t="shared" si="2"/>
        <v>0</v>
      </c>
    </row>
    <row r="705">
      <c r="A705" s="23"/>
      <c r="B705" s="23"/>
      <c r="C705" s="23"/>
      <c r="D705" s="23"/>
      <c r="E705" s="23"/>
      <c r="F705" s="23"/>
      <c r="G705" s="23"/>
      <c r="H705" s="20"/>
      <c r="I705" s="20"/>
      <c r="J705" s="20"/>
      <c r="K705" s="20"/>
      <c r="L705" s="20"/>
      <c r="M705" s="20"/>
      <c r="N705" s="6" t="str">
        <f t="array" ref="N705">XLOOKUP($B705, XLOOKUP("Tracking Number", Orders!$1:$1, Orders!$A:$AAA), XLOOKUP("Courier Fee", Orders!$1:$1, Orders!$A:$AAA), "Not Found")</f>
        <v>Not Found</v>
      </c>
      <c r="O705" s="6">
        <f t="shared" si="1"/>
        <v>0</v>
      </c>
      <c r="P705" s="6">
        <f t="shared" si="2"/>
        <v>0</v>
      </c>
    </row>
  </sheetData>
  <mergeCells count="1">
    <mergeCell ref="B1:C1"/>
  </mergeCells>
  <dataValidations>
    <dataValidation type="list" allowBlank="1" sqref="B1">
      <formula1>"Match by Tracking Number,Match by Order ID"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26.25"/>
    <col customWidth="1" min="3" max="3" width="22.75"/>
    <col customWidth="1" min="5" max="5" width="68.88"/>
    <col customWidth="1" min="7" max="7" width="49.5"/>
  </cols>
  <sheetData>
    <row r="1">
      <c r="A1" s="24" t="s">
        <v>0</v>
      </c>
      <c r="B1" s="24" t="s">
        <v>189</v>
      </c>
      <c r="C1" s="24" t="s">
        <v>62</v>
      </c>
      <c r="D1" s="24" t="s">
        <v>190</v>
      </c>
      <c r="E1" s="24" t="s">
        <v>191</v>
      </c>
      <c r="F1" s="24" t="s">
        <v>192</v>
      </c>
      <c r="G1" s="24" t="s">
        <v>193</v>
      </c>
      <c r="H1" s="24" t="s">
        <v>194</v>
      </c>
      <c r="I1" s="24" t="s">
        <v>195</v>
      </c>
    </row>
    <row r="2">
      <c r="A2" s="25">
        <v>2.3120050020579E13</v>
      </c>
      <c r="B2" s="25" t="s">
        <v>196</v>
      </c>
      <c r="C2" s="25" t="s">
        <v>197</v>
      </c>
      <c r="D2" s="25" t="s">
        <v>198</v>
      </c>
      <c r="E2" s="25" t="s">
        <v>199</v>
      </c>
      <c r="F2" s="26">
        <v>2748.0</v>
      </c>
      <c r="G2" s="25" t="s">
        <v>200</v>
      </c>
      <c r="H2" s="27">
        <v>46022.75686342592</v>
      </c>
      <c r="I2" s="28"/>
    </row>
    <row r="3">
      <c r="A3" s="25">
        <v>2.0120050022641E13</v>
      </c>
      <c r="B3" s="25" t="s">
        <v>201</v>
      </c>
      <c r="C3" s="25" t="s">
        <v>202</v>
      </c>
      <c r="D3" s="25" t="s">
        <v>203</v>
      </c>
      <c r="E3" s="25" t="s">
        <v>204</v>
      </c>
      <c r="F3" s="26">
        <v>3348.0</v>
      </c>
      <c r="G3" s="25" t="s">
        <v>27</v>
      </c>
      <c r="H3" s="27">
        <v>46126.08104605324</v>
      </c>
      <c r="I3" s="28"/>
    </row>
    <row r="4">
      <c r="A4" s="29">
        <v>2.9120050023561E13</v>
      </c>
      <c r="B4" s="29" t="s">
        <v>205</v>
      </c>
      <c r="C4" s="29" t="s">
        <v>206</v>
      </c>
      <c r="D4" s="29" t="s">
        <v>207</v>
      </c>
      <c r="E4" s="29" t="s">
        <v>208</v>
      </c>
      <c r="F4" s="30">
        <v>5247.0</v>
      </c>
      <c r="G4" s="29" t="s">
        <v>209</v>
      </c>
      <c r="H4" s="31">
        <v>46128.08098370371</v>
      </c>
      <c r="I4" s="32"/>
    </row>
    <row r="5">
      <c r="A5" s="25">
        <v>2.9120050023007E13</v>
      </c>
      <c r="B5" s="25" t="s">
        <v>210</v>
      </c>
      <c r="C5" s="25" t="s">
        <v>206</v>
      </c>
      <c r="D5" s="25" t="s">
        <v>211</v>
      </c>
      <c r="E5" s="25" t="s">
        <v>204</v>
      </c>
      <c r="F5" s="26">
        <v>3348.0</v>
      </c>
      <c r="G5" s="25" t="s">
        <v>27</v>
      </c>
      <c r="H5" s="27">
        <v>46122.08101763889</v>
      </c>
      <c r="I5" s="28"/>
    </row>
    <row r="6">
      <c r="A6" s="25">
        <v>2.7120050023005E13</v>
      </c>
      <c r="B6" s="25" t="s">
        <v>212</v>
      </c>
      <c r="C6" s="25" t="s">
        <v>206</v>
      </c>
      <c r="D6" s="25" t="s">
        <v>211</v>
      </c>
      <c r="E6" s="25" t="s">
        <v>204</v>
      </c>
      <c r="F6" s="26">
        <v>3348.0</v>
      </c>
      <c r="G6" s="25" t="s">
        <v>27</v>
      </c>
      <c r="H6" s="27">
        <v>46122.08101763889</v>
      </c>
      <c r="I6" s="28"/>
    </row>
    <row r="7">
      <c r="A7" s="29" t="s">
        <v>213</v>
      </c>
      <c r="B7" s="29" t="s">
        <v>214</v>
      </c>
      <c r="C7" s="29" t="s">
        <v>215</v>
      </c>
      <c r="D7" s="29" t="s">
        <v>216</v>
      </c>
      <c r="E7" s="29" t="s">
        <v>217</v>
      </c>
      <c r="F7" s="30">
        <v>3348.0</v>
      </c>
      <c r="G7" s="29" t="s">
        <v>218</v>
      </c>
      <c r="H7" s="31">
        <v>46129.08327905093</v>
      </c>
      <c r="I7" s="32"/>
    </row>
    <row r="8">
      <c r="A8" s="25">
        <v>2.2120050023112E13</v>
      </c>
      <c r="B8" s="25" t="s">
        <v>219</v>
      </c>
      <c r="C8" s="25" t="s">
        <v>206</v>
      </c>
      <c r="D8" s="25" t="s">
        <v>211</v>
      </c>
      <c r="E8" s="25" t="s">
        <v>204</v>
      </c>
      <c r="F8" s="26">
        <v>2199.0</v>
      </c>
      <c r="G8" s="25" t="s">
        <v>220</v>
      </c>
      <c r="H8" s="27">
        <v>46122.08101782408</v>
      </c>
      <c r="I8" s="28"/>
    </row>
    <row r="9">
      <c r="A9" s="25">
        <v>2.4120050023097E13</v>
      </c>
      <c r="B9" s="25" t="s">
        <v>221</v>
      </c>
      <c r="C9" s="25" t="s">
        <v>206</v>
      </c>
      <c r="D9" s="25" t="s">
        <v>211</v>
      </c>
      <c r="E9" s="25" t="s">
        <v>204</v>
      </c>
      <c r="F9" s="26">
        <v>3348.0</v>
      </c>
      <c r="G9" s="25" t="s">
        <v>50</v>
      </c>
      <c r="H9" s="27">
        <v>46122.0810178588</v>
      </c>
      <c r="I9" s="28"/>
    </row>
    <row r="10">
      <c r="A10" s="25">
        <v>2.5120050023E13</v>
      </c>
      <c r="B10" s="25" t="s">
        <v>222</v>
      </c>
      <c r="C10" s="25" t="s">
        <v>206</v>
      </c>
      <c r="D10" s="25" t="s">
        <v>211</v>
      </c>
      <c r="E10" s="25" t="s">
        <v>223</v>
      </c>
      <c r="F10" s="26">
        <v>3348.0</v>
      </c>
      <c r="G10" s="25" t="s">
        <v>27</v>
      </c>
      <c r="H10" s="27">
        <v>46122.08106645833</v>
      </c>
      <c r="I10" s="28"/>
    </row>
    <row r="11">
      <c r="A11" s="25">
        <v>2.512005002304E13</v>
      </c>
      <c r="B11" s="25" t="s">
        <v>224</v>
      </c>
      <c r="C11" s="25" t="s">
        <v>206</v>
      </c>
      <c r="D11" s="25" t="s">
        <v>211</v>
      </c>
      <c r="E11" s="25" t="s">
        <v>204</v>
      </c>
      <c r="F11" s="26">
        <v>3348.0</v>
      </c>
      <c r="G11" s="25" t="s">
        <v>27</v>
      </c>
      <c r="H11" s="27">
        <v>46122.081066631945</v>
      </c>
      <c r="I11" s="28"/>
    </row>
    <row r="12">
      <c r="A12" s="29">
        <v>2.2120050023206E13</v>
      </c>
      <c r="B12" s="29" t="s">
        <v>225</v>
      </c>
      <c r="C12" s="29" t="s">
        <v>226</v>
      </c>
      <c r="D12" s="29" t="s">
        <v>207</v>
      </c>
      <c r="E12" s="29" t="s">
        <v>227</v>
      </c>
      <c r="F12" s="30">
        <v>3348.0</v>
      </c>
      <c r="G12" s="29" t="s">
        <v>228</v>
      </c>
      <c r="H12" s="31">
        <v>46128.08098525463</v>
      </c>
      <c r="I12" s="32"/>
    </row>
    <row r="13">
      <c r="A13" s="25">
        <v>2.0120050023204E13</v>
      </c>
      <c r="B13" s="25" t="s">
        <v>229</v>
      </c>
      <c r="C13" s="25" t="s">
        <v>206</v>
      </c>
      <c r="D13" s="25" t="s">
        <v>211</v>
      </c>
      <c r="E13" s="25" t="s">
        <v>204</v>
      </c>
      <c r="F13" s="26">
        <v>3348.0</v>
      </c>
      <c r="G13" s="25" t="s">
        <v>27</v>
      </c>
      <c r="H13" s="27">
        <v>46122.08106744213</v>
      </c>
      <c r="I13" s="28"/>
    </row>
    <row r="14">
      <c r="A14" s="25" t="s">
        <v>230</v>
      </c>
      <c r="B14" s="25" t="s">
        <v>231</v>
      </c>
      <c r="C14" s="25" t="s">
        <v>232</v>
      </c>
      <c r="D14" s="25" t="s">
        <v>203</v>
      </c>
      <c r="E14" s="25" t="s">
        <v>233</v>
      </c>
      <c r="F14" s="26">
        <v>3348.0</v>
      </c>
      <c r="G14" s="25" t="s">
        <v>234</v>
      </c>
      <c r="H14" s="27">
        <v>46126.08308755787</v>
      </c>
      <c r="I14" s="28"/>
    </row>
    <row r="15">
      <c r="A15" s="25">
        <v>2.7120050023032E13</v>
      </c>
      <c r="B15" s="25" t="s">
        <v>235</v>
      </c>
      <c r="C15" s="25" t="s">
        <v>197</v>
      </c>
      <c r="D15" s="25" t="s">
        <v>236</v>
      </c>
      <c r="E15" s="25" t="s">
        <v>237</v>
      </c>
      <c r="F15" s="26">
        <v>11447.0</v>
      </c>
      <c r="G15" s="25" t="s">
        <v>238</v>
      </c>
      <c r="H15" s="27">
        <v>46121.08103159722</v>
      </c>
      <c r="I15" s="28"/>
    </row>
    <row r="16">
      <c r="A16" s="25">
        <v>2.2120050023188E13</v>
      </c>
      <c r="B16" s="25" t="s">
        <v>239</v>
      </c>
      <c r="C16" s="25" t="s">
        <v>206</v>
      </c>
      <c r="D16" s="25" t="s">
        <v>211</v>
      </c>
      <c r="E16" s="25" t="s">
        <v>204</v>
      </c>
      <c r="F16" s="26">
        <v>3348.0</v>
      </c>
      <c r="G16" s="25" t="s">
        <v>50</v>
      </c>
      <c r="H16" s="27">
        <v>46122.08111997685</v>
      </c>
      <c r="I16" s="28"/>
    </row>
    <row r="17">
      <c r="A17" s="25">
        <v>2.2120050023186E13</v>
      </c>
      <c r="B17" s="25" t="s">
        <v>240</v>
      </c>
      <c r="C17" s="25" t="s">
        <v>206</v>
      </c>
      <c r="D17" s="25" t="s">
        <v>211</v>
      </c>
      <c r="E17" s="25" t="s">
        <v>241</v>
      </c>
      <c r="F17" s="26">
        <v>3348.0</v>
      </c>
      <c r="G17" s="25" t="s">
        <v>50</v>
      </c>
      <c r="H17" s="27">
        <v>46122.08112</v>
      </c>
      <c r="I17" s="28"/>
    </row>
    <row r="18">
      <c r="A18" s="25">
        <v>2.4120050023236E13</v>
      </c>
      <c r="B18" s="25" t="s">
        <v>242</v>
      </c>
      <c r="C18" s="25" t="s">
        <v>206</v>
      </c>
      <c r="D18" s="25" t="s">
        <v>211</v>
      </c>
      <c r="E18" s="25" t="s">
        <v>204</v>
      </c>
      <c r="F18" s="26">
        <v>2199.0</v>
      </c>
      <c r="G18" s="25" t="s">
        <v>243</v>
      </c>
      <c r="H18" s="27">
        <v>46122.081120428236</v>
      </c>
      <c r="I18" s="28"/>
    </row>
    <row r="19">
      <c r="A19" s="25">
        <v>2.9120050023181E13</v>
      </c>
      <c r="B19" s="25" t="s">
        <v>244</v>
      </c>
      <c r="C19" s="25" t="s">
        <v>206</v>
      </c>
      <c r="D19" s="25" t="s">
        <v>211</v>
      </c>
      <c r="E19" s="33"/>
      <c r="F19" s="26">
        <v>3399.0</v>
      </c>
      <c r="G19" s="25" t="s">
        <v>245</v>
      </c>
      <c r="H19" s="27">
        <v>46122.08112050926</v>
      </c>
      <c r="I19" s="28"/>
    </row>
    <row r="20">
      <c r="A20" s="25">
        <v>2.9120050023178E13</v>
      </c>
      <c r="B20" s="25" t="s">
        <v>246</v>
      </c>
      <c r="C20" s="25" t="s">
        <v>206</v>
      </c>
      <c r="D20" s="25" t="s">
        <v>211</v>
      </c>
      <c r="E20" s="25" t="s">
        <v>204</v>
      </c>
      <c r="F20" s="26">
        <v>2199.0</v>
      </c>
      <c r="G20" s="25" t="s">
        <v>220</v>
      </c>
      <c r="H20" s="27">
        <v>46122.081120532406</v>
      </c>
      <c r="I20" s="28"/>
    </row>
    <row r="21">
      <c r="A21" s="25">
        <v>2.9120050023235E13</v>
      </c>
      <c r="B21" s="25" t="s">
        <v>247</v>
      </c>
      <c r="C21" s="25" t="s">
        <v>206</v>
      </c>
      <c r="D21" s="25" t="s">
        <v>211</v>
      </c>
      <c r="E21" s="25" t="s">
        <v>204</v>
      </c>
      <c r="F21" s="26">
        <v>6249.0</v>
      </c>
      <c r="G21" s="25" t="s">
        <v>248</v>
      </c>
      <c r="H21" s="27">
        <v>46122.08112055555</v>
      </c>
      <c r="I21" s="28"/>
    </row>
    <row r="22">
      <c r="A22" s="25">
        <v>2.3120050023128E13</v>
      </c>
      <c r="B22" s="25" t="s">
        <v>249</v>
      </c>
      <c r="C22" s="25" t="s">
        <v>206</v>
      </c>
      <c r="D22" s="25" t="s">
        <v>211</v>
      </c>
      <c r="E22" s="33"/>
      <c r="F22" s="26">
        <v>3348.0</v>
      </c>
      <c r="G22" s="25" t="s">
        <v>50</v>
      </c>
      <c r="H22" s="27">
        <v>46122.081120613424</v>
      </c>
      <c r="I22" s="28"/>
    </row>
    <row r="23">
      <c r="A23" s="29" t="s">
        <v>250</v>
      </c>
      <c r="B23" s="29" t="s">
        <v>251</v>
      </c>
      <c r="C23" s="29" t="s">
        <v>215</v>
      </c>
      <c r="D23" s="29" t="s">
        <v>207</v>
      </c>
      <c r="E23" s="29" t="s">
        <v>252</v>
      </c>
      <c r="F23" s="30">
        <v>1848.0</v>
      </c>
      <c r="G23" s="29" t="s">
        <v>253</v>
      </c>
      <c r="H23" s="31">
        <v>46128.08280037037</v>
      </c>
      <c r="I23" s="32"/>
    </row>
    <row r="24">
      <c r="A24" s="25">
        <v>2.1120050023303E13</v>
      </c>
      <c r="B24" s="25" t="s">
        <v>254</v>
      </c>
      <c r="C24" s="25" t="s">
        <v>206</v>
      </c>
      <c r="D24" s="25" t="s">
        <v>211</v>
      </c>
      <c r="E24" s="25" t="s">
        <v>204</v>
      </c>
      <c r="F24" s="26">
        <v>1449.0</v>
      </c>
      <c r="G24" s="25" t="s">
        <v>255</v>
      </c>
      <c r="H24" s="27">
        <v>46122.08112159722</v>
      </c>
      <c r="I24" s="28"/>
    </row>
    <row r="25">
      <c r="A25" s="25">
        <v>2.5120050023211E13</v>
      </c>
      <c r="B25" s="25" t="s">
        <v>256</v>
      </c>
      <c r="C25" s="25" t="s">
        <v>206</v>
      </c>
      <c r="D25" s="25" t="s">
        <v>211</v>
      </c>
      <c r="E25" s="25" t="s">
        <v>257</v>
      </c>
      <c r="F25" s="26">
        <v>3348.0</v>
      </c>
      <c r="G25" s="25" t="s">
        <v>50</v>
      </c>
      <c r="H25" s="27">
        <v>46122.08112166666</v>
      </c>
      <c r="I25" s="28"/>
    </row>
    <row r="26">
      <c r="A26" s="25">
        <v>2.4120050023261E13</v>
      </c>
      <c r="B26" s="25" t="s">
        <v>258</v>
      </c>
      <c r="C26" s="25" t="s">
        <v>206</v>
      </c>
      <c r="D26" s="25" t="s">
        <v>211</v>
      </c>
      <c r="E26" s="25" t="s">
        <v>259</v>
      </c>
      <c r="F26" s="26">
        <v>3348.0</v>
      </c>
      <c r="G26" s="25" t="s">
        <v>27</v>
      </c>
      <c r="H26" s="27">
        <v>46122.081121828705</v>
      </c>
      <c r="I26" s="28"/>
    </row>
    <row r="27">
      <c r="A27" s="25">
        <v>2.412005002326E13</v>
      </c>
      <c r="B27" s="25" t="s">
        <v>260</v>
      </c>
      <c r="C27" s="25" t="s">
        <v>206</v>
      </c>
      <c r="D27" s="25" t="s">
        <v>211</v>
      </c>
      <c r="E27" s="33"/>
      <c r="F27" s="26">
        <v>3348.0</v>
      </c>
      <c r="G27" s="25" t="s">
        <v>27</v>
      </c>
      <c r="H27" s="27">
        <v>46122.08112184028</v>
      </c>
      <c r="I27" s="28"/>
    </row>
    <row r="28">
      <c r="A28" s="29">
        <v>2.112005002356E13</v>
      </c>
      <c r="B28" s="29" t="s">
        <v>261</v>
      </c>
      <c r="C28" s="29" t="s">
        <v>206</v>
      </c>
      <c r="D28" s="29" t="s">
        <v>207</v>
      </c>
      <c r="E28" s="29" t="s">
        <v>204</v>
      </c>
      <c r="F28" s="30">
        <v>4098.0</v>
      </c>
      <c r="G28" s="29" t="s">
        <v>262</v>
      </c>
      <c r="H28" s="31">
        <v>46128.08103700231</v>
      </c>
      <c r="I28" s="32"/>
    </row>
    <row r="29">
      <c r="A29" s="25">
        <v>2.1120050023256E13</v>
      </c>
      <c r="B29" s="25" t="s">
        <v>263</v>
      </c>
      <c r="C29" s="25" t="s">
        <v>206</v>
      </c>
      <c r="D29" s="25" t="s">
        <v>211</v>
      </c>
      <c r="E29" s="25" t="s">
        <v>204</v>
      </c>
      <c r="F29" s="26">
        <v>3348.0</v>
      </c>
      <c r="G29" s="25" t="s">
        <v>50</v>
      </c>
      <c r="H29" s="27">
        <v>46122.081121875</v>
      </c>
      <c r="I29" s="28"/>
    </row>
    <row r="30">
      <c r="A30" s="25">
        <v>2.3120050023255E13</v>
      </c>
      <c r="B30" s="25" t="s">
        <v>264</v>
      </c>
      <c r="C30" s="25" t="s">
        <v>206</v>
      </c>
      <c r="D30" s="25" t="s">
        <v>211</v>
      </c>
      <c r="E30" s="25" t="s">
        <v>204</v>
      </c>
      <c r="F30" s="26">
        <v>2199.0</v>
      </c>
      <c r="G30" s="25" t="s">
        <v>220</v>
      </c>
      <c r="H30" s="27">
        <v>46122.08112188657</v>
      </c>
      <c r="I30" s="28"/>
    </row>
    <row r="31">
      <c r="A31" s="25">
        <v>2.8120050023299E13</v>
      </c>
      <c r="B31" s="25" t="s">
        <v>265</v>
      </c>
      <c r="C31" s="25" t="s">
        <v>206</v>
      </c>
      <c r="D31" s="25" t="s">
        <v>211</v>
      </c>
      <c r="E31" s="25" t="s">
        <v>204</v>
      </c>
      <c r="F31" s="26">
        <v>3348.0</v>
      </c>
      <c r="G31" s="25" t="s">
        <v>27</v>
      </c>
      <c r="H31" s="27">
        <v>46122.081121979165</v>
      </c>
      <c r="I31" s="28"/>
    </row>
    <row r="32">
      <c r="A32" s="25">
        <v>2.912005002325E13</v>
      </c>
      <c r="B32" s="25" t="s">
        <v>266</v>
      </c>
      <c r="C32" s="25" t="s">
        <v>206</v>
      </c>
      <c r="D32" s="25" t="s">
        <v>211</v>
      </c>
      <c r="E32" s="25" t="s">
        <v>204</v>
      </c>
      <c r="F32" s="26">
        <v>2199.0</v>
      </c>
      <c r="G32" s="25" t="s">
        <v>220</v>
      </c>
      <c r="H32" s="27">
        <v>46122.08112199074</v>
      </c>
      <c r="I32" s="28"/>
    </row>
    <row r="33">
      <c r="A33" s="25">
        <v>2.8120050023279E13</v>
      </c>
      <c r="B33" s="25" t="s">
        <v>267</v>
      </c>
      <c r="C33" s="25" t="s">
        <v>206</v>
      </c>
      <c r="D33" s="25" t="s">
        <v>211</v>
      </c>
      <c r="E33" s="25" t="s">
        <v>241</v>
      </c>
      <c r="F33" s="26">
        <v>3348.0</v>
      </c>
      <c r="G33" s="25" t="s">
        <v>27</v>
      </c>
      <c r="H33" s="27">
        <v>46122.08116739584</v>
      </c>
      <c r="I33" s="28"/>
    </row>
    <row r="34">
      <c r="A34" s="25">
        <v>2.1120050023247E13</v>
      </c>
      <c r="B34" s="25" t="s">
        <v>268</v>
      </c>
      <c r="C34" s="25" t="s">
        <v>206</v>
      </c>
      <c r="D34" s="25" t="s">
        <v>211</v>
      </c>
      <c r="E34" s="25" t="s">
        <v>204</v>
      </c>
      <c r="F34" s="26">
        <v>3348.0</v>
      </c>
      <c r="G34" s="25" t="s">
        <v>27</v>
      </c>
      <c r="H34" s="27">
        <v>46122.08116798611</v>
      </c>
      <c r="I34" s="28"/>
    </row>
    <row r="35">
      <c r="A35" s="25">
        <v>2.9120050023242E13</v>
      </c>
      <c r="B35" s="25" t="s">
        <v>269</v>
      </c>
      <c r="C35" s="25" t="s">
        <v>206</v>
      </c>
      <c r="D35" s="25" t="s">
        <v>211</v>
      </c>
      <c r="E35" s="25" t="s">
        <v>270</v>
      </c>
      <c r="F35" s="26">
        <v>3698.0</v>
      </c>
      <c r="G35" s="25" t="s">
        <v>271</v>
      </c>
      <c r="H35" s="27">
        <v>46122.08116804398</v>
      </c>
      <c r="I35" s="28"/>
    </row>
    <row r="36">
      <c r="A36" s="25">
        <v>1.73012419967E11</v>
      </c>
      <c r="B36" s="25" t="s">
        <v>272</v>
      </c>
      <c r="C36" s="25" t="s">
        <v>273</v>
      </c>
      <c r="D36" s="25" t="s">
        <v>203</v>
      </c>
      <c r="E36" s="25" t="s">
        <v>274</v>
      </c>
      <c r="F36" s="26">
        <v>3348.0</v>
      </c>
      <c r="G36" s="25" t="s">
        <v>275</v>
      </c>
      <c r="H36" s="27">
        <v>46126.08325471065</v>
      </c>
      <c r="I36" s="28"/>
    </row>
    <row r="37">
      <c r="A37" s="25">
        <v>2.7120050023293E13</v>
      </c>
      <c r="B37" s="25" t="s">
        <v>276</v>
      </c>
      <c r="C37" s="25" t="s">
        <v>206</v>
      </c>
      <c r="D37" s="25" t="s">
        <v>211</v>
      </c>
      <c r="E37" s="33"/>
      <c r="F37" s="26">
        <v>3348.0</v>
      </c>
      <c r="G37" s="25" t="s">
        <v>50</v>
      </c>
      <c r="H37" s="27">
        <v>46122.08116806713</v>
      </c>
      <c r="I37" s="28"/>
    </row>
    <row r="38">
      <c r="A38" s="25">
        <v>2.2120050023286E13</v>
      </c>
      <c r="B38" s="25" t="s">
        <v>277</v>
      </c>
      <c r="C38" s="25" t="s">
        <v>206</v>
      </c>
      <c r="D38" s="25" t="s">
        <v>211</v>
      </c>
      <c r="E38" s="25" t="s">
        <v>204</v>
      </c>
      <c r="F38" s="26">
        <v>3398.0</v>
      </c>
      <c r="G38" s="25" t="s">
        <v>27</v>
      </c>
      <c r="H38" s="27">
        <v>46122.08116810185</v>
      </c>
      <c r="I38" s="28"/>
    </row>
    <row r="39">
      <c r="A39" s="25">
        <v>2.012005002334E13</v>
      </c>
      <c r="B39" s="25" t="s">
        <v>278</v>
      </c>
      <c r="C39" s="25" t="s">
        <v>206</v>
      </c>
      <c r="D39" s="25" t="s">
        <v>211</v>
      </c>
      <c r="E39" s="25" t="s">
        <v>204</v>
      </c>
      <c r="F39" s="26">
        <v>3398.0</v>
      </c>
      <c r="G39" s="25" t="s">
        <v>50</v>
      </c>
      <c r="H39" s="27">
        <v>46122.081168310186</v>
      </c>
      <c r="I39" s="28"/>
    </row>
    <row r="40">
      <c r="A40" s="25">
        <v>2.3120050023339E13</v>
      </c>
      <c r="B40" s="25" t="s">
        <v>279</v>
      </c>
      <c r="C40" s="25" t="s">
        <v>206</v>
      </c>
      <c r="D40" s="25" t="s">
        <v>211</v>
      </c>
      <c r="E40" s="25" t="s">
        <v>204</v>
      </c>
      <c r="F40" s="26">
        <v>4199.0</v>
      </c>
      <c r="G40" s="25" t="s">
        <v>280</v>
      </c>
      <c r="H40" s="27">
        <v>46122.08116832176</v>
      </c>
      <c r="I40" s="28"/>
    </row>
    <row r="41">
      <c r="A41" s="25">
        <v>2.3120050023336E13</v>
      </c>
      <c r="B41" s="25" t="s">
        <v>281</v>
      </c>
      <c r="C41" s="25" t="s">
        <v>206</v>
      </c>
      <c r="D41" s="25" t="s">
        <v>211</v>
      </c>
      <c r="E41" s="25" t="s">
        <v>204</v>
      </c>
      <c r="F41" s="26">
        <v>3398.0</v>
      </c>
      <c r="G41" s="25" t="s">
        <v>27</v>
      </c>
      <c r="H41" s="27">
        <v>46122.081168379635</v>
      </c>
      <c r="I41" s="28"/>
    </row>
    <row r="42">
      <c r="A42" s="25">
        <v>2.1120050023335E13</v>
      </c>
      <c r="B42" s="25" t="s">
        <v>282</v>
      </c>
      <c r="C42" s="25" t="s">
        <v>206</v>
      </c>
      <c r="D42" s="25" t="s">
        <v>211</v>
      </c>
      <c r="E42" s="25" t="s">
        <v>204</v>
      </c>
      <c r="F42" s="26">
        <v>3398.0</v>
      </c>
      <c r="G42" s="25" t="s">
        <v>27</v>
      </c>
      <c r="H42" s="27">
        <v>46122.081168599536</v>
      </c>
      <c r="I42" s="28"/>
    </row>
    <row r="43">
      <c r="A43" s="25">
        <v>2.1120050023332E13</v>
      </c>
      <c r="B43" s="25" t="s">
        <v>283</v>
      </c>
      <c r="C43" s="25" t="s">
        <v>206</v>
      </c>
      <c r="D43" s="25" t="s">
        <v>211</v>
      </c>
      <c r="E43" s="25" t="s">
        <v>204</v>
      </c>
      <c r="F43" s="26">
        <v>3398.0</v>
      </c>
      <c r="G43" s="25" t="s">
        <v>50</v>
      </c>
      <c r="H43" s="27">
        <v>46122.08116862268</v>
      </c>
      <c r="I43" s="28"/>
    </row>
    <row r="44">
      <c r="A44" s="25">
        <v>2.1120050023331E13</v>
      </c>
      <c r="B44" s="25" t="s">
        <v>284</v>
      </c>
      <c r="C44" s="25" t="s">
        <v>206</v>
      </c>
      <c r="D44" s="25" t="s">
        <v>211</v>
      </c>
      <c r="E44" s="25" t="s">
        <v>285</v>
      </c>
      <c r="F44" s="26">
        <v>3398.0</v>
      </c>
      <c r="G44" s="25" t="s">
        <v>27</v>
      </c>
      <c r="H44" s="27">
        <v>46122.08116864583</v>
      </c>
      <c r="I44" s="28"/>
    </row>
    <row r="45">
      <c r="A45" s="25">
        <v>2.6120050023328E13</v>
      </c>
      <c r="B45" s="25" t="s">
        <v>286</v>
      </c>
      <c r="C45" s="25" t="s">
        <v>206</v>
      </c>
      <c r="D45" s="25" t="s">
        <v>211</v>
      </c>
      <c r="E45" s="25" t="s">
        <v>223</v>
      </c>
      <c r="F45" s="26">
        <v>3398.0</v>
      </c>
      <c r="G45" s="25" t="s">
        <v>27</v>
      </c>
      <c r="H45" s="27">
        <v>46122.08116886574</v>
      </c>
      <c r="I45" s="28"/>
    </row>
    <row r="46">
      <c r="A46" s="25">
        <v>2.1120050023323E13</v>
      </c>
      <c r="B46" s="25" t="s">
        <v>287</v>
      </c>
      <c r="C46" s="25" t="s">
        <v>206</v>
      </c>
      <c r="D46" s="25" t="s">
        <v>211</v>
      </c>
      <c r="E46" s="25" t="s">
        <v>204</v>
      </c>
      <c r="F46" s="26">
        <v>3398.0</v>
      </c>
      <c r="G46" s="25" t="s">
        <v>27</v>
      </c>
      <c r="H46" s="27">
        <v>46122.08116916667</v>
      </c>
      <c r="I46" s="28"/>
    </row>
    <row r="47">
      <c r="A47" s="25">
        <v>2.112005002332E13</v>
      </c>
      <c r="B47" s="25" t="s">
        <v>288</v>
      </c>
      <c r="C47" s="25" t="s">
        <v>206</v>
      </c>
      <c r="D47" s="25" t="s">
        <v>211</v>
      </c>
      <c r="E47" s="25" t="s">
        <v>204</v>
      </c>
      <c r="F47" s="26">
        <v>2249.0</v>
      </c>
      <c r="G47" s="25" t="s">
        <v>243</v>
      </c>
      <c r="H47" s="27">
        <v>46122.081169212965</v>
      </c>
      <c r="I47" s="28"/>
    </row>
    <row r="48">
      <c r="A48" s="25">
        <v>2.1120050023313E13</v>
      </c>
      <c r="B48" s="25" t="s">
        <v>289</v>
      </c>
      <c r="C48" s="25" t="s">
        <v>206</v>
      </c>
      <c r="D48" s="25" t="s">
        <v>211</v>
      </c>
      <c r="E48" s="25" t="s">
        <v>290</v>
      </c>
      <c r="F48" s="26">
        <v>5049.0</v>
      </c>
      <c r="G48" s="25" t="s">
        <v>291</v>
      </c>
      <c r="H48" s="27">
        <v>46122.08116931713</v>
      </c>
      <c r="I48" s="28"/>
    </row>
    <row r="49">
      <c r="A49" s="25">
        <v>2.0120050023309E13</v>
      </c>
      <c r="B49" s="25" t="s">
        <v>292</v>
      </c>
      <c r="C49" s="25" t="s">
        <v>206</v>
      </c>
      <c r="D49" s="25" t="s">
        <v>211</v>
      </c>
      <c r="E49" s="25" t="s">
        <v>204</v>
      </c>
      <c r="F49" s="26">
        <v>3398.0</v>
      </c>
      <c r="G49" s="25" t="s">
        <v>27</v>
      </c>
      <c r="H49" s="27">
        <v>46122.08125361111</v>
      </c>
      <c r="I49" s="28"/>
    </row>
    <row r="50">
      <c r="A50" s="29" t="s">
        <v>293</v>
      </c>
      <c r="B50" s="29" t="s">
        <v>294</v>
      </c>
      <c r="C50" s="29" t="s">
        <v>215</v>
      </c>
      <c r="D50" s="29" t="s">
        <v>207</v>
      </c>
      <c r="E50" s="29" t="s">
        <v>295</v>
      </c>
      <c r="F50" s="30">
        <v>3398.0</v>
      </c>
      <c r="G50" s="29" t="s">
        <v>296</v>
      </c>
      <c r="H50" s="31">
        <v>46128.08280476852</v>
      </c>
      <c r="I50" s="32"/>
    </row>
    <row r="51">
      <c r="A51" s="25">
        <v>2.6120050023381E13</v>
      </c>
      <c r="B51" s="25" t="s">
        <v>297</v>
      </c>
      <c r="C51" s="25" t="s">
        <v>206</v>
      </c>
      <c r="D51" s="25" t="s">
        <v>236</v>
      </c>
      <c r="E51" s="25" t="s">
        <v>298</v>
      </c>
      <c r="F51" s="26">
        <v>6198.0</v>
      </c>
      <c r="G51" s="25" t="s">
        <v>299</v>
      </c>
      <c r="H51" s="27">
        <v>46121.08115384259</v>
      </c>
      <c r="I51" s="28"/>
    </row>
    <row r="52">
      <c r="A52" s="29">
        <v>2.3120050023496E13</v>
      </c>
      <c r="B52" s="29" t="s">
        <v>300</v>
      </c>
      <c r="C52" s="29" t="s">
        <v>206</v>
      </c>
      <c r="D52" s="29" t="s">
        <v>207</v>
      </c>
      <c r="E52" s="29" t="s">
        <v>204</v>
      </c>
      <c r="F52" s="30">
        <v>1499.0</v>
      </c>
      <c r="G52" s="29" t="s">
        <v>301</v>
      </c>
      <c r="H52" s="31">
        <v>46128.08108905093</v>
      </c>
      <c r="I52" s="32"/>
    </row>
    <row r="53">
      <c r="A53" s="25">
        <v>2.912005002336E13</v>
      </c>
      <c r="B53" s="25" t="s">
        <v>302</v>
      </c>
      <c r="C53" s="25" t="s">
        <v>206</v>
      </c>
      <c r="D53" s="25" t="s">
        <v>211</v>
      </c>
      <c r="E53" s="25" t="s">
        <v>204</v>
      </c>
      <c r="F53" s="26">
        <v>2249.0</v>
      </c>
      <c r="G53" s="25" t="s">
        <v>243</v>
      </c>
      <c r="H53" s="27">
        <v>46122.08125478009</v>
      </c>
      <c r="I53" s="28"/>
    </row>
    <row r="54">
      <c r="A54" s="25">
        <v>2.3120050023355E13</v>
      </c>
      <c r="B54" s="25" t="s">
        <v>303</v>
      </c>
      <c r="C54" s="25" t="s">
        <v>206</v>
      </c>
      <c r="D54" s="25" t="s">
        <v>211</v>
      </c>
      <c r="E54" s="25" t="s">
        <v>204</v>
      </c>
      <c r="F54" s="26">
        <v>3297.0</v>
      </c>
      <c r="G54" s="25" t="s">
        <v>304</v>
      </c>
      <c r="H54" s="27">
        <v>46122.08125483796</v>
      </c>
      <c r="I54" s="28"/>
    </row>
    <row r="55">
      <c r="A55" s="25">
        <v>2.4120050023352E13</v>
      </c>
      <c r="B55" s="25" t="s">
        <v>305</v>
      </c>
      <c r="C55" s="25" t="s">
        <v>206</v>
      </c>
      <c r="D55" s="25" t="s">
        <v>211</v>
      </c>
      <c r="E55" s="25" t="s">
        <v>204</v>
      </c>
      <c r="F55" s="26">
        <v>1798.0</v>
      </c>
      <c r="G55" s="25" t="s">
        <v>301</v>
      </c>
      <c r="H55" s="27">
        <v>46122.0812549074</v>
      </c>
      <c r="I55" s="28"/>
    </row>
    <row r="56">
      <c r="A56" s="25">
        <v>2.9120050023359E13</v>
      </c>
      <c r="B56" s="25" t="s">
        <v>306</v>
      </c>
      <c r="C56" s="25" t="s">
        <v>206</v>
      </c>
      <c r="D56" s="25" t="s">
        <v>211</v>
      </c>
      <c r="E56" s="25" t="s">
        <v>204</v>
      </c>
      <c r="F56" s="26">
        <v>1798.0</v>
      </c>
      <c r="G56" s="25" t="s">
        <v>307</v>
      </c>
      <c r="H56" s="27">
        <v>46122.08125513889</v>
      </c>
      <c r="I56" s="28"/>
    </row>
    <row r="57">
      <c r="A57" s="25">
        <v>2.1120050023394E13</v>
      </c>
      <c r="B57" s="25" t="s">
        <v>308</v>
      </c>
      <c r="C57" s="25" t="s">
        <v>206</v>
      </c>
      <c r="D57" s="25" t="s">
        <v>211</v>
      </c>
      <c r="E57" s="25" t="s">
        <v>241</v>
      </c>
      <c r="F57" s="26">
        <v>6298.0</v>
      </c>
      <c r="G57" s="25" t="s">
        <v>309</v>
      </c>
      <c r="H57" s="27">
        <v>46122.08125559028</v>
      </c>
      <c r="I57" s="28"/>
    </row>
    <row r="58">
      <c r="A58" s="29" t="s">
        <v>310</v>
      </c>
      <c r="B58" s="29" t="s">
        <v>311</v>
      </c>
      <c r="C58" s="29" t="s">
        <v>273</v>
      </c>
      <c r="D58" s="29" t="s">
        <v>207</v>
      </c>
      <c r="E58" s="29" t="s">
        <v>204</v>
      </c>
      <c r="F58" s="30">
        <v>3149.0</v>
      </c>
      <c r="G58" s="29" t="s">
        <v>35</v>
      </c>
      <c r="H58" s="31">
        <v>46128.08291028935</v>
      </c>
      <c r="I58" s="32"/>
    </row>
    <row r="59">
      <c r="A59" s="25">
        <v>2.0120050023389E13</v>
      </c>
      <c r="B59" s="25" t="s">
        <v>312</v>
      </c>
      <c r="C59" s="25" t="s">
        <v>206</v>
      </c>
      <c r="D59" s="25" t="s">
        <v>211</v>
      </c>
      <c r="E59" s="25" t="s">
        <v>204</v>
      </c>
      <c r="F59" s="26">
        <v>5496.0</v>
      </c>
      <c r="G59" s="25" t="s">
        <v>313</v>
      </c>
      <c r="H59" s="27">
        <v>46122.08125609954</v>
      </c>
      <c r="I59" s="28"/>
    </row>
    <row r="60">
      <c r="A60" s="29">
        <v>2.4120050023613E13</v>
      </c>
      <c r="B60" s="29" t="s">
        <v>314</v>
      </c>
      <c r="C60" s="29" t="s">
        <v>226</v>
      </c>
      <c r="D60" s="29" t="s">
        <v>216</v>
      </c>
      <c r="E60" s="29" t="s">
        <v>315</v>
      </c>
      <c r="F60" s="30">
        <v>2997.0</v>
      </c>
      <c r="G60" s="29" t="s">
        <v>316</v>
      </c>
      <c r="H60" s="31">
        <v>46129.081088148145</v>
      </c>
      <c r="I60" s="32"/>
    </row>
    <row r="61">
      <c r="A61" s="29">
        <v>2.3120050023564E13</v>
      </c>
      <c r="B61" s="29" t="s">
        <v>317</v>
      </c>
      <c r="C61" s="29" t="s">
        <v>202</v>
      </c>
      <c r="D61" s="29" t="s">
        <v>216</v>
      </c>
      <c r="E61" s="29" t="s">
        <v>318</v>
      </c>
      <c r="F61" s="30">
        <v>3399.0</v>
      </c>
      <c r="G61" s="29" t="s">
        <v>228</v>
      </c>
      <c r="H61" s="31">
        <v>46129.08108837963</v>
      </c>
      <c r="I61" s="32"/>
    </row>
    <row r="62">
      <c r="A62" s="25">
        <v>2.7120050023494E13</v>
      </c>
      <c r="B62" s="25" t="s">
        <v>319</v>
      </c>
      <c r="C62" s="25" t="s">
        <v>202</v>
      </c>
      <c r="D62" s="25" t="s">
        <v>320</v>
      </c>
      <c r="E62" s="25" t="s">
        <v>204</v>
      </c>
      <c r="F62" s="26">
        <v>3999.0</v>
      </c>
      <c r="G62" s="25" t="s">
        <v>16</v>
      </c>
      <c r="H62" s="27">
        <v>46127.08113208333</v>
      </c>
      <c r="I62" s="28"/>
    </row>
    <row r="63">
      <c r="A63" s="29">
        <v>2.6120050023516E13</v>
      </c>
      <c r="B63" s="29" t="s">
        <v>263</v>
      </c>
      <c r="C63" s="29" t="s">
        <v>202</v>
      </c>
      <c r="D63" s="29" t="s">
        <v>216</v>
      </c>
      <c r="E63" s="29" t="s">
        <v>315</v>
      </c>
      <c r="F63" s="30">
        <v>3149.0</v>
      </c>
      <c r="G63" s="29" t="s">
        <v>321</v>
      </c>
      <c r="H63" s="31">
        <v>46129.08108984954</v>
      </c>
      <c r="I63" s="32"/>
    </row>
    <row r="64">
      <c r="A64" s="29">
        <v>2.31200500235E13</v>
      </c>
      <c r="B64" s="29" t="s">
        <v>322</v>
      </c>
      <c r="C64" s="29" t="s">
        <v>206</v>
      </c>
      <c r="D64" s="29" t="s">
        <v>207</v>
      </c>
      <c r="E64" s="29" t="s">
        <v>204</v>
      </c>
      <c r="F64" s="30">
        <v>2797.0</v>
      </c>
      <c r="G64" s="29" t="s">
        <v>323</v>
      </c>
      <c r="H64" s="31">
        <v>46128.08109233796</v>
      </c>
      <c r="I64" s="32"/>
    </row>
    <row r="65">
      <c r="A65" s="29">
        <v>2.7120050023546E13</v>
      </c>
      <c r="B65" s="29" t="s">
        <v>324</v>
      </c>
      <c r="C65" s="29" t="s">
        <v>202</v>
      </c>
      <c r="D65" s="29" t="s">
        <v>216</v>
      </c>
      <c r="E65" s="29" t="s">
        <v>325</v>
      </c>
      <c r="F65" s="30">
        <v>2098.0</v>
      </c>
      <c r="G65" s="29" t="s">
        <v>326</v>
      </c>
      <c r="H65" s="31">
        <v>46129.08114527778</v>
      </c>
      <c r="I65" s="32"/>
    </row>
    <row r="66">
      <c r="A66" s="29">
        <v>2.9120050023575E13</v>
      </c>
      <c r="B66" s="29" t="s">
        <v>327</v>
      </c>
      <c r="C66" s="29" t="s">
        <v>202</v>
      </c>
      <c r="D66" s="29" t="s">
        <v>216</v>
      </c>
      <c r="E66" s="29" t="s">
        <v>241</v>
      </c>
      <c r="F66" s="30">
        <v>2797.0</v>
      </c>
      <c r="G66" s="29" t="s">
        <v>328</v>
      </c>
      <c r="H66" s="31">
        <v>46129.08114552083</v>
      </c>
      <c r="I66" s="32"/>
    </row>
    <row r="67">
      <c r="A67" s="29">
        <v>2.8120050023578E13</v>
      </c>
      <c r="B67" s="29" t="s">
        <v>329</v>
      </c>
      <c r="C67" s="29" t="s">
        <v>202</v>
      </c>
      <c r="D67" s="29" t="s">
        <v>216</v>
      </c>
      <c r="E67" s="29" t="s">
        <v>330</v>
      </c>
      <c r="F67" s="30">
        <v>3899.0</v>
      </c>
      <c r="G67" s="29" t="s">
        <v>331</v>
      </c>
      <c r="H67" s="31">
        <v>46129.08114864583</v>
      </c>
      <c r="I67" s="32"/>
    </row>
    <row r="68">
      <c r="A68" s="25" t="s">
        <v>332</v>
      </c>
      <c r="B68" s="25" t="s">
        <v>333</v>
      </c>
      <c r="C68" s="25" t="s">
        <v>334</v>
      </c>
      <c r="D68" s="25" t="s">
        <v>320</v>
      </c>
      <c r="E68" s="25" t="s">
        <v>335</v>
      </c>
      <c r="F68" s="26">
        <v>2700.0</v>
      </c>
      <c r="G68" s="25" t="s">
        <v>336</v>
      </c>
      <c r="H68" s="27">
        <v>46127.0811841088</v>
      </c>
      <c r="I68" s="28"/>
    </row>
    <row r="69">
      <c r="A69" s="34"/>
      <c r="B69" s="34"/>
      <c r="C69" s="34"/>
      <c r="D69" s="34"/>
      <c r="E69" s="34"/>
      <c r="G69" s="34"/>
      <c r="H69" s="35"/>
      <c r="I69" s="6"/>
    </row>
    <row r="70">
      <c r="A70" s="34"/>
      <c r="B70" s="34"/>
      <c r="C70" s="34"/>
      <c r="D70" s="34"/>
      <c r="E70" s="34"/>
      <c r="G70" s="34"/>
      <c r="H70" s="35"/>
      <c r="I70" s="6"/>
    </row>
    <row r="71">
      <c r="A71" s="34"/>
      <c r="B71" s="34"/>
      <c r="C71" s="34"/>
      <c r="D71" s="34"/>
      <c r="E71" s="34"/>
      <c r="G71" s="34"/>
      <c r="H71" s="35"/>
      <c r="I71" s="6"/>
    </row>
    <row r="72">
      <c r="A72" s="34"/>
      <c r="B72" s="34"/>
      <c r="C72" s="34"/>
      <c r="D72" s="34"/>
      <c r="E72" s="34"/>
      <c r="G72" s="34"/>
      <c r="H72" s="35"/>
      <c r="I72" s="6"/>
    </row>
    <row r="73">
      <c r="A73" s="34"/>
      <c r="B73" s="34"/>
      <c r="C73" s="34"/>
      <c r="D73" s="34"/>
      <c r="E73" s="34"/>
      <c r="G73" s="34"/>
      <c r="H73" s="35"/>
      <c r="I73" s="6"/>
    </row>
    <row r="74">
      <c r="A74" s="34"/>
      <c r="B74" s="34"/>
      <c r="C74" s="34"/>
      <c r="D74" s="34"/>
      <c r="E74" s="34"/>
      <c r="G74" s="34"/>
      <c r="H74" s="35"/>
      <c r="I74" s="6"/>
    </row>
    <row r="75">
      <c r="A75" s="34"/>
      <c r="B75" s="34"/>
      <c r="C75" s="34"/>
      <c r="D75" s="34"/>
      <c r="E75" s="34"/>
      <c r="G75" s="34"/>
      <c r="H75" s="35"/>
      <c r="I75" s="6"/>
    </row>
    <row r="76">
      <c r="A76" s="34"/>
      <c r="B76" s="34"/>
      <c r="C76" s="34"/>
      <c r="D76" s="34"/>
      <c r="E76" s="34"/>
      <c r="G76" s="34"/>
      <c r="H76" s="35"/>
      <c r="I76" s="6"/>
    </row>
    <row r="77">
      <c r="A77" s="34"/>
      <c r="B77" s="34"/>
      <c r="C77" s="34"/>
      <c r="D77" s="34"/>
      <c r="E77" s="34"/>
      <c r="G77" s="34"/>
      <c r="H77" s="35"/>
      <c r="I77" s="6"/>
    </row>
    <row r="78">
      <c r="A78" s="34"/>
      <c r="B78" s="34"/>
      <c r="C78" s="34"/>
      <c r="D78" s="34"/>
      <c r="E78" s="34"/>
      <c r="G78" s="34"/>
      <c r="H78" s="35"/>
      <c r="I78" s="6"/>
    </row>
    <row r="79">
      <c r="A79" s="34"/>
      <c r="B79" s="34"/>
      <c r="C79" s="34"/>
      <c r="D79" s="34"/>
      <c r="E79" s="34"/>
      <c r="G79" s="34"/>
      <c r="H79" s="35"/>
      <c r="I79" s="6"/>
    </row>
    <row r="80">
      <c r="A80" s="34"/>
      <c r="B80" s="34"/>
      <c r="C80" s="34"/>
      <c r="D80" s="34"/>
      <c r="E80" s="34"/>
      <c r="G80" s="34"/>
      <c r="H80" s="35"/>
      <c r="I80" s="6"/>
    </row>
    <row r="81">
      <c r="A81" s="34"/>
      <c r="B81" s="34"/>
      <c r="C81" s="34"/>
      <c r="D81" s="34"/>
      <c r="E81" s="34"/>
      <c r="G81" s="34"/>
      <c r="H81" s="35"/>
      <c r="I81" s="6"/>
    </row>
    <row r="82">
      <c r="A82" s="34"/>
      <c r="B82" s="34"/>
      <c r="C82" s="34"/>
      <c r="D82" s="34"/>
      <c r="E82" s="34"/>
      <c r="G82" s="34"/>
      <c r="H82" s="35"/>
      <c r="I82" s="6"/>
    </row>
    <row r="83">
      <c r="A83" s="34"/>
      <c r="B83" s="34"/>
      <c r="C83" s="34"/>
      <c r="D83" s="34"/>
      <c r="E83" s="34"/>
      <c r="G83" s="34"/>
      <c r="H83" s="35"/>
      <c r="I83" s="6"/>
    </row>
    <row r="84">
      <c r="A84" s="34"/>
      <c r="B84" s="34"/>
      <c r="C84" s="34"/>
      <c r="D84" s="34"/>
      <c r="E84" s="34"/>
      <c r="G84" s="34"/>
      <c r="H84" s="35"/>
      <c r="I84" s="6"/>
    </row>
    <row r="85">
      <c r="A85" s="34"/>
      <c r="B85" s="34"/>
      <c r="C85" s="34"/>
      <c r="D85" s="34"/>
      <c r="E85" s="34"/>
      <c r="G85" s="34"/>
      <c r="H85" s="35"/>
      <c r="I85" s="6"/>
    </row>
    <row r="86">
      <c r="A86" s="34"/>
      <c r="B86" s="34"/>
      <c r="C86" s="34"/>
      <c r="D86" s="34"/>
      <c r="E86" s="34"/>
      <c r="G86" s="34"/>
      <c r="H86" s="35"/>
      <c r="I86" s="6"/>
    </row>
    <row r="87">
      <c r="A87" s="34"/>
      <c r="B87" s="34"/>
      <c r="C87" s="34"/>
      <c r="D87" s="34"/>
      <c r="E87" s="34"/>
      <c r="G87" s="34"/>
      <c r="H87" s="35"/>
      <c r="I87" s="6"/>
    </row>
    <row r="88">
      <c r="A88" s="34"/>
      <c r="B88" s="34"/>
      <c r="C88" s="34"/>
      <c r="D88" s="34"/>
      <c r="E88" s="34"/>
      <c r="G88" s="34"/>
      <c r="H88" s="35"/>
      <c r="I88" s="6"/>
    </row>
    <row r="89">
      <c r="A89" s="34"/>
      <c r="B89" s="34"/>
      <c r="C89" s="34"/>
      <c r="D89" s="34"/>
      <c r="E89" s="34"/>
      <c r="G89" s="34"/>
      <c r="H89" s="35"/>
      <c r="I89" s="6"/>
    </row>
    <row r="90">
      <c r="A90" s="34"/>
      <c r="B90" s="34"/>
      <c r="C90" s="34"/>
      <c r="D90" s="34"/>
      <c r="E90" s="34"/>
      <c r="G90" s="34"/>
      <c r="H90" s="35"/>
      <c r="I90" s="6"/>
    </row>
    <row r="91">
      <c r="A91" s="34"/>
      <c r="B91" s="34"/>
      <c r="C91" s="34"/>
      <c r="D91" s="34"/>
      <c r="E91" s="34"/>
      <c r="G91" s="34"/>
      <c r="H91" s="35"/>
      <c r="I91" s="6"/>
    </row>
    <row r="92">
      <c r="A92" s="34"/>
      <c r="B92" s="34"/>
      <c r="C92" s="34"/>
      <c r="D92" s="34"/>
      <c r="E92" s="34"/>
      <c r="G92" s="34"/>
      <c r="H92" s="35"/>
      <c r="I92" s="6"/>
    </row>
    <row r="93">
      <c r="A93" s="34"/>
      <c r="B93" s="34"/>
      <c r="C93" s="34"/>
      <c r="D93" s="34"/>
      <c r="E93" s="34"/>
      <c r="G93" s="34"/>
      <c r="H93" s="35"/>
      <c r="I93" s="6"/>
    </row>
    <row r="94">
      <c r="A94" s="34"/>
      <c r="B94" s="34"/>
      <c r="C94" s="34"/>
      <c r="D94" s="34"/>
      <c r="E94" s="34"/>
      <c r="G94" s="34"/>
      <c r="H94" s="35"/>
      <c r="I94" s="6"/>
    </row>
    <row r="95">
      <c r="A95" s="34"/>
      <c r="B95" s="34"/>
      <c r="C95" s="34"/>
      <c r="D95" s="34"/>
      <c r="E95" s="34"/>
      <c r="G95" s="34"/>
      <c r="H95" s="35"/>
      <c r="I95" s="6"/>
    </row>
    <row r="96">
      <c r="A96" s="34"/>
      <c r="B96" s="34"/>
      <c r="C96" s="34"/>
      <c r="D96" s="34"/>
      <c r="E96" s="34"/>
      <c r="G96" s="34"/>
      <c r="H96" s="35"/>
      <c r="I96" s="6"/>
    </row>
    <row r="97">
      <c r="A97" s="34"/>
      <c r="B97" s="34"/>
      <c r="C97" s="34"/>
      <c r="D97" s="34"/>
      <c r="E97" s="34"/>
      <c r="G97" s="34"/>
      <c r="H97" s="35"/>
      <c r="I97" s="6"/>
    </row>
    <row r="98">
      <c r="A98" s="34"/>
      <c r="B98" s="34"/>
      <c r="C98" s="34"/>
      <c r="D98" s="34"/>
      <c r="E98" s="34"/>
      <c r="G98" s="34"/>
      <c r="H98" s="35"/>
      <c r="I98" s="6"/>
    </row>
    <row r="99">
      <c r="A99" s="34"/>
      <c r="B99" s="34"/>
      <c r="C99" s="34"/>
      <c r="D99" s="34"/>
      <c r="E99" s="34"/>
      <c r="G99" s="34"/>
      <c r="H99" s="35"/>
      <c r="I99" s="6"/>
    </row>
    <row r="100">
      <c r="A100" s="34"/>
      <c r="B100" s="34"/>
      <c r="C100" s="34"/>
      <c r="D100" s="34"/>
      <c r="E100" s="34"/>
      <c r="G100" s="34"/>
      <c r="H100" s="35"/>
      <c r="I100" s="6"/>
    </row>
    <row r="101">
      <c r="A101" s="34"/>
      <c r="B101" s="34"/>
      <c r="C101" s="34"/>
      <c r="D101" s="34"/>
      <c r="E101" s="34"/>
      <c r="G101" s="34"/>
      <c r="H101" s="35"/>
      <c r="I101" s="6"/>
    </row>
    <row r="102">
      <c r="A102" s="34"/>
      <c r="B102" s="34"/>
      <c r="C102" s="34"/>
      <c r="D102" s="34"/>
      <c r="E102" s="34"/>
      <c r="G102" s="34"/>
      <c r="H102" s="35"/>
      <c r="I102" s="6"/>
    </row>
    <row r="103">
      <c r="A103" s="34"/>
      <c r="B103" s="34"/>
      <c r="C103" s="34"/>
      <c r="D103" s="34"/>
      <c r="E103" s="34"/>
      <c r="G103" s="34"/>
      <c r="H103" s="35"/>
      <c r="I103" s="6"/>
    </row>
    <row r="104">
      <c r="A104" s="34"/>
      <c r="B104" s="34"/>
      <c r="C104" s="34"/>
      <c r="D104" s="34"/>
      <c r="E104" s="34"/>
      <c r="G104" s="34"/>
      <c r="H104" s="35"/>
      <c r="I104" s="6"/>
    </row>
    <row r="105">
      <c r="A105" s="34"/>
      <c r="B105" s="34"/>
      <c r="C105" s="34"/>
      <c r="D105" s="34"/>
      <c r="E105" s="34"/>
      <c r="G105" s="34"/>
      <c r="H105" s="35"/>
      <c r="I105" s="6"/>
    </row>
    <row r="106">
      <c r="A106" s="34"/>
      <c r="B106" s="34"/>
      <c r="C106" s="34"/>
      <c r="D106" s="34"/>
      <c r="E106" s="34"/>
      <c r="G106" s="34"/>
      <c r="H106" s="35"/>
      <c r="I106" s="6"/>
    </row>
    <row r="107">
      <c r="A107" s="34"/>
      <c r="B107" s="34"/>
      <c r="C107" s="34"/>
      <c r="D107" s="34"/>
      <c r="E107" s="34"/>
      <c r="G107" s="34"/>
      <c r="H107" s="35"/>
      <c r="I107" s="6"/>
    </row>
    <row r="108">
      <c r="A108" s="34"/>
      <c r="B108" s="34"/>
      <c r="C108" s="34"/>
      <c r="D108" s="34"/>
      <c r="E108" s="34"/>
      <c r="G108" s="34"/>
      <c r="H108" s="35"/>
      <c r="I108" s="6"/>
    </row>
    <row r="109">
      <c r="A109" s="34"/>
      <c r="B109" s="34"/>
      <c r="C109" s="34"/>
      <c r="D109" s="34"/>
      <c r="E109" s="34"/>
      <c r="G109" s="34"/>
      <c r="H109" s="35"/>
      <c r="I109" s="6"/>
    </row>
    <row r="110">
      <c r="A110" s="34"/>
      <c r="B110" s="34"/>
      <c r="C110" s="34"/>
      <c r="D110" s="34"/>
      <c r="E110" s="34"/>
      <c r="G110" s="34"/>
      <c r="H110" s="35"/>
      <c r="I110" s="6"/>
    </row>
    <row r="111">
      <c r="A111" s="34"/>
      <c r="B111" s="34"/>
      <c r="C111" s="34"/>
      <c r="D111" s="34"/>
      <c r="E111" s="34"/>
      <c r="G111" s="34"/>
      <c r="H111" s="35"/>
      <c r="I111" s="6"/>
    </row>
    <row r="112">
      <c r="A112" s="34"/>
      <c r="B112" s="34"/>
      <c r="C112" s="34"/>
      <c r="D112" s="34"/>
      <c r="E112" s="34"/>
      <c r="G112" s="34"/>
      <c r="H112" s="35"/>
      <c r="I112" s="6"/>
    </row>
    <row r="113">
      <c r="A113" s="34"/>
      <c r="B113" s="34"/>
      <c r="C113" s="34"/>
      <c r="D113" s="34"/>
      <c r="E113" s="34"/>
      <c r="G113" s="34"/>
      <c r="H113" s="35"/>
      <c r="I113" s="6"/>
    </row>
    <row r="114">
      <c r="A114" s="34"/>
      <c r="B114" s="34"/>
      <c r="C114" s="34"/>
      <c r="D114" s="34"/>
      <c r="E114" s="34"/>
      <c r="G114" s="34"/>
      <c r="H114" s="35"/>
      <c r="I114" s="6"/>
    </row>
    <row r="115">
      <c r="A115" s="34"/>
      <c r="B115" s="34"/>
      <c r="C115" s="34"/>
      <c r="D115" s="34"/>
      <c r="E115" s="34"/>
      <c r="G115" s="34"/>
      <c r="H115" s="35"/>
      <c r="I115" s="6"/>
    </row>
    <row r="116">
      <c r="A116" s="34"/>
      <c r="B116" s="34"/>
      <c r="C116" s="34"/>
      <c r="D116" s="34"/>
      <c r="E116" s="34"/>
      <c r="G116" s="34"/>
      <c r="H116" s="35"/>
      <c r="I116" s="6"/>
    </row>
    <row r="117">
      <c r="A117" s="34"/>
      <c r="B117" s="34"/>
      <c r="C117" s="34"/>
      <c r="D117" s="34"/>
      <c r="E117" s="34"/>
      <c r="G117" s="34"/>
      <c r="H117" s="35"/>
      <c r="I117" s="6"/>
    </row>
    <row r="118">
      <c r="A118" s="34"/>
      <c r="B118" s="34"/>
      <c r="C118" s="34"/>
      <c r="D118" s="34"/>
      <c r="E118" s="34"/>
      <c r="G118" s="34"/>
      <c r="H118" s="35"/>
      <c r="I118" s="6"/>
    </row>
    <row r="119">
      <c r="A119" s="34"/>
      <c r="B119" s="34"/>
      <c r="C119" s="34"/>
      <c r="D119" s="34"/>
      <c r="E119" s="34"/>
      <c r="G119" s="34"/>
      <c r="H119" s="35"/>
      <c r="I119" s="6"/>
    </row>
    <row r="120">
      <c r="A120" s="34"/>
      <c r="B120" s="34"/>
      <c r="C120" s="34"/>
      <c r="D120" s="34"/>
      <c r="E120" s="34"/>
      <c r="G120" s="34"/>
      <c r="H120" s="35"/>
      <c r="I120" s="6"/>
    </row>
    <row r="121">
      <c r="A121" s="34"/>
      <c r="B121" s="34"/>
      <c r="C121" s="34"/>
      <c r="D121" s="34"/>
      <c r="E121" s="34"/>
      <c r="G121" s="34"/>
      <c r="H121" s="35"/>
      <c r="I121" s="6"/>
    </row>
    <row r="122">
      <c r="A122" s="34"/>
      <c r="B122" s="34"/>
      <c r="C122" s="34"/>
      <c r="D122" s="34"/>
      <c r="E122" s="34"/>
      <c r="G122" s="34"/>
      <c r="H122" s="35"/>
      <c r="I122" s="6"/>
    </row>
    <row r="123">
      <c r="A123" s="34"/>
      <c r="B123" s="34"/>
      <c r="C123" s="34"/>
      <c r="D123" s="34"/>
      <c r="E123" s="34"/>
      <c r="G123" s="34"/>
      <c r="H123" s="35"/>
      <c r="I123" s="6"/>
    </row>
    <row r="124">
      <c r="A124" s="34"/>
      <c r="B124" s="34"/>
      <c r="C124" s="34"/>
      <c r="D124" s="34"/>
      <c r="E124" s="34"/>
      <c r="G124" s="34"/>
      <c r="H124" s="35"/>
      <c r="I124" s="6"/>
    </row>
    <row r="125">
      <c r="A125" s="34"/>
      <c r="B125" s="34"/>
      <c r="C125" s="34"/>
      <c r="D125" s="34"/>
      <c r="E125" s="34"/>
      <c r="G125" s="34"/>
      <c r="H125" s="35"/>
      <c r="I125" s="6"/>
    </row>
    <row r="126">
      <c r="A126" s="34"/>
      <c r="B126" s="34"/>
      <c r="C126" s="34"/>
      <c r="D126" s="34"/>
      <c r="G126" s="34"/>
      <c r="H126" s="35"/>
      <c r="I126" s="6"/>
    </row>
    <row r="127">
      <c r="A127" s="34"/>
      <c r="B127" s="34"/>
      <c r="C127" s="34"/>
      <c r="D127" s="34"/>
      <c r="E127" s="34"/>
      <c r="G127" s="34"/>
      <c r="H127" s="35"/>
      <c r="I127" s="6"/>
    </row>
    <row r="128">
      <c r="A128" s="34"/>
      <c r="B128" s="34"/>
      <c r="C128" s="34"/>
      <c r="D128" s="34"/>
      <c r="G128" s="34"/>
      <c r="H128" s="35"/>
      <c r="I128" s="6"/>
    </row>
    <row r="129">
      <c r="A129" s="34"/>
      <c r="B129" s="34"/>
      <c r="C129" s="34"/>
      <c r="D129" s="34"/>
      <c r="E129" s="34"/>
      <c r="G129" s="34"/>
      <c r="H129" s="35"/>
      <c r="I129" s="6"/>
    </row>
    <row r="130">
      <c r="A130" s="34"/>
      <c r="B130" s="34"/>
      <c r="C130" s="34"/>
      <c r="D130" s="34"/>
      <c r="G130" s="34"/>
      <c r="H130" s="35"/>
      <c r="I130" s="6"/>
    </row>
    <row r="131">
      <c r="A131" s="34"/>
      <c r="B131" s="34"/>
      <c r="C131" s="34"/>
      <c r="D131" s="34"/>
      <c r="E131" s="34"/>
      <c r="G131" s="34"/>
      <c r="H131" s="35"/>
      <c r="I131" s="6"/>
    </row>
    <row r="132">
      <c r="A132" s="34"/>
      <c r="B132" s="34"/>
      <c r="C132" s="34"/>
      <c r="D132" s="34"/>
      <c r="E132" s="34"/>
      <c r="G132" s="34"/>
      <c r="H132" s="35"/>
      <c r="I132" s="6"/>
    </row>
    <row r="133">
      <c r="A133" s="34"/>
      <c r="B133" s="34"/>
      <c r="C133" s="34"/>
      <c r="D133" s="34"/>
      <c r="G133" s="34"/>
      <c r="H133" s="35"/>
      <c r="I133" s="6"/>
    </row>
    <row r="134">
      <c r="A134" s="34"/>
      <c r="B134" s="34"/>
      <c r="C134" s="34"/>
      <c r="D134" s="34"/>
      <c r="G134" s="34"/>
      <c r="H134" s="35"/>
      <c r="I134" s="6"/>
    </row>
    <row r="135">
      <c r="A135" s="34"/>
      <c r="B135" s="34"/>
      <c r="C135" s="34"/>
      <c r="D135" s="34"/>
      <c r="E135" s="34"/>
      <c r="G135" s="34"/>
      <c r="H135" s="35"/>
      <c r="I135" s="6"/>
    </row>
    <row r="136">
      <c r="A136" s="34"/>
      <c r="B136" s="34"/>
      <c r="C136" s="34"/>
      <c r="D136" s="34"/>
      <c r="E136" s="34"/>
      <c r="G136" s="34"/>
      <c r="H136" s="35"/>
      <c r="I136" s="6"/>
    </row>
    <row r="137">
      <c r="A137" s="34"/>
      <c r="B137" s="34"/>
      <c r="C137" s="34"/>
      <c r="D137" s="34"/>
      <c r="E137" s="34"/>
      <c r="G137" s="34"/>
      <c r="H137" s="35"/>
      <c r="I137" s="6"/>
    </row>
    <row r="138">
      <c r="A138" s="34"/>
      <c r="B138" s="34"/>
      <c r="C138" s="34"/>
      <c r="D138" s="34"/>
      <c r="E138" s="34"/>
      <c r="G138" s="34"/>
      <c r="H138" s="35"/>
      <c r="I138" s="6"/>
    </row>
    <row r="139">
      <c r="A139" s="34"/>
      <c r="B139" s="34"/>
      <c r="C139" s="34"/>
      <c r="D139" s="34"/>
      <c r="E139" s="34"/>
      <c r="G139" s="34"/>
      <c r="H139" s="35"/>
      <c r="I139" s="6"/>
    </row>
    <row r="140">
      <c r="A140" s="34"/>
      <c r="B140" s="34"/>
      <c r="C140" s="34"/>
      <c r="D140" s="34"/>
      <c r="G140" s="34"/>
      <c r="H140" s="35"/>
      <c r="I140" s="6"/>
    </row>
    <row r="141">
      <c r="A141" s="34"/>
      <c r="B141" s="34"/>
      <c r="C141" s="34"/>
      <c r="D141" s="34"/>
      <c r="E141" s="34"/>
      <c r="G141" s="34"/>
      <c r="H141" s="35"/>
      <c r="I141" s="6"/>
    </row>
    <row r="142">
      <c r="A142" s="34"/>
      <c r="B142" s="34"/>
      <c r="C142" s="34"/>
      <c r="D142" s="34"/>
      <c r="E142" s="34"/>
      <c r="G142" s="34"/>
      <c r="H142" s="35"/>
      <c r="I142" s="6"/>
    </row>
    <row r="143">
      <c r="A143" s="34"/>
      <c r="B143" s="34"/>
      <c r="C143" s="34"/>
      <c r="D143" s="34"/>
      <c r="E143" s="34"/>
      <c r="G143" s="34"/>
      <c r="H143" s="35"/>
      <c r="I143" s="6"/>
    </row>
    <row r="144">
      <c r="A144" s="34"/>
      <c r="B144" s="34"/>
      <c r="C144" s="34"/>
      <c r="D144" s="34"/>
      <c r="E144" s="34"/>
      <c r="G144" s="34"/>
      <c r="H144" s="35"/>
      <c r="I144" s="6"/>
    </row>
    <row r="145">
      <c r="A145" s="34"/>
      <c r="B145" s="34"/>
      <c r="C145" s="34"/>
      <c r="D145" s="34"/>
      <c r="E145" s="34"/>
      <c r="G145" s="34"/>
      <c r="H145" s="35"/>
      <c r="I145" s="6"/>
    </row>
    <row r="146">
      <c r="A146" s="34"/>
      <c r="B146" s="34"/>
      <c r="C146" s="34"/>
      <c r="D146" s="34"/>
      <c r="E146" s="34"/>
      <c r="G146" s="34"/>
      <c r="H146" s="35"/>
      <c r="I146" s="6"/>
    </row>
    <row r="147">
      <c r="A147" s="34"/>
      <c r="B147" s="34"/>
      <c r="C147" s="34"/>
      <c r="D147" s="34"/>
      <c r="E147" s="34"/>
      <c r="G147" s="34"/>
      <c r="H147" s="35"/>
      <c r="I147" s="6"/>
    </row>
    <row r="148">
      <c r="A148" s="34"/>
      <c r="B148" s="34"/>
      <c r="C148" s="34"/>
      <c r="D148" s="34"/>
      <c r="E148" s="34"/>
      <c r="G148" s="34"/>
      <c r="H148" s="35"/>
      <c r="I148" s="6"/>
    </row>
    <row r="149">
      <c r="A149" s="34"/>
      <c r="B149" s="34"/>
      <c r="C149" s="34"/>
      <c r="D149" s="34"/>
      <c r="E149" s="34"/>
      <c r="G149" s="34"/>
      <c r="H149" s="35"/>
      <c r="I149" s="6"/>
    </row>
    <row r="150">
      <c r="A150" s="34"/>
      <c r="B150" s="34"/>
      <c r="C150" s="34"/>
      <c r="D150" s="34"/>
      <c r="E150" s="34"/>
      <c r="G150" s="34"/>
      <c r="H150" s="35"/>
      <c r="I150" s="6"/>
    </row>
    <row r="151">
      <c r="A151" s="34"/>
      <c r="B151" s="34"/>
      <c r="C151" s="34"/>
      <c r="D151" s="34"/>
      <c r="E151" s="34"/>
      <c r="G151" s="34"/>
      <c r="H151" s="35"/>
      <c r="I151" s="6"/>
    </row>
    <row r="152">
      <c r="A152" s="34"/>
      <c r="B152" s="34"/>
      <c r="C152" s="34"/>
      <c r="D152" s="34"/>
      <c r="E152" s="34"/>
      <c r="G152" s="34"/>
      <c r="H152" s="35"/>
      <c r="I152" s="6"/>
    </row>
    <row r="153">
      <c r="A153" s="34"/>
      <c r="B153" s="34"/>
      <c r="C153" s="34"/>
      <c r="D153" s="34"/>
      <c r="G153" s="34"/>
      <c r="H153" s="35"/>
      <c r="I153" s="6"/>
    </row>
    <row r="154">
      <c r="A154" s="34"/>
      <c r="B154" s="34"/>
      <c r="C154" s="34"/>
      <c r="D154" s="34"/>
      <c r="G154" s="34"/>
      <c r="H154" s="35"/>
      <c r="I154" s="6"/>
    </row>
    <row r="155">
      <c r="A155" s="34"/>
      <c r="B155" s="34"/>
      <c r="C155" s="34"/>
      <c r="D155" s="34"/>
      <c r="G155" s="34"/>
      <c r="H155" s="35"/>
      <c r="I155" s="6"/>
    </row>
    <row r="156">
      <c r="A156" s="34"/>
      <c r="B156" s="34"/>
      <c r="C156" s="34"/>
      <c r="D156" s="34"/>
      <c r="E156" s="34"/>
      <c r="G156" s="34"/>
      <c r="H156" s="35"/>
      <c r="I156" s="6"/>
    </row>
    <row r="157">
      <c r="A157" s="34"/>
      <c r="B157" s="34"/>
      <c r="C157" s="34"/>
      <c r="D157" s="34"/>
      <c r="E157" s="34"/>
      <c r="G157" s="34"/>
      <c r="H157" s="35"/>
      <c r="I157" s="6"/>
    </row>
    <row r="158">
      <c r="A158" s="34"/>
      <c r="B158" s="34"/>
      <c r="C158" s="34"/>
      <c r="D158" s="34"/>
      <c r="E158" s="34"/>
      <c r="G158" s="34"/>
      <c r="H158" s="35"/>
      <c r="I158" s="6"/>
    </row>
    <row r="159">
      <c r="A159" s="34"/>
      <c r="B159" s="34"/>
      <c r="C159" s="34"/>
      <c r="D159" s="34"/>
      <c r="E159" s="34"/>
      <c r="G159" s="34"/>
      <c r="H159" s="35"/>
      <c r="I159" s="6"/>
    </row>
  </sheetData>
  <dataValidations>
    <dataValidation type="list" allowBlank="1" sqref="I2:I159">
      <formula1>"🚫 Force Ignore"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17.25"/>
    <col customWidth="1" min="4" max="4" width="26.25"/>
    <col customWidth="1" min="5" max="5" width="37.0"/>
    <col customWidth="1" min="9" max="9" width="15.88"/>
    <col customWidth="1" min="11" max="11" width="37.0"/>
    <col customWidth="1" min="12" max="12" width="62.0"/>
  </cols>
  <sheetData>
    <row r="1" ht="18.75" customHeight="1">
      <c r="A1" s="36" t="s">
        <v>337</v>
      </c>
      <c r="B1" s="36" t="s">
        <v>338</v>
      </c>
      <c r="C1" s="36" t="s">
        <v>339</v>
      </c>
      <c r="D1" s="36" t="s">
        <v>340</v>
      </c>
      <c r="E1" s="36" t="s">
        <v>341</v>
      </c>
      <c r="F1" s="36" t="s">
        <v>342</v>
      </c>
      <c r="G1" s="36" t="s">
        <v>343</v>
      </c>
      <c r="H1" s="37" t="s">
        <v>344</v>
      </c>
      <c r="J1" s="38" t="s">
        <v>345</v>
      </c>
      <c r="L1" s="39" t="str">
        <f>IFERROR(__xludf.DUMMYFUNCTION("SPARKLINE({0,8,0}, {""charttype"",""bar""; ""color1"",""#d9ead3""; ""color2"",""#f4cccc""; ""color3"",""#fce5cd""})"),"")</f>
        <v/>
      </c>
    </row>
    <row r="2" ht="18.75" customHeight="1">
      <c r="A2" s="40" t="s">
        <v>346</v>
      </c>
      <c r="B2" s="41">
        <v>46109.0</v>
      </c>
      <c r="C2" s="41">
        <v>46109.0</v>
      </c>
      <c r="D2" s="40" t="s">
        <v>347</v>
      </c>
      <c r="E2" s="42"/>
      <c r="F2" s="40" t="s">
        <v>348</v>
      </c>
      <c r="G2" s="43"/>
    </row>
    <row r="3" ht="18.75" customHeight="1">
      <c r="A3" s="44" t="s">
        <v>349</v>
      </c>
      <c r="B3" s="45" t="b">
        <v>0</v>
      </c>
      <c r="C3" s="44" t="s">
        <v>350</v>
      </c>
      <c r="D3" s="46" t="b">
        <v>0</v>
      </c>
      <c r="E3" s="44" t="s">
        <v>351</v>
      </c>
      <c r="F3" s="47" t="b">
        <v>0</v>
      </c>
      <c r="G3" s="44" t="s">
        <v>352</v>
      </c>
      <c r="H3" s="48" t="b">
        <v>0</v>
      </c>
      <c r="I3" s="49"/>
      <c r="J3" s="49"/>
      <c r="K3" s="49"/>
      <c r="L3" s="49"/>
      <c r="M3" s="49"/>
      <c r="N3" s="49"/>
      <c r="O3" s="49"/>
      <c r="P3" s="49"/>
      <c r="Q3" s="49"/>
      <c r="R3" s="49"/>
      <c r="S3" s="49"/>
      <c r="T3" s="49"/>
      <c r="U3" s="49"/>
      <c r="V3" s="49"/>
      <c r="W3" s="49"/>
      <c r="X3" s="49"/>
      <c r="Y3" s="49"/>
      <c r="Z3" s="49"/>
    </row>
    <row r="4">
      <c r="A4" s="24" t="s">
        <v>55</v>
      </c>
      <c r="B4" s="24" t="s">
        <v>7</v>
      </c>
      <c r="C4" s="24" t="s">
        <v>1</v>
      </c>
      <c r="D4" s="24" t="s">
        <v>353</v>
      </c>
      <c r="E4" s="24" t="s">
        <v>354</v>
      </c>
      <c r="F4" s="24" t="s">
        <v>192</v>
      </c>
      <c r="G4" s="24" t="s">
        <v>355</v>
      </c>
      <c r="H4" s="24" t="s">
        <v>356</v>
      </c>
      <c r="I4" s="24" t="s">
        <v>357</v>
      </c>
      <c r="J4" s="24" t="s">
        <v>358</v>
      </c>
      <c r="K4" s="24" t="s">
        <v>56</v>
      </c>
      <c r="L4" s="24" t="s">
        <v>359</v>
      </c>
      <c r="M4" s="24" t="s">
        <v>360</v>
      </c>
      <c r="N4" s="50"/>
      <c r="O4" s="50"/>
      <c r="P4" s="50"/>
      <c r="Q4" s="50"/>
      <c r="R4" s="50"/>
      <c r="S4" s="50"/>
      <c r="T4" s="50"/>
      <c r="U4" s="50"/>
      <c r="V4" s="50"/>
      <c r="W4" s="50"/>
      <c r="X4" s="50"/>
      <c r="Y4" s="50"/>
      <c r="Z4" s="50"/>
    </row>
    <row r="5">
      <c r="A5" s="51" t="str">
        <f>HYPERLINK("https://admin.shopify.com/store/041839-3/orders/6804722188547", "🛍️ 6804722188547")</f>
        <v>🛍️ 6804722188547</v>
      </c>
      <c r="B5" s="52">
        <v>46008.0</v>
      </c>
      <c r="C5" s="53" t="s">
        <v>196</v>
      </c>
      <c r="D5" s="51" t="str">
        <f>HYPERLINK("https://wa.me/923239699795?text=Hi%2C%20this%20is%20TracePK!%20%F0%9F%8C%9F%20Confirming%20your%20order%20%236804722188547%20for%20Rs%202748.%20Please%20reply%20'YES'%20to%20dispatch.", "💬 3239699795")</f>
        <v>💬 3239699795</v>
      </c>
      <c r="E5" s="53" t="s">
        <v>361</v>
      </c>
      <c r="F5" s="54">
        <v>2748.0</v>
      </c>
      <c r="G5" s="54">
        <v>0.0</v>
      </c>
      <c r="H5" s="54">
        <v>2748.0</v>
      </c>
      <c r="I5" s="53" t="s">
        <v>362</v>
      </c>
      <c r="J5" s="53" t="s">
        <v>363</v>
      </c>
      <c r="K5" s="55" t="str">
        <f>HYPERLINK("https://merchant.postex.pk/track/23120050020579", "🚚 23120050020579")</f>
        <v>🚚 23120050020579</v>
      </c>
      <c r="L5" s="53" t="s">
        <v>199</v>
      </c>
      <c r="M5" s="54">
        <v>1400.0</v>
      </c>
    </row>
    <row r="6">
      <c r="A6" s="51" t="str">
        <f>HYPERLINK("https://admin.shopify.com/store/041839-3/orders/6959736619267", "🛍️ 6959736619267")</f>
        <v>🛍️ 6959736619267</v>
      </c>
      <c r="B6" s="52">
        <v>46101.0</v>
      </c>
      <c r="C6" s="53" t="s">
        <v>364</v>
      </c>
      <c r="D6" s="51" t="str">
        <f>HYPERLINK("https://wa.me/923093895214?text=Hi%2C%20this%20is%20TracePK!%20%F0%9F%8C%9F%20Confirming%20your%20order%20%236959736619267%20for%20Rs%201499.%20Please%20reply%20'YES'%20to%20dispatch.", "💬 3093895214")</f>
        <v>💬 3093895214</v>
      </c>
      <c r="E6" s="53" t="s">
        <v>365</v>
      </c>
      <c r="F6" s="54">
        <v>1499.0</v>
      </c>
      <c r="G6" s="54"/>
      <c r="H6" s="54">
        <v>1499.0</v>
      </c>
      <c r="I6" s="53" t="s">
        <v>362</v>
      </c>
      <c r="J6" s="53" t="s">
        <v>73</v>
      </c>
      <c r="K6" s="55" t="str">
        <f>HYPERLINK("https://merchant.postex.pk/track/29120050023334", "🚚 29120050023334")</f>
        <v>🚚 29120050023334</v>
      </c>
      <c r="L6" s="53" t="s">
        <v>204</v>
      </c>
      <c r="M6" s="54">
        <v>750.0</v>
      </c>
    </row>
    <row r="7">
      <c r="A7" s="51" t="str">
        <f>HYPERLINK("https://admin.shopify.com/store/041839-3/orders/6972048507139", "🛍️ 6972048507139")</f>
        <v>🛍️ 6972048507139</v>
      </c>
      <c r="B7" s="52">
        <v>46108.0</v>
      </c>
      <c r="C7" s="53" t="s">
        <v>235</v>
      </c>
      <c r="D7" s="51" t="str">
        <f>HYPERLINK("https://wa.me/923352360116?text=Hi%2C%20this%20is%20TracePK!%20%F0%9F%8C%9F%20Confirming%20your%20order%20%236972048507139%20for%20Rs%2011447.%20Please%20reply%20'YES'%20to%20dispatch.", "💬 3352360116")</f>
        <v>💬 3352360116</v>
      </c>
      <c r="E7" s="53" t="s">
        <v>366</v>
      </c>
      <c r="F7" s="54">
        <v>11447.0</v>
      </c>
      <c r="G7" s="53"/>
      <c r="H7" s="54">
        <v>11447.0</v>
      </c>
      <c r="I7" s="53" t="s">
        <v>362</v>
      </c>
      <c r="J7" s="53" t="s">
        <v>73</v>
      </c>
      <c r="K7" s="55" t="str">
        <f>HYPERLINK("https://merchant.postex.pk/track/27120050023032", "🚚 27120050023032")</f>
        <v>🚚 27120050023032</v>
      </c>
      <c r="L7" s="53" t="s">
        <v>237</v>
      </c>
      <c r="M7" s="54">
        <v>3900.0</v>
      </c>
    </row>
    <row r="8">
      <c r="A8" s="51" t="str">
        <f>HYPERLINK("https://admin.shopify.com/store/041839-3/orders/6984277983491", "🛍️ 6984277983491")</f>
        <v>🛍️ 6984277983491</v>
      </c>
      <c r="B8" s="52">
        <v>46116.0</v>
      </c>
      <c r="C8" s="53" t="s">
        <v>367</v>
      </c>
      <c r="D8" s="51" t="str">
        <f>HYPERLINK("https://wa.me/923254721823?text=Hi%2C%20this%20is%20TracePK!%20%F0%9F%8C%9F%20Confirming%20your%20order%20%236984277983491%20for%20Rs%203149.%20Please%20reply%20'YES'%20to%20dispatch.", "💬 +923254721823")</f>
        <v>💬 +923254721823</v>
      </c>
      <c r="E8" s="53" t="s">
        <v>368</v>
      </c>
      <c r="F8" s="54">
        <v>3149.0</v>
      </c>
      <c r="G8" s="54"/>
      <c r="H8" s="54">
        <v>3149.0</v>
      </c>
      <c r="I8" s="53" t="s">
        <v>362</v>
      </c>
      <c r="J8" s="53" t="s">
        <v>73</v>
      </c>
      <c r="K8" s="55" t="str">
        <f>HYPERLINK("https://merchant.postex.pk/track/23120050023425", "🚚 23120050023425")</f>
        <v>🚚 23120050023425</v>
      </c>
      <c r="L8" s="53" t="s">
        <v>369</v>
      </c>
      <c r="M8" s="54">
        <v>720.0</v>
      </c>
    </row>
    <row r="9">
      <c r="A9" s="51" t="str">
        <f>HYPERLINK("https://admin.shopify.com/store/041839-3/orders/6990662959363", "🛍️ 6990662959363")</f>
        <v>🛍️ 6990662959363</v>
      </c>
      <c r="B9" s="52">
        <v>46121.0</v>
      </c>
      <c r="C9" s="53" t="s">
        <v>370</v>
      </c>
      <c r="D9" s="51" t="str">
        <f>HYPERLINK("https://wa.me/923047788894?text=Hi%2C%20this%20is%20TracePK!%20%F0%9F%8C%9F%20Confirming%20your%20order%20%236990662959363%20for%20Rs%202797.%20Please%20reply%20'YES'%20to%20dispatch.", "💬 3047788894")</f>
        <v>💬 3047788894</v>
      </c>
      <c r="E9" s="53" t="s">
        <v>371</v>
      </c>
      <c r="F9" s="54">
        <v>2797.0</v>
      </c>
      <c r="G9" s="54"/>
      <c r="H9" s="54">
        <v>2797.0</v>
      </c>
      <c r="I9" s="53" t="s">
        <v>362</v>
      </c>
      <c r="J9" s="53" t="s">
        <v>73</v>
      </c>
      <c r="K9" s="55" t="str">
        <f>HYPERLINK("https://merchant.postex.pk/track/20120050023404", "🚚 20120050023404")</f>
        <v>🚚 20120050023404</v>
      </c>
      <c r="L9" s="53" t="s">
        <v>372</v>
      </c>
      <c r="M9" s="54">
        <v>1100.0</v>
      </c>
    </row>
    <row r="10">
      <c r="A10" s="51" t="str">
        <f>HYPERLINK("https://admin.shopify.com/store/041839-3/orders/6991776973059", "🛍️ 6991776973059")</f>
        <v>🛍️ 6991776973059</v>
      </c>
      <c r="B10" s="52">
        <v>46121.0</v>
      </c>
      <c r="C10" s="53" t="s">
        <v>373</v>
      </c>
      <c r="D10" s="51" t="str">
        <f>HYPERLINK("https://wa.me/923007213980?text=Hi%2C%20this%20is%20TracePK!%20%F0%9F%8C%9F%20Confirming%20your%20order%20%236991776973059%20for%20Rs%203397.%20Please%20reply%20'YES'%20to%20dispatch.", "💬 3007213980")</f>
        <v>💬 3007213980</v>
      </c>
      <c r="E10" s="53" t="s">
        <v>374</v>
      </c>
      <c r="F10" s="54">
        <v>3397.0</v>
      </c>
      <c r="G10" s="54"/>
      <c r="H10" s="54">
        <v>3397.0</v>
      </c>
      <c r="I10" s="53" t="s">
        <v>362</v>
      </c>
      <c r="J10" s="53" t="s">
        <v>73</v>
      </c>
      <c r="K10" s="55" t="str">
        <f>HYPERLINK("https://merchant.postex.pk/track/20120050023478", "🚚 20120050023478")</f>
        <v>🚚 20120050023478</v>
      </c>
      <c r="L10" s="53" t="s">
        <v>375</v>
      </c>
      <c r="M10" s="54">
        <v>720.0</v>
      </c>
    </row>
    <row r="11">
      <c r="A11" s="51" t="str">
        <f>HYPERLINK("https://admin.shopify.com/store/041839-3/orders/6993094312195", "🛍️ 6993094312195")</f>
        <v>🛍️ 6993094312195</v>
      </c>
      <c r="B11" s="52">
        <v>46122.0</v>
      </c>
      <c r="C11" s="53" t="s">
        <v>376</v>
      </c>
      <c r="D11" s="51" t="str">
        <f>HYPERLINK("https://wa.me/923044495171?text=Hi%2C%20this%20is%20TracePK!%20%F0%9F%8C%9F%20Confirming%20your%20order%20%236993094312195%20for%20Rs%201949.%20Please%20reply%20'YES'%20to%20dispatch.", "💬 3044495171")</f>
        <v>💬 3044495171</v>
      </c>
      <c r="E11" s="53" t="s">
        <v>377</v>
      </c>
      <c r="F11" s="54">
        <v>1949.0</v>
      </c>
      <c r="G11" s="54"/>
      <c r="H11" s="54">
        <v>1949.0</v>
      </c>
      <c r="I11" s="53" t="s">
        <v>362</v>
      </c>
      <c r="J11" s="53" t="s">
        <v>73</v>
      </c>
      <c r="K11" s="55" t="str">
        <f>HYPERLINK("https://merchant.postex.pk/track/21120050023499", "🚚 21120050023499")</f>
        <v>🚚 21120050023499</v>
      </c>
      <c r="L11" s="53" t="s">
        <v>378</v>
      </c>
      <c r="M11" s="54">
        <v>550.0</v>
      </c>
    </row>
    <row r="12">
      <c r="A12" s="51" t="str">
        <f>HYPERLINK("https://admin.shopify.com/store/041839-3/orders/6994171855107", "🛍️ 6994171855107")</f>
        <v>🛍️ 6994171855107</v>
      </c>
      <c r="B12" s="52">
        <v>46123.0</v>
      </c>
      <c r="C12" s="53" t="s">
        <v>379</v>
      </c>
      <c r="D12" s="51" t="str">
        <f>HYPERLINK("https://wa.me/923016870627?text=Hi%2C%20this%20is%20TracePK!%20%F0%9F%8C%9F%20Confirming%20your%20order%20%236994171855107%20for%20Rs%203099.%20Please%20reply%20'YES'%20to%20dispatch.", "💬 3016870627")</f>
        <v>💬 3016870627</v>
      </c>
      <c r="E12" s="53" t="s">
        <v>368</v>
      </c>
      <c r="F12" s="54">
        <v>3099.0</v>
      </c>
      <c r="G12" s="54"/>
      <c r="H12" s="54">
        <v>3099.0</v>
      </c>
      <c r="I12" s="53" t="s">
        <v>362</v>
      </c>
      <c r="J12" s="53" t="s">
        <v>73</v>
      </c>
      <c r="K12" s="55" t="str">
        <f>HYPERLINK("https://merchant.postex.pk/track/28120050023597", "🚚 28120050023597")</f>
        <v>🚚 28120050023597</v>
      </c>
      <c r="L12" s="53" t="s">
        <v>380</v>
      </c>
      <c r="M12" s="54">
        <v>1100.0</v>
      </c>
    </row>
    <row r="13">
      <c r="A13" s="23"/>
      <c r="B13" s="52"/>
      <c r="C13" s="53"/>
      <c r="D13" s="23"/>
      <c r="E13" s="53"/>
      <c r="F13" s="54"/>
      <c r="G13" s="54"/>
      <c r="H13" s="54"/>
      <c r="I13" s="53"/>
      <c r="J13" s="53"/>
      <c r="K13" s="53"/>
      <c r="L13" s="53"/>
      <c r="M13" s="54"/>
    </row>
    <row r="14">
      <c r="A14" s="23"/>
      <c r="B14" s="52"/>
      <c r="C14" s="53"/>
      <c r="D14" s="23"/>
      <c r="E14" s="53"/>
      <c r="F14" s="54"/>
      <c r="G14" s="54"/>
      <c r="H14" s="54"/>
      <c r="I14" s="53"/>
      <c r="J14" s="53"/>
      <c r="K14" s="23"/>
      <c r="L14" s="53"/>
      <c r="M14" s="54"/>
    </row>
    <row r="15">
      <c r="A15" s="23"/>
      <c r="B15" s="52"/>
      <c r="C15" s="53"/>
      <c r="D15" s="23"/>
      <c r="E15" s="53"/>
      <c r="F15" s="54"/>
      <c r="G15" s="54"/>
      <c r="H15" s="54"/>
      <c r="I15" s="53"/>
      <c r="J15" s="53"/>
      <c r="K15" s="23"/>
      <c r="L15" s="53"/>
      <c r="M15" s="54"/>
    </row>
    <row r="16">
      <c r="A16" s="23"/>
      <c r="B16" s="52"/>
      <c r="C16" s="53"/>
      <c r="D16" s="23"/>
      <c r="E16" s="53"/>
      <c r="F16" s="54"/>
      <c r="G16" s="54"/>
      <c r="H16" s="54"/>
      <c r="I16" s="53"/>
      <c r="J16" s="53"/>
      <c r="K16" s="23"/>
      <c r="L16" s="53"/>
      <c r="M16" s="54"/>
    </row>
    <row r="17">
      <c r="A17" s="23"/>
      <c r="B17" s="52"/>
      <c r="C17" s="53"/>
      <c r="D17" s="23"/>
      <c r="E17" s="53"/>
      <c r="F17" s="54"/>
      <c r="G17" s="54"/>
      <c r="H17" s="54"/>
      <c r="I17" s="53"/>
      <c r="J17" s="53"/>
      <c r="K17" s="53"/>
      <c r="L17" s="53"/>
      <c r="M17" s="54"/>
    </row>
    <row r="18">
      <c r="A18" s="23"/>
      <c r="B18" s="52"/>
      <c r="C18" s="53"/>
      <c r="D18" s="23"/>
      <c r="E18" s="53"/>
      <c r="F18" s="54"/>
      <c r="G18" s="54"/>
      <c r="H18" s="54"/>
      <c r="I18" s="53"/>
      <c r="J18" s="53"/>
      <c r="K18" s="53"/>
      <c r="L18" s="53"/>
      <c r="M18" s="54"/>
    </row>
    <row r="19">
      <c r="A19" s="23"/>
      <c r="B19" s="52"/>
      <c r="C19" s="53"/>
      <c r="D19" s="23"/>
      <c r="E19" s="53"/>
      <c r="F19" s="54"/>
      <c r="G19" s="54"/>
      <c r="H19" s="54"/>
      <c r="I19" s="53"/>
      <c r="J19" s="53"/>
      <c r="K19" s="23"/>
      <c r="L19" s="53"/>
      <c r="M19" s="54"/>
    </row>
    <row r="20">
      <c r="A20" s="23"/>
      <c r="B20" s="52"/>
      <c r="C20" s="53"/>
      <c r="D20" s="23"/>
      <c r="E20" s="53"/>
      <c r="F20" s="54"/>
      <c r="G20" s="54"/>
      <c r="H20" s="54"/>
      <c r="I20" s="53"/>
      <c r="J20" s="53"/>
      <c r="K20" s="53"/>
      <c r="L20" s="53"/>
      <c r="M20" s="54"/>
    </row>
    <row r="21">
      <c r="A21" s="23"/>
      <c r="B21" s="52"/>
      <c r="C21" s="53"/>
      <c r="D21" s="23"/>
      <c r="E21" s="53"/>
      <c r="F21" s="54"/>
      <c r="G21" s="54"/>
      <c r="H21" s="54"/>
      <c r="I21" s="53"/>
      <c r="J21" s="53"/>
      <c r="K21" s="53"/>
      <c r="L21" s="53"/>
      <c r="M21" s="54"/>
    </row>
    <row r="22">
      <c r="A22" s="23"/>
      <c r="B22" s="52"/>
      <c r="C22" s="53"/>
      <c r="D22" s="23"/>
      <c r="E22" s="53"/>
      <c r="F22" s="54"/>
      <c r="G22" s="54"/>
      <c r="H22" s="54"/>
      <c r="I22" s="53"/>
      <c r="J22" s="53"/>
      <c r="K22" s="23"/>
      <c r="L22" s="53"/>
      <c r="M22" s="54"/>
    </row>
    <row r="23">
      <c r="A23" s="23"/>
      <c r="B23" s="52"/>
      <c r="C23" s="53"/>
      <c r="D23" s="23"/>
      <c r="E23" s="53"/>
      <c r="F23" s="54"/>
      <c r="G23" s="54"/>
      <c r="H23" s="54"/>
      <c r="I23" s="53"/>
      <c r="J23" s="53"/>
      <c r="K23" s="23"/>
      <c r="L23" s="53"/>
      <c r="M23" s="54"/>
    </row>
    <row r="24">
      <c r="A24" s="23"/>
      <c r="B24" s="52"/>
      <c r="C24" s="53"/>
      <c r="D24" s="23"/>
      <c r="E24" s="53"/>
      <c r="F24" s="54"/>
      <c r="G24" s="54"/>
      <c r="H24" s="54"/>
      <c r="I24" s="53"/>
      <c r="J24" s="53"/>
      <c r="K24" s="23"/>
      <c r="L24" s="53"/>
      <c r="M24" s="54"/>
    </row>
    <row r="25">
      <c r="A25" s="23"/>
      <c r="B25" s="52"/>
      <c r="C25" s="53"/>
      <c r="D25" s="23"/>
      <c r="E25" s="53"/>
      <c r="F25" s="54"/>
      <c r="G25" s="54"/>
      <c r="H25" s="54"/>
      <c r="I25" s="53"/>
      <c r="J25" s="53"/>
      <c r="K25" s="23"/>
      <c r="L25" s="53"/>
      <c r="M25" s="54"/>
    </row>
    <row r="26">
      <c r="A26" s="23"/>
      <c r="B26" s="52"/>
      <c r="C26" s="53"/>
      <c r="D26" s="23"/>
      <c r="E26" s="53"/>
      <c r="F26" s="54"/>
      <c r="G26" s="54"/>
      <c r="H26" s="54"/>
      <c r="I26" s="53"/>
      <c r="J26" s="53"/>
      <c r="K26" s="53"/>
      <c r="L26" s="53"/>
      <c r="M26" s="54"/>
    </row>
    <row r="27">
      <c r="A27" s="23"/>
      <c r="B27" s="52"/>
      <c r="C27" s="53"/>
      <c r="D27" s="23"/>
      <c r="E27" s="53"/>
      <c r="F27" s="54"/>
      <c r="G27" s="54"/>
      <c r="H27" s="54"/>
      <c r="I27" s="53"/>
      <c r="J27" s="53"/>
      <c r="K27" s="53"/>
      <c r="L27" s="53"/>
      <c r="M27" s="54"/>
    </row>
    <row r="28">
      <c r="A28" s="23"/>
      <c r="B28" s="52"/>
      <c r="C28" s="53"/>
      <c r="D28" s="23"/>
      <c r="E28" s="53"/>
      <c r="F28" s="54"/>
      <c r="G28" s="54"/>
      <c r="H28" s="54"/>
      <c r="I28" s="53"/>
      <c r="J28" s="53"/>
      <c r="K28" s="53"/>
      <c r="L28" s="53"/>
      <c r="M28" s="54"/>
    </row>
    <row r="29">
      <c r="A29" s="23"/>
      <c r="B29" s="52"/>
      <c r="C29" s="53"/>
      <c r="D29" s="23"/>
      <c r="E29" s="53"/>
      <c r="F29" s="54"/>
      <c r="G29" s="54"/>
      <c r="H29" s="54"/>
      <c r="I29" s="53"/>
      <c r="J29" s="53"/>
      <c r="K29" s="53"/>
      <c r="L29" s="53"/>
      <c r="M29" s="54"/>
    </row>
    <row r="30">
      <c r="A30" s="23"/>
      <c r="B30" s="52"/>
      <c r="C30" s="53"/>
      <c r="D30" s="23"/>
      <c r="E30" s="53"/>
      <c r="F30" s="54"/>
      <c r="G30" s="54"/>
      <c r="H30" s="54"/>
      <c r="I30" s="53"/>
      <c r="J30" s="53"/>
      <c r="K30" s="53"/>
      <c r="L30" s="53"/>
      <c r="M30" s="54"/>
    </row>
    <row r="31">
      <c r="A31" s="23"/>
      <c r="B31" s="52"/>
      <c r="C31" s="53"/>
      <c r="D31" s="23"/>
      <c r="E31" s="53"/>
      <c r="F31" s="54"/>
      <c r="G31" s="54"/>
      <c r="H31" s="54"/>
      <c r="I31" s="53"/>
      <c r="J31" s="53"/>
      <c r="K31" s="23"/>
      <c r="L31" s="53"/>
      <c r="M31" s="54"/>
    </row>
    <row r="32">
      <c r="A32" s="23"/>
      <c r="B32" s="52"/>
      <c r="C32" s="53"/>
      <c r="D32" s="23"/>
      <c r="E32" s="53"/>
      <c r="F32" s="54"/>
      <c r="G32" s="54"/>
      <c r="H32" s="54"/>
      <c r="I32" s="53"/>
      <c r="J32" s="53"/>
      <c r="K32" s="23"/>
      <c r="L32" s="53"/>
      <c r="M32" s="54"/>
    </row>
    <row r="33">
      <c r="A33" s="23"/>
      <c r="B33" s="52"/>
      <c r="C33" s="53"/>
      <c r="D33" s="23"/>
      <c r="E33" s="53"/>
      <c r="F33" s="54"/>
      <c r="G33" s="54"/>
      <c r="H33" s="54"/>
      <c r="I33" s="53"/>
      <c r="J33" s="53"/>
      <c r="K33" s="23"/>
      <c r="L33" s="53"/>
      <c r="M33" s="54"/>
    </row>
    <row r="34">
      <c r="A34" s="23"/>
      <c r="B34" s="52"/>
      <c r="C34" s="53"/>
      <c r="D34" s="23"/>
      <c r="E34" s="53"/>
      <c r="F34" s="54"/>
      <c r="G34" s="54"/>
      <c r="H34" s="54"/>
      <c r="I34" s="53"/>
      <c r="J34" s="53"/>
      <c r="K34" s="53"/>
      <c r="L34" s="53"/>
      <c r="M34" s="54"/>
    </row>
    <row r="35">
      <c r="A35" s="23"/>
      <c r="B35" s="52"/>
      <c r="C35" s="53"/>
      <c r="D35" s="23"/>
      <c r="E35" s="53"/>
      <c r="F35" s="54"/>
      <c r="G35" s="54"/>
      <c r="H35" s="54"/>
      <c r="I35" s="53"/>
      <c r="J35" s="53"/>
      <c r="K35" s="23"/>
      <c r="L35" s="53"/>
      <c r="M35" s="54"/>
    </row>
    <row r="36">
      <c r="A36" s="23"/>
      <c r="B36" s="52"/>
      <c r="C36" s="53"/>
      <c r="D36" s="23"/>
      <c r="E36" s="53"/>
      <c r="F36" s="54"/>
      <c r="G36" s="54"/>
      <c r="H36" s="54"/>
      <c r="I36" s="53"/>
      <c r="J36" s="53"/>
      <c r="K36" s="53"/>
      <c r="L36" s="53"/>
      <c r="M36" s="54"/>
    </row>
    <row r="37">
      <c r="A37" s="23"/>
      <c r="B37" s="52"/>
      <c r="C37" s="53"/>
      <c r="D37" s="23"/>
      <c r="E37" s="53"/>
      <c r="F37" s="54"/>
      <c r="G37" s="54"/>
      <c r="H37" s="54"/>
      <c r="I37" s="53"/>
      <c r="J37" s="53"/>
      <c r="K37" s="23"/>
      <c r="L37" s="53"/>
      <c r="M37" s="54"/>
    </row>
    <row r="38">
      <c r="A38" s="23"/>
      <c r="B38" s="52"/>
      <c r="C38" s="53"/>
      <c r="D38" s="23"/>
      <c r="E38" s="53"/>
      <c r="F38" s="54"/>
      <c r="G38" s="54"/>
      <c r="H38" s="54"/>
      <c r="I38" s="53"/>
      <c r="J38" s="53"/>
      <c r="K38" s="53"/>
      <c r="L38" s="53"/>
      <c r="M38" s="54"/>
    </row>
    <row r="39">
      <c r="A39" s="23"/>
      <c r="B39" s="52"/>
      <c r="C39" s="53"/>
      <c r="D39" s="23"/>
      <c r="E39" s="53"/>
      <c r="F39" s="54"/>
      <c r="G39" s="54"/>
      <c r="H39" s="54"/>
      <c r="I39" s="53"/>
      <c r="J39" s="53"/>
      <c r="K39" s="53"/>
      <c r="L39" s="53"/>
      <c r="M39" s="54"/>
    </row>
    <row r="40">
      <c r="A40" s="23"/>
      <c r="B40" s="52"/>
      <c r="C40" s="53"/>
      <c r="D40" s="23"/>
      <c r="E40" s="53"/>
      <c r="F40" s="54"/>
      <c r="G40" s="54"/>
      <c r="H40" s="54"/>
      <c r="I40" s="53"/>
      <c r="J40" s="53"/>
      <c r="K40" s="53"/>
      <c r="L40" s="53"/>
      <c r="M40" s="54"/>
    </row>
    <row r="41">
      <c r="A41" s="23"/>
      <c r="B41" s="52"/>
      <c r="C41" s="53"/>
      <c r="D41" s="23"/>
      <c r="E41" s="53"/>
      <c r="F41" s="54"/>
      <c r="G41" s="54"/>
      <c r="H41" s="54"/>
      <c r="I41" s="53"/>
      <c r="J41" s="53"/>
      <c r="K41" s="23"/>
      <c r="L41" s="53"/>
      <c r="M41" s="54"/>
    </row>
    <row r="42">
      <c r="A42" s="23"/>
      <c r="B42" s="52"/>
      <c r="C42" s="53"/>
      <c r="D42" s="23"/>
      <c r="E42" s="53"/>
      <c r="F42" s="54"/>
      <c r="G42" s="54"/>
      <c r="H42" s="54"/>
      <c r="I42" s="53"/>
      <c r="J42" s="53"/>
      <c r="K42" s="23"/>
      <c r="L42" s="53"/>
      <c r="M42" s="54"/>
    </row>
    <row r="43">
      <c r="A43" s="23"/>
      <c r="B43" s="52"/>
      <c r="C43" s="53"/>
      <c r="D43" s="23"/>
      <c r="E43" s="53"/>
      <c r="F43" s="54"/>
      <c r="G43" s="54"/>
      <c r="H43" s="54"/>
      <c r="I43" s="53"/>
      <c r="J43" s="53"/>
      <c r="K43" s="23"/>
      <c r="L43" s="53"/>
      <c r="M43" s="54"/>
    </row>
    <row r="44">
      <c r="A44" s="23"/>
      <c r="B44" s="52"/>
      <c r="C44" s="53"/>
      <c r="D44" s="23"/>
      <c r="E44" s="53"/>
      <c r="F44" s="54"/>
      <c r="G44" s="54"/>
      <c r="H44" s="54"/>
      <c r="I44" s="53"/>
      <c r="J44" s="53"/>
      <c r="K44" s="23"/>
      <c r="L44" s="53"/>
      <c r="M44" s="54"/>
    </row>
    <row r="45">
      <c r="A45" s="23"/>
      <c r="B45" s="52"/>
      <c r="C45" s="53"/>
      <c r="D45" s="23"/>
      <c r="E45" s="53"/>
      <c r="F45" s="54"/>
      <c r="G45" s="54"/>
      <c r="H45" s="54"/>
      <c r="I45" s="53"/>
      <c r="J45" s="53"/>
      <c r="K45" s="23"/>
      <c r="L45" s="53"/>
      <c r="M45" s="54"/>
    </row>
    <row r="46">
      <c r="A46" s="23"/>
      <c r="B46" s="52"/>
      <c r="C46" s="53"/>
      <c r="D46" s="23"/>
      <c r="E46" s="53"/>
      <c r="F46" s="54"/>
      <c r="G46" s="54"/>
      <c r="H46" s="54"/>
      <c r="I46" s="53"/>
      <c r="J46" s="53"/>
      <c r="K46" s="23"/>
      <c r="L46" s="53"/>
      <c r="M46" s="54"/>
    </row>
    <row r="47">
      <c r="A47" s="23"/>
      <c r="B47" s="52"/>
      <c r="C47" s="53"/>
      <c r="D47" s="23"/>
      <c r="E47" s="53"/>
      <c r="F47" s="54"/>
      <c r="G47" s="54"/>
      <c r="H47" s="54"/>
      <c r="I47" s="53"/>
      <c r="J47" s="53"/>
      <c r="K47" s="23"/>
      <c r="L47" s="53"/>
      <c r="M47" s="54"/>
    </row>
    <row r="48">
      <c r="A48" s="23"/>
      <c r="B48" s="52"/>
      <c r="C48" s="53"/>
      <c r="D48" s="23"/>
      <c r="E48" s="53"/>
      <c r="F48" s="54"/>
      <c r="G48" s="54"/>
      <c r="H48" s="54"/>
      <c r="I48" s="53"/>
      <c r="J48" s="53"/>
      <c r="K48" s="23"/>
      <c r="L48" s="53"/>
      <c r="M48" s="54"/>
    </row>
    <row r="49">
      <c r="A49" s="23"/>
      <c r="B49" s="52"/>
      <c r="C49" s="53"/>
      <c r="D49" s="23"/>
      <c r="E49" s="53"/>
      <c r="F49" s="54"/>
      <c r="G49" s="54"/>
      <c r="H49" s="54"/>
      <c r="I49" s="53"/>
      <c r="J49" s="53"/>
      <c r="K49" s="23"/>
      <c r="L49" s="53"/>
      <c r="M49" s="54"/>
    </row>
    <row r="50">
      <c r="A50" s="23"/>
      <c r="B50" s="52"/>
      <c r="C50" s="53"/>
      <c r="D50" s="23"/>
      <c r="E50" s="53"/>
      <c r="F50" s="54"/>
      <c r="G50" s="54"/>
      <c r="H50" s="54"/>
      <c r="I50" s="53"/>
      <c r="J50" s="53"/>
      <c r="K50" s="23"/>
      <c r="L50" s="53"/>
      <c r="M50" s="54"/>
    </row>
    <row r="51">
      <c r="A51" s="23"/>
      <c r="B51" s="52"/>
      <c r="C51" s="53"/>
      <c r="D51" s="23"/>
      <c r="E51" s="53"/>
      <c r="F51" s="54"/>
      <c r="G51" s="54"/>
      <c r="H51" s="54"/>
      <c r="I51" s="53"/>
      <c r="J51" s="53"/>
      <c r="K51" s="23"/>
      <c r="L51" s="53"/>
      <c r="M51" s="54"/>
    </row>
    <row r="52">
      <c r="A52" s="23"/>
      <c r="B52" s="52"/>
      <c r="C52" s="53"/>
      <c r="D52" s="23"/>
      <c r="E52" s="53"/>
      <c r="F52" s="54"/>
      <c r="G52" s="54"/>
      <c r="H52" s="54"/>
      <c r="I52" s="53"/>
      <c r="J52" s="53"/>
      <c r="K52" s="23"/>
      <c r="L52" s="53"/>
      <c r="M52" s="54"/>
    </row>
    <row r="53">
      <c r="A53" s="23"/>
      <c r="B53" s="52"/>
      <c r="C53" s="53"/>
      <c r="D53" s="23"/>
      <c r="E53" s="53"/>
      <c r="F53" s="54"/>
      <c r="G53" s="54"/>
      <c r="H53" s="54"/>
      <c r="I53" s="53"/>
      <c r="J53" s="53"/>
      <c r="K53" s="23"/>
      <c r="L53" s="53"/>
      <c r="M53" s="54"/>
    </row>
    <row r="54">
      <c r="A54" s="23"/>
      <c r="B54" s="52"/>
      <c r="C54" s="53"/>
      <c r="D54" s="23"/>
      <c r="E54" s="53"/>
      <c r="F54" s="54"/>
      <c r="G54" s="54"/>
      <c r="H54" s="54"/>
      <c r="I54" s="53"/>
      <c r="J54" s="53"/>
      <c r="K54" s="23"/>
      <c r="L54" s="53"/>
      <c r="M54" s="54"/>
    </row>
    <row r="55">
      <c r="A55" s="23"/>
      <c r="B55" s="52"/>
      <c r="C55" s="53"/>
      <c r="D55" s="23"/>
      <c r="E55" s="53"/>
      <c r="F55" s="54"/>
      <c r="G55" s="54"/>
      <c r="H55" s="54"/>
      <c r="I55" s="53"/>
      <c r="J55" s="53"/>
      <c r="K55" s="53"/>
      <c r="L55" s="53"/>
      <c r="M55" s="54"/>
    </row>
    <row r="56">
      <c r="A56" s="23"/>
      <c r="B56" s="52"/>
      <c r="C56" s="53"/>
      <c r="D56" s="23"/>
      <c r="E56" s="53"/>
      <c r="F56" s="54"/>
      <c r="G56" s="54"/>
      <c r="H56" s="54"/>
      <c r="I56" s="53"/>
      <c r="J56" s="53"/>
      <c r="K56" s="23"/>
      <c r="L56" s="53"/>
      <c r="M56" s="54"/>
    </row>
    <row r="57">
      <c r="A57" s="23"/>
      <c r="B57" s="52"/>
      <c r="C57" s="53"/>
      <c r="D57" s="23"/>
      <c r="E57" s="53"/>
      <c r="F57" s="54"/>
      <c r="G57" s="54"/>
      <c r="H57" s="54"/>
      <c r="I57" s="53"/>
      <c r="J57" s="53"/>
      <c r="K57" s="53"/>
      <c r="L57" s="53"/>
      <c r="M57" s="54"/>
    </row>
    <row r="58">
      <c r="A58" s="23"/>
      <c r="B58" s="52"/>
      <c r="C58" s="53"/>
      <c r="D58" s="23"/>
      <c r="E58" s="53"/>
      <c r="F58" s="54"/>
      <c r="G58" s="54"/>
      <c r="H58" s="54"/>
      <c r="I58" s="53"/>
      <c r="J58" s="53"/>
      <c r="K58" s="23"/>
      <c r="L58" s="53"/>
      <c r="M58" s="54"/>
    </row>
    <row r="59">
      <c r="A59" s="23"/>
      <c r="B59" s="52"/>
      <c r="C59" s="53"/>
      <c r="D59" s="23"/>
      <c r="E59" s="53"/>
      <c r="F59" s="54"/>
      <c r="G59" s="54"/>
      <c r="H59" s="54"/>
      <c r="I59" s="53"/>
      <c r="J59" s="53"/>
      <c r="K59" s="23"/>
      <c r="L59" s="53"/>
      <c r="M59" s="54"/>
    </row>
    <row r="60">
      <c r="A60" s="23"/>
      <c r="B60" s="52"/>
      <c r="C60" s="53"/>
      <c r="D60" s="23"/>
      <c r="E60" s="53"/>
      <c r="F60" s="54"/>
      <c r="G60" s="54"/>
      <c r="H60" s="54"/>
      <c r="I60" s="53"/>
      <c r="J60" s="53"/>
      <c r="K60" s="23"/>
      <c r="L60" s="53"/>
      <c r="M60" s="54"/>
    </row>
    <row r="61">
      <c r="A61" s="23"/>
      <c r="B61" s="52"/>
      <c r="C61" s="53"/>
      <c r="D61" s="23"/>
      <c r="E61" s="53"/>
      <c r="F61" s="54"/>
      <c r="G61" s="54"/>
      <c r="H61" s="54"/>
      <c r="I61" s="53"/>
      <c r="J61" s="53"/>
      <c r="K61" s="23"/>
      <c r="L61" s="53"/>
      <c r="M61" s="54"/>
    </row>
    <row r="62">
      <c r="A62" s="23"/>
      <c r="B62" s="52"/>
      <c r="C62" s="53"/>
      <c r="D62" s="23"/>
      <c r="E62" s="53"/>
      <c r="F62" s="54"/>
      <c r="G62" s="54"/>
      <c r="H62" s="54"/>
      <c r="I62" s="53"/>
      <c r="J62" s="53"/>
      <c r="K62" s="23"/>
      <c r="L62" s="53"/>
      <c r="M62" s="54"/>
    </row>
    <row r="63">
      <c r="A63" s="23"/>
      <c r="B63" s="52"/>
      <c r="C63" s="53"/>
      <c r="D63" s="23"/>
      <c r="E63" s="53"/>
      <c r="F63" s="54"/>
      <c r="G63" s="54"/>
      <c r="H63" s="54"/>
      <c r="I63" s="53"/>
      <c r="J63" s="53"/>
      <c r="K63" s="23"/>
      <c r="L63" s="53"/>
      <c r="M63" s="54"/>
    </row>
    <row r="64">
      <c r="A64" s="23"/>
      <c r="B64" s="52"/>
      <c r="C64" s="53"/>
      <c r="D64" s="23"/>
      <c r="E64" s="53"/>
      <c r="F64" s="54"/>
      <c r="G64" s="54"/>
      <c r="H64" s="54"/>
      <c r="I64" s="53"/>
      <c r="J64" s="53"/>
      <c r="K64" s="53"/>
      <c r="L64" s="53"/>
      <c r="M64" s="54"/>
    </row>
    <row r="65">
      <c r="A65" s="23"/>
      <c r="B65" s="52"/>
      <c r="C65" s="53"/>
      <c r="D65" s="23"/>
      <c r="E65" s="53"/>
      <c r="F65" s="54"/>
      <c r="G65" s="54"/>
      <c r="H65" s="54"/>
      <c r="I65" s="53"/>
      <c r="J65" s="53"/>
      <c r="K65" s="23"/>
      <c r="L65" s="53"/>
      <c r="M65" s="54"/>
    </row>
    <row r="66">
      <c r="A66" s="23"/>
      <c r="B66" s="52"/>
      <c r="C66" s="53"/>
      <c r="D66" s="23"/>
      <c r="E66" s="53"/>
      <c r="F66" s="54"/>
      <c r="G66" s="54"/>
      <c r="H66" s="54"/>
      <c r="I66" s="53"/>
      <c r="J66" s="53"/>
      <c r="K66" s="23"/>
      <c r="L66" s="53"/>
      <c r="M66" s="54"/>
    </row>
    <row r="67">
      <c r="A67" s="23"/>
      <c r="B67" s="52"/>
      <c r="C67" s="53"/>
      <c r="D67" s="23"/>
      <c r="E67" s="53"/>
      <c r="F67" s="54"/>
      <c r="G67" s="54"/>
      <c r="H67" s="54"/>
      <c r="I67" s="53"/>
      <c r="J67" s="53"/>
      <c r="K67" s="53"/>
      <c r="L67" s="53"/>
      <c r="M67" s="54"/>
    </row>
    <row r="68">
      <c r="A68" s="23"/>
      <c r="B68" s="52"/>
      <c r="C68" s="53"/>
      <c r="D68" s="23"/>
      <c r="E68" s="53"/>
      <c r="F68" s="54"/>
      <c r="G68" s="54"/>
      <c r="H68" s="54"/>
      <c r="I68" s="53"/>
      <c r="J68" s="53"/>
      <c r="K68" s="23"/>
      <c r="L68" s="53"/>
      <c r="M68" s="54"/>
    </row>
    <row r="69">
      <c r="A69" s="23"/>
      <c r="B69" s="52"/>
      <c r="C69" s="53"/>
      <c r="D69" s="23"/>
      <c r="E69" s="53"/>
      <c r="F69" s="54"/>
      <c r="G69" s="54"/>
      <c r="H69" s="54"/>
      <c r="I69" s="53"/>
      <c r="J69" s="53"/>
      <c r="K69" s="23"/>
      <c r="L69" s="53"/>
      <c r="M69" s="54"/>
    </row>
    <row r="70">
      <c r="A70" s="23"/>
      <c r="B70" s="52"/>
      <c r="C70" s="53"/>
      <c r="D70" s="23"/>
      <c r="E70" s="53"/>
      <c r="F70" s="54"/>
      <c r="G70" s="54"/>
      <c r="H70" s="54"/>
      <c r="I70" s="53"/>
      <c r="J70" s="53"/>
      <c r="K70" s="23"/>
      <c r="L70" s="53"/>
      <c r="M70" s="54"/>
    </row>
    <row r="71">
      <c r="A71" s="23"/>
      <c r="B71" s="52"/>
      <c r="C71" s="53"/>
      <c r="D71" s="23"/>
      <c r="E71" s="53"/>
      <c r="F71" s="54"/>
      <c r="G71" s="54"/>
      <c r="H71" s="54"/>
      <c r="I71" s="53"/>
      <c r="J71" s="53"/>
      <c r="K71" s="23"/>
      <c r="L71" s="53"/>
      <c r="M71" s="54"/>
    </row>
    <row r="72">
      <c r="A72" s="23"/>
      <c r="B72" s="52"/>
      <c r="C72" s="53"/>
      <c r="D72" s="23"/>
      <c r="E72" s="53"/>
      <c r="F72" s="54"/>
      <c r="G72" s="54"/>
      <c r="H72" s="54"/>
      <c r="I72" s="53"/>
      <c r="J72" s="53"/>
      <c r="K72" s="23"/>
      <c r="L72" s="53"/>
      <c r="M72" s="54"/>
    </row>
    <row r="73">
      <c r="A73" s="23"/>
      <c r="B73" s="52"/>
      <c r="C73" s="53"/>
      <c r="D73" s="23"/>
      <c r="E73" s="53"/>
      <c r="F73" s="54"/>
      <c r="G73" s="54"/>
      <c r="H73" s="54"/>
      <c r="I73" s="53"/>
      <c r="J73" s="53"/>
      <c r="K73" s="23"/>
      <c r="L73" s="53"/>
      <c r="M73" s="54"/>
    </row>
    <row r="74">
      <c r="A74" s="23"/>
      <c r="B74" s="52"/>
      <c r="C74" s="53"/>
      <c r="D74" s="23"/>
      <c r="E74" s="53"/>
      <c r="F74" s="54"/>
      <c r="G74" s="54"/>
      <c r="H74" s="54"/>
      <c r="I74" s="53"/>
      <c r="J74" s="53"/>
      <c r="K74" s="23"/>
      <c r="L74" s="53"/>
      <c r="M74" s="54"/>
    </row>
    <row r="75">
      <c r="A75" s="23"/>
      <c r="B75" s="52"/>
      <c r="C75" s="53"/>
      <c r="D75" s="23"/>
      <c r="E75" s="53"/>
      <c r="F75" s="54"/>
      <c r="G75" s="54"/>
      <c r="H75" s="54"/>
      <c r="I75" s="53"/>
      <c r="J75" s="53"/>
      <c r="K75" s="23"/>
      <c r="L75" s="53"/>
      <c r="M75" s="54"/>
    </row>
    <row r="76">
      <c r="A76" s="23"/>
      <c r="B76" s="52"/>
      <c r="C76" s="53"/>
      <c r="D76" s="23"/>
      <c r="E76" s="53"/>
      <c r="F76" s="54"/>
      <c r="G76" s="54"/>
      <c r="H76" s="54"/>
      <c r="I76" s="53"/>
      <c r="J76" s="53"/>
      <c r="K76" s="23"/>
      <c r="L76" s="53"/>
      <c r="M76" s="54"/>
    </row>
    <row r="77">
      <c r="A77" s="23"/>
      <c r="B77" s="52"/>
      <c r="C77" s="53"/>
      <c r="D77" s="23"/>
      <c r="E77" s="53"/>
      <c r="F77" s="54"/>
      <c r="G77" s="54"/>
      <c r="H77" s="54"/>
      <c r="I77" s="53"/>
      <c r="J77" s="53"/>
      <c r="K77" s="23"/>
      <c r="L77" s="53"/>
      <c r="M77" s="54"/>
    </row>
    <row r="78">
      <c r="A78" s="23"/>
      <c r="B78" s="52"/>
      <c r="C78" s="53"/>
      <c r="D78" s="23"/>
      <c r="E78" s="53"/>
      <c r="F78" s="54"/>
      <c r="G78" s="54"/>
      <c r="H78" s="54"/>
      <c r="I78" s="53"/>
      <c r="J78" s="53"/>
      <c r="K78" s="23"/>
      <c r="L78" s="53"/>
      <c r="M78" s="54"/>
    </row>
    <row r="79">
      <c r="A79" s="23"/>
      <c r="B79" s="52"/>
      <c r="C79" s="53"/>
      <c r="D79" s="23"/>
      <c r="E79" s="53"/>
      <c r="F79" s="54"/>
      <c r="G79" s="54"/>
      <c r="H79" s="54"/>
      <c r="I79" s="53"/>
      <c r="J79" s="53"/>
      <c r="K79" s="23"/>
      <c r="L79" s="53"/>
      <c r="M79" s="54"/>
    </row>
    <row r="80">
      <c r="A80" s="23"/>
      <c r="B80" s="52"/>
      <c r="C80" s="53"/>
      <c r="D80" s="23"/>
      <c r="E80" s="53"/>
      <c r="F80" s="54"/>
      <c r="G80" s="54"/>
      <c r="H80" s="54"/>
      <c r="I80" s="53"/>
      <c r="J80" s="53"/>
      <c r="K80" s="23"/>
      <c r="L80" s="53"/>
      <c r="M80" s="54"/>
    </row>
    <row r="81">
      <c r="A81" s="23"/>
      <c r="B81" s="52"/>
      <c r="C81" s="53"/>
      <c r="D81" s="23"/>
      <c r="E81" s="53"/>
      <c r="F81" s="54"/>
      <c r="G81" s="54"/>
      <c r="H81" s="54"/>
      <c r="I81" s="53"/>
      <c r="J81" s="53"/>
      <c r="K81" s="23"/>
      <c r="L81" s="53"/>
      <c r="M81" s="54"/>
    </row>
    <row r="82">
      <c r="A82" s="23"/>
      <c r="B82" s="52"/>
      <c r="C82" s="53"/>
      <c r="D82" s="23"/>
      <c r="E82" s="53"/>
      <c r="F82" s="54"/>
      <c r="G82" s="54"/>
      <c r="H82" s="54"/>
      <c r="I82" s="53"/>
      <c r="J82" s="53"/>
      <c r="K82" s="23"/>
      <c r="L82" s="53"/>
      <c r="M82" s="54"/>
    </row>
    <row r="83">
      <c r="A83" s="23"/>
      <c r="B83" s="52"/>
      <c r="C83" s="53"/>
      <c r="D83" s="23"/>
      <c r="E83" s="53"/>
      <c r="F83" s="54"/>
      <c r="G83" s="54"/>
      <c r="H83" s="54"/>
      <c r="I83" s="53"/>
      <c r="J83" s="53"/>
      <c r="K83" s="23"/>
      <c r="L83" s="53"/>
      <c r="M83" s="54"/>
    </row>
    <row r="84">
      <c r="A84" s="23"/>
      <c r="B84" s="52"/>
      <c r="C84" s="53"/>
      <c r="D84" s="23"/>
      <c r="E84" s="53"/>
      <c r="F84" s="54"/>
      <c r="G84" s="54"/>
      <c r="H84" s="54"/>
      <c r="I84" s="53"/>
      <c r="J84" s="53"/>
      <c r="K84" s="23"/>
      <c r="L84" s="53"/>
      <c r="M84" s="54"/>
    </row>
    <row r="85">
      <c r="A85" s="23"/>
      <c r="B85" s="52"/>
      <c r="C85" s="53"/>
      <c r="D85" s="23"/>
      <c r="E85" s="53"/>
      <c r="F85" s="54"/>
      <c r="G85" s="54"/>
      <c r="H85" s="54"/>
      <c r="I85" s="53"/>
      <c r="J85" s="53"/>
      <c r="K85" s="23"/>
      <c r="L85" s="53"/>
      <c r="M85" s="54"/>
    </row>
    <row r="86">
      <c r="A86" s="23"/>
      <c r="B86" s="52"/>
      <c r="C86" s="53"/>
      <c r="D86" s="23"/>
      <c r="E86" s="53"/>
      <c r="F86" s="54"/>
      <c r="G86" s="54"/>
      <c r="H86" s="54"/>
      <c r="I86" s="53"/>
      <c r="J86" s="53"/>
      <c r="K86" s="23"/>
      <c r="L86" s="53"/>
      <c r="M86" s="54"/>
    </row>
    <row r="87">
      <c r="A87" s="23"/>
      <c r="B87" s="52"/>
      <c r="C87" s="53"/>
      <c r="D87" s="23"/>
      <c r="E87" s="53"/>
      <c r="F87" s="54"/>
      <c r="G87" s="54"/>
      <c r="H87" s="54"/>
      <c r="I87" s="53"/>
      <c r="J87" s="53"/>
      <c r="K87" s="53"/>
      <c r="L87" s="53"/>
      <c r="M87" s="54"/>
    </row>
    <row r="88">
      <c r="A88" s="23"/>
      <c r="B88" s="52"/>
      <c r="C88" s="53"/>
      <c r="D88" s="23"/>
      <c r="E88" s="53"/>
      <c r="F88" s="54"/>
      <c r="G88" s="54"/>
      <c r="H88" s="54"/>
      <c r="I88" s="53"/>
      <c r="J88" s="53"/>
      <c r="K88" s="23"/>
      <c r="L88" s="53"/>
      <c r="M88" s="54"/>
    </row>
    <row r="89">
      <c r="A89" s="23"/>
      <c r="B89" s="52"/>
      <c r="C89" s="53"/>
      <c r="D89" s="23"/>
      <c r="E89" s="53"/>
      <c r="F89" s="54"/>
      <c r="G89" s="54"/>
      <c r="H89" s="54"/>
      <c r="I89" s="53"/>
      <c r="J89" s="53"/>
      <c r="K89" s="23"/>
      <c r="L89" s="53"/>
      <c r="M89" s="54"/>
    </row>
    <row r="90">
      <c r="A90" s="23"/>
      <c r="B90" s="52"/>
      <c r="C90" s="53"/>
      <c r="D90" s="23"/>
      <c r="E90" s="53"/>
      <c r="F90" s="54"/>
      <c r="G90" s="54"/>
      <c r="H90" s="54"/>
      <c r="I90" s="53"/>
      <c r="J90" s="53"/>
      <c r="K90" s="23"/>
      <c r="L90" s="53"/>
      <c r="M90" s="54"/>
    </row>
    <row r="91">
      <c r="A91" s="23"/>
      <c r="B91" s="52"/>
      <c r="C91" s="53"/>
      <c r="D91" s="23"/>
      <c r="E91" s="53"/>
      <c r="F91" s="54"/>
      <c r="G91" s="54"/>
      <c r="H91" s="54"/>
      <c r="I91" s="53"/>
      <c r="J91" s="53"/>
      <c r="K91" s="23"/>
      <c r="L91" s="53"/>
      <c r="M91" s="54"/>
    </row>
    <row r="92">
      <c r="A92" s="23"/>
      <c r="B92" s="52"/>
      <c r="C92" s="53"/>
      <c r="D92" s="23"/>
      <c r="E92" s="53"/>
      <c r="F92" s="54"/>
      <c r="G92" s="54"/>
      <c r="H92" s="54"/>
      <c r="I92" s="53"/>
      <c r="J92" s="53"/>
      <c r="K92" s="23"/>
      <c r="L92" s="53"/>
      <c r="M92" s="54"/>
    </row>
    <row r="93">
      <c r="A93" s="23"/>
      <c r="B93" s="52"/>
      <c r="C93" s="53"/>
      <c r="D93" s="23"/>
      <c r="E93" s="53"/>
      <c r="F93" s="54"/>
      <c r="G93" s="54"/>
      <c r="H93" s="54"/>
      <c r="I93" s="53"/>
      <c r="J93" s="53"/>
      <c r="K93" s="23"/>
      <c r="L93" s="53"/>
      <c r="M93" s="54"/>
    </row>
    <row r="94">
      <c r="A94" s="23"/>
      <c r="B94" s="52"/>
      <c r="C94" s="53"/>
      <c r="D94" s="23"/>
      <c r="E94" s="53"/>
      <c r="F94" s="54"/>
      <c r="G94" s="54"/>
      <c r="H94" s="54"/>
      <c r="I94" s="53"/>
      <c r="J94" s="53"/>
      <c r="K94" s="23"/>
      <c r="L94" s="53"/>
      <c r="M94" s="54"/>
    </row>
    <row r="95">
      <c r="A95" s="23"/>
      <c r="B95" s="52"/>
      <c r="C95" s="53"/>
      <c r="D95" s="23"/>
      <c r="E95" s="53"/>
      <c r="F95" s="54"/>
      <c r="G95" s="54"/>
      <c r="H95" s="54"/>
      <c r="I95" s="53"/>
      <c r="J95" s="53"/>
      <c r="K95" s="23"/>
      <c r="L95" s="53"/>
      <c r="M95" s="54"/>
    </row>
    <row r="96">
      <c r="A96" s="23"/>
      <c r="B96" s="52"/>
      <c r="C96" s="53"/>
      <c r="D96" s="23"/>
      <c r="E96" s="53"/>
      <c r="F96" s="54"/>
      <c r="G96" s="54"/>
      <c r="H96" s="54"/>
      <c r="I96" s="53"/>
      <c r="J96" s="53"/>
      <c r="K96" s="23"/>
      <c r="L96" s="53"/>
      <c r="M96" s="54"/>
    </row>
    <row r="97">
      <c r="A97" s="23"/>
      <c r="B97" s="52"/>
      <c r="C97" s="53"/>
      <c r="D97" s="23"/>
      <c r="E97" s="53"/>
      <c r="F97" s="54"/>
      <c r="G97" s="54"/>
      <c r="H97" s="54"/>
      <c r="I97" s="53"/>
      <c r="J97" s="53"/>
      <c r="K97" s="23"/>
      <c r="L97" s="53"/>
      <c r="M97" s="54"/>
    </row>
    <row r="98">
      <c r="A98" s="23"/>
      <c r="B98" s="52"/>
      <c r="C98" s="53"/>
      <c r="D98" s="23"/>
      <c r="E98" s="53"/>
      <c r="F98" s="54"/>
      <c r="G98" s="54"/>
      <c r="H98" s="54"/>
      <c r="I98" s="53"/>
      <c r="J98" s="53"/>
      <c r="K98" s="23"/>
      <c r="L98" s="53"/>
      <c r="M98" s="54"/>
    </row>
    <row r="99">
      <c r="A99" s="23"/>
      <c r="B99" s="52"/>
      <c r="C99" s="53"/>
      <c r="D99" s="23"/>
      <c r="E99" s="53"/>
      <c r="F99" s="54"/>
      <c r="G99" s="54"/>
      <c r="H99" s="54"/>
      <c r="I99" s="53"/>
      <c r="J99" s="53"/>
      <c r="K99" s="23"/>
      <c r="L99" s="53"/>
      <c r="M99" s="54"/>
    </row>
    <row r="100">
      <c r="A100" s="23"/>
      <c r="B100" s="52"/>
      <c r="C100" s="53"/>
      <c r="D100" s="23"/>
      <c r="E100" s="53"/>
      <c r="F100" s="54"/>
      <c r="G100" s="54"/>
      <c r="H100" s="54"/>
      <c r="I100" s="53"/>
      <c r="J100" s="53"/>
      <c r="K100" s="23"/>
      <c r="L100" s="53"/>
      <c r="M100" s="54"/>
    </row>
    <row r="101">
      <c r="A101" s="23"/>
      <c r="B101" s="52"/>
      <c r="C101" s="53"/>
      <c r="D101" s="23"/>
      <c r="E101" s="53"/>
      <c r="F101" s="54"/>
      <c r="G101" s="54"/>
      <c r="H101" s="54"/>
      <c r="I101" s="53"/>
      <c r="J101" s="53"/>
      <c r="K101" s="23"/>
      <c r="L101" s="53"/>
      <c r="M101" s="54"/>
    </row>
    <row r="102">
      <c r="A102" s="23"/>
      <c r="B102" s="52"/>
      <c r="C102" s="53"/>
      <c r="D102" s="23"/>
      <c r="E102" s="53"/>
      <c r="F102" s="54"/>
      <c r="G102" s="54"/>
      <c r="H102" s="54"/>
      <c r="I102" s="53"/>
      <c r="J102" s="53"/>
      <c r="K102" s="23"/>
      <c r="L102" s="53"/>
      <c r="M102" s="54"/>
    </row>
    <row r="103">
      <c r="A103" s="23"/>
      <c r="B103" s="52"/>
      <c r="C103" s="53"/>
      <c r="D103" s="23"/>
      <c r="E103" s="53"/>
      <c r="F103" s="54"/>
      <c r="G103" s="54"/>
      <c r="H103" s="54"/>
      <c r="I103" s="53"/>
      <c r="J103" s="53"/>
      <c r="K103" s="23"/>
      <c r="L103" s="53"/>
      <c r="M103" s="54"/>
    </row>
    <row r="104">
      <c r="A104" s="23"/>
      <c r="B104" s="52"/>
      <c r="C104" s="53"/>
      <c r="D104" s="23"/>
      <c r="E104" s="53"/>
      <c r="F104" s="54"/>
      <c r="G104" s="54"/>
      <c r="H104" s="54"/>
      <c r="I104" s="53"/>
      <c r="J104" s="53"/>
      <c r="K104" s="23"/>
      <c r="L104" s="53"/>
      <c r="M104" s="54"/>
    </row>
    <row r="105">
      <c r="A105" s="23"/>
      <c r="B105" s="52"/>
      <c r="C105" s="53"/>
      <c r="D105" s="23"/>
      <c r="E105" s="53"/>
      <c r="F105" s="54"/>
      <c r="G105" s="54"/>
      <c r="H105" s="54"/>
      <c r="I105" s="53"/>
      <c r="J105" s="53"/>
      <c r="K105" s="23"/>
      <c r="L105" s="53"/>
      <c r="M105" s="54"/>
    </row>
    <row r="106">
      <c r="A106" s="23"/>
      <c r="B106" s="52"/>
      <c r="C106" s="53"/>
      <c r="D106" s="23"/>
      <c r="E106" s="53"/>
      <c r="F106" s="54"/>
      <c r="G106" s="54"/>
      <c r="H106" s="54"/>
      <c r="I106" s="53"/>
      <c r="J106" s="53"/>
      <c r="K106" s="23"/>
      <c r="L106" s="53"/>
      <c r="M106" s="54"/>
    </row>
    <row r="107">
      <c r="A107" s="23"/>
      <c r="B107" s="52"/>
      <c r="C107" s="53"/>
      <c r="D107" s="23"/>
      <c r="E107" s="53"/>
      <c r="F107" s="54"/>
      <c r="G107" s="54"/>
      <c r="H107" s="54"/>
      <c r="I107" s="53"/>
      <c r="J107" s="53"/>
      <c r="K107" s="23"/>
      <c r="L107" s="53"/>
      <c r="M107" s="54"/>
    </row>
    <row r="108">
      <c r="A108" s="23"/>
      <c r="B108" s="52"/>
      <c r="C108" s="53"/>
      <c r="D108" s="23"/>
      <c r="E108" s="53"/>
      <c r="F108" s="54"/>
      <c r="G108" s="54"/>
      <c r="H108" s="54"/>
      <c r="I108" s="53"/>
      <c r="J108" s="53"/>
      <c r="K108" s="23"/>
      <c r="L108" s="53"/>
      <c r="M108" s="54"/>
    </row>
    <row r="109">
      <c r="A109" s="23"/>
      <c r="B109" s="52"/>
      <c r="C109" s="53"/>
      <c r="D109" s="23"/>
      <c r="E109" s="53"/>
      <c r="F109" s="54"/>
      <c r="G109" s="54"/>
      <c r="H109" s="54"/>
      <c r="I109" s="53"/>
      <c r="J109" s="53"/>
      <c r="K109" s="23"/>
      <c r="L109" s="53"/>
      <c r="M109" s="54"/>
    </row>
    <row r="110">
      <c r="A110" s="23"/>
      <c r="B110" s="52"/>
      <c r="C110" s="53"/>
      <c r="D110" s="23"/>
      <c r="E110" s="53"/>
      <c r="F110" s="54"/>
      <c r="G110" s="54"/>
      <c r="H110" s="54"/>
      <c r="I110" s="53"/>
      <c r="J110" s="53"/>
      <c r="K110" s="23"/>
      <c r="L110" s="53"/>
      <c r="M110" s="54"/>
    </row>
    <row r="111">
      <c r="A111" s="23"/>
      <c r="B111" s="52"/>
      <c r="C111" s="53"/>
      <c r="D111" s="23"/>
      <c r="E111" s="53"/>
      <c r="F111" s="54"/>
      <c r="G111" s="54"/>
      <c r="H111" s="54"/>
      <c r="I111" s="53"/>
      <c r="J111" s="53"/>
      <c r="K111" s="23"/>
      <c r="L111" s="53"/>
      <c r="M111" s="54"/>
    </row>
    <row r="112">
      <c r="A112" s="23"/>
      <c r="B112" s="52"/>
      <c r="C112" s="53"/>
      <c r="D112" s="23"/>
      <c r="E112" s="53"/>
      <c r="F112" s="54"/>
      <c r="G112" s="54"/>
      <c r="H112" s="54"/>
      <c r="I112" s="53"/>
      <c r="J112" s="53"/>
      <c r="K112" s="23"/>
      <c r="L112" s="53"/>
      <c r="M112" s="54"/>
    </row>
    <row r="113">
      <c r="A113" s="23"/>
      <c r="B113" s="52"/>
      <c r="C113" s="53"/>
      <c r="D113" s="23"/>
      <c r="E113" s="53"/>
      <c r="F113" s="54"/>
      <c r="G113" s="54"/>
      <c r="H113" s="54"/>
      <c r="I113" s="53"/>
      <c r="J113" s="53"/>
      <c r="K113" s="23"/>
      <c r="L113" s="53"/>
      <c r="M113" s="54"/>
    </row>
    <row r="114">
      <c r="A114" s="23"/>
      <c r="B114" s="52"/>
      <c r="C114" s="53"/>
      <c r="D114" s="23"/>
      <c r="E114" s="53"/>
      <c r="F114" s="54"/>
      <c r="G114" s="54"/>
      <c r="H114" s="54"/>
      <c r="I114" s="53"/>
      <c r="J114" s="53"/>
      <c r="K114" s="23"/>
      <c r="L114" s="53"/>
      <c r="M114" s="54"/>
    </row>
    <row r="115">
      <c r="A115" s="23"/>
      <c r="B115" s="52"/>
      <c r="C115" s="53"/>
      <c r="D115" s="23"/>
      <c r="E115" s="53"/>
      <c r="F115" s="54"/>
      <c r="G115" s="54"/>
      <c r="H115" s="54"/>
      <c r="I115" s="53"/>
      <c r="J115" s="53"/>
      <c r="K115" s="23"/>
      <c r="L115" s="53"/>
      <c r="M115" s="54"/>
    </row>
    <row r="116">
      <c r="A116" s="23"/>
      <c r="B116" s="52"/>
      <c r="C116" s="53"/>
      <c r="D116" s="23"/>
      <c r="E116" s="53"/>
      <c r="F116" s="54"/>
      <c r="G116" s="54"/>
      <c r="H116" s="54"/>
      <c r="I116" s="53"/>
      <c r="J116" s="53"/>
      <c r="K116" s="23"/>
      <c r="L116" s="53"/>
      <c r="M116" s="54"/>
    </row>
    <row r="117">
      <c r="A117" s="23"/>
      <c r="B117" s="52"/>
      <c r="C117" s="53"/>
      <c r="D117" s="23"/>
      <c r="E117" s="53"/>
      <c r="F117" s="54"/>
      <c r="G117" s="54"/>
      <c r="H117" s="54"/>
      <c r="I117" s="53"/>
      <c r="J117" s="53"/>
      <c r="K117" s="23"/>
      <c r="L117" s="53"/>
      <c r="M117" s="54"/>
    </row>
    <row r="118">
      <c r="A118" s="23"/>
      <c r="B118" s="52"/>
      <c r="C118" s="53"/>
      <c r="D118" s="23"/>
      <c r="E118" s="53"/>
      <c r="F118" s="54"/>
      <c r="G118" s="54"/>
      <c r="H118" s="54"/>
      <c r="I118" s="53"/>
      <c r="J118" s="53"/>
      <c r="K118" s="23"/>
      <c r="L118" s="53"/>
      <c r="M118" s="54"/>
    </row>
    <row r="119">
      <c r="A119" s="23"/>
      <c r="B119" s="52"/>
      <c r="C119" s="53"/>
      <c r="D119" s="23"/>
      <c r="E119" s="53"/>
      <c r="F119" s="54"/>
      <c r="G119" s="54"/>
      <c r="H119" s="54"/>
      <c r="I119" s="53"/>
      <c r="J119" s="53"/>
      <c r="K119" s="23"/>
      <c r="L119" s="53"/>
      <c r="M119" s="54"/>
    </row>
    <row r="120">
      <c r="A120" s="23"/>
      <c r="B120" s="52"/>
      <c r="C120" s="53"/>
      <c r="D120" s="23"/>
      <c r="E120" s="53"/>
      <c r="F120" s="54"/>
      <c r="G120" s="54"/>
      <c r="H120" s="54"/>
      <c r="I120" s="53"/>
      <c r="J120" s="53"/>
      <c r="K120" s="23"/>
      <c r="L120" s="53"/>
      <c r="M120" s="54"/>
    </row>
    <row r="121">
      <c r="A121" s="23"/>
      <c r="B121" s="52"/>
      <c r="C121" s="53"/>
      <c r="D121" s="23"/>
      <c r="E121" s="53"/>
      <c r="F121" s="54"/>
      <c r="G121" s="54"/>
      <c r="H121" s="54"/>
      <c r="I121" s="53"/>
      <c r="J121" s="53"/>
      <c r="K121" s="23"/>
      <c r="L121" s="53"/>
      <c r="M121" s="54"/>
    </row>
    <row r="122">
      <c r="A122" s="23"/>
      <c r="B122" s="52"/>
      <c r="C122" s="53"/>
      <c r="D122" s="23"/>
      <c r="E122" s="53"/>
      <c r="F122" s="54"/>
      <c r="G122" s="54"/>
      <c r="H122" s="54"/>
      <c r="I122" s="53"/>
      <c r="J122" s="53"/>
      <c r="K122" s="23"/>
      <c r="L122" s="53"/>
      <c r="M122" s="54"/>
    </row>
    <row r="123">
      <c r="A123" s="23"/>
      <c r="B123" s="52"/>
      <c r="C123" s="53"/>
      <c r="D123" s="23"/>
      <c r="E123" s="53"/>
      <c r="F123" s="54"/>
      <c r="G123" s="54"/>
      <c r="H123" s="54"/>
      <c r="I123" s="53"/>
      <c r="J123" s="53"/>
      <c r="K123" s="23"/>
      <c r="L123" s="53"/>
      <c r="M123" s="54"/>
    </row>
    <row r="124">
      <c r="A124" s="23"/>
      <c r="B124" s="52"/>
      <c r="C124" s="53"/>
      <c r="D124" s="23"/>
      <c r="E124" s="53"/>
      <c r="F124" s="54"/>
      <c r="G124" s="54"/>
      <c r="H124" s="54"/>
      <c r="I124" s="53"/>
      <c r="J124" s="53"/>
      <c r="K124" s="23"/>
      <c r="L124" s="53"/>
      <c r="M124" s="54"/>
    </row>
    <row r="125">
      <c r="A125" s="23"/>
      <c r="B125" s="52"/>
      <c r="C125" s="53"/>
      <c r="D125" s="23"/>
      <c r="E125" s="53"/>
      <c r="F125" s="54"/>
      <c r="G125" s="54"/>
      <c r="H125" s="54"/>
      <c r="I125" s="53"/>
      <c r="J125" s="53"/>
      <c r="K125" s="23"/>
      <c r="L125" s="53"/>
      <c r="M125" s="54"/>
    </row>
    <row r="126">
      <c r="A126" s="23"/>
      <c r="B126" s="52"/>
      <c r="C126" s="53"/>
      <c r="D126" s="23"/>
      <c r="E126" s="53"/>
      <c r="F126" s="54"/>
      <c r="G126" s="54"/>
      <c r="H126" s="54"/>
      <c r="I126" s="53"/>
      <c r="J126" s="53"/>
      <c r="K126" s="23"/>
      <c r="L126" s="53"/>
      <c r="M126" s="54"/>
    </row>
    <row r="127">
      <c r="A127" s="23"/>
      <c r="B127" s="52"/>
      <c r="C127" s="53"/>
      <c r="D127" s="23"/>
      <c r="E127" s="53"/>
      <c r="F127" s="54"/>
      <c r="G127" s="54"/>
      <c r="H127" s="54"/>
      <c r="I127" s="53"/>
      <c r="J127" s="53"/>
      <c r="K127" s="23"/>
      <c r="L127" s="53"/>
      <c r="M127" s="54"/>
    </row>
    <row r="128">
      <c r="A128" s="23"/>
      <c r="B128" s="52"/>
      <c r="C128" s="53"/>
      <c r="D128" s="23"/>
      <c r="E128" s="53"/>
      <c r="F128" s="54"/>
      <c r="G128" s="54"/>
      <c r="H128" s="54"/>
      <c r="I128" s="53"/>
      <c r="J128" s="53"/>
      <c r="K128" s="23"/>
      <c r="L128" s="53"/>
      <c r="M128" s="54"/>
    </row>
    <row r="129">
      <c r="A129" s="23"/>
      <c r="B129" s="52"/>
      <c r="C129" s="53"/>
      <c r="D129" s="23"/>
      <c r="E129" s="53"/>
      <c r="F129" s="54"/>
      <c r="G129" s="54"/>
      <c r="H129" s="54"/>
      <c r="I129" s="53"/>
      <c r="J129" s="53"/>
      <c r="K129" s="23"/>
      <c r="L129" s="53"/>
      <c r="M129" s="54"/>
    </row>
    <row r="130">
      <c r="A130" s="23"/>
      <c r="B130" s="52"/>
      <c r="C130" s="53"/>
      <c r="D130" s="23"/>
      <c r="E130" s="53"/>
      <c r="F130" s="54"/>
      <c r="G130" s="54"/>
      <c r="H130" s="54"/>
      <c r="I130" s="53"/>
      <c r="J130" s="53"/>
      <c r="K130" s="23"/>
      <c r="L130" s="53"/>
      <c r="M130" s="54"/>
    </row>
    <row r="131">
      <c r="A131" s="23"/>
      <c r="B131" s="52"/>
      <c r="C131" s="53"/>
      <c r="D131" s="23"/>
      <c r="E131" s="53"/>
      <c r="F131" s="54"/>
      <c r="G131" s="54"/>
      <c r="H131" s="54"/>
      <c r="I131" s="53"/>
      <c r="J131" s="53"/>
      <c r="K131" s="23"/>
      <c r="L131" s="53"/>
      <c r="M131" s="54"/>
    </row>
    <row r="132">
      <c r="A132" s="23"/>
      <c r="B132" s="52"/>
      <c r="C132" s="53"/>
      <c r="D132" s="23"/>
      <c r="E132" s="53"/>
      <c r="F132" s="54"/>
      <c r="G132" s="54"/>
      <c r="H132" s="54"/>
      <c r="I132" s="53"/>
      <c r="J132" s="53"/>
      <c r="K132" s="23"/>
      <c r="L132" s="53"/>
      <c r="M132" s="54"/>
    </row>
    <row r="133">
      <c r="A133" s="23"/>
      <c r="B133" s="52"/>
      <c r="C133" s="53"/>
      <c r="D133" s="23"/>
      <c r="E133" s="53"/>
      <c r="F133" s="54"/>
      <c r="G133" s="54"/>
      <c r="H133" s="54"/>
      <c r="I133" s="53"/>
      <c r="J133" s="53"/>
      <c r="K133" s="23"/>
      <c r="L133" s="53"/>
      <c r="M133" s="54"/>
    </row>
    <row r="134">
      <c r="A134" s="23"/>
      <c r="B134" s="52"/>
      <c r="C134" s="53"/>
      <c r="D134" s="23"/>
      <c r="E134" s="53"/>
      <c r="F134" s="54"/>
      <c r="G134" s="54"/>
      <c r="H134" s="54"/>
      <c r="I134" s="53"/>
      <c r="J134" s="53"/>
      <c r="K134" s="23"/>
      <c r="L134" s="53"/>
      <c r="M134" s="54"/>
    </row>
    <row r="135">
      <c r="A135" s="23"/>
      <c r="B135" s="52"/>
      <c r="C135" s="53"/>
      <c r="D135" s="23"/>
      <c r="E135" s="53"/>
      <c r="F135" s="54"/>
      <c r="G135" s="54"/>
      <c r="H135" s="54"/>
      <c r="I135" s="53"/>
      <c r="J135" s="53"/>
      <c r="K135" s="23"/>
      <c r="L135" s="53"/>
      <c r="M135" s="54"/>
    </row>
    <row r="136">
      <c r="A136" s="23"/>
      <c r="B136" s="52"/>
      <c r="C136" s="53"/>
      <c r="D136" s="23"/>
      <c r="E136" s="53"/>
      <c r="F136" s="54"/>
      <c r="G136" s="54"/>
      <c r="H136" s="54"/>
      <c r="I136" s="53"/>
      <c r="J136" s="53"/>
      <c r="K136" s="23"/>
      <c r="L136" s="53"/>
      <c r="M136" s="54"/>
    </row>
    <row r="137">
      <c r="A137" s="23"/>
      <c r="B137" s="52"/>
      <c r="C137" s="53"/>
      <c r="D137" s="23"/>
      <c r="E137" s="53"/>
      <c r="F137" s="54"/>
      <c r="G137" s="54"/>
      <c r="H137" s="54"/>
      <c r="I137" s="53"/>
      <c r="J137" s="53"/>
      <c r="K137" s="23"/>
      <c r="L137" s="53"/>
      <c r="M137" s="54"/>
    </row>
    <row r="138">
      <c r="A138" s="23"/>
      <c r="B138" s="52"/>
      <c r="C138" s="53"/>
      <c r="D138" s="23"/>
      <c r="E138" s="53"/>
      <c r="F138" s="54"/>
      <c r="G138" s="54"/>
      <c r="H138" s="54"/>
      <c r="I138" s="53"/>
      <c r="J138" s="53"/>
      <c r="K138" s="23"/>
      <c r="L138" s="53"/>
      <c r="M138" s="54"/>
    </row>
    <row r="139">
      <c r="A139" s="23"/>
      <c r="B139" s="52"/>
      <c r="C139" s="53"/>
      <c r="D139" s="23"/>
      <c r="E139" s="53"/>
      <c r="F139" s="54"/>
      <c r="G139" s="54"/>
      <c r="H139" s="54"/>
      <c r="I139" s="53"/>
      <c r="J139" s="53"/>
      <c r="K139" s="23"/>
      <c r="L139" s="53"/>
      <c r="M139" s="54"/>
    </row>
    <row r="140">
      <c r="A140" s="23"/>
      <c r="B140" s="52"/>
      <c r="C140" s="53"/>
      <c r="D140" s="23"/>
      <c r="E140" s="53"/>
      <c r="F140" s="54"/>
      <c r="G140" s="54"/>
      <c r="H140" s="54"/>
      <c r="I140" s="53"/>
      <c r="J140" s="53"/>
      <c r="K140" s="23"/>
      <c r="L140" s="53"/>
      <c r="M140" s="54"/>
    </row>
    <row r="141">
      <c r="A141" s="23"/>
      <c r="B141" s="52"/>
      <c r="C141" s="53"/>
      <c r="D141" s="23"/>
      <c r="E141" s="53"/>
      <c r="F141" s="54"/>
      <c r="G141" s="54"/>
      <c r="H141" s="54"/>
      <c r="I141" s="53"/>
      <c r="J141" s="53"/>
      <c r="K141" s="23"/>
      <c r="L141" s="53"/>
      <c r="M141" s="54"/>
    </row>
    <row r="142">
      <c r="A142" s="23"/>
      <c r="B142" s="52"/>
      <c r="C142" s="53"/>
      <c r="D142" s="23"/>
      <c r="E142" s="53"/>
      <c r="F142" s="54"/>
      <c r="G142" s="54"/>
      <c r="H142" s="54"/>
      <c r="I142" s="53"/>
      <c r="J142" s="53"/>
      <c r="K142" s="23"/>
      <c r="L142" s="53"/>
      <c r="M142" s="54"/>
    </row>
    <row r="143">
      <c r="A143" s="23"/>
      <c r="B143" s="52"/>
      <c r="C143" s="53"/>
      <c r="D143" s="23"/>
      <c r="E143" s="53"/>
      <c r="F143" s="54"/>
      <c r="G143" s="54"/>
      <c r="H143" s="54"/>
      <c r="I143" s="53"/>
      <c r="J143" s="53"/>
      <c r="K143" s="23"/>
      <c r="L143" s="53"/>
      <c r="M143" s="54"/>
    </row>
    <row r="144">
      <c r="A144" s="23"/>
      <c r="B144" s="52"/>
      <c r="C144" s="53"/>
      <c r="D144" s="23"/>
      <c r="E144" s="53"/>
      <c r="F144" s="54"/>
      <c r="G144" s="54"/>
      <c r="H144" s="54"/>
      <c r="I144" s="53"/>
      <c r="J144" s="53"/>
      <c r="K144" s="23"/>
      <c r="L144" s="53"/>
      <c r="M144" s="54"/>
    </row>
    <row r="145">
      <c r="A145" s="23"/>
      <c r="B145" s="52"/>
      <c r="C145" s="53"/>
      <c r="D145" s="23"/>
      <c r="E145" s="53"/>
      <c r="F145" s="54"/>
      <c r="G145" s="54"/>
      <c r="H145" s="54"/>
      <c r="I145" s="53"/>
      <c r="J145" s="53"/>
      <c r="K145" s="23"/>
      <c r="L145" s="53"/>
      <c r="M145" s="54"/>
    </row>
    <row r="146">
      <c r="A146" s="23"/>
      <c r="B146" s="52"/>
      <c r="C146" s="53"/>
      <c r="D146" s="23"/>
      <c r="E146" s="53"/>
      <c r="F146" s="54"/>
      <c r="G146" s="54"/>
      <c r="H146" s="54"/>
      <c r="I146" s="53"/>
      <c r="J146" s="53"/>
      <c r="K146" s="23"/>
      <c r="L146" s="53"/>
      <c r="M146" s="54"/>
    </row>
    <row r="147">
      <c r="A147" s="23"/>
      <c r="B147" s="52"/>
      <c r="C147" s="53"/>
      <c r="D147" s="23"/>
      <c r="E147" s="53"/>
      <c r="F147" s="54"/>
      <c r="G147" s="54"/>
      <c r="H147" s="54"/>
      <c r="I147" s="53"/>
      <c r="J147" s="53"/>
      <c r="K147" s="23"/>
      <c r="L147" s="53"/>
      <c r="M147" s="54"/>
    </row>
    <row r="148">
      <c r="A148" s="23"/>
      <c r="B148" s="52"/>
      <c r="C148" s="53"/>
      <c r="D148" s="23"/>
      <c r="E148" s="53"/>
      <c r="F148" s="54"/>
      <c r="G148" s="54"/>
      <c r="H148" s="54"/>
      <c r="I148" s="53"/>
      <c r="J148" s="53"/>
      <c r="K148" s="23"/>
      <c r="L148" s="53"/>
      <c r="M148" s="54"/>
    </row>
    <row r="149">
      <c r="A149" s="23"/>
      <c r="B149" s="52"/>
      <c r="C149" s="53"/>
      <c r="D149" s="23"/>
      <c r="E149" s="53"/>
      <c r="F149" s="54"/>
      <c r="G149" s="54"/>
      <c r="H149" s="54"/>
      <c r="I149" s="53"/>
      <c r="J149" s="53"/>
      <c r="K149" s="23"/>
      <c r="L149" s="53"/>
      <c r="M149" s="54"/>
    </row>
    <row r="150">
      <c r="A150" s="23"/>
      <c r="B150" s="52"/>
      <c r="C150" s="53"/>
      <c r="D150" s="23"/>
      <c r="E150" s="53"/>
      <c r="F150" s="54"/>
      <c r="G150" s="54"/>
      <c r="H150" s="54"/>
      <c r="I150" s="53"/>
      <c r="J150" s="53"/>
      <c r="K150" s="23"/>
      <c r="L150" s="53"/>
      <c r="M150" s="54"/>
    </row>
    <row r="151">
      <c r="A151" s="23"/>
      <c r="B151" s="52"/>
      <c r="C151" s="53"/>
      <c r="D151" s="23"/>
      <c r="E151" s="53"/>
      <c r="F151" s="54"/>
      <c r="G151" s="54"/>
      <c r="H151" s="54"/>
      <c r="I151" s="53"/>
      <c r="J151" s="53"/>
      <c r="K151" s="23"/>
      <c r="L151" s="53"/>
      <c r="M151" s="54"/>
    </row>
    <row r="152">
      <c r="A152" s="23"/>
      <c r="B152" s="52"/>
      <c r="C152" s="53"/>
      <c r="D152" s="23"/>
      <c r="E152" s="53"/>
      <c r="F152" s="54"/>
      <c r="G152" s="54"/>
      <c r="H152" s="54"/>
      <c r="I152" s="53"/>
      <c r="J152" s="53"/>
      <c r="K152" s="23"/>
      <c r="L152" s="53"/>
      <c r="M152" s="54"/>
    </row>
    <row r="153">
      <c r="A153" s="23"/>
      <c r="B153" s="52"/>
      <c r="C153" s="53"/>
      <c r="D153" s="23"/>
      <c r="E153" s="53"/>
      <c r="F153" s="54"/>
      <c r="G153" s="54"/>
      <c r="H153" s="54"/>
      <c r="I153" s="53"/>
      <c r="J153" s="53"/>
      <c r="K153" s="23"/>
      <c r="L153" s="53"/>
      <c r="M153" s="54"/>
    </row>
    <row r="154">
      <c r="A154" s="23"/>
      <c r="B154" s="52"/>
      <c r="C154" s="53"/>
      <c r="D154" s="23"/>
      <c r="E154" s="53"/>
      <c r="F154" s="54"/>
      <c r="G154" s="54"/>
      <c r="H154" s="54"/>
      <c r="I154" s="53"/>
      <c r="J154" s="53"/>
      <c r="K154" s="23"/>
      <c r="L154" s="53"/>
      <c r="M154" s="54"/>
    </row>
    <row r="155">
      <c r="A155" s="23"/>
      <c r="B155" s="52"/>
      <c r="C155" s="53"/>
      <c r="D155" s="23"/>
      <c r="E155" s="53"/>
      <c r="F155" s="54"/>
      <c r="G155" s="54"/>
      <c r="H155" s="54"/>
      <c r="I155" s="53"/>
      <c r="J155" s="53"/>
      <c r="K155" s="23"/>
      <c r="L155" s="53"/>
      <c r="M155" s="54"/>
    </row>
    <row r="156">
      <c r="A156" s="23"/>
      <c r="B156" s="52"/>
      <c r="C156" s="53"/>
      <c r="D156" s="23"/>
      <c r="E156" s="53"/>
      <c r="F156" s="54"/>
      <c r="G156" s="54"/>
      <c r="H156" s="54"/>
      <c r="I156" s="53"/>
      <c r="J156" s="53"/>
      <c r="K156" s="23"/>
      <c r="L156" s="53"/>
      <c r="M156" s="54"/>
    </row>
    <row r="157">
      <c r="A157" s="23"/>
      <c r="B157" s="52"/>
      <c r="C157" s="53"/>
      <c r="D157" s="23"/>
      <c r="E157" s="53"/>
      <c r="F157" s="54"/>
      <c r="G157" s="54"/>
      <c r="H157" s="54"/>
      <c r="I157" s="53"/>
      <c r="J157" s="53"/>
      <c r="K157" s="23"/>
      <c r="L157" s="53"/>
      <c r="M157" s="54"/>
    </row>
    <row r="158">
      <c r="A158" s="23"/>
      <c r="B158" s="52"/>
      <c r="C158" s="53"/>
      <c r="D158" s="23"/>
      <c r="E158" s="53"/>
      <c r="F158" s="54"/>
      <c r="G158" s="54"/>
      <c r="H158" s="54"/>
      <c r="I158" s="53"/>
      <c r="J158" s="53"/>
      <c r="K158" s="23"/>
      <c r="L158" s="53"/>
      <c r="M158" s="54"/>
    </row>
    <row r="159">
      <c r="A159" s="23"/>
      <c r="B159" s="52"/>
      <c r="C159" s="53"/>
      <c r="D159" s="23"/>
      <c r="E159" s="53"/>
      <c r="F159" s="54"/>
      <c r="G159" s="54"/>
      <c r="H159" s="54"/>
      <c r="I159" s="53"/>
      <c r="J159" s="53"/>
      <c r="K159" s="23"/>
      <c r="L159" s="53"/>
      <c r="M159" s="54"/>
    </row>
    <row r="160">
      <c r="A160" s="23"/>
      <c r="B160" s="52"/>
      <c r="C160" s="53"/>
      <c r="D160" s="23"/>
      <c r="E160" s="53"/>
      <c r="F160" s="54"/>
      <c r="G160" s="54"/>
      <c r="H160" s="54"/>
      <c r="I160" s="53"/>
      <c r="J160" s="53"/>
      <c r="K160" s="23"/>
      <c r="L160" s="53"/>
      <c r="M160" s="54"/>
    </row>
    <row r="161">
      <c r="A161" s="23"/>
      <c r="B161" s="52"/>
      <c r="C161" s="53"/>
      <c r="D161" s="23"/>
      <c r="E161" s="53"/>
      <c r="F161" s="54"/>
      <c r="G161" s="54"/>
      <c r="H161" s="54"/>
      <c r="I161" s="53"/>
      <c r="J161" s="53"/>
      <c r="K161" s="23"/>
      <c r="L161" s="53"/>
      <c r="M161" s="54"/>
    </row>
    <row r="162">
      <c r="A162" s="23"/>
      <c r="B162" s="52"/>
      <c r="C162" s="53"/>
      <c r="D162" s="23"/>
      <c r="E162" s="53"/>
      <c r="F162" s="54"/>
      <c r="G162" s="54"/>
      <c r="H162" s="54"/>
      <c r="I162" s="53"/>
      <c r="J162" s="53"/>
      <c r="K162" s="23"/>
      <c r="L162" s="53"/>
      <c r="M162" s="54"/>
    </row>
    <row r="163">
      <c r="A163" s="23"/>
      <c r="B163" s="52"/>
      <c r="C163" s="53"/>
      <c r="D163" s="23"/>
      <c r="E163" s="53"/>
      <c r="F163" s="54"/>
      <c r="G163" s="54"/>
      <c r="H163" s="54"/>
      <c r="I163" s="53"/>
      <c r="J163" s="53"/>
      <c r="K163" s="23"/>
      <c r="L163" s="53"/>
      <c r="M163" s="54"/>
    </row>
    <row r="164">
      <c r="A164" s="23"/>
      <c r="B164" s="52"/>
      <c r="C164" s="53"/>
      <c r="D164" s="23"/>
      <c r="E164" s="53"/>
      <c r="F164" s="54"/>
      <c r="G164" s="54"/>
      <c r="H164" s="54"/>
      <c r="I164" s="53"/>
      <c r="J164" s="53"/>
      <c r="K164" s="23"/>
      <c r="L164" s="53"/>
      <c r="M164" s="54"/>
    </row>
    <row r="165">
      <c r="A165" s="23"/>
      <c r="B165" s="52"/>
      <c r="C165" s="53"/>
      <c r="D165" s="23"/>
      <c r="E165" s="53"/>
      <c r="F165" s="54"/>
      <c r="G165" s="54"/>
      <c r="H165" s="54"/>
      <c r="I165" s="53"/>
      <c r="J165" s="53"/>
      <c r="K165" s="23"/>
      <c r="L165" s="53"/>
      <c r="M165" s="54"/>
    </row>
    <row r="166">
      <c r="A166" s="23"/>
      <c r="B166" s="52"/>
      <c r="C166" s="53"/>
      <c r="D166" s="23"/>
      <c r="E166" s="53"/>
      <c r="F166" s="54"/>
      <c r="G166" s="54"/>
      <c r="H166" s="54"/>
      <c r="I166" s="53"/>
      <c r="J166" s="53"/>
      <c r="K166" s="23"/>
      <c r="L166" s="53"/>
      <c r="M166" s="54"/>
    </row>
    <row r="167">
      <c r="A167" s="23"/>
      <c r="B167" s="52"/>
      <c r="C167" s="53"/>
      <c r="D167" s="23"/>
      <c r="E167" s="53"/>
      <c r="F167" s="54"/>
      <c r="G167" s="54"/>
      <c r="H167" s="54"/>
      <c r="I167" s="53"/>
      <c r="J167" s="53"/>
      <c r="K167" s="23"/>
      <c r="L167" s="53"/>
      <c r="M167" s="54"/>
    </row>
    <row r="168">
      <c r="A168" s="23"/>
      <c r="B168" s="52"/>
      <c r="C168" s="53"/>
      <c r="D168" s="23"/>
      <c r="E168" s="53"/>
      <c r="F168" s="54"/>
      <c r="G168" s="54"/>
      <c r="H168" s="54"/>
      <c r="I168" s="53"/>
      <c r="J168" s="53"/>
      <c r="K168" s="23"/>
      <c r="L168" s="53"/>
      <c r="M168" s="54"/>
    </row>
    <row r="169">
      <c r="A169" s="23"/>
      <c r="B169" s="52"/>
      <c r="C169" s="53"/>
      <c r="D169" s="23"/>
      <c r="E169" s="53"/>
      <c r="F169" s="54"/>
      <c r="G169" s="54"/>
      <c r="H169" s="54"/>
      <c r="I169" s="53"/>
      <c r="J169" s="53"/>
      <c r="K169" s="23"/>
      <c r="L169" s="53"/>
      <c r="M169" s="54"/>
    </row>
    <row r="170">
      <c r="A170" s="23"/>
      <c r="B170" s="52"/>
      <c r="C170" s="53"/>
      <c r="D170" s="23"/>
      <c r="E170" s="53"/>
      <c r="F170" s="54"/>
      <c r="G170" s="54"/>
      <c r="H170" s="54"/>
      <c r="I170" s="53"/>
      <c r="J170" s="53"/>
      <c r="K170" s="23"/>
      <c r="L170" s="53"/>
      <c r="M170" s="54"/>
    </row>
    <row r="171">
      <c r="A171" s="23"/>
      <c r="B171" s="52"/>
      <c r="C171" s="53"/>
      <c r="D171" s="23"/>
      <c r="E171" s="53"/>
      <c r="F171" s="54"/>
      <c r="G171" s="54"/>
      <c r="H171" s="54"/>
      <c r="I171" s="53"/>
      <c r="J171" s="53"/>
      <c r="K171" s="23"/>
      <c r="L171" s="53"/>
      <c r="M171" s="54"/>
    </row>
    <row r="172">
      <c r="A172" s="23"/>
      <c r="B172" s="52"/>
      <c r="C172" s="53"/>
      <c r="D172" s="23"/>
      <c r="E172" s="53"/>
      <c r="F172" s="54"/>
      <c r="G172" s="54"/>
      <c r="H172" s="54"/>
      <c r="I172" s="53"/>
      <c r="J172" s="53"/>
      <c r="K172" s="23"/>
      <c r="L172" s="53"/>
      <c r="M172" s="54"/>
    </row>
    <row r="173">
      <c r="A173" s="23"/>
      <c r="B173" s="52"/>
      <c r="C173" s="53"/>
      <c r="D173" s="23"/>
      <c r="E173" s="53"/>
      <c r="F173" s="54"/>
      <c r="G173" s="54"/>
      <c r="H173" s="54"/>
      <c r="I173" s="53"/>
      <c r="J173" s="53"/>
      <c r="K173" s="23"/>
      <c r="L173" s="53"/>
      <c r="M173" s="54"/>
    </row>
    <row r="174">
      <c r="A174" s="23"/>
      <c r="B174" s="52"/>
      <c r="C174" s="53"/>
      <c r="D174" s="23"/>
      <c r="E174" s="53"/>
      <c r="F174" s="54"/>
      <c r="G174" s="54"/>
      <c r="H174" s="54"/>
      <c r="I174" s="53"/>
      <c r="J174" s="53"/>
      <c r="K174" s="23"/>
      <c r="L174" s="53"/>
      <c r="M174" s="54"/>
    </row>
    <row r="175">
      <c r="A175" s="23"/>
      <c r="B175" s="52"/>
      <c r="C175" s="53"/>
      <c r="D175" s="23"/>
      <c r="E175" s="53"/>
      <c r="F175" s="54"/>
      <c r="G175" s="54"/>
      <c r="H175" s="54"/>
      <c r="I175" s="53"/>
      <c r="J175" s="53"/>
      <c r="K175" s="23"/>
      <c r="L175" s="53"/>
      <c r="M175" s="54"/>
    </row>
    <row r="176">
      <c r="A176" s="23"/>
      <c r="B176" s="52"/>
      <c r="C176" s="53"/>
      <c r="D176" s="23"/>
      <c r="E176" s="53"/>
      <c r="F176" s="54"/>
      <c r="G176" s="54"/>
      <c r="H176" s="54"/>
      <c r="I176" s="53"/>
      <c r="J176" s="53"/>
      <c r="K176" s="23"/>
      <c r="L176" s="53"/>
      <c r="M176" s="54"/>
    </row>
    <row r="177">
      <c r="A177" s="23"/>
      <c r="B177" s="52"/>
      <c r="C177" s="53"/>
      <c r="D177" s="23"/>
      <c r="E177" s="53"/>
      <c r="F177" s="54"/>
      <c r="G177" s="54"/>
      <c r="H177" s="54"/>
      <c r="I177" s="53"/>
      <c r="J177" s="53"/>
      <c r="K177" s="23"/>
      <c r="L177" s="53"/>
      <c r="M177" s="54"/>
    </row>
    <row r="178">
      <c r="A178" s="23"/>
      <c r="B178" s="52"/>
      <c r="C178" s="53"/>
      <c r="D178" s="23"/>
      <c r="E178" s="53"/>
      <c r="F178" s="54"/>
      <c r="G178" s="54"/>
      <c r="H178" s="54"/>
      <c r="I178" s="53"/>
      <c r="J178" s="53"/>
      <c r="K178" s="23"/>
      <c r="L178" s="53"/>
      <c r="M178" s="54"/>
    </row>
    <row r="179">
      <c r="A179" s="23"/>
      <c r="B179" s="52"/>
      <c r="C179" s="53"/>
      <c r="D179" s="23"/>
      <c r="E179" s="53"/>
      <c r="F179" s="54"/>
      <c r="G179" s="54"/>
      <c r="H179" s="54"/>
      <c r="I179" s="53"/>
      <c r="J179" s="53"/>
      <c r="K179" s="23"/>
      <c r="L179" s="53"/>
      <c r="M179" s="54"/>
    </row>
    <row r="180">
      <c r="A180" s="23"/>
      <c r="B180" s="52"/>
      <c r="C180" s="53"/>
      <c r="D180" s="23"/>
      <c r="E180" s="53"/>
      <c r="F180" s="54"/>
      <c r="G180" s="54"/>
      <c r="H180" s="54"/>
      <c r="I180" s="53"/>
      <c r="J180" s="53"/>
      <c r="K180" s="23"/>
      <c r="L180" s="53"/>
      <c r="M180" s="54"/>
    </row>
    <row r="181">
      <c r="A181" s="23"/>
      <c r="B181" s="52"/>
      <c r="C181" s="53"/>
      <c r="D181" s="23"/>
      <c r="E181" s="53"/>
      <c r="F181" s="54"/>
      <c r="G181" s="54"/>
      <c r="H181" s="54"/>
      <c r="I181" s="53"/>
      <c r="J181" s="53"/>
      <c r="K181" s="23"/>
      <c r="L181" s="53"/>
      <c r="M181" s="54"/>
    </row>
    <row r="182">
      <c r="A182" s="23"/>
      <c r="B182" s="52"/>
      <c r="C182" s="53"/>
      <c r="D182" s="23"/>
      <c r="E182" s="53"/>
      <c r="F182" s="54"/>
      <c r="G182" s="54"/>
      <c r="H182" s="54"/>
      <c r="I182" s="53"/>
      <c r="J182" s="53"/>
      <c r="K182" s="23"/>
      <c r="L182" s="53"/>
      <c r="M182" s="54"/>
    </row>
    <row r="183">
      <c r="A183" s="23"/>
      <c r="B183" s="52"/>
      <c r="C183" s="53"/>
      <c r="D183" s="23"/>
      <c r="E183" s="53"/>
      <c r="F183" s="54"/>
      <c r="G183" s="54"/>
      <c r="H183" s="54"/>
      <c r="I183" s="53"/>
      <c r="J183" s="53"/>
      <c r="K183" s="23"/>
      <c r="L183" s="53"/>
      <c r="M183" s="54"/>
    </row>
    <row r="184">
      <c r="A184" s="23"/>
      <c r="B184" s="52"/>
      <c r="C184" s="53"/>
      <c r="D184" s="23"/>
      <c r="E184" s="53"/>
      <c r="F184" s="54"/>
      <c r="G184" s="54"/>
      <c r="H184" s="54"/>
      <c r="I184" s="53"/>
      <c r="J184" s="53"/>
      <c r="K184" s="23"/>
      <c r="L184" s="53"/>
      <c r="M184" s="54"/>
    </row>
    <row r="185">
      <c r="A185" s="23"/>
      <c r="B185" s="52"/>
      <c r="C185" s="53"/>
      <c r="D185" s="23"/>
      <c r="E185" s="53"/>
      <c r="F185" s="54"/>
      <c r="G185" s="54"/>
      <c r="H185" s="54"/>
      <c r="I185" s="53"/>
      <c r="J185" s="53"/>
      <c r="K185" s="23"/>
      <c r="L185" s="53"/>
      <c r="M185" s="54"/>
    </row>
    <row r="186">
      <c r="A186" s="23"/>
      <c r="B186" s="52"/>
      <c r="C186" s="53"/>
      <c r="D186" s="23"/>
      <c r="E186" s="53"/>
      <c r="F186" s="54"/>
      <c r="G186" s="54"/>
      <c r="H186" s="54"/>
      <c r="I186" s="53"/>
      <c r="J186" s="53"/>
      <c r="K186" s="23"/>
      <c r="L186" s="53"/>
      <c r="M186" s="54"/>
    </row>
    <row r="187">
      <c r="A187" s="23"/>
      <c r="B187" s="52"/>
      <c r="C187" s="53"/>
      <c r="D187" s="23"/>
      <c r="E187" s="53"/>
      <c r="F187" s="54"/>
      <c r="G187" s="54"/>
      <c r="H187" s="54"/>
      <c r="I187" s="53"/>
      <c r="J187" s="53"/>
      <c r="K187" s="23"/>
      <c r="L187" s="53"/>
      <c r="M187" s="54"/>
    </row>
    <row r="188">
      <c r="A188" s="23"/>
      <c r="B188" s="52"/>
      <c r="C188" s="53"/>
      <c r="D188" s="23"/>
      <c r="E188" s="53"/>
      <c r="F188" s="54"/>
      <c r="G188" s="54"/>
      <c r="H188" s="54"/>
      <c r="I188" s="53"/>
      <c r="J188" s="53"/>
      <c r="K188" s="23"/>
      <c r="L188" s="53"/>
      <c r="M188" s="54"/>
    </row>
    <row r="189">
      <c r="A189" s="23"/>
      <c r="B189" s="52"/>
      <c r="C189" s="53"/>
      <c r="D189" s="23"/>
      <c r="E189" s="53"/>
      <c r="F189" s="54"/>
      <c r="G189" s="54"/>
      <c r="H189" s="54"/>
      <c r="I189" s="53"/>
      <c r="J189" s="53"/>
      <c r="K189" s="23"/>
      <c r="L189" s="53"/>
      <c r="M189" s="54"/>
    </row>
    <row r="190">
      <c r="A190" s="23"/>
      <c r="B190" s="52"/>
      <c r="C190" s="53"/>
      <c r="D190" s="23"/>
      <c r="E190" s="53"/>
      <c r="F190" s="54"/>
      <c r="G190" s="54"/>
      <c r="H190" s="54"/>
      <c r="I190" s="53"/>
      <c r="J190" s="53"/>
      <c r="K190" s="23"/>
      <c r="L190" s="53"/>
      <c r="M190" s="54"/>
    </row>
    <row r="191">
      <c r="A191" s="23"/>
      <c r="B191" s="52"/>
      <c r="C191" s="53"/>
      <c r="D191" s="23"/>
      <c r="E191" s="53"/>
      <c r="F191" s="54"/>
      <c r="G191" s="54"/>
      <c r="H191" s="54"/>
      <c r="I191" s="53"/>
      <c r="J191" s="53"/>
      <c r="K191" s="23"/>
      <c r="L191" s="53"/>
      <c r="M191" s="54"/>
    </row>
    <row r="192">
      <c r="A192" s="23"/>
      <c r="B192" s="52"/>
      <c r="C192" s="53"/>
      <c r="D192" s="23"/>
      <c r="E192" s="53"/>
      <c r="F192" s="54"/>
      <c r="G192" s="54"/>
      <c r="H192" s="54"/>
      <c r="I192" s="53"/>
      <c r="J192" s="53"/>
      <c r="K192" s="23"/>
      <c r="L192" s="53"/>
      <c r="M192" s="54"/>
    </row>
    <row r="193">
      <c r="A193" s="23"/>
      <c r="B193" s="52"/>
      <c r="C193" s="53"/>
      <c r="D193" s="23"/>
      <c r="E193" s="53"/>
      <c r="F193" s="54"/>
      <c r="G193" s="54"/>
      <c r="H193" s="54"/>
      <c r="I193" s="53"/>
      <c r="J193" s="53"/>
      <c r="K193" s="23"/>
      <c r="L193" s="53"/>
      <c r="M193" s="54"/>
    </row>
    <row r="194">
      <c r="A194" s="23"/>
      <c r="B194" s="52"/>
      <c r="C194" s="53"/>
      <c r="D194" s="23"/>
      <c r="E194" s="53"/>
      <c r="F194" s="54"/>
      <c r="G194" s="54"/>
      <c r="H194" s="54"/>
      <c r="I194" s="53"/>
      <c r="J194" s="53"/>
      <c r="K194" s="23"/>
      <c r="L194" s="53"/>
      <c r="M194" s="54"/>
    </row>
    <row r="195">
      <c r="A195" s="23"/>
      <c r="B195" s="52"/>
      <c r="C195" s="53"/>
      <c r="D195" s="23"/>
      <c r="E195" s="53"/>
      <c r="F195" s="54"/>
      <c r="G195" s="54"/>
      <c r="H195" s="54"/>
      <c r="I195" s="53"/>
      <c r="J195" s="53"/>
      <c r="K195" s="23"/>
      <c r="L195" s="53"/>
      <c r="M195" s="54"/>
    </row>
    <row r="196">
      <c r="A196" s="23"/>
      <c r="B196" s="52"/>
      <c r="C196" s="53"/>
      <c r="D196" s="23"/>
      <c r="E196" s="53"/>
      <c r="F196" s="54"/>
      <c r="G196" s="54"/>
      <c r="H196" s="54"/>
      <c r="I196" s="53"/>
      <c r="J196" s="53"/>
      <c r="K196" s="23"/>
      <c r="L196" s="53"/>
      <c r="M196" s="54"/>
    </row>
    <row r="197">
      <c r="A197" s="23"/>
      <c r="B197" s="52"/>
      <c r="C197" s="53"/>
      <c r="D197" s="23"/>
      <c r="E197" s="53"/>
      <c r="F197" s="54"/>
      <c r="G197" s="54"/>
      <c r="H197" s="54"/>
      <c r="I197" s="53"/>
      <c r="J197" s="53"/>
      <c r="K197" s="23"/>
      <c r="L197" s="53"/>
      <c r="M197" s="54"/>
    </row>
    <row r="198">
      <c r="A198" s="23"/>
      <c r="B198" s="52"/>
      <c r="C198" s="53"/>
      <c r="D198" s="23"/>
      <c r="E198" s="53"/>
      <c r="F198" s="54"/>
      <c r="G198" s="54"/>
      <c r="H198" s="54"/>
      <c r="I198" s="53"/>
      <c r="J198" s="53"/>
      <c r="K198" s="23"/>
      <c r="L198" s="53"/>
      <c r="M198" s="54"/>
    </row>
    <row r="199">
      <c r="A199" s="23"/>
      <c r="B199" s="52"/>
      <c r="C199" s="53"/>
      <c r="D199" s="23"/>
      <c r="E199" s="53"/>
      <c r="F199" s="54"/>
      <c r="G199" s="54"/>
      <c r="H199" s="54"/>
      <c r="I199" s="53"/>
      <c r="J199" s="53"/>
      <c r="K199" s="23"/>
      <c r="L199" s="53"/>
      <c r="M199" s="54"/>
    </row>
    <row r="200">
      <c r="A200" s="23"/>
      <c r="B200" s="52"/>
      <c r="C200" s="53"/>
      <c r="D200" s="23"/>
      <c r="E200" s="53"/>
      <c r="F200" s="54"/>
      <c r="G200" s="54"/>
      <c r="H200" s="54"/>
      <c r="I200" s="53"/>
      <c r="J200" s="53"/>
      <c r="K200" s="23"/>
      <c r="L200" s="53"/>
      <c r="M200" s="54"/>
    </row>
    <row r="201">
      <c r="A201" s="23"/>
      <c r="B201" s="52"/>
      <c r="C201" s="53"/>
      <c r="D201" s="23"/>
      <c r="E201" s="53"/>
      <c r="F201" s="54"/>
      <c r="G201" s="54"/>
      <c r="H201" s="54"/>
      <c r="I201" s="53"/>
      <c r="J201" s="53"/>
      <c r="K201" s="23"/>
      <c r="L201" s="53"/>
      <c r="M201" s="54"/>
    </row>
    <row r="202">
      <c r="A202" s="23"/>
      <c r="B202" s="52"/>
      <c r="C202" s="53"/>
      <c r="D202" s="23"/>
      <c r="E202" s="53"/>
      <c r="F202" s="54"/>
      <c r="G202" s="54"/>
      <c r="H202" s="54"/>
      <c r="I202" s="53"/>
      <c r="J202" s="53"/>
      <c r="K202" s="23"/>
      <c r="L202" s="53"/>
      <c r="M202" s="54"/>
    </row>
    <row r="203">
      <c r="A203" s="23"/>
      <c r="B203" s="52"/>
      <c r="C203" s="53"/>
      <c r="D203" s="23"/>
      <c r="E203" s="53"/>
      <c r="F203" s="54"/>
      <c r="G203" s="54"/>
      <c r="H203" s="54"/>
      <c r="I203" s="53"/>
      <c r="J203" s="53"/>
      <c r="K203" s="23"/>
      <c r="L203" s="53"/>
      <c r="M203" s="54"/>
    </row>
    <row r="204">
      <c r="A204" s="23"/>
      <c r="B204" s="52"/>
      <c r="C204" s="53"/>
      <c r="D204" s="23"/>
      <c r="E204" s="53"/>
      <c r="F204" s="54"/>
      <c r="G204" s="54"/>
      <c r="H204" s="54"/>
      <c r="I204" s="53"/>
      <c r="J204" s="53"/>
      <c r="K204" s="23"/>
      <c r="L204" s="53"/>
      <c r="M204" s="54"/>
    </row>
    <row r="205">
      <c r="A205" s="23"/>
      <c r="B205" s="52"/>
      <c r="C205" s="53"/>
      <c r="D205" s="23"/>
      <c r="E205" s="53"/>
      <c r="F205" s="54"/>
      <c r="G205" s="54"/>
      <c r="H205" s="54"/>
      <c r="I205" s="53"/>
      <c r="J205" s="53"/>
      <c r="K205" s="23"/>
      <c r="L205" s="53"/>
      <c r="M205" s="54"/>
    </row>
    <row r="206">
      <c r="A206" s="23"/>
      <c r="B206" s="52"/>
      <c r="C206" s="53"/>
      <c r="D206" s="23"/>
      <c r="E206" s="53"/>
      <c r="F206" s="54"/>
      <c r="G206" s="54"/>
      <c r="H206" s="54"/>
      <c r="I206" s="53"/>
      <c r="J206" s="53"/>
      <c r="K206" s="23"/>
      <c r="L206" s="53"/>
      <c r="M206" s="54"/>
    </row>
    <row r="207">
      <c r="A207" s="23"/>
      <c r="B207" s="52"/>
      <c r="C207" s="53"/>
      <c r="D207" s="23"/>
      <c r="E207" s="53"/>
      <c r="F207" s="54"/>
      <c r="G207" s="54"/>
      <c r="H207" s="54"/>
      <c r="I207" s="53"/>
      <c r="J207" s="53"/>
      <c r="K207" s="23"/>
      <c r="L207" s="53"/>
      <c r="M207" s="54"/>
    </row>
    <row r="208">
      <c r="A208" s="23"/>
      <c r="B208" s="52"/>
      <c r="C208" s="53"/>
      <c r="D208" s="23"/>
      <c r="E208" s="53"/>
      <c r="F208" s="54"/>
      <c r="G208" s="54"/>
      <c r="H208" s="54"/>
      <c r="I208" s="53"/>
      <c r="J208" s="53"/>
      <c r="K208" s="23"/>
      <c r="L208" s="53"/>
      <c r="M208" s="54"/>
    </row>
    <row r="209">
      <c r="A209" s="23"/>
      <c r="B209" s="52"/>
      <c r="C209" s="53"/>
      <c r="D209" s="23"/>
      <c r="E209" s="53"/>
      <c r="F209" s="54"/>
      <c r="G209" s="54"/>
      <c r="H209" s="54"/>
      <c r="I209" s="53"/>
      <c r="J209" s="53"/>
      <c r="K209" s="23"/>
      <c r="L209" s="53"/>
      <c r="M209" s="54"/>
    </row>
    <row r="210">
      <c r="A210" s="23"/>
      <c r="B210" s="52"/>
      <c r="C210" s="53"/>
      <c r="D210" s="23"/>
      <c r="E210" s="53"/>
      <c r="F210" s="54"/>
      <c r="G210" s="54"/>
      <c r="H210" s="54"/>
      <c r="I210" s="53"/>
      <c r="J210" s="53"/>
      <c r="K210" s="23"/>
      <c r="L210" s="53"/>
      <c r="M210" s="54"/>
    </row>
    <row r="211">
      <c r="A211" s="23"/>
      <c r="B211" s="52"/>
      <c r="C211" s="53"/>
      <c r="D211" s="23"/>
      <c r="E211" s="53"/>
      <c r="F211" s="54"/>
      <c r="G211" s="54"/>
      <c r="H211" s="54"/>
      <c r="I211" s="53"/>
      <c r="J211" s="53"/>
      <c r="K211" s="23"/>
      <c r="L211" s="53"/>
      <c r="M211" s="54"/>
    </row>
    <row r="212">
      <c r="A212" s="23"/>
      <c r="B212" s="52"/>
      <c r="C212" s="53"/>
      <c r="D212" s="23"/>
      <c r="E212" s="53"/>
      <c r="F212" s="54"/>
      <c r="G212" s="54"/>
      <c r="H212" s="54"/>
      <c r="I212" s="53"/>
      <c r="J212" s="53"/>
      <c r="K212" s="23"/>
      <c r="L212" s="53"/>
      <c r="M212" s="54"/>
    </row>
    <row r="213">
      <c r="A213" s="23"/>
      <c r="B213" s="52"/>
      <c r="C213" s="53"/>
      <c r="D213" s="23"/>
      <c r="E213" s="53"/>
      <c r="F213" s="54"/>
      <c r="G213" s="54"/>
      <c r="H213" s="54"/>
      <c r="I213" s="53"/>
      <c r="J213" s="53"/>
      <c r="K213" s="23"/>
      <c r="L213" s="53"/>
      <c r="M213" s="54"/>
    </row>
    <row r="214">
      <c r="A214" s="23"/>
      <c r="B214" s="52"/>
      <c r="C214" s="53"/>
      <c r="D214" s="23"/>
      <c r="E214" s="53"/>
      <c r="F214" s="54"/>
      <c r="G214" s="54"/>
      <c r="H214" s="54"/>
      <c r="I214" s="53"/>
      <c r="J214" s="53"/>
      <c r="K214" s="23"/>
      <c r="L214" s="53"/>
      <c r="M214" s="54"/>
    </row>
    <row r="215">
      <c r="A215" s="23"/>
      <c r="B215" s="52"/>
      <c r="C215" s="53"/>
      <c r="D215" s="23"/>
      <c r="E215" s="53"/>
      <c r="F215" s="54"/>
      <c r="G215" s="54"/>
      <c r="H215" s="54"/>
      <c r="I215" s="53"/>
      <c r="J215" s="53"/>
      <c r="K215" s="23"/>
      <c r="L215" s="53"/>
      <c r="M215" s="54"/>
    </row>
    <row r="216">
      <c r="A216" s="23"/>
      <c r="B216" s="52"/>
      <c r="C216" s="53"/>
      <c r="D216" s="23"/>
      <c r="E216" s="53"/>
      <c r="F216" s="54"/>
      <c r="G216" s="54"/>
      <c r="H216" s="54"/>
      <c r="I216" s="53"/>
      <c r="J216" s="53"/>
      <c r="K216" s="23"/>
      <c r="L216" s="53"/>
      <c r="M216" s="54"/>
    </row>
    <row r="217">
      <c r="A217" s="23"/>
      <c r="B217" s="52"/>
      <c r="C217" s="53"/>
      <c r="D217" s="23"/>
      <c r="E217" s="53"/>
      <c r="F217" s="54"/>
      <c r="G217" s="54"/>
      <c r="H217" s="54"/>
      <c r="I217" s="53"/>
      <c r="J217" s="53"/>
      <c r="K217" s="23"/>
      <c r="L217" s="53"/>
      <c r="M217" s="54"/>
    </row>
    <row r="218">
      <c r="A218" s="23"/>
      <c r="B218" s="52"/>
      <c r="C218" s="53"/>
      <c r="D218" s="23"/>
      <c r="E218" s="53"/>
      <c r="F218" s="54"/>
      <c r="G218" s="54"/>
      <c r="H218" s="54"/>
      <c r="I218" s="53"/>
      <c r="J218" s="53"/>
      <c r="K218" s="23"/>
      <c r="L218" s="53"/>
      <c r="M218" s="54"/>
    </row>
    <row r="219">
      <c r="A219" s="23"/>
      <c r="B219" s="52"/>
      <c r="C219" s="53"/>
      <c r="D219" s="23"/>
      <c r="E219" s="53"/>
      <c r="F219" s="54"/>
      <c r="G219" s="54"/>
      <c r="H219" s="54"/>
      <c r="I219" s="53"/>
      <c r="J219" s="53"/>
      <c r="K219" s="23"/>
      <c r="L219" s="53"/>
      <c r="M219" s="54"/>
    </row>
    <row r="220">
      <c r="A220" s="23"/>
      <c r="B220" s="52"/>
      <c r="C220" s="53"/>
      <c r="D220" s="23"/>
      <c r="E220" s="53"/>
      <c r="F220" s="54"/>
      <c r="G220" s="54"/>
      <c r="H220" s="54"/>
      <c r="I220" s="53"/>
      <c r="J220" s="53"/>
      <c r="K220" s="23"/>
      <c r="L220" s="53"/>
      <c r="M220" s="54"/>
    </row>
    <row r="221">
      <c r="A221" s="23"/>
      <c r="B221" s="52"/>
      <c r="C221" s="53"/>
      <c r="D221" s="23"/>
      <c r="E221" s="53"/>
      <c r="F221" s="54"/>
      <c r="G221" s="54"/>
      <c r="H221" s="54"/>
      <c r="I221" s="53"/>
      <c r="J221" s="53"/>
      <c r="K221" s="23"/>
      <c r="L221" s="53"/>
      <c r="M221" s="54"/>
    </row>
    <row r="222">
      <c r="A222" s="23"/>
      <c r="B222" s="52"/>
      <c r="C222" s="53"/>
      <c r="D222" s="23"/>
      <c r="E222" s="53"/>
      <c r="F222" s="54"/>
      <c r="G222" s="54"/>
      <c r="H222" s="54"/>
      <c r="I222" s="53"/>
      <c r="J222" s="53"/>
      <c r="K222" s="23"/>
      <c r="L222" s="53"/>
      <c r="M222" s="54"/>
    </row>
    <row r="223">
      <c r="A223" s="23"/>
      <c r="B223" s="52"/>
      <c r="C223" s="53"/>
      <c r="D223" s="23"/>
      <c r="E223" s="53"/>
      <c r="F223" s="54"/>
      <c r="G223" s="54"/>
      <c r="H223" s="54"/>
      <c r="I223" s="53"/>
      <c r="J223" s="53"/>
      <c r="K223" s="23"/>
      <c r="L223" s="53"/>
      <c r="M223" s="54"/>
    </row>
    <row r="224">
      <c r="A224" s="23"/>
      <c r="B224" s="52"/>
      <c r="C224" s="53"/>
      <c r="D224" s="23"/>
      <c r="E224" s="53"/>
      <c r="F224" s="54"/>
      <c r="G224" s="54"/>
      <c r="H224" s="54"/>
      <c r="I224" s="53"/>
      <c r="J224" s="53"/>
      <c r="K224" s="23"/>
      <c r="L224" s="53"/>
      <c r="M224" s="54"/>
    </row>
    <row r="225">
      <c r="A225" s="23"/>
      <c r="B225" s="52"/>
      <c r="C225" s="53"/>
      <c r="D225" s="23"/>
      <c r="E225" s="53"/>
      <c r="F225" s="54"/>
      <c r="G225" s="54"/>
      <c r="H225" s="54"/>
      <c r="I225" s="53"/>
      <c r="J225" s="53"/>
      <c r="K225" s="23"/>
      <c r="L225" s="53"/>
      <c r="M225" s="54"/>
    </row>
    <row r="226">
      <c r="A226" s="23"/>
      <c r="B226" s="52"/>
      <c r="C226" s="53"/>
      <c r="D226" s="23"/>
      <c r="E226" s="53"/>
      <c r="F226" s="54"/>
      <c r="G226" s="54"/>
      <c r="H226" s="54"/>
      <c r="I226" s="53"/>
      <c r="J226" s="53"/>
      <c r="K226" s="23"/>
      <c r="L226" s="53"/>
      <c r="M226" s="54"/>
    </row>
    <row r="227">
      <c r="A227" s="23"/>
      <c r="B227" s="52"/>
      <c r="C227" s="53"/>
      <c r="D227" s="23"/>
      <c r="E227" s="53"/>
      <c r="F227" s="54"/>
      <c r="G227" s="54"/>
      <c r="H227" s="54"/>
      <c r="I227" s="53"/>
      <c r="J227" s="53"/>
      <c r="K227" s="23"/>
      <c r="L227" s="53"/>
      <c r="M227" s="54"/>
    </row>
    <row r="228">
      <c r="A228" s="23"/>
      <c r="B228" s="52"/>
      <c r="C228" s="53"/>
      <c r="D228" s="23"/>
      <c r="E228" s="53"/>
      <c r="F228" s="54"/>
      <c r="G228" s="54"/>
      <c r="H228" s="54"/>
      <c r="I228" s="53"/>
      <c r="J228" s="53"/>
      <c r="K228" s="23"/>
      <c r="L228" s="53"/>
      <c r="M228" s="54"/>
    </row>
    <row r="229">
      <c r="A229" s="23"/>
      <c r="B229" s="52"/>
      <c r="C229" s="53"/>
      <c r="D229" s="23"/>
      <c r="E229" s="53"/>
      <c r="F229" s="54"/>
      <c r="G229" s="54"/>
      <c r="H229" s="54"/>
      <c r="I229" s="53"/>
      <c r="J229" s="53"/>
      <c r="K229" s="23"/>
      <c r="L229" s="53"/>
      <c r="M229" s="54"/>
    </row>
    <row r="230">
      <c r="A230" s="23"/>
      <c r="B230" s="52"/>
      <c r="C230" s="53"/>
      <c r="D230" s="23"/>
      <c r="E230" s="53"/>
      <c r="F230" s="54"/>
      <c r="G230" s="54"/>
      <c r="H230" s="54"/>
      <c r="I230" s="53"/>
      <c r="J230" s="53"/>
      <c r="K230" s="23"/>
      <c r="L230" s="53"/>
      <c r="M230" s="54"/>
    </row>
    <row r="231">
      <c r="A231" s="23"/>
      <c r="B231" s="52"/>
      <c r="C231" s="53"/>
      <c r="D231" s="23"/>
      <c r="E231" s="53"/>
      <c r="F231" s="54"/>
      <c r="G231" s="54"/>
      <c r="H231" s="54"/>
      <c r="I231" s="53"/>
      <c r="J231" s="53"/>
      <c r="K231" s="23"/>
      <c r="L231" s="53"/>
      <c r="M231" s="54"/>
    </row>
    <row r="232">
      <c r="A232" s="23"/>
      <c r="B232" s="52"/>
      <c r="C232" s="53"/>
      <c r="D232" s="23"/>
      <c r="E232" s="53"/>
      <c r="F232" s="54"/>
      <c r="G232" s="54"/>
      <c r="H232" s="54"/>
      <c r="I232" s="53"/>
      <c r="J232" s="53"/>
      <c r="K232" s="23"/>
      <c r="L232" s="53"/>
      <c r="M232" s="54"/>
    </row>
    <row r="233">
      <c r="A233" s="23"/>
      <c r="B233" s="52"/>
      <c r="C233" s="53"/>
      <c r="D233" s="23"/>
      <c r="E233" s="53"/>
      <c r="F233" s="54"/>
      <c r="G233" s="54"/>
      <c r="H233" s="54"/>
      <c r="I233" s="53"/>
      <c r="J233" s="53"/>
      <c r="K233" s="23"/>
      <c r="L233" s="53"/>
      <c r="M233" s="54"/>
    </row>
    <row r="234">
      <c r="A234" s="23"/>
      <c r="B234" s="52"/>
      <c r="C234" s="53"/>
      <c r="D234" s="23"/>
      <c r="E234" s="53"/>
      <c r="F234" s="54"/>
      <c r="G234" s="54"/>
      <c r="H234" s="54"/>
      <c r="I234" s="53"/>
      <c r="J234" s="53"/>
      <c r="K234" s="23"/>
      <c r="L234" s="53"/>
      <c r="M234" s="54"/>
    </row>
    <row r="235">
      <c r="A235" s="23"/>
      <c r="B235" s="52"/>
      <c r="C235" s="53"/>
      <c r="D235" s="23"/>
      <c r="E235" s="53"/>
      <c r="F235" s="54"/>
      <c r="G235" s="54"/>
      <c r="H235" s="54"/>
      <c r="I235" s="53"/>
      <c r="J235" s="53"/>
      <c r="K235" s="23"/>
      <c r="L235" s="53"/>
      <c r="M235" s="54"/>
    </row>
    <row r="236">
      <c r="A236" s="23"/>
      <c r="B236" s="52"/>
      <c r="C236" s="53"/>
      <c r="D236" s="23"/>
      <c r="E236" s="53"/>
      <c r="F236" s="54"/>
      <c r="G236" s="54"/>
      <c r="H236" s="54"/>
      <c r="I236" s="53"/>
      <c r="J236" s="53"/>
      <c r="K236" s="23"/>
      <c r="L236" s="53"/>
      <c r="M236" s="54"/>
    </row>
    <row r="237">
      <c r="A237" s="23"/>
      <c r="B237" s="52"/>
      <c r="C237" s="53"/>
      <c r="D237" s="23"/>
      <c r="E237" s="53"/>
      <c r="F237" s="54"/>
      <c r="G237" s="54"/>
      <c r="H237" s="54"/>
      <c r="I237" s="53"/>
      <c r="J237" s="53"/>
      <c r="K237" s="23"/>
      <c r="L237" s="53"/>
      <c r="M237" s="54"/>
    </row>
    <row r="238">
      <c r="A238" s="23"/>
      <c r="B238" s="52"/>
      <c r="C238" s="53"/>
      <c r="D238" s="23"/>
      <c r="E238" s="53"/>
      <c r="F238" s="54"/>
      <c r="G238" s="54"/>
      <c r="H238" s="54"/>
      <c r="I238" s="53"/>
      <c r="J238" s="53"/>
      <c r="K238" s="23"/>
      <c r="L238" s="53"/>
      <c r="M238" s="54"/>
    </row>
    <row r="239">
      <c r="A239" s="23"/>
      <c r="B239" s="52"/>
      <c r="C239" s="53"/>
      <c r="D239" s="23"/>
      <c r="E239" s="53"/>
      <c r="F239" s="54"/>
      <c r="G239" s="54"/>
      <c r="H239" s="54"/>
      <c r="I239" s="53"/>
      <c r="J239" s="53"/>
      <c r="K239" s="23"/>
      <c r="L239" s="53"/>
      <c r="M239" s="54"/>
    </row>
    <row r="240">
      <c r="A240" s="23"/>
      <c r="B240" s="52"/>
      <c r="C240" s="53"/>
      <c r="D240" s="23"/>
      <c r="E240" s="53"/>
      <c r="F240" s="54"/>
      <c r="G240" s="54"/>
      <c r="H240" s="54"/>
      <c r="I240" s="53"/>
      <c r="J240" s="53"/>
      <c r="K240" s="23"/>
      <c r="L240" s="53"/>
      <c r="M240" s="54"/>
    </row>
    <row r="241">
      <c r="A241" s="23"/>
      <c r="B241" s="52"/>
      <c r="C241" s="53"/>
      <c r="D241" s="23"/>
      <c r="E241" s="53"/>
      <c r="F241" s="54"/>
      <c r="G241" s="54"/>
      <c r="H241" s="54"/>
      <c r="I241" s="53"/>
      <c r="J241" s="53"/>
      <c r="K241" s="23"/>
      <c r="L241" s="53"/>
      <c r="M241" s="54"/>
    </row>
    <row r="242">
      <c r="A242" s="23"/>
      <c r="B242" s="52"/>
      <c r="C242" s="53"/>
      <c r="D242" s="23"/>
      <c r="E242" s="53"/>
      <c r="F242" s="54"/>
      <c r="G242" s="54"/>
      <c r="H242" s="54"/>
      <c r="I242" s="53"/>
      <c r="J242" s="53"/>
      <c r="K242" s="23"/>
      <c r="L242" s="53"/>
      <c r="M242" s="54"/>
    </row>
    <row r="243">
      <c r="A243" s="23"/>
      <c r="B243" s="52"/>
      <c r="C243" s="53"/>
      <c r="D243" s="23"/>
      <c r="E243" s="53"/>
      <c r="F243" s="54"/>
      <c r="G243" s="54"/>
      <c r="H243" s="54"/>
      <c r="I243" s="53"/>
      <c r="J243" s="53"/>
      <c r="K243" s="23"/>
      <c r="L243" s="53"/>
      <c r="M243" s="54"/>
    </row>
    <row r="244">
      <c r="A244" s="23"/>
      <c r="B244" s="52"/>
      <c r="C244" s="53"/>
      <c r="D244" s="23"/>
      <c r="E244" s="53"/>
      <c r="F244" s="54"/>
      <c r="G244" s="54"/>
      <c r="H244" s="54"/>
      <c r="I244" s="53"/>
      <c r="J244" s="53"/>
      <c r="K244" s="23"/>
      <c r="L244" s="53"/>
      <c r="M244" s="54"/>
    </row>
    <row r="245">
      <c r="A245" s="23"/>
      <c r="B245" s="52"/>
      <c r="C245" s="53"/>
      <c r="D245" s="23"/>
      <c r="E245" s="53"/>
      <c r="F245" s="54"/>
      <c r="G245" s="54"/>
      <c r="H245" s="54"/>
      <c r="I245" s="53"/>
      <c r="J245" s="53"/>
      <c r="K245" s="23"/>
      <c r="L245" s="53"/>
      <c r="M245" s="54"/>
    </row>
    <row r="246">
      <c r="A246" s="23"/>
      <c r="B246" s="52"/>
      <c r="C246" s="53"/>
      <c r="D246" s="23"/>
      <c r="E246" s="53"/>
      <c r="F246" s="54"/>
      <c r="G246" s="54"/>
      <c r="H246" s="54"/>
      <c r="I246" s="53"/>
      <c r="J246" s="53"/>
      <c r="K246" s="23"/>
      <c r="L246" s="53"/>
      <c r="M246" s="54"/>
    </row>
    <row r="247">
      <c r="A247" s="23"/>
      <c r="B247" s="52"/>
      <c r="C247" s="53"/>
      <c r="D247" s="23"/>
      <c r="E247" s="53"/>
      <c r="F247" s="54"/>
      <c r="G247" s="54"/>
      <c r="H247" s="54"/>
      <c r="I247" s="53"/>
      <c r="J247" s="53"/>
      <c r="K247" s="23"/>
      <c r="L247" s="53"/>
      <c r="M247" s="54"/>
    </row>
    <row r="248">
      <c r="A248" s="23"/>
      <c r="B248" s="52"/>
      <c r="C248" s="53"/>
      <c r="D248" s="23"/>
      <c r="E248" s="53"/>
      <c r="F248" s="54"/>
      <c r="G248" s="54"/>
      <c r="H248" s="54"/>
      <c r="I248" s="53"/>
      <c r="J248" s="53"/>
      <c r="K248" s="23"/>
      <c r="L248" s="53"/>
      <c r="M248" s="54"/>
    </row>
    <row r="249">
      <c r="A249" s="23"/>
      <c r="B249" s="52"/>
      <c r="C249" s="53"/>
      <c r="D249" s="23"/>
      <c r="E249" s="53"/>
      <c r="F249" s="54"/>
      <c r="G249" s="54"/>
      <c r="H249" s="54"/>
      <c r="I249" s="53"/>
      <c r="J249" s="53"/>
      <c r="K249" s="23"/>
      <c r="L249" s="53"/>
      <c r="M249" s="54"/>
    </row>
    <row r="250">
      <c r="A250" s="23"/>
      <c r="B250" s="52"/>
      <c r="C250" s="53"/>
      <c r="D250" s="23"/>
      <c r="E250" s="53"/>
      <c r="F250" s="54"/>
      <c r="G250" s="54"/>
      <c r="H250" s="54"/>
      <c r="I250" s="53"/>
      <c r="J250" s="53"/>
      <c r="K250" s="23"/>
      <c r="L250" s="53"/>
      <c r="M250" s="54"/>
    </row>
    <row r="251">
      <c r="A251" s="23"/>
      <c r="B251" s="52"/>
      <c r="C251" s="53"/>
      <c r="D251" s="23"/>
      <c r="E251" s="53"/>
      <c r="F251" s="54"/>
      <c r="G251" s="54"/>
      <c r="H251" s="54"/>
      <c r="I251" s="53"/>
      <c r="J251" s="53"/>
      <c r="K251" s="23"/>
      <c r="L251" s="53"/>
      <c r="M251" s="54"/>
    </row>
    <row r="252">
      <c r="A252" s="23"/>
      <c r="B252" s="52"/>
      <c r="C252" s="53"/>
      <c r="D252" s="23"/>
      <c r="E252" s="53"/>
      <c r="F252" s="54"/>
      <c r="G252" s="54"/>
      <c r="H252" s="54"/>
      <c r="I252" s="53"/>
      <c r="J252" s="53"/>
      <c r="K252" s="23"/>
      <c r="L252" s="53"/>
      <c r="M252" s="54"/>
    </row>
    <row r="253">
      <c r="A253" s="23"/>
      <c r="B253" s="52"/>
      <c r="C253" s="53"/>
      <c r="D253" s="23"/>
      <c r="E253" s="53"/>
      <c r="F253" s="54"/>
      <c r="G253" s="54"/>
      <c r="H253" s="54"/>
      <c r="I253" s="53"/>
      <c r="J253" s="53"/>
      <c r="K253" s="23"/>
      <c r="L253" s="53"/>
      <c r="M253" s="54"/>
    </row>
    <row r="254">
      <c r="A254" s="23"/>
      <c r="B254" s="52"/>
      <c r="C254" s="53"/>
      <c r="D254" s="23"/>
      <c r="E254" s="53"/>
      <c r="F254" s="54"/>
      <c r="G254" s="54"/>
      <c r="H254" s="54"/>
      <c r="I254" s="53"/>
      <c r="J254" s="53"/>
      <c r="K254" s="23"/>
      <c r="L254" s="53"/>
      <c r="M254" s="54"/>
    </row>
    <row r="255">
      <c r="A255" s="23"/>
      <c r="B255" s="52"/>
      <c r="C255" s="53"/>
      <c r="D255" s="23"/>
      <c r="E255" s="53"/>
      <c r="F255" s="54"/>
      <c r="G255" s="54"/>
      <c r="H255" s="54"/>
      <c r="I255" s="53"/>
      <c r="J255" s="53"/>
      <c r="K255" s="23"/>
      <c r="L255" s="53"/>
      <c r="M255" s="54"/>
    </row>
    <row r="256">
      <c r="A256" s="23"/>
      <c r="B256" s="52"/>
      <c r="C256" s="53"/>
      <c r="D256" s="23"/>
      <c r="E256" s="53"/>
      <c r="F256" s="54"/>
      <c r="G256" s="54"/>
      <c r="H256" s="54"/>
      <c r="I256" s="53"/>
      <c r="J256" s="53"/>
      <c r="K256" s="23"/>
      <c r="L256" s="53"/>
      <c r="M256" s="54"/>
    </row>
    <row r="257">
      <c r="A257" s="23"/>
      <c r="B257" s="52"/>
      <c r="C257" s="53"/>
      <c r="D257" s="23"/>
      <c r="E257" s="53"/>
      <c r="F257" s="54"/>
      <c r="G257" s="54"/>
      <c r="H257" s="54"/>
      <c r="I257" s="53"/>
      <c r="J257" s="53"/>
      <c r="K257" s="23"/>
      <c r="L257" s="53"/>
      <c r="M257" s="54"/>
    </row>
    <row r="258">
      <c r="A258" s="23"/>
      <c r="B258" s="52"/>
      <c r="C258" s="53"/>
      <c r="D258" s="23"/>
      <c r="E258" s="53"/>
      <c r="F258" s="54"/>
      <c r="G258" s="54"/>
      <c r="H258" s="54"/>
      <c r="I258" s="53"/>
      <c r="J258" s="53"/>
      <c r="K258" s="23"/>
      <c r="L258" s="53"/>
      <c r="M258" s="54"/>
    </row>
    <row r="259">
      <c r="A259" s="23"/>
      <c r="B259" s="52"/>
      <c r="C259" s="53"/>
      <c r="D259" s="23"/>
      <c r="E259" s="53"/>
      <c r="F259" s="54"/>
      <c r="G259" s="54"/>
      <c r="H259" s="54"/>
      <c r="I259" s="53"/>
      <c r="J259" s="53"/>
      <c r="K259" s="23"/>
      <c r="L259" s="53"/>
      <c r="M259" s="54"/>
    </row>
    <row r="260">
      <c r="A260" s="23"/>
      <c r="B260" s="52"/>
      <c r="C260" s="53"/>
      <c r="D260" s="23"/>
      <c r="E260" s="53"/>
      <c r="F260" s="54"/>
      <c r="G260" s="54"/>
      <c r="H260" s="54"/>
      <c r="I260" s="53"/>
      <c r="J260" s="53"/>
      <c r="K260" s="23"/>
      <c r="L260" s="53"/>
      <c r="M260" s="54"/>
    </row>
    <row r="261">
      <c r="A261" s="23"/>
      <c r="B261" s="52"/>
      <c r="C261" s="53"/>
      <c r="D261" s="23"/>
      <c r="E261" s="53"/>
      <c r="F261" s="54"/>
      <c r="G261" s="54"/>
      <c r="H261" s="54"/>
      <c r="I261" s="53"/>
      <c r="J261" s="53"/>
      <c r="K261" s="23"/>
      <c r="L261" s="53"/>
      <c r="M261" s="54"/>
    </row>
    <row r="262">
      <c r="A262" s="23"/>
      <c r="B262" s="52"/>
      <c r="C262" s="53"/>
      <c r="D262" s="23"/>
      <c r="E262" s="53"/>
      <c r="F262" s="54"/>
      <c r="G262" s="54"/>
      <c r="H262" s="54"/>
      <c r="I262" s="53"/>
      <c r="J262" s="53"/>
      <c r="K262" s="23"/>
      <c r="L262" s="53"/>
      <c r="M262" s="54"/>
    </row>
    <row r="263">
      <c r="A263" s="23"/>
      <c r="B263" s="52"/>
      <c r="C263" s="53"/>
      <c r="D263" s="23"/>
      <c r="E263" s="53"/>
      <c r="F263" s="54"/>
      <c r="G263" s="54"/>
      <c r="H263" s="54"/>
      <c r="I263" s="53"/>
      <c r="J263" s="53"/>
      <c r="K263" s="23"/>
      <c r="L263" s="53"/>
      <c r="M263" s="54"/>
    </row>
    <row r="264">
      <c r="A264" s="23"/>
      <c r="B264" s="52"/>
      <c r="C264" s="53"/>
      <c r="D264" s="23"/>
      <c r="E264" s="53"/>
      <c r="F264" s="54"/>
      <c r="G264" s="54"/>
      <c r="H264" s="54"/>
      <c r="I264" s="53"/>
      <c r="J264" s="53"/>
      <c r="K264" s="23"/>
      <c r="L264" s="53"/>
      <c r="M264" s="54"/>
    </row>
    <row r="265">
      <c r="A265" s="23"/>
      <c r="B265" s="52"/>
      <c r="C265" s="53"/>
      <c r="D265" s="23"/>
      <c r="E265" s="53"/>
      <c r="F265" s="54"/>
      <c r="G265" s="54"/>
      <c r="H265" s="54"/>
      <c r="I265" s="53"/>
      <c r="J265" s="53"/>
      <c r="K265" s="23"/>
      <c r="L265" s="53"/>
      <c r="M265" s="54"/>
    </row>
    <row r="266">
      <c r="A266" s="23"/>
      <c r="B266" s="52"/>
      <c r="C266" s="53"/>
      <c r="D266" s="23"/>
      <c r="E266" s="53"/>
      <c r="F266" s="54"/>
      <c r="G266" s="54"/>
      <c r="H266" s="54"/>
      <c r="I266" s="53"/>
      <c r="J266" s="53"/>
      <c r="K266" s="23"/>
      <c r="L266" s="53"/>
      <c r="M266" s="54"/>
    </row>
    <row r="267">
      <c r="A267" s="23"/>
      <c r="B267" s="52"/>
      <c r="C267" s="53"/>
      <c r="D267" s="23"/>
      <c r="E267" s="53"/>
      <c r="F267" s="54"/>
      <c r="G267" s="54"/>
      <c r="H267" s="54"/>
      <c r="I267" s="53"/>
      <c r="J267" s="53"/>
      <c r="K267" s="23"/>
      <c r="L267" s="53"/>
      <c r="M267" s="54"/>
    </row>
    <row r="268">
      <c r="A268" s="23"/>
      <c r="B268" s="52"/>
      <c r="C268" s="53"/>
      <c r="D268" s="23"/>
      <c r="E268" s="53"/>
      <c r="F268" s="54"/>
      <c r="G268" s="54"/>
      <c r="H268" s="54"/>
      <c r="I268" s="53"/>
      <c r="J268" s="53"/>
      <c r="K268" s="23"/>
      <c r="L268" s="53"/>
      <c r="M268" s="54"/>
    </row>
    <row r="269">
      <c r="A269" s="23"/>
      <c r="B269" s="52"/>
      <c r="C269" s="53"/>
      <c r="D269" s="23"/>
      <c r="E269" s="53"/>
      <c r="F269" s="54"/>
      <c r="G269" s="54"/>
      <c r="H269" s="54"/>
      <c r="I269" s="53"/>
      <c r="J269" s="53"/>
      <c r="K269" s="23"/>
      <c r="L269" s="53"/>
      <c r="M269" s="54"/>
    </row>
    <row r="270">
      <c r="A270" s="23"/>
      <c r="B270" s="52"/>
      <c r="C270" s="53"/>
      <c r="D270" s="23"/>
      <c r="E270" s="53"/>
      <c r="F270" s="54"/>
      <c r="G270" s="54"/>
      <c r="H270" s="54"/>
      <c r="I270" s="53"/>
      <c r="J270" s="53"/>
      <c r="K270" s="23"/>
      <c r="L270" s="53"/>
      <c r="M270" s="54"/>
    </row>
    <row r="271">
      <c r="A271" s="23"/>
      <c r="B271" s="52"/>
      <c r="C271" s="53"/>
      <c r="D271" s="23"/>
      <c r="E271" s="53"/>
      <c r="F271" s="54"/>
      <c r="G271" s="54"/>
      <c r="H271" s="54"/>
      <c r="I271" s="53"/>
      <c r="J271" s="53"/>
      <c r="K271" s="23"/>
      <c r="L271" s="53"/>
      <c r="M271" s="54"/>
    </row>
    <row r="272">
      <c r="A272" s="23"/>
      <c r="B272" s="52"/>
      <c r="C272" s="53"/>
      <c r="D272" s="23"/>
      <c r="E272" s="53"/>
      <c r="F272" s="54"/>
      <c r="G272" s="54"/>
      <c r="H272" s="54"/>
      <c r="I272" s="53"/>
      <c r="J272" s="53"/>
      <c r="K272" s="23"/>
      <c r="L272" s="53"/>
      <c r="M272" s="54"/>
    </row>
    <row r="273">
      <c r="A273" s="23"/>
      <c r="B273" s="52"/>
      <c r="C273" s="53"/>
      <c r="D273" s="23"/>
      <c r="E273" s="53"/>
      <c r="F273" s="54"/>
      <c r="G273" s="54"/>
      <c r="H273" s="54"/>
      <c r="I273" s="53"/>
      <c r="J273" s="53"/>
      <c r="K273" s="23"/>
      <c r="L273" s="53"/>
      <c r="M273" s="54"/>
    </row>
    <row r="274">
      <c r="A274" s="23"/>
      <c r="B274" s="52"/>
      <c r="C274" s="53"/>
      <c r="D274" s="23"/>
      <c r="E274" s="53"/>
      <c r="F274" s="54"/>
      <c r="G274" s="54"/>
      <c r="H274" s="54"/>
      <c r="I274" s="53"/>
      <c r="J274" s="53"/>
      <c r="K274" s="23"/>
      <c r="L274" s="53"/>
      <c r="M274" s="54"/>
    </row>
    <row r="275">
      <c r="A275" s="23"/>
      <c r="B275" s="52"/>
      <c r="C275" s="53"/>
      <c r="D275" s="23"/>
      <c r="E275" s="53"/>
      <c r="F275" s="54"/>
      <c r="G275" s="54"/>
      <c r="H275" s="54"/>
      <c r="I275" s="53"/>
      <c r="J275" s="53"/>
      <c r="K275" s="23"/>
      <c r="L275" s="53"/>
      <c r="M275" s="54"/>
    </row>
    <row r="276">
      <c r="A276" s="23"/>
      <c r="B276" s="52"/>
      <c r="C276" s="53"/>
      <c r="D276" s="23"/>
      <c r="E276" s="53"/>
      <c r="F276" s="54"/>
      <c r="G276" s="54"/>
      <c r="H276" s="54"/>
      <c r="I276" s="53"/>
      <c r="J276" s="53"/>
      <c r="K276" s="23"/>
      <c r="L276" s="53"/>
      <c r="M276" s="54"/>
    </row>
    <row r="277">
      <c r="A277" s="23"/>
      <c r="B277" s="52"/>
      <c r="C277" s="53"/>
      <c r="D277" s="23"/>
      <c r="E277" s="53"/>
      <c r="F277" s="54"/>
      <c r="G277" s="54"/>
      <c r="H277" s="54"/>
      <c r="I277" s="53"/>
      <c r="J277" s="53"/>
      <c r="K277" s="23"/>
      <c r="L277" s="53"/>
      <c r="M277" s="54"/>
    </row>
    <row r="278">
      <c r="A278" s="23"/>
      <c r="B278" s="52"/>
      <c r="C278" s="53"/>
      <c r="D278" s="23"/>
      <c r="E278" s="53"/>
      <c r="F278" s="54"/>
      <c r="G278" s="54"/>
      <c r="H278" s="54"/>
      <c r="I278" s="53"/>
      <c r="J278" s="53"/>
      <c r="K278" s="23"/>
      <c r="L278" s="53"/>
      <c r="M278" s="54"/>
    </row>
    <row r="279">
      <c r="A279" s="23"/>
      <c r="B279" s="52"/>
      <c r="C279" s="53"/>
      <c r="D279" s="23"/>
      <c r="E279" s="53"/>
      <c r="F279" s="54"/>
      <c r="G279" s="54"/>
      <c r="H279" s="54"/>
      <c r="I279" s="53"/>
      <c r="J279" s="53"/>
      <c r="K279" s="23"/>
      <c r="L279" s="53"/>
      <c r="M279" s="54"/>
    </row>
    <row r="280">
      <c r="A280" s="23"/>
      <c r="B280" s="52"/>
      <c r="C280" s="53"/>
      <c r="D280" s="23"/>
      <c r="E280" s="53"/>
      <c r="F280" s="54"/>
      <c r="G280" s="54"/>
      <c r="H280" s="54"/>
      <c r="I280" s="53"/>
      <c r="J280" s="53"/>
      <c r="K280" s="23"/>
      <c r="L280" s="53"/>
      <c r="M280" s="54"/>
    </row>
    <row r="281">
      <c r="A281" s="23"/>
      <c r="B281" s="52"/>
      <c r="C281" s="53"/>
      <c r="D281" s="23"/>
      <c r="E281" s="53"/>
      <c r="F281" s="54"/>
      <c r="G281" s="54"/>
      <c r="H281" s="54"/>
      <c r="I281" s="53"/>
      <c r="J281" s="53"/>
      <c r="K281" s="23"/>
      <c r="L281" s="53"/>
      <c r="M281" s="54"/>
    </row>
    <row r="282">
      <c r="A282" s="23"/>
      <c r="B282" s="52"/>
      <c r="C282" s="53"/>
      <c r="D282" s="23"/>
      <c r="E282" s="53"/>
      <c r="F282" s="54"/>
      <c r="G282" s="54"/>
      <c r="H282" s="54"/>
      <c r="I282" s="53"/>
      <c r="J282" s="53"/>
      <c r="K282" s="23"/>
      <c r="L282" s="53"/>
      <c r="M282" s="54"/>
    </row>
    <row r="283">
      <c r="A283" s="23"/>
      <c r="B283" s="52"/>
      <c r="C283" s="53"/>
      <c r="D283" s="23"/>
      <c r="E283" s="53"/>
      <c r="F283" s="54"/>
      <c r="G283" s="54"/>
      <c r="H283" s="54"/>
      <c r="I283" s="53"/>
      <c r="J283" s="53"/>
      <c r="K283" s="23"/>
      <c r="L283" s="53"/>
      <c r="M283" s="54"/>
    </row>
    <row r="284">
      <c r="A284" s="23"/>
      <c r="B284" s="52"/>
      <c r="C284" s="53"/>
      <c r="D284" s="23"/>
      <c r="E284" s="53"/>
      <c r="F284" s="54"/>
      <c r="G284" s="54"/>
      <c r="H284" s="54"/>
      <c r="I284" s="53"/>
      <c r="J284" s="53"/>
      <c r="K284" s="23"/>
      <c r="L284" s="53"/>
      <c r="M284" s="54"/>
    </row>
    <row r="285">
      <c r="A285" s="23"/>
      <c r="B285" s="52"/>
      <c r="C285" s="53"/>
      <c r="D285" s="23"/>
      <c r="E285" s="53"/>
      <c r="F285" s="54"/>
      <c r="G285" s="54"/>
      <c r="H285" s="54"/>
      <c r="I285" s="53"/>
      <c r="J285" s="53"/>
      <c r="K285" s="23"/>
      <c r="L285" s="53"/>
      <c r="M285" s="54"/>
    </row>
    <row r="286">
      <c r="A286" s="23"/>
      <c r="B286" s="52"/>
      <c r="C286" s="53"/>
      <c r="D286" s="23"/>
      <c r="E286" s="53"/>
      <c r="F286" s="54"/>
      <c r="G286" s="54"/>
      <c r="H286" s="54"/>
      <c r="I286" s="53"/>
      <c r="J286" s="53"/>
      <c r="K286" s="23"/>
      <c r="L286" s="53"/>
      <c r="M286" s="54"/>
    </row>
    <row r="287">
      <c r="A287" s="23"/>
      <c r="B287" s="52"/>
      <c r="C287" s="53"/>
      <c r="D287" s="23"/>
      <c r="E287" s="53"/>
      <c r="F287" s="54"/>
      <c r="G287" s="54"/>
      <c r="H287" s="54"/>
      <c r="I287" s="53"/>
      <c r="J287" s="53"/>
      <c r="K287" s="23"/>
      <c r="L287" s="53"/>
      <c r="M287" s="54"/>
    </row>
    <row r="288">
      <c r="A288" s="23"/>
      <c r="B288" s="52"/>
      <c r="C288" s="53"/>
      <c r="D288" s="23"/>
      <c r="E288" s="53"/>
      <c r="F288" s="54"/>
      <c r="G288" s="54"/>
      <c r="H288" s="54"/>
      <c r="I288" s="53"/>
      <c r="J288" s="53"/>
      <c r="K288" s="23"/>
      <c r="L288" s="53"/>
      <c r="M288" s="54"/>
    </row>
    <row r="289">
      <c r="A289" s="23"/>
      <c r="B289" s="52"/>
      <c r="C289" s="53"/>
      <c r="D289" s="23"/>
      <c r="E289" s="53"/>
      <c r="F289" s="54"/>
      <c r="G289" s="54"/>
      <c r="H289" s="54"/>
      <c r="I289" s="53"/>
      <c r="J289" s="53"/>
      <c r="K289" s="23"/>
      <c r="L289" s="53"/>
      <c r="M289" s="54"/>
    </row>
    <row r="290">
      <c r="A290" s="23"/>
      <c r="B290" s="52"/>
      <c r="C290" s="53"/>
      <c r="D290" s="23"/>
      <c r="E290" s="53"/>
      <c r="F290" s="54"/>
      <c r="G290" s="54"/>
      <c r="H290" s="54"/>
      <c r="I290" s="53"/>
      <c r="J290" s="53"/>
      <c r="K290" s="23"/>
      <c r="L290" s="53"/>
      <c r="M290" s="54"/>
    </row>
    <row r="291">
      <c r="A291" s="23"/>
      <c r="B291" s="52"/>
      <c r="C291" s="53"/>
      <c r="D291" s="23"/>
      <c r="E291" s="53"/>
      <c r="F291" s="54"/>
      <c r="G291" s="54"/>
      <c r="H291" s="54"/>
      <c r="I291" s="53"/>
      <c r="J291" s="53"/>
      <c r="K291" s="23"/>
      <c r="L291" s="53"/>
      <c r="M291" s="54"/>
    </row>
    <row r="292">
      <c r="A292" s="23"/>
      <c r="B292" s="52"/>
      <c r="C292" s="53"/>
      <c r="D292" s="23"/>
      <c r="E292" s="53"/>
      <c r="F292" s="54"/>
      <c r="G292" s="54"/>
      <c r="H292" s="54"/>
      <c r="I292" s="53"/>
      <c r="J292" s="53"/>
      <c r="K292" s="23"/>
      <c r="L292" s="53"/>
      <c r="M292" s="54"/>
    </row>
    <row r="293">
      <c r="A293" s="23"/>
      <c r="B293" s="52"/>
      <c r="C293" s="53"/>
      <c r="D293" s="23"/>
      <c r="E293" s="53"/>
      <c r="F293" s="54"/>
      <c r="G293" s="54"/>
      <c r="H293" s="54"/>
      <c r="I293" s="53"/>
      <c r="J293" s="53"/>
      <c r="K293" s="23"/>
      <c r="L293" s="53"/>
      <c r="M293" s="54"/>
    </row>
    <row r="294">
      <c r="A294" s="23"/>
      <c r="B294" s="52"/>
      <c r="C294" s="53"/>
      <c r="D294" s="23"/>
      <c r="E294" s="53"/>
      <c r="F294" s="54"/>
      <c r="G294" s="54"/>
      <c r="H294" s="54"/>
      <c r="I294" s="53"/>
      <c r="J294" s="53"/>
      <c r="K294" s="23"/>
      <c r="L294" s="53"/>
      <c r="M294" s="54"/>
    </row>
    <row r="295">
      <c r="A295" s="23"/>
      <c r="B295" s="52"/>
      <c r="C295" s="53"/>
      <c r="D295" s="23"/>
      <c r="E295" s="53"/>
      <c r="F295" s="54"/>
      <c r="G295" s="54"/>
      <c r="H295" s="54"/>
      <c r="I295" s="53"/>
      <c r="J295" s="53"/>
      <c r="K295" s="23"/>
      <c r="L295" s="53"/>
      <c r="M295" s="54"/>
    </row>
    <row r="296">
      <c r="A296" s="23"/>
      <c r="B296" s="52"/>
      <c r="C296" s="53"/>
      <c r="D296" s="23"/>
      <c r="E296" s="53"/>
      <c r="F296" s="54"/>
      <c r="G296" s="54"/>
      <c r="H296" s="54"/>
      <c r="I296" s="53"/>
      <c r="J296" s="53"/>
      <c r="K296" s="23"/>
      <c r="L296" s="53"/>
      <c r="M296" s="54"/>
    </row>
    <row r="297">
      <c r="A297" s="23"/>
      <c r="B297" s="52"/>
      <c r="C297" s="53"/>
      <c r="D297" s="23"/>
      <c r="E297" s="53"/>
      <c r="F297" s="54"/>
      <c r="G297" s="54"/>
      <c r="H297" s="54"/>
      <c r="I297" s="53"/>
      <c r="J297" s="53"/>
      <c r="K297" s="23"/>
      <c r="L297" s="53"/>
      <c r="M297" s="54"/>
    </row>
    <row r="298">
      <c r="A298" s="23"/>
      <c r="B298" s="52"/>
      <c r="C298" s="53"/>
      <c r="D298" s="23"/>
      <c r="E298" s="53"/>
      <c r="F298" s="54"/>
      <c r="G298" s="54"/>
      <c r="H298" s="54"/>
      <c r="I298" s="53"/>
      <c r="J298" s="53"/>
      <c r="K298" s="23"/>
      <c r="L298" s="53"/>
      <c r="M298" s="54"/>
    </row>
    <row r="299">
      <c r="A299" s="23"/>
      <c r="B299" s="52"/>
      <c r="C299" s="53"/>
      <c r="D299" s="23"/>
      <c r="E299" s="53"/>
      <c r="F299" s="54"/>
      <c r="G299" s="54"/>
      <c r="H299" s="54"/>
      <c r="I299" s="53"/>
      <c r="J299" s="53"/>
      <c r="K299" s="23"/>
      <c r="L299" s="53"/>
      <c r="M299" s="54"/>
    </row>
    <row r="300">
      <c r="A300" s="23"/>
      <c r="B300" s="52"/>
      <c r="C300" s="53"/>
      <c r="D300" s="23"/>
      <c r="E300" s="53"/>
      <c r="F300" s="54"/>
      <c r="G300" s="54"/>
      <c r="H300" s="54"/>
      <c r="I300" s="53"/>
      <c r="J300" s="53"/>
      <c r="K300" s="23"/>
      <c r="L300" s="53"/>
      <c r="M300" s="54"/>
    </row>
    <row r="301">
      <c r="A301" s="23"/>
      <c r="B301" s="52"/>
      <c r="C301" s="53"/>
      <c r="D301" s="23"/>
      <c r="E301" s="53"/>
      <c r="F301" s="54"/>
      <c r="G301" s="54"/>
      <c r="H301" s="54"/>
      <c r="I301" s="53"/>
      <c r="J301" s="53"/>
      <c r="K301" s="23"/>
      <c r="L301" s="53"/>
      <c r="M301" s="54"/>
    </row>
    <row r="302">
      <c r="A302" s="23"/>
      <c r="B302" s="52"/>
      <c r="C302" s="53"/>
      <c r="D302" s="23"/>
      <c r="E302" s="53"/>
      <c r="F302" s="54"/>
      <c r="G302" s="54"/>
      <c r="H302" s="54"/>
      <c r="I302" s="53"/>
      <c r="J302" s="53"/>
      <c r="K302" s="23"/>
      <c r="L302" s="53"/>
      <c r="M302" s="54"/>
    </row>
    <row r="303">
      <c r="A303" s="23"/>
      <c r="B303" s="52"/>
      <c r="C303" s="53"/>
      <c r="D303" s="23"/>
      <c r="E303" s="53"/>
      <c r="F303" s="54"/>
      <c r="G303" s="54"/>
      <c r="H303" s="54"/>
      <c r="I303" s="53"/>
      <c r="J303" s="53"/>
      <c r="K303" s="23"/>
      <c r="L303" s="53"/>
      <c r="M303" s="54"/>
    </row>
    <row r="304">
      <c r="A304" s="23"/>
      <c r="B304" s="52"/>
      <c r="C304" s="53"/>
      <c r="D304" s="23"/>
      <c r="E304" s="53"/>
      <c r="F304" s="54"/>
      <c r="G304" s="54"/>
      <c r="H304" s="54"/>
      <c r="I304" s="53"/>
      <c r="J304" s="53"/>
      <c r="K304" s="23"/>
      <c r="L304" s="53"/>
      <c r="M304" s="54"/>
    </row>
    <row r="305">
      <c r="A305" s="23"/>
      <c r="B305" s="52"/>
      <c r="C305" s="53"/>
      <c r="D305" s="23"/>
      <c r="E305" s="53"/>
      <c r="F305" s="54"/>
      <c r="G305" s="54"/>
      <c r="H305" s="54"/>
      <c r="I305" s="53"/>
      <c r="J305" s="53"/>
      <c r="K305" s="23"/>
      <c r="L305" s="53"/>
      <c r="M305" s="54"/>
    </row>
    <row r="306">
      <c r="A306" s="23"/>
      <c r="B306" s="52"/>
      <c r="C306" s="53"/>
      <c r="D306" s="23"/>
      <c r="E306" s="53"/>
      <c r="F306" s="54"/>
      <c r="G306" s="54"/>
      <c r="H306" s="54"/>
      <c r="I306" s="53"/>
      <c r="J306" s="53"/>
      <c r="K306" s="23"/>
      <c r="L306" s="53"/>
      <c r="M306" s="54"/>
    </row>
    <row r="307">
      <c r="A307" s="23"/>
      <c r="B307" s="52"/>
      <c r="C307" s="53"/>
      <c r="D307" s="23"/>
      <c r="E307" s="53"/>
      <c r="F307" s="54"/>
      <c r="G307" s="54"/>
      <c r="H307" s="54"/>
      <c r="I307" s="53"/>
      <c r="J307" s="53"/>
      <c r="K307" s="23"/>
      <c r="L307" s="53"/>
      <c r="M307" s="54"/>
    </row>
    <row r="308">
      <c r="A308" s="23"/>
      <c r="B308" s="52"/>
      <c r="C308" s="53"/>
      <c r="D308" s="23"/>
      <c r="E308" s="53"/>
      <c r="F308" s="54"/>
      <c r="G308" s="54"/>
      <c r="H308" s="54"/>
      <c r="I308" s="53"/>
      <c r="J308" s="53"/>
      <c r="K308" s="23"/>
      <c r="L308" s="53"/>
      <c r="M308" s="54"/>
    </row>
    <row r="309">
      <c r="A309" s="23"/>
      <c r="B309" s="52"/>
      <c r="C309" s="53"/>
      <c r="D309" s="23"/>
      <c r="E309" s="53"/>
      <c r="F309" s="54"/>
      <c r="G309" s="54"/>
      <c r="H309" s="54"/>
      <c r="I309" s="53"/>
      <c r="J309" s="53"/>
      <c r="K309" s="23"/>
      <c r="L309" s="53"/>
      <c r="M309" s="54"/>
    </row>
    <row r="310">
      <c r="A310" s="23"/>
      <c r="B310" s="52"/>
      <c r="C310" s="53"/>
      <c r="D310" s="23"/>
      <c r="E310" s="53"/>
      <c r="F310" s="54"/>
      <c r="G310" s="54"/>
      <c r="H310" s="54"/>
      <c r="I310" s="53"/>
      <c r="J310" s="53"/>
      <c r="K310" s="23"/>
      <c r="L310" s="53"/>
      <c r="M310" s="54"/>
    </row>
    <row r="311">
      <c r="A311" s="23"/>
      <c r="B311" s="52"/>
      <c r="C311" s="53"/>
      <c r="D311" s="23"/>
      <c r="E311" s="53"/>
      <c r="F311" s="54"/>
      <c r="G311" s="54"/>
      <c r="H311" s="54"/>
      <c r="I311" s="53"/>
      <c r="J311" s="53"/>
      <c r="K311" s="23"/>
      <c r="L311" s="53"/>
      <c r="M311" s="54"/>
    </row>
    <row r="312">
      <c r="A312" s="23"/>
      <c r="B312" s="52"/>
      <c r="C312" s="53"/>
      <c r="D312" s="23"/>
      <c r="E312" s="53"/>
      <c r="F312" s="54"/>
      <c r="G312" s="54"/>
      <c r="H312" s="54"/>
      <c r="I312" s="53"/>
      <c r="J312" s="53"/>
      <c r="K312" s="23"/>
      <c r="L312" s="53"/>
      <c r="M312" s="54"/>
    </row>
    <row r="313">
      <c r="A313" s="23"/>
      <c r="B313" s="52"/>
      <c r="C313" s="53"/>
      <c r="D313" s="23"/>
      <c r="E313" s="53"/>
      <c r="F313" s="54"/>
      <c r="G313" s="54"/>
      <c r="H313" s="54"/>
      <c r="I313" s="53"/>
      <c r="J313" s="53"/>
      <c r="K313" s="23"/>
      <c r="L313" s="53"/>
      <c r="M313" s="54"/>
    </row>
    <row r="314">
      <c r="A314" s="23"/>
      <c r="B314" s="52"/>
      <c r="C314" s="53"/>
      <c r="D314" s="23"/>
      <c r="E314" s="53"/>
      <c r="F314" s="54"/>
      <c r="G314" s="54"/>
      <c r="H314" s="54"/>
      <c r="I314" s="53"/>
      <c r="J314" s="53"/>
      <c r="K314" s="23"/>
      <c r="L314" s="53"/>
      <c r="M314" s="54"/>
    </row>
    <row r="315">
      <c r="A315" s="23"/>
      <c r="B315" s="52"/>
      <c r="C315" s="53"/>
      <c r="D315" s="23"/>
      <c r="E315" s="53"/>
      <c r="F315" s="54"/>
      <c r="G315" s="54"/>
      <c r="H315" s="54"/>
      <c r="I315" s="53"/>
      <c r="J315" s="53"/>
      <c r="K315" s="23"/>
      <c r="L315" s="53"/>
      <c r="M315" s="54"/>
    </row>
    <row r="316">
      <c r="A316" s="23"/>
      <c r="B316" s="52"/>
      <c r="C316" s="53"/>
      <c r="D316" s="23"/>
      <c r="E316" s="53"/>
      <c r="F316" s="54"/>
      <c r="G316" s="54"/>
      <c r="H316" s="54"/>
      <c r="I316" s="53"/>
      <c r="J316" s="53"/>
      <c r="K316" s="23"/>
      <c r="L316" s="53"/>
      <c r="M316" s="54"/>
    </row>
    <row r="317">
      <c r="A317" s="23"/>
      <c r="B317" s="52"/>
      <c r="C317" s="53"/>
      <c r="D317" s="23"/>
      <c r="E317" s="53"/>
      <c r="F317" s="54"/>
      <c r="G317" s="54"/>
      <c r="H317" s="54"/>
      <c r="I317" s="53"/>
      <c r="J317" s="53"/>
      <c r="K317" s="23"/>
      <c r="L317" s="53"/>
      <c r="M317" s="54"/>
    </row>
    <row r="318">
      <c r="A318" s="23"/>
      <c r="B318" s="52"/>
      <c r="C318" s="53"/>
      <c r="D318" s="23"/>
      <c r="E318" s="53"/>
      <c r="F318" s="54"/>
      <c r="G318" s="54"/>
      <c r="H318" s="54"/>
      <c r="I318" s="53"/>
      <c r="J318" s="53"/>
      <c r="K318" s="23"/>
      <c r="L318" s="53"/>
      <c r="M318" s="54"/>
    </row>
    <row r="319">
      <c r="A319" s="23"/>
      <c r="B319" s="52"/>
      <c r="C319" s="53"/>
      <c r="D319" s="23"/>
      <c r="E319" s="53"/>
      <c r="F319" s="54"/>
      <c r="G319" s="54"/>
      <c r="H319" s="54"/>
      <c r="I319" s="53"/>
      <c r="J319" s="53"/>
      <c r="K319" s="23"/>
      <c r="L319" s="53"/>
      <c r="M319" s="54"/>
    </row>
    <row r="320">
      <c r="A320" s="23"/>
      <c r="B320" s="52"/>
      <c r="C320" s="53"/>
      <c r="D320" s="23"/>
      <c r="E320" s="53"/>
      <c r="F320" s="54"/>
      <c r="G320" s="54"/>
      <c r="H320" s="54"/>
      <c r="I320" s="53"/>
      <c r="J320" s="53"/>
      <c r="K320" s="23"/>
      <c r="L320" s="53"/>
      <c r="M320" s="54"/>
    </row>
    <row r="321">
      <c r="A321" s="23"/>
      <c r="B321" s="52"/>
      <c r="C321" s="53"/>
      <c r="D321" s="23"/>
      <c r="E321" s="53"/>
      <c r="F321" s="54"/>
      <c r="G321" s="54"/>
      <c r="H321" s="54"/>
      <c r="I321" s="53"/>
      <c r="J321" s="53"/>
      <c r="K321" s="23"/>
      <c r="L321" s="53"/>
      <c r="M321" s="54"/>
    </row>
    <row r="322">
      <c r="A322" s="23"/>
      <c r="B322" s="52"/>
      <c r="C322" s="53"/>
      <c r="D322" s="23"/>
      <c r="E322" s="53"/>
      <c r="F322" s="54"/>
      <c r="G322" s="54"/>
      <c r="H322" s="54"/>
      <c r="I322" s="53"/>
      <c r="J322" s="53"/>
      <c r="K322" s="23"/>
      <c r="L322" s="53"/>
      <c r="M322" s="54"/>
    </row>
    <row r="323">
      <c r="A323" s="23"/>
      <c r="B323" s="52"/>
      <c r="C323" s="53"/>
      <c r="D323" s="23"/>
      <c r="E323" s="53"/>
      <c r="F323" s="54"/>
      <c r="G323" s="54"/>
      <c r="H323" s="54"/>
      <c r="I323" s="53"/>
      <c r="J323" s="53"/>
      <c r="K323" s="23"/>
      <c r="L323" s="53"/>
      <c r="M323" s="54"/>
    </row>
    <row r="324">
      <c r="A324" s="23"/>
      <c r="B324" s="52"/>
      <c r="C324" s="53"/>
      <c r="D324" s="23"/>
      <c r="E324" s="53"/>
      <c r="F324" s="54"/>
      <c r="G324" s="54"/>
      <c r="H324" s="54"/>
      <c r="I324" s="53"/>
      <c r="J324" s="53"/>
      <c r="K324" s="23"/>
      <c r="L324" s="53"/>
      <c r="M324" s="54"/>
    </row>
    <row r="325">
      <c r="A325" s="23"/>
      <c r="B325" s="52"/>
      <c r="C325" s="53"/>
      <c r="D325" s="23"/>
      <c r="E325" s="53"/>
      <c r="F325" s="54"/>
      <c r="G325" s="54"/>
      <c r="H325" s="54"/>
      <c r="I325" s="53"/>
      <c r="J325" s="53"/>
      <c r="K325" s="23"/>
      <c r="L325" s="53"/>
      <c r="M325" s="54"/>
    </row>
    <row r="326">
      <c r="A326" s="23"/>
      <c r="B326" s="52"/>
      <c r="C326" s="53"/>
      <c r="D326" s="23"/>
      <c r="E326" s="53"/>
      <c r="F326" s="54"/>
      <c r="G326" s="54"/>
      <c r="H326" s="54"/>
      <c r="I326" s="53"/>
      <c r="J326" s="53"/>
      <c r="K326" s="23"/>
      <c r="L326" s="53"/>
      <c r="M326" s="54"/>
    </row>
    <row r="327">
      <c r="A327" s="23"/>
      <c r="B327" s="52"/>
      <c r="C327" s="53"/>
      <c r="D327" s="23"/>
      <c r="E327" s="53"/>
      <c r="F327" s="54"/>
      <c r="G327" s="54"/>
      <c r="H327" s="54"/>
      <c r="I327" s="53"/>
      <c r="J327" s="53"/>
      <c r="K327" s="23"/>
      <c r="L327" s="53"/>
      <c r="M327" s="54"/>
    </row>
    <row r="328">
      <c r="A328" s="23"/>
      <c r="B328" s="52"/>
      <c r="C328" s="53"/>
      <c r="D328" s="23"/>
      <c r="E328" s="53"/>
      <c r="F328" s="54"/>
      <c r="G328" s="54"/>
      <c r="H328" s="54"/>
      <c r="I328" s="53"/>
      <c r="J328" s="53"/>
      <c r="K328" s="23"/>
      <c r="L328" s="53"/>
      <c r="M328" s="54"/>
    </row>
    <row r="329">
      <c r="A329" s="23"/>
      <c r="B329" s="52"/>
      <c r="C329" s="53"/>
      <c r="D329" s="23"/>
      <c r="E329" s="53"/>
      <c r="F329" s="54"/>
      <c r="G329" s="54"/>
      <c r="H329" s="54"/>
      <c r="I329" s="53"/>
      <c r="J329" s="53"/>
      <c r="K329" s="23"/>
      <c r="L329" s="53"/>
      <c r="M329" s="54"/>
    </row>
    <row r="330">
      <c r="A330" s="23"/>
      <c r="B330" s="52"/>
      <c r="C330" s="53"/>
      <c r="D330" s="23"/>
      <c r="E330" s="53"/>
      <c r="F330" s="54"/>
      <c r="G330" s="54"/>
      <c r="H330" s="54"/>
      <c r="I330" s="53"/>
      <c r="J330" s="53"/>
      <c r="K330" s="23"/>
      <c r="L330" s="53"/>
      <c r="M330" s="54"/>
    </row>
    <row r="331">
      <c r="A331" s="23"/>
      <c r="B331" s="52"/>
      <c r="C331" s="53"/>
      <c r="D331" s="23"/>
      <c r="E331" s="53"/>
      <c r="F331" s="54"/>
      <c r="G331" s="54"/>
      <c r="H331" s="54"/>
      <c r="I331" s="53"/>
      <c r="J331" s="53"/>
      <c r="K331" s="23"/>
      <c r="L331" s="53"/>
      <c r="M331" s="54"/>
    </row>
    <row r="332">
      <c r="A332" s="23"/>
      <c r="B332" s="52"/>
      <c r="C332" s="53"/>
      <c r="D332" s="23"/>
      <c r="E332" s="53"/>
      <c r="F332" s="54"/>
      <c r="G332" s="54"/>
      <c r="H332" s="54"/>
      <c r="I332" s="53"/>
      <c r="J332" s="53"/>
      <c r="K332" s="23"/>
      <c r="L332" s="53"/>
      <c r="M332" s="54"/>
    </row>
    <row r="333">
      <c r="A333" s="23"/>
      <c r="B333" s="52"/>
      <c r="C333" s="53"/>
      <c r="D333" s="23"/>
      <c r="E333" s="53"/>
      <c r="F333" s="54"/>
      <c r="G333" s="54"/>
      <c r="H333" s="54"/>
      <c r="I333" s="53"/>
      <c r="J333" s="53"/>
      <c r="K333" s="23"/>
      <c r="L333" s="53"/>
      <c r="M333" s="54"/>
    </row>
    <row r="334">
      <c r="A334" s="23"/>
      <c r="B334" s="52"/>
      <c r="C334" s="53"/>
      <c r="D334" s="23"/>
      <c r="E334" s="53"/>
      <c r="F334" s="54"/>
      <c r="G334" s="54"/>
      <c r="H334" s="54"/>
      <c r="I334" s="53"/>
      <c r="J334" s="53"/>
      <c r="K334" s="23"/>
      <c r="L334" s="53"/>
      <c r="M334" s="54"/>
    </row>
    <row r="335">
      <c r="A335" s="23"/>
      <c r="B335" s="52"/>
      <c r="C335" s="53"/>
      <c r="D335" s="23"/>
      <c r="E335" s="53"/>
      <c r="F335" s="54"/>
      <c r="G335" s="54"/>
      <c r="H335" s="54"/>
      <c r="I335" s="53"/>
      <c r="J335" s="53"/>
      <c r="K335" s="23"/>
      <c r="L335" s="53"/>
      <c r="M335" s="54"/>
    </row>
    <row r="336">
      <c r="A336" s="23"/>
      <c r="B336" s="52"/>
      <c r="C336" s="53"/>
      <c r="D336" s="23"/>
      <c r="E336" s="53"/>
      <c r="F336" s="54"/>
      <c r="G336" s="54"/>
      <c r="H336" s="54"/>
      <c r="I336" s="53"/>
      <c r="J336" s="53"/>
      <c r="K336" s="23"/>
      <c r="L336" s="53"/>
      <c r="M336" s="54"/>
    </row>
    <row r="337">
      <c r="A337" s="23"/>
      <c r="B337" s="52"/>
      <c r="C337" s="53"/>
      <c r="D337" s="23"/>
      <c r="E337" s="53"/>
      <c r="F337" s="54"/>
      <c r="G337" s="54"/>
      <c r="H337" s="54"/>
      <c r="I337" s="53"/>
      <c r="J337" s="53"/>
      <c r="K337" s="23"/>
      <c r="L337" s="53"/>
      <c r="M337" s="54"/>
    </row>
    <row r="338">
      <c r="A338" s="23"/>
      <c r="B338" s="52"/>
      <c r="C338" s="53"/>
      <c r="D338" s="23"/>
      <c r="E338" s="53"/>
      <c r="F338" s="54"/>
      <c r="G338" s="54"/>
      <c r="H338" s="54"/>
      <c r="I338" s="53"/>
      <c r="J338" s="53"/>
      <c r="K338" s="23"/>
      <c r="L338" s="53"/>
      <c r="M338" s="54"/>
    </row>
    <row r="339">
      <c r="A339" s="23"/>
      <c r="B339" s="52"/>
      <c r="C339" s="53"/>
      <c r="D339" s="23"/>
      <c r="E339" s="53"/>
      <c r="F339" s="54"/>
      <c r="G339" s="54"/>
      <c r="H339" s="54"/>
      <c r="I339" s="53"/>
      <c r="J339" s="53"/>
      <c r="K339" s="23"/>
      <c r="L339" s="53"/>
      <c r="M339" s="54"/>
    </row>
    <row r="340">
      <c r="A340" s="23"/>
      <c r="B340" s="52"/>
      <c r="C340" s="53"/>
      <c r="D340" s="23"/>
      <c r="E340" s="53"/>
      <c r="F340" s="54"/>
      <c r="G340" s="54"/>
      <c r="H340" s="54"/>
      <c r="I340" s="53"/>
      <c r="J340" s="53"/>
      <c r="K340" s="23"/>
      <c r="L340" s="53"/>
      <c r="M340" s="54"/>
    </row>
    <row r="341">
      <c r="A341" s="23"/>
      <c r="B341" s="52"/>
      <c r="C341" s="53"/>
      <c r="D341" s="23"/>
      <c r="E341" s="53"/>
      <c r="F341" s="54"/>
      <c r="G341" s="54"/>
      <c r="H341" s="54"/>
      <c r="I341" s="53"/>
      <c r="J341" s="53"/>
      <c r="K341" s="23"/>
      <c r="L341" s="53"/>
      <c r="M341" s="54"/>
    </row>
    <row r="342">
      <c r="A342" s="23"/>
      <c r="B342" s="52"/>
      <c r="C342" s="53"/>
      <c r="D342" s="23"/>
      <c r="E342" s="53"/>
      <c r="F342" s="54"/>
      <c r="G342" s="54"/>
      <c r="H342" s="54"/>
      <c r="I342" s="53"/>
      <c r="J342" s="53"/>
      <c r="K342" s="23"/>
      <c r="L342" s="53"/>
      <c r="M342" s="54"/>
    </row>
    <row r="343">
      <c r="A343" s="23"/>
      <c r="B343" s="52"/>
      <c r="C343" s="53"/>
      <c r="D343" s="23"/>
      <c r="E343" s="53"/>
      <c r="F343" s="54"/>
      <c r="G343" s="54"/>
      <c r="H343" s="54"/>
      <c r="I343" s="53"/>
      <c r="J343" s="53"/>
      <c r="K343" s="23"/>
      <c r="L343" s="53"/>
      <c r="M343" s="54"/>
    </row>
    <row r="344">
      <c r="A344" s="23"/>
      <c r="B344" s="52"/>
      <c r="C344" s="53"/>
      <c r="D344" s="23"/>
      <c r="E344" s="53"/>
      <c r="F344" s="54"/>
      <c r="G344" s="54"/>
      <c r="H344" s="54"/>
      <c r="I344" s="53"/>
      <c r="J344" s="53"/>
      <c r="K344" s="23"/>
      <c r="L344" s="53"/>
      <c r="M344" s="54"/>
    </row>
    <row r="345">
      <c r="A345" s="23"/>
      <c r="B345" s="52"/>
      <c r="C345" s="53"/>
      <c r="D345" s="23"/>
      <c r="E345" s="53"/>
      <c r="F345" s="54"/>
      <c r="G345" s="54"/>
      <c r="H345" s="54"/>
      <c r="I345" s="53"/>
      <c r="J345" s="53"/>
      <c r="K345" s="23"/>
      <c r="L345" s="53"/>
      <c r="M345" s="54"/>
    </row>
    <row r="346">
      <c r="A346" s="23"/>
      <c r="B346" s="52"/>
      <c r="C346" s="53"/>
      <c r="D346" s="23"/>
      <c r="E346" s="53"/>
      <c r="F346" s="54"/>
      <c r="G346" s="54"/>
      <c r="H346" s="54"/>
      <c r="I346" s="53"/>
      <c r="J346" s="53"/>
      <c r="K346" s="23"/>
      <c r="L346" s="53"/>
      <c r="M346" s="54"/>
    </row>
    <row r="347">
      <c r="A347" s="23"/>
      <c r="B347" s="52"/>
      <c r="C347" s="53"/>
      <c r="D347" s="23"/>
      <c r="E347" s="53"/>
      <c r="F347" s="54"/>
      <c r="G347" s="54"/>
      <c r="H347" s="54"/>
      <c r="I347" s="53"/>
      <c r="J347" s="53"/>
      <c r="K347" s="23"/>
      <c r="L347" s="53"/>
      <c r="M347" s="54"/>
    </row>
    <row r="348">
      <c r="A348" s="23"/>
      <c r="B348" s="52"/>
      <c r="C348" s="53"/>
      <c r="D348" s="23"/>
      <c r="E348" s="53"/>
      <c r="F348" s="54"/>
      <c r="G348" s="54"/>
      <c r="H348" s="54"/>
      <c r="I348" s="53"/>
      <c r="J348" s="53"/>
      <c r="K348" s="23"/>
      <c r="L348" s="53"/>
      <c r="M348" s="54"/>
    </row>
    <row r="349">
      <c r="A349" s="23"/>
      <c r="B349" s="52"/>
      <c r="C349" s="53"/>
      <c r="D349" s="23"/>
      <c r="E349" s="53"/>
      <c r="F349" s="54"/>
      <c r="G349" s="54"/>
      <c r="H349" s="54"/>
      <c r="I349" s="53"/>
      <c r="J349" s="53"/>
      <c r="K349" s="23"/>
      <c r="L349" s="53"/>
      <c r="M349" s="54"/>
    </row>
    <row r="350">
      <c r="A350" s="23"/>
      <c r="B350" s="52"/>
      <c r="C350" s="53"/>
      <c r="D350" s="23"/>
      <c r="E350" s="53"/>
      <c r="F350" s="54"/>
      <c r="G350" s="54"/>
      <c r="H350" s="54"/>
      <c r="I350" s="53"/>
      <c r="J350" s="53"/>
      <c r="K350" s="23"/>
      <c r="L350" s="53"/>
      <c r="M350" s="54"/>
    </row>
    <row r="351">
      <c r="A351" s="23"/>
      <c r="B351" s="52"/>
      <c r="C351" s="53"/>
      <c r="D351" s="23"/>
      <c r="E351" s="53"/>
      <c r="F351" s="54"/>
      <c r="G351" s="54"/>
      <c r="H351" s="54"/>
      <c r="I351" s="53"/>
      <c r="J351" s="53"/>
      <c r="K351" s="23"/>
      <c r="L351" s="53"/>
      <c r="M351" s="54"/>
    </row>
    <row r="352">
      <c r="A352" s="23"/>
      <c r="B352" s="52"/>
      <c r="C352" s="53"/>
      <c r="D352" s="23"/>
      <c r="E352" s="53"/>
      <c r="F352" s="54"/>
      <c r="G352" s="54"/>
      <c r="H352" s="54"/>
      <c r="I352" s="53"/>
      <c r="J352" s="53"/>
      <c r="K352" s="23"/>
      <c r="L352" s="53"/>
      <c r="M352" s="54"/>
    </row>
    <row r="353">
      <c r="A353" s="23"/>
      <c r="B353" s="52"/>
      <c r="C353" s="53"/>
      <c r="D353" s="23"/>
      <c r="E353" s="53"/>
      <c r="F353" s="54"/>
      <c r="G353" s="54"/>
      <c r="H353" s="54"/>
      <c r="I353" s="53"/>
      <c r="J353" s="53"/>
      <c r="K353" s="23"/>
      <c r="L353" s="53"/>
      <c r="M353" s="54"/>
    </row>
    <row r="354">
      <c r="A354" s="23"/>
      <c r="B354" s="52"/>
      <c r="C354" s="53"/>
      <c r="D354" s="23"/>
      <c r="E354" s="53"/>
      <c r="F354" s="54"/>
      <c r="G354" s="54"/>
      <c r="H354" s="54"/>
      <c r="I354" s="53"/>
      <c r="J354" s="53"/>
      <c r="K354" s="23"/>
      <c r="L354" s="53"/>
      <c r="M354" s="54"/>
    </row>
    <row r="355">
      <c r="A355" s="23"/>
      <c r="B355" s="52"/>
      <c r="C355" s="53"/>
      <c r="D355" s="23"/>
      <c r="E355" s="53"/>
      <c r="F355" s="54"/>
      <c r="G355" s="54"/>
      <c r="H355" s="54"/>
      <c r="I355" s="53"/>
      <c r="J355" s="53"/>
      <c r="K355" s="23"/>
      <c r="L355" s="53"/>
      <c r="M355" s="54"/>
    </row>
    <row r="356">
      <c r="A356" s="23"/>
      <c r="B356" s="52"/>
      <c r="C356" s="53"/>
      <c r="D356" s="23"/>
      <c r="E356" s="53"/>
      <c r="F356" s="54"/>
      <c r="G356" s="54"/>
      <c r="H356" s="54"/>
      <c r="I356" s="53"/>
      <c r="J356" s="53"/>
      <c r="K356" s="23"/>
      <c r="L356" s="53"/>
      <c r="M356" s="54"/>
    </row>
    <row r="357">
      <c r="A357" s="23"/>
      <c r="B357" s="52"/>
      <c r="C357" s="53"/>
      <c r="D357" s="23"/>
      <c r="E357" s="53"/>
      <c r="F357" s="54"/>
      <c r="G357" s="54"/>
      <c r="H357" s="54"/>
      <c r="I357" s="53"/>
      <c r="J357" s="53"/>
      <c r="K357" s="23"/>
      <c r="L357" s="53"/>
      <c r="M357" s="54"/>
    </row>
    <row r="358">
      <c r="A358" s="23"/>
      <c r="B358" s="52"/>
      <c r="C358" s="53"/>
      <c r="D358" s="23"/>
      <c r="E358" s="53"/>
      <c r="F358" s="54"/>
      <c r="G358" s="54"/>
      <c r="H358" s="54"/>
      <c r="I358" s="53"/>
      <c r="J358" s="53"/>
      <c r="K358" s="23"/>
      <c r="L358" s="53"/>
      <c r="M358" s="54"/>
    </row>
    <row r="359">
      <c r="A359" s="23"/>
      <c r="B359" s="52"/>
      <c r="C359" s="53"/>
      <c r="D359" s="23"/>
      <c r="E359" s="53"/>
      <c r="F359" s="54"/>
      <c r="G359" s="54"/>
      <c r="H359" s="54"/>
      <c r="I359" s="53"/>
      <c r="J359" s="53"/>
      <c r="K359" s="23"/>
      <c r="L359" s="53"/>
      <c r="M359" s="54"/>
    </row>
    <row r="360">
      <c r="A360" s="23"/>
      <c r="B360" s="52"/>
      <c r="C360" s="53"/>
      <c r="D360" s="23"/>
      <c r="E360" s="53"/>
      <c r="F360" s="54"/>
      <c r="G360" s="54"/>
      <c r="H360" s="54"/>
      <c r="I360" s="53"/>
      <c r="J360" s="53"/>
      <c r="K360" s="23"/>
      <c r="L360" s="53"/>
      <c r="M360" s="54"/>
    </row>
    <row r="361">
      <c r="A361" s="23"/>
      <c r="B361" s="52"/>
      <c r="C361" s="53"/>
      <c r="D361" s="23"/>
      <c r="E361" s="53"/>
      <c r="F361" s="54"/>
      <c r="G361" s="54"/>
      <c r="H361" s="54"/>
      <c r="I361" s="53"/>
      <c r="J361" s="53"/>
      <c r="K361" s="23"/>
      <c r="L361" s="53"/>
      <c r="M361" s="54"/>
    </row>
    <row r="362">
      <c r="A362" s="23"/>
      <c r="B362" s="52"/>
      <c r="C362" s="53"/>
      <c r="D362" s="23"/>
      <c r="E362" s="53"/>
      <c r="F362" s="54"/>
      <c r="G362" s="54"/>
      <c r="H362" s="54"/>
      <c r="I362" s="53"/>
      <c r="J362" s="53"/>
      <c r="K362" s="23"/>
      <c r="L362" s="53"/>
      <c r="M362" s="54"/>
    </row>
    <row r="363">
      <c r="A363" s="23"/>
      <c r="B363" s="52"/>
      <c r="C363" s="53"/>
      <c r="D363" s="23"/>
      <c r="E363" s="53"/>
      <c r="F363" s="54"/>
      <c r="G363" s="54"/>
      <c r="H363" s="54"/>
      <c r="I363" s="53"/>
      <c r="J363" s="53"/>
      <c r="K363" s="23"/>
      <c r="L363" s="53"/>
      <c r="M363" s="54"/>
    </row>
    <row r="364">
      <c r="A364" s="23"/>
      <c r="B364" s="52"/>
      <c r="C364" s="53"/>
      <c r="D364" s="23"/>
      <c r="E364" s="53"/>
      <c r="F364" s="54"/>
      <c r="G364" s="54"/>
      <c r="H364" s="54"/>
      <c r="I364" s="53"/>
      <c r="J364" s="53"/>
      <c r="K364" s="23"/>
      <c r="L364" s="53"/>
      <c r="M364" s="54"/>
    </row>
    <row r="365">
      <c r="A365" s="23"/>
      <c r="B365" s="52"/>
      <c r="C365" s="53"/>
      <c r="D365" s="23"/>
      <c r="E365" s="53"/>
      <c r="F365" s="54"/>
      <c r="G365" s="54"/>
      <c r="H365" s="54"/>
      <c r="I365" s="53"/>
      <c r="J365" s="53"/>
      <c r="K365" s="23"/>
      <c r="L365" s="53"/>
      <c r="M365" s="54"/>
    </row>
    <row r="366">
      <c r="A366" s="23"/>
      <c r="B366" s="52"/>
      <c r="C366" s="53"/>
      <c r="D366" s="23"/>
      <c r="E366" s="53"/>
      <c r="F366" s="54"/>
      <c r="G366" s="54"/>
      <c r="H366" s="54"/>
      <c r="I366" s="53"/>
      <c r="J366" s="53"/>
      <c r="K366" s="23"/>
      <c r="L366" s="53"/>
      <c r="M366" s="54"/>
    </row>
    <row r="367">
      <c r="A367" s="23"/>
      <c r="B367" s="52"/>
      <c r="C367" s="53"/>
      <c r="D367" s="23"/>
      <c r="E367" s="53"/>
      <c r="F367" s="54"/>
      <c r="G367" s="54"/>
      <c r="H367" s="54"/>
      <c r="I367" s="53"/>
      <c r="J367" s="53"/>
      <c r="K367" s="23"/>
      <c r="L367" s="53"/>
      <c r="M367" s="54"/>
    </row>
    <row r="368">
      <c r="A368" s="23"/>
      <c r="B368" s="52"/>
      <c r="C368" s="53"/>
      <c r="D368" s="23"/>
      <c r="E368" s="53"/>
      <c r="F368" s="54"/>
      <c r="G368" s="54"/>
      <c r="H368" s="54"/>
      <c r="I368" s="53"/>
      <c r="J368" s="53"/>
      <c r="K368" s="23"/>
      <c r="L368" s="53"/>
      <c r="M368" s="54"/>
    </row>
    <row r="369">
      <c r="A369" s="23"/>
      <c r="B369" s="52"/>
      <c r="C369" s="53"/>
      <c r="D369" s="23"/>
      <c r="E369" s="53"/>
      <c r="F369" s="54"/>
      <c r="G369" s="54"/>
      <c r="H369" s="54"/>
      <c r="I369" s="53"/>
      <c r="J369" s="53"/>
      <c r="K369" s="23"/>
      <c r="L369" s="53"/>
      <c r="M369" s="54"/>
    </row>
    <row r="370">
      <c r="A370" s="23"/>
      <c r="B370" s="52"/>
      <c r="C370" s="53"/>
      <c r="D370" s="23"/>
      <c r="E370" s="53"/>
      <c r="F370" s="54"/>
      <c r="G370" s="54"/>
      <c r="H370" s="54"/>
      <c r="I370" s="53"/>
      <c r="J370" s="53"/>
      <c r="K370" s="23"/>
      <c r="L370" s="53"/>
      <c r="M370" s="54"/>
    </row>
    <row r="371">
      <c r="A371" s="23"/>
      <c r="B371" s="52"/>
      <c r="C371" s="53"/>
      <c r="D371" s="23"/>
      <c r="E371" s="53"/>
      <c r="F371" s="54"/>
      <c r="G371" s="54"/>
      <c r="H371" s="54"/>
      <c r="I371" s="53"/>
      <c r="J371" s="53"/>
      <c r="K371" s="23"/>
      <c r="L371" s="53"/>
      <c r="M371" s="54"/>
    </row>
    <row r="372">
      <c r="A372" s="23"/>
      <c r="B372" s="52"/>
      <c r="C372" s="53"/>
      <c r="D372" s="23"/>
      <c r="E372" s="53"/>
      <c r="F372" s="54"/>
      <c r="G372" s="54"/>
      <c r="H372" s="54"/>
      <c r="I372" s="53"/>
      <c r="J372" s="53"/>
      <c r="K372" s="23"/>
      <c r="L372" s="53"/>
      <c r="M372" s="54"/>
    </row>
    <row r="373">
      <c r="A373" s="23"/>
      <c r="B373" s="52"/>
      <c r="C373" s="53"/>
      <c r="D373" s="23"/>
      <c r="E373" s="53"/>
      <c r="F373" s="54"/>
      <c r="G373" s="54"/>
      <c r="H373" s="54"/>
      <c r="I373" s="53"/>
      <c r="J373" s="53"/>
      <c r="K373" s="23"/>
      <c r="L373" s="53"/>
      <c r="M373" s="54"/>
    </row>
    <row r="374">
      <c r="A374" s="23"/>
      <c r="B374" s="52"/>
      <c r="C374" s="53"/>
      <c r="D374" s="23"/>
      <c r="E374" s="53"/>
      <c r="F374" s="54"/>
      <c r="G374" s="54"/>
      <c r="H374" s="54"/>
      <c r="I374" s="53"/>
      <c r="J374" s="53"/>
      <c r="K374" s="23"/>
      <c r="L374" s="53"/>
      <c r="M374" s="54"/>
    </row>
    <row r="375">
      <c r="A375" s="23"/>
      <c r="B375" s="52"/>
      <c r="C375" s="53"/>
      <c r="D375" s="23"/>
      <c r="E375" s="53"/>
      <c r="F375" s="54"/>
      <c r="G375" s="54"/>
      <c r="H375" s="54"/>
      <c r="I375" s="53"/>
      <c r="J375" s="53"/>
      <c r="K375" s="23"/>
      <c r="L375" s="53"/>
      <c r="M375" s="54"/>
    </row>
    <row r="376">
      <c r="A376" s="23"/>
      <c r="B376" s="52"/>
      <c r="C376" s="53"/>
      <c r="D376" s="23"/>
      <c r="E376" s="53"/>
      <c r="F376" s="54"/>
      <c r="G376" s="54"/>
      <c r="H376" s="54"/>
      <c r="I376" s="53"/>
      <c r="J376" s="53"/>
      <c r="K376" s="23"/>
      <c r="L376" s="53"/>
      <c r="M376" s="54"/>
    </row>
    <row r="377">
      <c r="A377" s="23"/>
      <c r="B377" s="52"/>
      <c r="C377" s="53"/>
      <c r="D377" s="23"/>
      <c r="E377" s="53"/>
      <c r="F377" s="54"/>
      <c r="G377" s="54"/>
      <c r="H377" s="54"/>
      <c r="I377" s="53"/>
      <c r="J377" s="53"/>
      <c r="K377" s="23"/>
      <c r="L377" s="53"/>
      <c r="M377" s="54"/>
    </row>
    <row r="378">
      <c r="A378" s="23"/>
      <c r="B378" s="52"/>
      <c r="C378" s="53"/>
      <c r="D378" s="23"/>
      <c r="E378" s="53"/>
      <c r="F378" s="54"/>
      <c r="G378" s="54"/>
      <c r="H378" s="54"/>
      <c r="I378" s="53"/>
      <c r="J378" s="53"/>
      <c r="K378" s="23"/>
      <c r="L378" s="53"/>
      <c r="M378" s="54"/>
    </row>
    <row r="379">
      <c r="A379" s="23"/>
      <c r="B379" s="52"/>
      <c r="C379" s="53"/>
      <c r="D379" s="23"/>
      <c r="E379" s="53"/>
      <c r="F379" s="54"/>
      <c r="G379" s="54"/>
      <c r="H379" s="54"/>
      <c r="I379" s="53"/>
      <c r="J379" s="53"/>
      <c r="K379" s="23"/>
      <c r="L379" s="53"/>
      <c r="M379" s="54"/>
    </row>
    <row r="380">
      <c r="A380" s="23"/>
      <c r="B380" s="52"/>
      <c r="C380" s="53"/>
      <c r="D380" s="23"/>
      <c r="E380" s="53"/>
      <c r="F380" s="54"/>
      <c r="G380" s="54"/>
      <c r="H380" s="54"/>
      <c r="I380" s="53"/>
      <c r="J380" s="53"/>
      <c r="K380" s="23"/>
      <c r="L380" s="53"/>
      <c r="M380" s="54"/>
    </row>
    <row r="381">
      <c r="A381" s="23"/>
      <c r="B381" s="52"/>
      <c r="C381" s="53"/>
      <c r="D381" s="23"/>
      <c r="E381" s="53"/>
      <c r="F381" s="54"/>
      <c r="G381" s="54"/>
      <c r="H381" s="54"/>
      <c r="I381" s="53"/>
      <c r="J381" s="53"/>
      <c r="K381" s="23"/>
      <c r="L381" s="53"/>
      <c r="M381" s="54"/>
    </row>
    <row r="382">
      <c r="A382" s="23"/>
      <c r="B382" s="52"/>
      <c r="C382" s="53"/>
      <c r="D382" s="23"/>
      <c r="E382" s="53"/>
      <c r="F382" s="54"/>
      <c r="G382" s="54"/>
      <c r="H382" s="54"/>
      <c r="I382" s="53"/>
      <c r="J382" s="53"/>
      <c r="K382" s="23"/>
      <c r="L382" s="53"/>
      <c r="M382" s="54"/>
    </row>
    <row r="383">
      <c r="A383" s="23"/>
      <c r="B383" s="52"/>
      <c r="C383" s="53"/>
      <c r="D383" s="23"/>
      <c r="E383" s="53"/>
      <c r="F383" s="54"/>
      <c r="G383" s="54"/>
      <c r="H383" s="54"/>
      <c r="I383" s="53"/>
      <c r="J383" s="53"/>
      <c r="K383" s="23"/>
      <c r="L383" s="53"/>
      <c r="M383" s="54"/>
    </row>
    <row r="384">
      <c r="A384" s="23"/>
      <c r="B384" s="52"/>
      <c r="C384" s="53"/>
      <c r="D384" s="23"/>
      <c r="E384" s="53"/>
      <c r="F384" s="54"/>
      <c r="G384" s="54"/>
      <c r="H384" s="54"/>
      <c r="I384" s="53"/>
      <c r="J384" s="53"/>
      <c r="K384" s="23"/>
      <c r="L384" s="53"/>
      <c r="M384" s="54"/>
    </row>
    <row r="385">
      <c r="A385" s="23"/>
      <c r="B385" s="52"/>
      <c r="C385" s="53"/>
      <c r="D385" s="23"/>
      <c r="E385" s="53"/>
      <c r="F385" s="54"/>
      <c r="G385" s="54"/>
      <c r="H385" s="54"/>
      <c r="I385" s="53"/>
      <c r="J385" s="53"/>
      <c r="K385" s="23"/>
      <c r="L385" s="53"/>
      <c r="M385" s="54"/>
    </row>
    <row r="386">
      <c r="A386" s="23"/>
      <c r="B386" s="52"/>
      <c r="C386" s="53"/>
      <c r="D386" s="23"/>
      <c r="E386" s="53"/>
      <c r="F386" s="54"/>
      <c r="G386" s="54"/>
      <c r="H386" s="54"/>
      <c r="I386" s="53"/>
      <c r="J386" s="53"/>
      <c r="K386" s="23"/>
      <c r="L386" s="53"/>
      <c r="M386" s="54"/>
    </row>
    <row r="387">
      <c r="A387" s="23"/>
      <c r="B387" s="52"/>
      <c r="C387" s="53"/>
      <c r="D387" s="23"/>
      <c r="E387" s="53"/>
      <c r="F387" s="54"/>
      <c r="G387" s="54"/>
      <c r="H387" s="54"/>
      <c r="I387" s="53"/>
      <c r="J387" s="53"/>
      <c r="K387" s="23"/>
      <c r="L387" s="53"/>
      <c r="M387" s="54"/>
    </row>
    <row r="388">
      <c r="A388" s="23"/>
      <c r="B388" s="52"/>
      <c r="C388" s="53"/>
      <c r="D388" s="23"/>
      <c r="E388" s="53"/>
      <c r="F388" s="54"/>
      <c r="G388" s="54"/>
      <c r="H388" s="54"/>
      <c r="I388" s="53"/>
      <c r="J388" s="53"/>
      <c r="K388" s="23"/>
      <c r="L388" s="53"/>
      <c r="M388" s="54"/>
    </row>
    <row r="389">
      <c r="A389" s="23"/>
      <c r="B389" s="52"/>
      <c r="C389" s="53"/>
      <c r="D389" s="23"/>
      <c r="E389" s="53"/>
      <c r="F389" s="54"/>
      <c r="G389" s="54"/>
      <c r="H389" s="54"/>
      <c r="I389" s="53"/>
      <c r="J389" s="53"/>
      <c r="K389" s="23"/>
      <c r="L389" s="53"/>
      <c r="M389" s="54"/>
    </row>
    <row r="390">
      <c r="A390" s="23"/>
      <c r="B390" s="52"/>
      <c r="C390" s="53"/>
      <c r="D390" s="23"/>
      <c r="E390" s="53"/>
      <c r="F390" s="54"/>
      <c r="G390" s="54"/>
      <c r="H390" s="54"/>
      <c r="I390" s="53"/>
      <c r="J390" s="53"/>
      <c r="K390" s="23"/>
      <c r="L390" s="53"/>
      <c r="M390" s="54"/>
    </row>
    <row r="391">
      <c r="A391" s="23"/>
      <c r="B391" s="52"/>
      <c r="C391" s="53"/>
      <c r="D391" s="23"/>
      <c r="E391" s="53"/>
      <c r="F391" s="54"/>
      <c r="G391" s="54"/>
      <c r="H391" s="54"/>
      <c r="I391" s="53"/>
      <c r="J391" s="53"/>
      <c r="K391" s="23"/>
      <c r="L391" s="53"/>
      <c r="M391" s="54"/>
    </row>
    <row r="392">
      <c r="A392" s="23"/>
      <c r="B392" s="52"/>
      <c r="C392" s="53"/>
      <c r="D392" s="23"/>
      <c r="E392" s="53"/>
      <c r="F392" s="54"/>
      <c r="G392" s="54"/>
      <c r="H392" s="54"/>
      <c r="I392" s="53"/>
      <c r="J392" s="53"/>
      <c r="K392" s="23"/>
      <c r="L392" s="53"/>
      <c r="M392" s="54"/>
    </row>
    <row r="393">
      <c r="A393" s="23"/>
      <c r="B393" s="52"/>
      <c r="C393" s="53"/>
      <c r="D393" s="23"/>
      <c r="E393" s="53"/>
      <c r="F393" s="54"/>
      <c r="G393" s="54"/>
      <c r="H393" s="54"/>
      <c r="I393" s="53"/>
      <c r="J393" s="53"/>
      <c r="K393" s="23"/>
      <c r="L393" s="53"/>
      <c r="M393" s="54"/>
    </row>
    <row r="394">
      <c r="A394" s="23"/>
      <c r="B394" s="52"/>
      <c r="C394" s="53"/>
      <c r="D394" s="23"/>
      <c r="E394" s="53"/>
      <c r="F394" s="54"/>
      <c r="G394" s="54"/>
      <c r="H394" s="54"/>
      <c r="I394" s="53"/>
      <c r="J394" s="53"/>
      <c r="K394" s="23"/>
      <c r="L394" s="53"/>
      <c r="M394" s="54"/>
    </row>
    <row r="395">
      <c r="A395" s="23"/>
      <c r="B395" s="52"/>
      <c r="C395" s="53"/>
      <c r="D395" s="23"/>
      <c r="E395" s="53"/>
      <c r="F395" s="54"/>
      <c r="G395" s="54"/>
      <c r="H395" s="54"/>
      <c r="I395" s="53"/>
      <c r="J395" s="53"/>
      <c r="K395" s="23"/>
      <c r="L395" s="53"/>
      <c r="M395" s="54"/>
    </row>
    <row r="396">
      <c r="A396" s="23"/>
      <c r="B396" s="52"/>
      <c r="C396" s="53"/>
      <c r="D396" s="23"/>
      <c r="E396" s="53"/>
      <c r="F396" s="54"/>
      <c r="G396" s="54"/>
      <c r="H396" s="54"/>
      <c r="I396" s="53"/>
      <c r="J396" s="53"/>
      <c r="K396" s="23"/>
      <c r="L396" s="53"/>
      <c r="M396" s="54"/>
    </row>
    <row r="397">
      <c r="A397" s="23"/>
      <c r="B397" s="52"/>
      <c r="C397" s="53"/>
      <c r="D397" s="23"/>
      <c r="E397" s="53"/>
      <c r="F397" s="54"/>
      <c r="G397" s="54"/>
      <c r="H397" s="54"/>
      <c r="I397" s="53"/>
      <c r="J397" s="53"/>
      <c r="K397" s="23"/>
      <c r="L397" s="53"/>
      <c r="M397" s="54"/>
    </row>
    <row r="398">
      <c r="A398" s="23"/>
      <c r="B398" s="52"/>
      <c r="C398" s="53"/>
      <c r="D398" s="23"/>
      <c r="E398" s="53"/>
      <c r="F398" s="54"/>
      <c r="G398" s="54"/>
      <c r="H398" s="54"/>
      <c r="I398" s="53"/>
      <c r="J398" s="53"/>
      <c r="K398" s="23"/>
      <c r="L398" s="53"/>
      <c r="M398" s="54"/>
    </row>
    <row r="399">
      <c r="A399" s="23"/>
      <c r="B399" s="52"/>
      <c r="C399" s="53"/>
      <c r="D399" s="23"/>
      <c r="E399" s="53"/>
      <c r="F399" s="54"/>
      <c r="G399" s="54"/>
      <c r="H399" s="54"/>
      <c r="I399" s="53"/>
      <c r="J399" s="53"/>
      <c r="K399" s="23"/>
      <c r="L399" s="53"/>
      <c r="M399" s="54"/>
    </row>
    <row r="400">
      <c r="A400" s="23"/>
      <c r="B400" s="52"/>
      <c r="C400" s="53"/>
      <c r="D400" s="23"/>
      <c r="E400" s="53"/>
      <c r="F400" s="54"/>
      <c r="G400" s="54"/>
      <c r="H400" s="54"/>
      <c r="I400" s="53"/>
      <c r="J400" s="53"/>
      <c r="K400" s="23"/>
      <c r="L400" s="53"/>
      <c r="M400" s="54"/>
    </row>
    <row r="401">
      <c r="A401" s="23"/>
      <c r="B401" s="52"/>
      <c r="C401" s="56"/>
      <c r="D401" s="23"/>
      <c r="E401" s="53"/>
      <c r="F401" s="54"/>
      <c r="G401" s="54"/>
      <c r="H401" s="54"/>
      <c r="I401" s="53"/>
      <c r="J401" s="53"/>
      <c r="K401" s="23"/>
      <c r="L401" s="53"/>
      <c r="M401" s="54"/>
    </row>
    <row r="402">
      <c r="A402" s="23"/>
      <c r="B402" s="52"/>
      <c r="C402" s="53"/>
      <c r="D402" s="23"/>
      <c r="E402" s="53"/>
      <c r="F402" s="54"/>
      <c r="G402" s="54"/>
      <c r="H402" s="54"/>
      <c r="I402" s="53"/>
      <c r="J402" s="53"/>
      <c r="K402" s="23"/>
      <c r="L402" s="53"/>
      <c r="M402" s="54"/>
    </row>
    <row r="403">
      <c r="A403" s="23"/>
      <c r="B403" s="52"/>
      <c r="C403" s="53"/>
      <c r="D403" s="23"/>
      <c r="E403" s="53"/>
      <c r="F403" s="54"/>
      <c r="G403" s="54"/>
      <c r="H403" s="54"/>
      <c r="I403" s="53"/>
      <c r="J403" s="53"/>
      <c r="K403" s="23"/>
      <c r="L403" s="53"/>
      <c r="M403" s="54"/>
    </row>
    <row r="404">
      <c r="A404" s="23"/>
      <c r="B404" s="52"/>
      <c r="C404" s="53"/>
      <c r="D404" s="23"/>
      <c r="E404" s="53"/>
      <c r="F404" s="54"/>
      <c r="G404" s="54"/>
      <c r="H404" s="54"/>
      <c r="I404" s="53"/>
      <c r="J404" s="53"/>
      <c r="K404" s="23"/>
      <c r="L404" s="53"/>
      <c r="M404" s="54"/>
    </row>
    <row r="405">
      <c r="A405" s="23"/>
      <c r="B405" s="52"/>
      <c r="C405" s="53"/>
      <c r="D405" s="23"/>
      <c r="E405" s="53"/>
      <c r="F405" s="54"/>
      <c r="G405" s="54"/>
      <c r="H405" s="54"/>
      <c r="I405" s="53"/>
      <c r="J405" s="53"/>
      <c r="K405" s="23"/>
      <c r="L405" s="53"/>
      <c r="M405" s="54"/>
    </row>
    <row r="406">
      <c r="A406" s="23"/>
      <c r="B406" s="52"/>
      <c r="C406" s="53"/>
      <c r="D406" s="23"/>
      <c r="E406" s="53"/>
      <c r="F406" s="54"/>
      <c r="G406" s="54"/>
      <c r="H406" s="54"/>
      <c r="I406" s="53"/>
      <c r="J406" s="53"/>
      <c r="K406" s="23"/>
      <c r="L406" s="53"/>
      <c r="M406" s="54"/>
    </row>
    <row r="407">
      <c r="A407" s="23"/>
      <c r="B407" s="52"/>
      <c r="C407" s="53"/>
      <c r="D407" s="23"/>
      <c r="E407" s="53"/>
      <c r="F407" s="54"/>
      <c r="G407" s="54"/>
      <c r="H407" s="54"/>
      <c r="I407" s="53"/>
      <c r="J407" s="53"/>
      <c r="K407" s="23"/>
      <c r="L407" s="53"/>
      <c r="M407" s="54"/>
    </row>
    <row r="408">
      <c r="A408" s="23"/>
      <c r="B408" s="52"/>
      <c r="C408" s="53"/>
      <c r="D408" s="23"/>
      <c r="E408" s="53"/>
      <c r="F408" s="54"/>
      <c r="G408" s="54"/>
      <c r="H408" s="54"/>
      <c r="I408" s="53"/>
      <c r="J408" s="53"/>
      <c r="K408" s="23"/>
      <c r="L408" s="53"/>
      <c r="M408" s="54"/>
    </row>
    <row r="409">
      <c r="A409" s="23"/>
      <c r="B409" s="52"/>
      <c r="C409" s="53"/>
      <c r="D409" s="23"/>
      <c r="E409" s="53"/>
      <c r="F409" s="54"/>
      <c r="G409" s="54"/>
      <c r="H409" s="54"/>
      <c r="I409" s="53"/>
      <c r="J409" s="53"/>
      <c r="K409" s="23"/>
      <c r="L409" s="53"/>
      <c r="M409" s="54"/>
    </row>
    <row r="410">
      <c r="A410" s="23"/>
      <c r="B410" s="52"/>
      <c r="C410" s="53"/>
      <c r="D410" s="23"/>
      <c r="E410" s="53"/>
      <c r="F410" s="54"/>
      <c r="G410" s="54"/>
      <c r="H410" s="54"/>
      <c r="I410" s="53"/>
      <c r="J410" s="53"/>
      <c r="K410" s="23"/>
      <c r="L410" s="53"/>
      <c r="M410" s="54"/>
    </row>
    <row r="411">
      <c r="A411" s="23"/>
      <c r="B411" s="52"/>
      <c r="C411" s="53"/>
      <c r="D411" s="23"/>
      <c r="E411" s="53"/>
      <c r="F411" s="54"/>
      <c r="G411" s="54"/>
      <c r="H411" s="54"/>
      <c r="I411" s="53"/>
      <c r="J411" s="53"/>
      <c r="K411" s="23"/>
      <c r="L411" s="53"/>
      <c r="M411" s="54"/>
    </row>
    <row r="412">
      <c r="A412" s="23"/>
      <c r="B412" s="52"/>
      <c r="C412" s="53"/>
      <c r="D412" s="23"/>
      <c r="E412" s="53"/>
      <c r="F412" s="54"/>
      <c r="G412" s="54"/>
      <c r="H412" s="54"/>
      <c r="I412" s="53"/>
      <c r="J412" s="53"/>
      <c r="K412" s="23"/>
      <c r="L412" s="53"/>
      <c r="M412" s="54"/>
    </row>
    <row r="413">
      <c r="A413" s="23"/>
      <c r="B413" s="52"/>
      <c r="C413" s="53"/>
      <c r="D413" s="23"/>
      <c r="E413" s="53"/>
      <c r="F413" s="54"/>
      <c r="G413" s="54"/>
      <c r="H413" s="54"/>
      <c r="I413" s="53"/>
      <c r="J413" s="53"/>
      <c r="K413" s="23"/>
      <c r="L413" s="53"/>
      <c r="M413" s="54"/>
    </row>
    <row r="414">
      <c r="A414" s="23"/>
      <c r="B414" s="52"/>
      <c r="C414" s="53"/>
      <c r="D414" s="23"/>
      <c r="E414" s="53"/>
      <c r="F414" s="54"/>
      <c r="G414" s="54"/>
      <c r="H414" s="54"/>
      <c r="I414" s="53"/>
      <c r="J414" s="53"/>
      <c r="K414" s="23"/>
      <c r="L414" s="53"/>
      <c r="M414" s="54"/>
    </row>
    <row r="415">
      <c r="A415" s="23"/>
      <c r="B415" s="52"/>
      <c r="C415" s="53"/>
      <c r="D415" s="23"/>
      <c r="E415" s="53"/>
      <c r="F415" s="54"/>
      <c r="G415" s="54"/>
      <c r="H415" s="54"/>
      <c r="I415" s="53"/>
      <c r="J415" s="53"/>
      <c r="K415" s="23"/>
      <c r="L415" s="53"/>
      <c r="M415" s="54"/>
    </row>
    <row r="416">
      <c r="A416" s="23"/>
      <c r="B416" s="52"/>
      <c r="C416" s="53"/>
      <c r="D416" s="23"/>
      <c r="E416" s="53"/>
      <c r="F416" s="54"/>
      <c r="G416" s="54"/>
      <c r="H416" s="54"/>
      <c r="I416" s="53"/>
      <c r="J416" s="53"/>
      <c r="K416" s="23"/>
      <c r="L416" s="53"/>
      <c r="M416" s="54"/>
    </row>
    <row r="417">
      <c r="A417" s="23"/>
      <c r="B417" s="52"/>
      <c r="C417" s="53"/>
      <c r="D417" s="23"/>
      <c r="E417" s="53"/>
      <c r="F417" s="54"/>
      <c r="G417" s="54"/>
      <c r="H417" s="54"/>
      <c r="I417" s="53"/>
      <c r="J417" s="53"/>
      <c r="K417" s="23"/>
      <c r="L417" s="53"/>
      <c r="M417" s="54"/>
    </row>
    <row r="418">
      <c r="A418" s="23"/>
      <c r="B418" s="52"/>
      <c r="C418" s="53"/>
      <c r="D418" s="23"/>
      <c r="E418" s="53"/>
      <c r="F418" s="54"/>
      <c r="G418" s="54"/>
      <c r="H418" s="54"/>
      <c r="I418" s="53"/>
      <c r="J418" s="53"/>
      <c r="K418" s="23"/>
      <c r="L418" s="53"/>
      <c r="M418" s="54"/>
    </row>
    <row r="419">
      <c r="A419" s="23"/>
      <c r="B419" s="52"/>
      <c r="C419" s="53"/>
      <c r="D419" s="23"/>
      <c r="E419" s="53"/>
      <c r="F419" s="54"/>
      <c r="G419" s="54"/>
      <c r="H419" s="54"/>
      <c r="I419" s="53"/>
      <c r="J419" s="53"/>
      <c r="K419" s="23"/>
      <c r="L419" s="53"/>
      <c r="M419" s="54"/>
    </row>
    <row r="420">
      <c r="A420" s="23"/>
      <c r="B420" s="52"/>
      <c r="C420" s="53"/>
      <c r="D420" s="23"/>
      <c r="E420" s="53"/>
      <c r="F420" s="54"/>
      <c r="G420" s="54"/>
      <c r="H420" s="54"/>
      <c r="I420" s="53"/>
      <c r="J420" s="53"/>
      <c r="K420" s="23"/>
      <c r="L420" s="53"/>
      <c r="M420" s="54"/>
    </row>
    <row r="421">
      <c r="A421" s="23"/>
      <c r="B421" s="52"/>
      <c r="C421" s="53"/>
      <c r="D421" s="23"/>
      <c r="E421" s="53"/>
      <c r="F421" s="54"/>
      <c r="G421" s="54"/>
      <c r="H421" s="54"/>
      <c r="I421" s="53"/>
      <c r="J421" s="53"/>
      <c r="K421" s="23"/>
      <c r="L421" s="53"/>
      <c r="M421" s="54"/>
    </row>
    <row r="422">
      <c r="A422" s="23"/>
      <c r="B422" s="52"/>
      <c r="C422" s="53"/>
      <c r="D422" s="23"/>
      <c r="E422" s="53"/>
      <c r="F422" s="54"/>
      <c r="G422" s="54"/>
      <c r="H422" s="54"/>
      <c r="I422" s="53"/>
      <c r="J422" s="53"/>
      <c r="K422" s="23"/>
      <c r="L422" s="53"/>
      <c r="M422" s="54"/>
    </row>
    <row r="423">
      <c r="A423" s="23"/>
      <c r="B423" s="52"/>
      <c r="C423" s="53"/>
      <c r="D423" s="23"/>
      <c r="E423" s="53"/>
      <c r="F423" s="54"/>
      <c r="G423" s="54"/>
      <c r="H423" s="54"/>
      <c r="I423" s="53"/>
      <c r="J423" s="53"/>
      <c r="K423" s="23"/>
      <c r="L423" s="53"/>
      <c r="M423" s="54"/>
    </row>
    <row r="424">
      <c r="A424" s="23"/>
      <c r="B424" s="52"/>
      <c r="C424" s="53"/>
      <c r="D424" s="23"/>
      <c r="E424" s="53"/>
      <c r="F424" s="54"/>
      <c r="G424" s="54"/>
      <c r="H424" s="54"/>
      <c r="I424" s="53"/>
      <c r="J424" s="53"/>
      <c r="K424" s="23"/>
      <c r="L424" s="53"/>
      <c r="M424" s="54"/>
    </row>
    <row r="425">
      <c r="A425" s="23"/>
      <c r="B425" s="52"/>
      <c r="C425" s="53"/>
      <c r="D425" s="23"/>
      <c r="E425" s="53"/>
      <c r="F425" s="54"/>
      <c r="G425" s="54"/>
      <c r="H425" s="54"/>
      <c r="I425" s="53"/>
      <c r="J425" s="53"/>
      <c r="K425" s="23"/>
      <c r="L425" s="53"/>
      <c r="M425" s="54"/>
    </row>
    <row r="426">
      <c r="A426" s="23"/>
      <c r="B426" s="52"/>
      <c r="C426" s="53"/>
      <c r="D426" s="23"/>
      <c r="E426" s="53"/>
      <c r="F426" s="54"/>
      <c r="G426" s="54"/>
      <c r="H426" s="54"/>
      <c r="I426" s="53"/>
      <c r="J426" s="53"/>
      <c r="K426" s="23"/>
      <c r="L426" s="53"/>
      <c r="M426" s="54"/>
    </row>
    <row r="427">
      <c r="A427" s="23"/>
      <c r="B427" s="52"/>
      <c r="C427" s="53"/>
      <c r="D427" s="23"/>
      <c r="E427" s="53"/>
      <c r="F427" s="54"/>
      <c r="G427" s="54"/>
      <c r="H427" s="54"/>
      <c r="I427" s="53"/>
      <c r="J427" s="53"/>
      <c r="K427" s="23"/>
      <c r="L427" s="53"/>
      <c r="M427" s="54"/>
    </row>
    <row r="428">
      <c r="A428" s="23"/>
      <c r="B428" s="52"/>
      <c r="C428" s="53"/>
      <c r="D428" s="23"/>
      <c r="E428" s="53"/>
      <c r="F428" s="54"/>
      <c r="G428" s="54"/>
      <c r="H428" s="54"/>
      <c r="I428" s="53"/>
      <c r="J428" s="53"/>
      <c r="K428" s="23"/>
      <c r="L428" s="53"/>
      <c r="M428" s="54"/>
    </row>
    <row r="429">
      <c r="A429" s="23"/>
      <c r="B429" s="52"/>
      <c r="C429" s="53"/>
      <c r="D429" s="23"/>
      <c r="E429" s="53"/>
      <c r="F429" s="54"/>
      <c r="G429" s="54"/>
      <c r="H429" s="54"/>
      <c r="I429" s="53"/>
      <c r="J429" s="53"/>
      <c r="K429" s="23"/>
      <c r="L429" s="53"/>
      <c r="M429" s="54"/>
    </row>
    <row r="430">
      <c r="A430" s="23"/>
      <c r="B430" s="52"/>
      <c r="C430" s="53"/>
      <c r="D430" s="23"/>
      <c r="E430" s="53"/>
      <c r="F430" s="54"/>
      <c r="G430" s="54"/>
      <c r="H430" s="54"/>
      <c r="I430" s="53"/>
      <c r="J430" s="53"/>
      <c r="K430" s="23"/>
      <c r="L430" s="53"/>
      <c r="M430" s="54"/>
    </row>
    <row r="431">
      <c r="A431" s="23"/>
      <c r="B431" s="52"/>
      <c r="C431" s="53"/>
      <c r="D431" s="23"/>
      <c r="E431" s="53"/>
      <c r="F431" s="54"/>
      <c r="G431" s="54"/>
      <c r="H431" s="54"/>
      <c r="I431" s="53"/>
      <c r="J431" s="53"/>
      <c r="K431" s="23"/>
      <c r="L431" s="53"/>
      <c r="M431" s="54"/>
    </row>
    <row r="432">
      <c r="A432" s="23"/>
      <c r="B432" s="52"/>
      <c r="C432" s="53"/>
      <c r="D432" s="23"/>
      <c r="E432" s="53"/>
      <c r="F432" s="54"/>
      <c r="G432" s="54"/>
      <c r="H432" s="54"/>
      <c r="I432" s="53"/>
      <c r="J432" s="53"/>
      <c r="K432" s="23"/>
      <c r="L432" s="53"/>
      <c r="M432" s="54"/>
    </row>
    <row r="433">
      <c r="A433" s="23"/>
      <c r="B433" s="52"/>
      <c r="C433" s="53"/>
      <c r="D433" s="23"/>
      <c r="E433" s="53"/>
      <c r="F433" s="54"/>
      <c r="G433" s="54"/>
      <c r="H433" s="54"/>
      <c r="I433" s="53"/>
      <c r="J433" s="53"/>
      <c r="K433" s="23"/>
      <c r="L433" s="53"/>
      <c r="M433" s="54"/>
    </row>
    <row r="434">
      <c r="A434" s="23"/>
      <c r="B434" s="52"/>
      <c r="C434" s="53"/>
      <c r="D434" s="23"/>
      <c r="E434" s="53"/>
      <c r="F434" s="54"/>
      <c r="G434" s="54"/>
      <c r="H434" s="54"/>
      <c r="I434" s="53"/>
      <c r="J434" s="53"/>
      <c r="K434" s="23"/>
      <c r="L434" s="53"/>
      <c r="M434" s="54"/>
    </row>
    <row r="435">
      <c r="A435" s="23"/>
      <c r="B435" s="52"/>
      <c r="C435" s="53"/>
      <c r="D435" s="23"/>
      <c r="E435" s="53"/>
      <c r="F435" s="54"/>
      <c r="G435" s="54"/>
      <c r="H435" s="54"/>
      <c r="I435" s="53"/>
      <c r="J435" s="53"/>
      <c r="K435" s="23"/>
      <c r="L435" s="53"/>
      <c r="M435" s="54"/>
    </row>
    <row r="436">
      <c r="A436" s="23"/>
      <c r="B436" s="52"/>
      <c r="C436" s="53"/>
      <c r="D436" s="23"/>
      <c r="E436" s="53"/>
      <c r="F436" s="54"/>
      <c r="G436" s="54"/>
      <c r="H436" s="54"/>
      <c r="I436" s="53"/>
      <c r="J436" s="53"/>
      <c r="K436" s="23"/>
      <c r="L436" s="53"/>
      <c r="M436" s="54"/>
    </row>
    <row r="437">
      <c r="A437" s="23"/>
      <c r="B437" s="52"/>
      <c r="C437" s="53"/>
      <c r="D437" s="23"/>
      <c r="E437" s="53"/>
      <c r="F437" s="54"/>
      <c r="G437" s="54"/>
      <c r="H437" s="54"/>
      <c r="I437" s="53"/>
      <c r="J437" s="53"/>
      <c r="K437" s="23"/>
      <c r="L437" s="53"/>
      <c r="M437" s="54"/>
    </row>
    <row r="438">
      <c r="A438" s="23"/>
      <c r="B438" s="52"/>
      <c r="C438" s="53"/>
      <c r="D438" s="23"/>
      <c r="E438" s="53"/>
      <c r="F438" s="54"/>
      <c r="G438" s="54"/>
      <c r="H438" s="54"/>
      <c r="I438" s="53"/>
      <c r="J438" s="53"/>
      <c r="K438" s="23"/>
      <c r="L438" s="53"/>
      <c r="M438" s="54"/>
    </row>
    <row r="439">
      <c r="A439" s="23"/>
      <c r="B439" s="52"/>
      <c r="C439" s="53"/>
      <c r="D439" s="23"/>
      <c r="E439" s="53"/>
      <c r="F439" s="54"/>
      <c r="G439" s="54"/>
      <c r="H439" s="54"/>
      <c r="I439" s="53"/>
      <c r="J439" s="53"/>
      <c r="K439" s="23"/>
      <c r="L439" s="53"/>
      <c r="M439" s="54"/>
    </row>
    <row r="440">
      <c r="A440" s="23"/>
      <c r="B440" s="52"/>
      <c r="C440" s="53"/>
      <c r="D440" s="23"/>
      <c r="E440" s="53"/>
      <c r="F440" s="54"/>
      <c r="G440" s="54"/>
      <c r="H440" s="54"/>
      <c r="I440" s="53"/>
      <c r="J440" s="53"/>
      <c r="K440" s="23"/>
      <c r="L440" s="53"/>
      <c r="M440" s="54"/>
    </row>
    <row r="441">
      <c r="A441" s="23"/>
      <c r="B441" s="52"/>
      <c r="C441" s="53"/>
      <c r="D441" s="23"/>
      <c r="E441" s="53"/>
      <c r="F441" s="54"/>
      <c r="G441" s="54"/>
      <c r="H441" s="54"/>
      <c r="I441" s="53"/>
      <c r="J441" s="53"/>
      <c r="K441" s="23"/>
      <c r="L441" s="53"/>
      <c r="M441" s="54"/>
    </row>
    <row r="442">
      <c r="A442" s="23"/>
      <c r="B442" s="52"/>
      <c r="C442" s="53"/>
      <c r="D442" s="23"/>
      <c r="E442" s="53"/>
      <c r="F442" s="54"/>
      <c r="G442" s="54"/>
      <c r="H442" s="54"/>
      <c r="I442" s="53"/>
      <c r="J442" s="53"/>
      <c r="K442" s="23"/>
      <c r="L442" s="53"/>
      <c r="M442" s="54"/>
    </row>
    <row r="443">
      <c r="A443" s="23"/>
      <c r="B443" s="52"/>
      <c r="C443" s="53"/>
      <c r="D443" s="23"/>
      <c r="E443" s="53"/>
      <c r="F443" s="54"/>
      <c r="G443" s="54"/>
      <c r="H443" s="54"/>
      <c r="I443" s="53"/>
      <c r="J443" s="53"/>
      <c r="K443" s="23"/>
      <c r="L443" s="53"/>
      <c r="M443" s="54"/>
    </row>
    <row r="444">
      <c r="A444" s="23"/>
      <c r="B444" s="52"/>
      <c r="C444" s="53"/>
      <c r="D444" s="23"/>
      <c r="E444" s="53"/>
      <c r="F444" s="54"/>
      <c r="G444" s="54"/>
      <c r="H444" s="54"/>
      <c r="I444" s="53"/>
      <c r="J444" s="53"/>
      <c r="K444" s="23"/>
      <c r="L444" s="53"/>
      <c r="M444" s="54"/>
    </row>
    <row r="445">
      <c r="A445" s="23"/>
      <c r="B445" s="52"/>
      <c r="C445" s="53"/>
      <c r="D445" s="23"/>
      <c r="E445" s="53"/>
      <c r="F445" s="54"/>
      <c r="G445" s="54"/>
      <c r="H445" s="54"/>
      <c r="I445" s="53"/>
      <c r="J445" s="53"/>
      <c r="K445" s="23"/>
      <c r="L445" s="53"/>
      <c r="M445" s="54"/>
    </row>
    <row r="446">
      <c r="A446" s="23"/>
      <c r="B446" s="52"/>
      <c r="C446" s="53"/>
      <c r="D446" s="23"/>
      <c r="E446" s="53"/>
      <c r="F446" s="54"/>
      <c r="G446" s="54"/>
      <c r="H446" s="54"/>
      <c r="I446" s="53"/>
      <c r="J446" s="53"/>
      <c r="K446" s="23"/>
      <c r="L446" s="53"/>
      <c r="M446" s="54"/>
    </row>
    <row r="447">
      <c r="A447" s="23"/>
      <c r="B447" s="52"/>
      <c r="C447" s="53"/>
      <c r="D447" s="23"/>
      <c r="E447" s="53"/>
      <c r="F447" s="54"/>
      <c r="G447" s="54"/>
      <c r="H447" s="54"/>
      <c r="I447" s="53"/>
      <c r="J447" s="53"/>
      <c r="K447" s="23"/>
      <c r="L447" s="53"/>
      <c r="M447" s="54"/>
    </row>
    <row r="448">
      <c r="A448" s="23"/>
      <c r="B448" s="52"/>
      <c r="C448" s="53"/>
      <c r="D448" s="23"/>
      <c r="E448" s="53"/>
      <c r="F448" s="54"/>
      <c r="G448" s="54"/>
      <c r="H448" s="54"/>
      <c r="I448" s="53"/>
      <c r="J448" s="53"/>
      <c r="K448" s="23"/>
      <c r="L448" s="53"/>
      <c r="M448" s="54"/>
    </row>
    <row r="449">
      <c r="A449" s="23"/>
      <c r="B449" s="52"/>
      <c r="C449" s="53"/>
      <c r="D449" s="23"/>
      <c r="E449" s="53"/>
      <c r="F449" s="54"/>
      <c r="G449" s="54"/>
      <c r="H449" s="54"/>
      <c r="I449" s="53"/>
      <c r="J449" s="53"/>
      <c r="K449" s="23"/>
      <c r="L449" s="53"/>
      <c r="M449" s="54"/>
    </row>
    <row r="450">
      <c r="A450" s="23"/>
      <c r="B450" s="52"/>
      <c r="C450" s="53"/>
      <c r="D450" s="23"/>
      <c r="E450" s="53"/>
      <c r="F450" s="54"/>
      <c r="G450" s="54"/>
      <c r="H450" s="54"/>
      <c r="I450" s="53"/>
      <c r="J450" s="53"/>
      <c r="K450" s="23"/>
      <c r="L450" s="53"/>
      <c r="M450" s="54"/>
    </row>
    <row r="451">
      <c r="A451" s="23"/>
      <c r="B451" s="52"/>
      <c r="C451" s="53"/>
      <c r="D451" s="23"/>
      <c r="E451" s="53"/>
      <c r="F451" s="54"/>
      <c r="G451" s="54"/>
      <c r="H451" s="54"/>
      <c r="I451" s="53"/>
      <c r="J451" s="53"/>
      <c r="K451" s="23"/>
      <c r="L451" s="53"/>
      <c r="M451" s="54"/>
    </row>
    <row r="452">
      <c r="A452" s="23"/>
      <c r="B452" s="52"/>
      <c r="C452" s="53"/>
      <c r="D452" s="23"/>
      <c r="E452" s="53"/>
      <c r="F452" s="54"/>
      <c r="G452" s="54"/>
      <c r="H452" s="54"/>
      <c r="I452" s="53"/>
      <c r="J452" s="53"/>
      <c r="K452" s="23"/>
      <c r="L452" s="53"/>
      <c r="M452" s="54"/>
    </row>
    <row r="453">
      <c r="A453" s="23"/>
      <c r="B453" s="52"/>
      <c r="C453" s="53"/>
      <c r="D453" s="23"/>
      <c r="E453" s="53"/>
      <c r="F453" s="54"/>
      <c r="G453" s="54"/>
      <c r="H453" s="54"/>
      <c r="I453" s="53"/>
      <c r="J453" s="53"/>
      <c r="K453" s="23"/>
      <c r="L453" s="53"/>
      <c r="M453" s="54"/>
    </row>
    <row r="454">
      <c r="A454" s="23"/>
      <c r="B454" s="52"/>
      <c r="C454" s="53"/>
      <c r="D454" s="23"/>
      <c r="E454" s="53"/>
      <c r="F454" s="54"/>
      <c r="G454" s="54"/>
      <c r="H454" s="54"/>
      <c r="I454" s="53"/>
      <c r="J454" s="53"/>
      <c r="K454" s="23"/>
      <c r="L454" s="53"/>
      <c r="M454" s="54"/>
    </row>
    <row r="455">
      <c r="A455" s="23"/>
      <c r="B455" s="52"/>
      <c r="C455" s="53"/>
      <c r="D455" s="23"/>
      <c r="E455" s="53"/>
      <c r="F455" s="54"/>
      <c r="G455" s="54"/>
      <c r="H455" s="54"/>
      <c r="I455" s="53"/>
      <c r="J455" s="53"/>
      <c r="K455" s="23"/>
      <c r="L455" s="53"/>
      <c r="M455" s="54"/>
    </row>
    <row r="456">
      <c r="A456" s="23"/>
      <c r="B456" s="52"/>
      <c r="C456" s="53"/>
      <c r="D456" s="23"/>
      <c r="E456" s="53"/>
      <c r="F456" s="54"/>
      <c r="G456" s="54"/>
      <c r="H456" s="54"/>
      <c r="I456" s="53"/>
      <c r="J456" s="53"/>
      <c r="K456" s="23"/>
      <c r="L456" s="53"/>
      <c r="M456" s="54"/>
    </row>
    <row r="457">
      <c r="A457" s="23"/>
      <c r="B457" s="52"/>
      <c r="C457" s="53"/>
      <c r="D457" s="23"/>
      <c r="E457" s="53"/>
      <c r="F457" s="54"/>
      <c r="G457" s="54"/>
      <c r="H457" s="54"/>
      <c r="I457" s="53"/>
      <c r="J457" s="53"/>
      <c r="K457" s="23"/>
      <c r="L457" s="53"/>
      <c r="M457" s="54"/>
    </row>
    <row r="458">
      <c r="A458" s="23"/>
      <c r="B458" s="52"/>
      <c r="C458" s="53"/>
      <c r="D458" s="23"/>
      <c r="E458" s="53"/>
      <c r="F458" s="54"/>
      <c r="G458" s="54"/>
      <c r="H458" s="54"/>
      <c r="I458" s="53"/>
      <c r="J458" s="53"/>
      <c r="K458" s="23"/>
      <c r="L458" s="53"/>
      <c r="M458" s="54"/>
    </row>
    <row r="459">
      <c r="A459" s="23"/>
      <c r="B459" s="52"/>
      <c r="C459" s="53"/>
      <c r="D459" s="23"/>
      <c r="E459" s="53"/>
      <c r="F459" s="54"/>
      <c r="G459" s="54"/>
      <c r="H459" s="54"/>
      <c r="I459" s="53"/>
      <c r="J459" s="53"/>
      <c r="K459" s="23"/>
      <c r="L459" s="53"/>
      <c r="M459" s="54"/>
    </row>
    <row r="460">
      <c r="A460" s="23"/>
      <c r="B460" s="52"/>
      <c r="C460" s="53"/>
      <c r="D460" s="23"/>
      <c r="E460" s="53"/>
      <c r="F460" s="54"/>
      <c r="G460" s="54"/>
      <c r="H460" s="54"/>
      <c r="I460" s="53"/>
      <c r="J460" s="53"/>
      <c r="K460" s="23"/>
      <c r="L460" s="53"/>
      <c r="M460" s="54"/>
    </row>
    <row r="461">
      <c r="A461" s="23"/>
      <c r="B461" s="52"/>
      <c r="C461" s="53"/>
      <c r="D461" s="23"/>
      <c r="E461" s="53"/>
      <c r="F461" s="54"/>
      <c r="G461" s="54"/>
      <c r="H461" s="54"/>
      <c r="I461" s="53"/>
      <c r="J461" s="53"/>
      <c r="K461" s="23"/>
      <c r="L461" s="53"/>
      <c r="M461" s="54"/>
    </row>
    <row r="462">
      <c r="A462" s="23"/>
      <c r="B462" s="52"/>
      <c r="C462" s="53"/>
      <c r="D462" s="23"/>
      <c r="E462" s="53"/>
      <c r="F462" s="54"/>
      <c r="G462" s="54"/>
      <c r="H462" s="54"/>
      <c r="I462" s="53"/>
      <c r="J462" s="53"/>
      <c r="K462" s="23"/>
      <c r="L462" s="53"/>
      <c r="M462" s="54"/>
    </row>
    <row r="463">
      <c r="A463" s="23"/>
      <c r="B463" s="52"/>
      <c r="C463" s="53"/>
      <c r="D463" s="23"/>
      <c r="E463" s="53"/>
      <c r="F463" s="54"/>
      <c r="G463" s="54"/>
      <c r="H463" s="54"/>
      <c r="I463" s="53"/>
      <c r="J463" s="53"/>
      <c r="K463" s="23"/>
      <c r="L463" s="53"/>
      <c r="M463" s="54"/>
    </row>
    <row r="464">
      <c r="A464" s="23"/>
      <c r="B464" s="52"/>
      <c r="C464" s="53"/>
      <c r="D464" s="23"/>
      <c r="E464" s="53"/>
      <c r="F464" s="54"/>
      <c r="G464" s="54"/>
      <c r="H464" s="54"/>
      <c r="I464" s="53"/>
      <c r="J464" s="53"/>
      <c r="K464" s="23"/>
      <c r="L464" s="53"/>
      <c r="M464" s="54"/>
    </row>
    <row r="465">
      <c r="A465" s="23"/>
      <c r="B465" s="52"/>
      <c r="C465" s="53"/>
      <c r="D465" s="23"/>
      <c r="E465" s="53"/>
      <c r="F465" s="54"/>
      <c r="G465" s="54"/>
      <c r="H465" s="54"/>
      <c r="I465" s="53"/>
      <c r="J465" s="53"/>
      <c r="K465" s="23"/>
      <c r="L465" s="53"/>
      <c r="M465" s="54"/>
    </row>
    <row r="466">
      <c r="A466" s="23"/>
      <c r="B466" s="52"/>
      <c r="C466" s="53"/>
      <c r="D466" s="23"/>
      <c r="E466" s="53"/>
      <c r="F466" s="54"/>
      <c r="G466" s="54"/>
      <c r="H466" s="54"/>
      <c r="I466" s="53"/>
      <c r="J466" s="53"/>
      <c r="K466" s="23"/>
      <c r="L466" s="53"/>
      <c r="M466" s="54"/>
    </row>
    <row r="467">
      <c r="A467" s="23"/>
      <c r="B467" s="52"/>
      <c r="C467" s="53"/>
      <c r="D467" s="23"/>
      <c r="E467" s="53"/>
      <c r="F467" s="54"/>
      <c r="G467" s="54"/>
      <c r="H467" s="54"/>
      <c r="I467" s="53"/>
      <c r="J467" s="53"/>
      <c r="K467" s="23"/>
      <c r="L467" s="53"/>
      <c r="M467" s="54"/>
    </row>
    <row r="468">
      <c r="A468" s="23"/>
      <c r="B468" s="52"/>
      <c r="C468" s="53"/>
      <c r="D468" s="23"/>
      <c r="E468" s="53"/>
      <c r="F468" s="54"/>
      <c r="G468" s="54"/>
      <c r="H468" s="54"/>
      <c r="I468" s="53"/>
      <c r="J468" s="53"/>
      <c r="K468" s="23"/>
      <c r="L468" s="53"/>
      <c r="M468" s="54"/>
    </row>
    <row r="469">
      <c r="A469" s="23"/>
      <c r="B469" s="52"/>
      <c r="C469" s="53"/>
      <c r="D469" s="23"/>
      <c r="E469" s="53"/>
      <c r="F469" s="54"/>
      <c r="G469" s="54"/>
      <c r="H469" s="54"/>
      <c r="I469" s="53"/>
      <c r="J469" s="53"/>
      <c r="K469" s="23"/>
      <c r="L469" s="53"/>
      <c r="M469" s="54"/>
    </row>
    <row r="470">
      <c r="A470" s="23"/>
      <c r="B470" s="52"/>
      <c r="C470" s="53"/>
      <c r="D470" s="23"/>
      <c r="E470" s="53"/>
      <c r="F470" s="54"/>
      <c r="G470" s="54"/>
      <c r="H470" s="54"/>
      <c r="I470" s="53"/>
      <c r="J470" s="53"/>
      <c r="K470" s="23"/>
      <c r="L470" s="53"/>
      <c r="M470" s="54"/>
    </row>
    <row r="471">
      <c r="A471" s="23"/>
      <c r="B471" s="52"/>
      <c r="C471" s="53"/>
      <c r="D471" s="23"/>
      <c r="E471" s="53"/>
      <c r="F471" s="54"/>
      <c r="G471" s="54"/>
      <c r="H471" s="54"/>
      <c r="I471" s="53"/>
      <c r="J471" s="53"/>
      <c r="K471" s="23"/>
      <c r="L471" s="53"/>
      <c r="M471" s="54"/>
    </row>
    <row r="472">
      <c r="A472" s="23"/>
      <c r="B472" s="52"/>
      <c r="C472" s="53"/>
      <c r="D472" s="23"/>
      <c r="E472" s="53"/>
      <c r="F472" s="54"/>
      <c r="G472" s="54"/>
      <c r="H472" s="54"/>
      <c r="I472" s="53"/>
      <c r="J472" s="53"/>
      <c r="K472" s="23"/>
      <c r="L472" s="53"/>
      <c r="M472" s="54"/>
    </row>
    <row r="473">
      <c r="A473" s="23"/>
      <c r="B473" s="52"/>
      <c r="C473" s="53"/>
      <c r="D473" s="23"/>
      <c r="E473" s="53"/>
      <c r="F473" s="54"/>
      <c r="G473" s="54"/>
      <c r="H473" s="54"/>
      <c r="I473" s="53"/>
      <c r="J473" s="53"/>
      <c r="K473" s="23"/>
      <c r="L473" s="53"/>
      <c r="M473" s="54"/>
    </row>
    <row r="474">
      <c r="A474" s="23"/>
      <c r="B474" s="52"/>
      <c r="C474" s="53"/>
      <c r="D474" s="23"/>
      <c r="E474" s="53"/>
      <c r="F474" s="54"/>
      <c r="G474" s="54"/>
      <c r="H474" s="54"/>
      <c r="I474" s="53"/>
      <c r="J474" s="53"/>
      <c r="K474" s="23"/>
      <c r="L474" s="53"/>
      <c r="M474" s="54"/>
    </row>
    <row r="475">
      <c r="A475" s="23"/>
      <c r="B475" s="52"/>
      <c r="C475" s="53"/>
      <c r="D475" s="23"/>
      <c r="E475" s="53"/>
      <c r="F475" s="54"/>
      <c r="G475" s="54"/>
      <c r="H475" s="54"/>
      <c r="I475" s="53"/>
      <c r="J475" s="53"/>
      <c r="K475" s="23"/>
      <c r="L475" s="53"/>
      <c r="M475" s="54"/>
    </row>
    <row r="476">
      <c r="A476" s="23"/>
      <c r="B476" s="52"/>
      <c r="C476" s="53"/>
      <c r="D476" s="23"/>
      <c r="E476" s="53"/>
      <c r="F476" s="54"/>
      <c r="G476" s="54"/>
      <c r="H476" s="54"/>
      <c r="I476" s="53"/>
      <c r="J476" s="53"/>
      <c r="K476" s="23"/>
      <c r="L476" s="53"/>
      <c r="M476" s="54"/>
    </row>
    <row r="477">
      <c r="A477" s="23"/>
      <c r="B477" s="52"/>
      <c r="C477" s="53"/>
      <c r="D477" s="23"/>
      <c r="E477" s="53"/>
      <c r="F477" s="54"/>
      <c r="G477" s="54"/>
      <c r="H477" s="54"/>
      <c r="I477" s="53"/>
      <c r="J477" s="53"/>
      <c r="K477" s="23"/>
      <c r="L477" s="53"/>
      <c r="M477" s="54"/>
    </row>
    <row r="478">
      <c r="A478" s="23"/>
      <c r="B478" s="52"/>
      <c r="C478" s="53"/>
      <c r="D478" s="23"/>
      <c r="E478" s="53"/>
      <c r="F478" s="54"/>
      <c r="G478" s="54"/>
      <c r="H478" s="54"/>
      <c r="I478" s="53"/>
      <c r="J478" s="53"/>
      <c r="K478" s="23"/>
      <c r="L478" s="53"/>
      <c r="M478" s="54"/>
    </row>
    <row r="479">
      <c r="A479" s="23"/>
      <c r="B479" s="52"/>
      <c r="C479" s="53"/>
      <c r="D479" s="23"/>
      <c r="E479" s="53"/>
      <c r="F479" s="54"/>
      <c r="G479" s="54"/>
      <c r="H479" s="54"/>
      <c r="I479" s="53"/>
      <c r="J479" s="53"/>
      <c r="K479" s="23"/>
      <c r="L479" s="53"/>
      <c r="M479" s="54"/>
    </row>
    <row r="480">
      <c r="A480" s="23"/>
      <c r="B480" s="52"/>
      <c r="C480" s="53"/>
      <c r="D480" s="23"/>
      <c r="E480" s="53"/>
      <c r="F480" s="54"/>
      <c r="G480" s="54"/>
      <c r="H480" s="54"/>
      <c r="I480" s="53"/>
      <c r="J480" s="53"/>
      <c r="K480" s="23"/>
      <c r="L480" s="53"/>
      <c r="M480" s="54"/>
    </row>
    <row r="481">
      <c r="A481" s="23"/>
      <c r="B481" s="52"/>
      <c r="C481" s="53"/>
      <c r="D481" s="23"/>
      <c r="E481" s="53"/>
      <c r="F481" s="54"/>
      <c r="G481" s="54"/>
      <c r="H481" s="54"/>
      <c r="I481" s="53"/>
      <c r="J481" s="53"/>
      <c r="K481" s="23"/>
      <c r="L481" s="53"/>
      <c r="M481" s="54"/>
    </row>
    <row r="482">
      <c r="A482" s="23"/>
      <c r="B482" s="52"/>
      <c r="C482" s="53"/>
      <c r="D482" s="23"/>
      <c r="E482" s="53"/>
      <c r="F482" s="54"/>
      <c r="G482" s="54"/>
      <c r="H482" s="54"/>
      <c r="I482" s="53"/>
      <c r="J482" s="53"/>
      <c r="K482" s="23"/>
      <c r="L482" s="53"/>
      <c r="M482" s="54"/>
    </row>
    <row r="483">
      <c r="A483" s="23"/>
      <c r="B483" s="52"/>
      <c r="C483" s="53"/>
      <c r="D483" s="23"/>
      <c r="E483" s="53"/>
      <c r="F483" s="54"/>
      <c r="G483" s="54"/>
      <c r="H483" s="54"/>
      <c r="I483" s="53"/>
      <c r="J483" s="53"/>
      <c r="K483" s="23"/>
      <c r="L483" s="53"/>
      <c r="M483" s="54"/>
    </row>
    <row r="484">
      <c r="A484" s="23"/>
      <c r="B484" s="52"/>
      <c r="C484" s="53"/>
      <c r="D484" s="23"/>
      <c r="E484" s="53"/>
      <c r="F484" s="54"/>
      <c r="G484" s="54"/>
      <c r="H484" s="54"/>
      <c r="I484" s="53"/>
      <c r="J484" s="53"/>
      <c r="K484" s="23"/>
      <c r="L484" s="53"/>
      <c r="M484" s="54"/>
    </row>
    <row r="485">
      <c r="A485" s="23"/>
      <c r="B485" s="52"/>
      <c r="C485" s="53"/>
      <c r="D485" s="23"/>
      <c r="E485" s="53"/>
      <c r="F485" s="54"/>
      <c r="G485" s="54"/>
      <c r="H485" s="54"/>
      <c r="I485" s="53"/>
      <c r="J485" s="53"/>
      <c r="K485" s="23"/>
      <c r="L485" s="53"/>
      <c r="M485" s="54"/>
    </row>
    <row r="486">
      <c r="A486" s="23"/>
      <c r="B486" s="52"/>
      <c r="C486" s="53"/>
      <c r="D486" s="23"/>
      <c r="E486" s="53"/>
      <c r="F486" s="54"/>
      <c r="G486" s="54"/>
      <c r="H486" s="54"/>
      <c r="I486" s="53"/>
      <c r="J486" s="53"/>
      <c r="K486" s="23"/>
      <c r="L486" s="53"/>
      <c r="M486" s="54"/>
    </row>
    <row r="487">
      <c r="A487" s="23"/>
      <c r="B487" s="52"/>
      <c r="C487" s="53"/>
      <c r="D487" s="23"/>
      <c r="E487" s="53"/>
      <c r="F487" s="54"/>
      <c r="G487" s="54"/>
      <c r="H487" s="54"/>
      <c r="I487" s="53"/>
      <c r="J487" s="53"/>
      <c r="K487" s="23"/>
      <c r="L487" s="53"/>
      <c r="M487" s="54"/>
    </row>
    <row r="488">
      <c r="A488" s="23"/>
      <c r="B488" s="52"/>
      <c r="C488" s="53"/>
      <c r="D488" s="23"/>
      <c r="E488" s="53"/>
      <c r="F488" s="54"/>
      <c r="G488" s="54"/>
      <c r="H488" s="54"/>
      <c r="I488" s="53"/>
      <c r="J488" s="53"/>
      <c r="K488" s="23"/>
      <c r="L488" s="53"/>
      <c r="M488" s="54"/>
    </row>
    <row r="489">
      <c r="A489" s="23"/>
      <c r="B489" s="52"/>
      <c r="C489" s="53"/>
      <c r="D489" s="23"/>
      <c r="E489" s="53"/>
      <c r="F489" s="54"/>
      <c r="G489" s="54"/>
      <c r="H489" s="54"/>
      <c r="I489" s="53"/>
      <c r="J489" s="53"/>
      <c r="K489" s="23"/>
      <c r="L489" s="53"/>
      <c r="M489" s="54"/>
    </row>
    <row r="490">
      <c r="A490" s="23"/>
      <c r="B490" s="52"/>
      <c r="C490" s="53"/>
      <c r="D490" s="23"/>
      <c r="E490" s="53"/>
      <c r="F490" s="54"/>
      <c r="G490" s="54"/>
      <c r="H490" s="54"/>
      <c r="I490" s="53"/>
      <c r="J490" s="53"/>
      <c r="K490" s="23"/>
      <c r="L490" s="53"/>
      <c r="M490" s="54"/>
    </row>
    <row r="491">
      <c r="A491" s="23"/>
      <c r="B491" s="52"/>
      <c r="C491" s="53"/>
      <c r="D491" s="23"/>
      <c r="E491" s="53"/>
      <c r="F491" s="54"/>
      <c r="G491" s="54"/>
      <c r="H491" s="54"/>
      <c r="I491" s="53"/>
      <c r="J491" s="53"/>
      <c r="K491" s="23"/>
      <c r="L491" s="53"/>
      <c r="M491" s="54"/>
    </row>
    <row r="492">
      <c r="A492" s="23"/>
      <c r="B492" s="52"/>
      <c r="C492" s="53"/>
      <c r="D492" s="23"/>
      <c r="E492" s="53"/>
      <c r="F492" s="54"/>
      <c r="G492" s="54"/>
      <c r="H492" s="54"/>
      <c r="I492" s="53"/>
      <c r="J492" s="53"/>
      <c r="K492" s="23"/>
      <c r="L492" s="53"/>
      <c r="M492" s="54"/>
    </row>
    <row r="493">
      <c r="A493" s="23"/>
      <c r="B493" s="52"/>
      <c r="C493" s="53"/>
      <c r="D493" s="23"/>
      <c r="E493" s="53"/>
      <c r="F493" s="54"/>
      <c r="G493" s="54"/>
      <c r="H493" s="54"/>
      <c r="I493" s="53"/>
      <c r="J493" s="53"/>
      <c r="K493" s="23"/>
      <c r="L493" s="53"/>
      <c r="M493" s="54"/>
    </row>
    <row r="494">
      <c r="A494" s="23"/>
      <c r="B494" s="52"/>
      <c r="C494" s="53"/>
      <c r="D494" s="23"/>
      <c r="E494" s="53"/>
      <c r="F494" s="54"/>
      <c r="G494" s="54"/>
      <c r="H494" s="54"/>
      <c r="I494" s="53"/>
      <c r="J494" s="53"/>
      <c r="K494" s="23"/>
      <c r="L494" s="53"/>
      <c r="M494" s="54"/>
    </row>
    <row r="495">
      <c r="A495" s="23"/>
      <c r="B495" s="52"/>
      <c r="C495" s="53"/>
      <c r="D495" s="23"/>
      <c r="E495" s="53"/>
      <c r="F495" s="54"/>
      <c r="G495" s="54"/>
      <c r="H495" s="54"/>
      <c r="I495" s="53"/>
      <c r="J495" s="53"/>
      <c r="K495" s="23"/>
      <c r="L495" s="53"/>
      <c r="M495" s="54"/>
    </row>
    <row r="496">
      <c r="A496" s="23"/>
      <c r="B496" s="52"/>
      <c r="C496" s="53"/>
      <c r="D496" s="23"/>
      <c r="E496" s="53"/>
      <c r="F496" s="54"/>
      <c r="G496" s="54"/>
      <c r="H496" s="54"/>
      <c r="I496" s="53"/>
      <c r="J496" s="53"/>
      <c r="K496" s="23"/>
      <c r="L496" s="53"/>
      <c r="M496" s="54"/>
    </row>
    <row r="497">
      <c r="A497" s="23"/>
      <c r="B497" s="52"/>
      <c r="C497" s="53"/>
      <c r="D497" s="23"/>
      <c r="E497" s="53"/>
      <c r="F497" s="54"/>
      <c r="G497" s="54"/>
      <c r="H497" s="54"/>
      <c r="I497" s="53"/>
      <c r="J497" s="53"/>
      <c r="K497" s="23"/>
      <c r="L497" s="53"/>
      <c r="M497" s="54"/>
    </row>
    <row r="498">
      <c r="A498" s="23"/>
      <c r="B498" s="52"/>
      <c r="C498" s="53"/>
      <c r="D498" s="23"/>
      <c r="E498" s="53"/>
      <c r="F498" s="54"/>
      <c r="G498" s="54"/>
      <c r="H498" s="54"/>
      <c r="I498" s="53"/>
      <c r="J498" s="53"/>
      <c r="K498" s="23"/>
      <c r="L498" s="53"/>
      <c r="M498" s="54"/>
    </row>
    <row r="499">
      <c r="A499" s="23"/>
      <c r="B499" s="52"/>
      <c r="C499" s="53"/>
      <c r="D499" s="23"/>
      <c r="E499" s="53"/>
      <c r="F499" s="54"/>
      <c r="G499" s="54"/>
      <c r="H499" s="54"/>
      <c r="I499" s="53"/>
      <c r="J499" s="53"/>
      <c r="K499" s="23"/>
      <c r="L499" s="53"/>
      <c r="M499" s="54"/>
    </row>
    <row r="500">
      <c r="A500" s="23"/>
      <c r="B500" s="52"/>
      <c r="C500" s="53"/>
      <c r="D500" s="23"/>
      <c r="E500" s="53"/>
      <c r="F500" s="54"/>
      <c r="G500" s="54"/>
      <c r="H500" s="54"/>
      <c r="I500" s="53"/>
      <c r="J500" s="53"/>
      <c r="K500" s="23"/>
      <c r="L500" s="53"/>
      <c r="M500" s="54"/>
    </row>
    <row r="501">
      <c r="A501" s="23"/>
      <c r="B501" s="52"/>
      <c r="C501" s="53"/>
      <c r="D501" s="23"/>
      <c r="E501" s="53"/>
      <c r="F501" s="54"/>
      <c r="G501" s="54"/>
      <c r="H501" s="54"/>
      <c r="I501" s="53"/>
      <c r="J501" s="53"/>
      <c r="K501" s="23"/>
      <c r="L501" s="53"/>
      <c r="M501" s="54"/>
    </row>
    <row r="502">
      <c r="A502" s="23"/>
      <c r="B502" s="52"/>
      <c r="C502" s="53"/>
      <c r="D502" s="23"/>
      <c r="E502" s="53"/>
      <c r="F502" s="54"/>
      <c r="G502" s="54"/>
      <c r="H502" s="54"/>
      <c r="I502" s="53"/>
      <c r="J502" s="53"/>
      <c r="K502" s="23"/>
      <c r="L502" s="53"/>
      <c r="M502" s="54"/>
    </row>
    <row r="503">
      <c r="A503" s="23"/>
      <c r="B503" s="52"/>
      <c r="C503" s="53"/>
      <c r="D503" s="23"/>
      <c r="E503" s="53"/>
      <c r="F503" s="54"/>
      <c r="G503" s="54"/>
      <c r="H503" s="54"/>
      <c r="I503" s="53"/>
      <c r="J503" s="53"/>
      <c r="K503" s="23"/>
      <c r="L503" s="53"/>
      <c r="M503" s="54"/>
    </row>
    <row r="504">
      <c r="A504" s="23"/>
      <c r="B504" s="52"/>
      <c r="C504" s="53"/>
      <c r="D504" s="23"/>
      <c r="E504" s="53"/>
      <c r="F504" s="54"/>
      <c r="G504" s="54"/>
      <c r="H504" s="54"/>
      <c r="I504" s="53"/>
      <c r="J504" s="53"/>
      <c r="K504" s="23"/>
      <c r="L504" s="53"/>
      <c r="M504" s="54"/>
    </row>
    <row r="505">
      <c r="A505" s="23"/>
      <c r="B505" s="52"/>
      <c r="C505" s="53"/>
      <c r="D505" s="23"/>
      <c r="E505" s="53"/>
      <c r="F505" s="54"/>
      <c r="G505" s="54"/>
      <c r="H505" s="54"/>
      <c r="I505" s="53"/>
      <c r="J505" s="53"/>
      <c r="K505" s="23"/>
      <c r="L505" s="53"/>
      <c r="M505" s="54"/>
    </row>
    <row r="506">
      <c r="A506" s="23"/>
      <c r="B506" s="52"/>
      <c r="C506" s="53"/>
      <c r="D506" s="23"/>
      <c r="E506" s="53"/>
      <c r="F506" s="54"/>
      <c r="G506" s="54"/>
      <c r="H506" s="54"/>
      <c r="I506" s="53"/>
      <c r="J506" s="53"/>
      <c r="K506" s="23"/>
      <c r="L506" s="53"/>
      <c r="M506" s="54"/>
    </row>
    <row r="507">
      <c r="A507" s="23"/>
      <c r="B507" s="52"/>
      <c r="C507" s="53"/>
      <c r="D507" s="23"/>
      <c r="E507" s="53"/>
      <c r="F507" s="54"/>
      <c r="G507" s="54"/>
      <c r="H507" s="54"/>
      <c r="I507" s="53"/>
      <c r="J507" s="53"/>
      <c r="K507" s="23"/>
      <c r="L507" s="53"/>
      <c r="M507" s="54"/>
    </row>
    <row r="508">
      <c r="A508" s="23"/>
      <c r="B508" s="52"/>
      <c r="C508" s="53"/>
      <c r="D508" s="23"/>
      <c r="E508" s="53"/>
      <c r="F508" s="54"/>
      <c r="G508" s="54"/>
      <c r="H508" s="54"/>
      <c r="I508" s="53"/>
      <c r="J508" s="53"/>
      <c r="K508" s="23"/>
      <c r="L508" s="53"/>
      <c r="M508" s="54"/>
    </row>
    <row r="509">
      <c r="A509" s="23"/>
      <c r="B509" s="52"/>
      <c r="C509" s="53"/>
      <c r="D509" s="23"/>
      <c r="E509" s="53"/>
      <c r="F509" s="54"/>
      <c r="G509" s="54"/>
      <c r="H509" s="54"/>
      <c r="I509" s="53"/>
      <c r="J509" s="53"/>
      <c r="K509" s="23"/>
      <c r="L509" s="53"/>
      <c r="M509" s="54"/>
    </row>
    <row r="510">
      <c r="A510" s="23"/>
      <c r="B510" s="52"/>
      <c r="C510" s="53"/>
      <c r="D510" s="23"/>
      <c r="E510" s="53"/>
      <c r="F510" s="54"/>
      <c r="G510" s="54"/>
      <c r="H510" s="54"/>
      <c r="I510" s="53"/>
      <c r="J510" s="53"/>
      <c r="K510" s="23"/>
      <c r="L510" s="53"/>
      <c r="M510" s="54"/>
    </row>
    <row r="511">
      <c r="A511" s="23"/>
      <c r="B511" s="52"/>
      <c r="C511" s="53"/>
      <c r="D511" s="23"/>
      <c r="E511" s="53"/>
      <c r="F511" s="54"/>
      <c r="G511" s="54"/>
      <c r="H511" s="54"/>
      <c r="I511" s="53"/>
      <c r="J511" s="53"/>
      <c r="K511" s="23"/>
      <c r="L511" s="53"/>
      <c r="M511" s="54"/>
    </row>
    <row r="512">
      <c r="A512" s="23"/>
      <c r="B512" s="52"/>
      <c r="C512" s="53"/>
      <c r="D512" s="23"/>
      <c r="E512" s="53"/>
      <c r="F512" s="54"/>
      <c r="G512" s="54"/>
      <c r="H512" s="54"/>
      <c r="I512" s="53"/>
      <c r="J512" s="53"/>
      <c r="K512" s="23"/>
      <c r="L512" s="53"/>
      <c r="M512" s="54"/>
    </row>
    <row r="513">
      <c r="A513" s="23"/>
      <c r="B513" s="52"/>
      <c r="C513" s="53"/>
      <c r="D513" s="23"/>
      <c r="E513" s="53"/>
      <c r="F513" s="54"/>
      <c r="G513" s="54"/>
      <c r="H513" s="54"/>
      <c r="I513" s="53"/>
      <c r="J513" s="53"/>
      <c r="K513" s="23"/>
      <c r="L513" s="53"/>
      <c r="M513" s="54"/>
    </row>
    <row r="514">
      <c r="A514" s="23"/>
      <c r="B514" s="52"/>
      <c r="C514" s="53"/>
      <c r="D514" s="23"/>
      <c r="E514" s="53"/>
      <c r="F514" s="54"/>
      <c r="G514" s="54"/>
      <c r="H514" s="54"/>
      <c r="I514" s="53"/>
      <c r="J514" s="53"/>
      <c r="K514" s="23"/>
      <c r="L514" s="53"/>
      <c r="M514" s="54"/>
    </row>
    <row r="515">
      <c r="A515" s="23"/>
      <c r="B515" s="52"/>
      <c r="C515" s="53"/>
      <c r="D515" s="23"/>
      <c r="E515" s="53"/>
      <c r="F515" s="54"/>
      <c r="G515" s="54"/>
      <c r="H515" s="54"/>
      <c r="I515" s="53"/>
      <c r="J515" s="53"/>
      <c r="K515" s="23"/>
      <c r="L515" s="53"/>
      <c r="M515" s="54"/>
    </row>
    <row r="516">
      <c r="A516" s="23"/>
      <c r="B516" s="52"/>
      <c r="C516" s="53"/>
      <c r="D516" s="23"/>
      <c r="E516" s="53"/>
      <c r="F516" s="54"/>
      <c r="G516" s="54"/>
      <c r="H516" s="54"/>
      <c r="I516" s="53"/>
      <c r="J516" s="53"/>
      <c r="K516" s="23"/>
      <c r="L516" s="53"/>
      <c r="M516" s="54"/>
    </row>
    <row r="517">
      <c r="A517" s="23"/>
      <c r="B517" s="52"/>
      <c r="C517" s="53"/>
      <c r="D517" s="23"/>
      <c r="E517" s="53"/>
      <c r="F517" s="54"/>
      <c r="G517" s="54"/>
      <c r="H517" s="54"/>
      <c r="I517" s="53"/>
      <c r="J517" s="53"/>
      <c r="K517" s="23"/>
      <c r="L517" s="53"/>
      <c r="M517" s="54"/>
    </row>
    <row r="518">
      <c r="A518" s="23"/>
      <c r="B518" s="52"/>
      <c r="C518" s="53"/>
      <c r="D518" s="23"/>
      <c r="E518" s="53"/>
      <c r="F518" s="54"/>
      <c r="G518" s="54"/>
      <c r="H518" s="54"/>
      <c r="I518" s="53"/>
      <c r="J518" s="53"/>
      <c r="K518" s="23"/>
      <c r="L518" s="53"/>
      <c r="M518" s="54"/>
    </row>
    <row r="519">
      <c r="A519" s="23"/>
      <c r="B519" s="52"/>
      <c r="C519" s="53"/>
      <c r="D519" s="23"/>
      <c r="E519" s="53"/>
      <c r="F519" s="54"/>
      <c r="G519" s="54"/>
      <c r="H519" s="54"/>
      <c r="I519" s="53"/>
      <c r="J519" s="53"/>
      <c r="K519" s="23"/>
      <c r="L519" s="53"/>
      <c r="M519" s="54"/>
    </row>
    <row r="520">
      <c r="A520" s="23"/>
      <c r="B520" s="52"/>
      <c r="C520" s="53"/>
      <c r="D520" s="23"/>
      <c r="E520" s="53"/>
      <c r="F520" s="54"/>
      <c r="G520" s="54"/>
      <c r="H520" s="54"/>
      <c r="I520" s="53"/>
      <c r="J520" s="53"/>
      <c r="K520" s="23"/>
      <c r="L520" s="53"/>
      <c r="M520" s="54"/>
    </row>
    <row r="521">
      <c r="A521" s="23"/>
      <c r="B521" s="52"/>
      <c r="C521" s="53"/>
      <c r="D521" s="23"/>
      <c r="E521" s="53"/>
      <c r="F521" s="54"/>
      <c r="G521" s="54"/>
      <c r="H521" s="54"/>
      <c r="I521" s="53"/>
      <c r="J521" s="53"/>
      <c r="K521" s="23"/>
      <c r="L521" s="53"/>
      <c r="M521" s="54"/>
    </row>
    <row r="522">
      <c r="A522" s="23"/>
      <c r="B522" s="52"/>
      <c r="C522" s="53"/>
      <c r="D522" s="23"/>
      <c r="E522" s="53"/>
      <c r="F522" s="54"/>
      <c r="G522" s="54"/>
      <c r="H522" s="54"/>
      <c r="I522" s="53"/>
      <c r="J522" s="53"/>
      <c r="K522" s="23"/>
      <c r="L522" s="53"/>
      <c r="M522" s="54"/>
    </row>
    <row r="523">
      <c r="A523" s="23"/>
      <c r="B523" s="52"/>
      <c r="C523" s="53"/>
      <c r="D523" s="23"/>
      <c r="E523" s="53"/>
      <c r="F523" s="54"/>
      <c r="G523" s="54"/>
      <c r="H523" s="54"/>
      <c r="I523" s="53"/>
      <c r="J523" s="53"/>
      <c r="K523" s="23"/>
      <c r="L523" s="53"/>
      <c r="M523" s="54"/>
    </row>
    <row r="524">
      <c r="A524" s="23"/>
      <c r="B524" s="52"/>
      <c r="C524" s="53"/>
      <c r="D524" s="23"/>
      <c r="E524" s="53"/>
      <c r="F524" s="54"/>
      <c r="G524" s="54"/>
      <c r="H524" s="54"/>
      <c r="I524" s="53"/>
      <c r="J524" s="53"/>
      <c r="K524" s="23"/>
      <c r="L524" s="53"/>
      <c r="M524" s="54"/>
    </row>
    <row r="525">
      <c r="A525" s="23"/>
      <c r="B525" s="52"/>
      <c r="C525" s="53"/>
      <c r="D525" s="23"/>
      <c r="E525" s="53"/>
      <c r="F525" s="54"/>
      <c r="G525" s="54"/>
      <c r="H525" s="54"/>
      <c r="I525" s="53"/>
      <c r="J525" s="53"/>
      <c r="K525" s="23"/>
      <c r="L525" s="53"/>
      <c r="M525" s="54"/>
    </row>
    <row r="526">
      <c r="A526" s="23"/>
      <c r="B526" s="52"/>
      <c r="C526" s="53"/>
      <c r="D526" s="23"/>
      <c r="E526" s="53"/>
      <c r="F526" s="54"/>
      <c r="G526" s="54"/>
      <c r="H526" s="54"/>
      <c r="I526" s="53"/>
      <c r="J526" s="53"/>
      <c r="K526" s="23"/>
      <c r="L526" s="53"/>
      <c r="M526" s="54"/>
    </row>
    <row r="527">
      <c r="A527" s="23"/>
      <c r="B527" s="52"/>
      <c r="C527" s="53"/>
      <c r="D527" s="23"/>
      <c r="E527" s="53"/>
      <c r="F527" s="54"/>
      <c r="G527" s="54"/>
      <c r="H527" s="54"/>
      <c r="I527" s="53"/>
      <c r="J527" s="53"/>
      <c r="K527" s="23"/>
      <c r="L527" s="53"/>
      <c r="M527" s="54"/>
    </row>
    <row r="528">
      <c r="A528" s="23"/>
      <c r="B528" s="52"/>
      <c r="C528" s="53"/>
      <c r="D528" s="23"/>
      <c r="E528" s="53"/>
      <c r="F528" s="54"/>
      <c r="G528" s="54"/>
      <c r="H528" s="54"/>
      <c r="I528" s="53"/>
      <c r="J528" s="53"/>
      <c r="K528" s="23"/>
      <c r="L528" s="53"/>
      <c r="M528" s="54"/>
    </row>
    <row r="529">
      <c r="A529" s="23"/>
      <c r="B529" s="52"/>
      <c r="C529" s="53"/>
      <c r="D529" s="23"/>
      <c r="E529" s="53"/>
      <c r="F529" s="54"/>
      <c r="G529" s="54"/>
      <c r="H529" s="54"/>
      <c r="I529" s="53"/>
      <c r="J529" s="53"/>
      <c r="K529" s="23"/>
      <c r="L529" s="53"/>
      <c r="M529" s="54"/>
    </row>
    <row r="530">
      <c r="A530" s="23"/>
      <c r="B530" s="52"/>
      <c r="C530" s="53"/>
      <c r="D530" s="23"/>
      <c r="E530" s="53"/>
      <c r="F530" s="54"/>
      <c r="G530" s="54"/>
      <c r="H530" s="54"/>
      <c r="I530" s="53"/>
      <c r="J530" s="53"/>
      <c r="K530" s="23"/>
      <c r="L530" s="53"/>
      <c r="M530" s="54"/>
    </row>
    <row r="531">
      <c r="A531" s="23"/>
      <c r="B531" s="52"/>
      <c r="C531" s="53"/>
      <c r="D531" s="23"/>
      <c r="E531" s="53"/>
      <c r="F531" s="54"/>
      <c r="G531" s="54"/>
      <c r="H531" s="54"/>
      <c r="I531" s="53"/>
      <c r="J531" s="53"/>
      <c r="K531" s="23"/>
      <c r="L531" s="53"/>
      <c r="M531" s="54"/>
    </row>
    <row r="532">
      <c r="A532" s="23"/>
      <c r="B532" s="52"/>
      <c r="C532" s="53"/>
      <c r="D532" s="23"/>
      <c r="E532" s="53"/>
      <c r="F532" s="54"/>
      <c r="G532" s="54"/>
      <c r="H532" s="54"/>
      <c r="I532" s="53"/>
      <c r="J532" s="53"/>
      <c r="K532" s="23"/>
      <c r="L532" s="53"/>
      <c r="M532" s="54"/>
    </row>
    <row r="533">
      <c r="A533" s="23"/>
      <c r="B533" s="52"/>
      <c r="C533" s="53"/>
      <c r="D533" s="23"/>
      <c r="E533" s="53"/>
      <c r="F533" s="54"/>
      <c r="G533" s="54"/>
      <c r="H533" s="54"/>
      <c r="I533" s="53"/>
      <c r="J533" s="53"/>
      <c r="K533" s="23"/>
      <c r="L533" s="53"/>
      <c r="M533" s="54"/>
    </row>
    <row r="534">
      <c r="A534" s="23"/>
      <c r="B534" s="52"/>
      <c r="C534" s="53"/>
      <c r="D534" s="23"/>
      <c r="E534" s="53"/>
      <c r="F534" s="54"/>
      <c r="G534" s="54"/>
      <c r="H534" s="54"/>
      <c r="I534" s="53"/>
      <c r="J534" s="53"/>
      <c r="K534" s="23"/>
      <c r="L534" s="53"/>
      <c r="M534" s="54"/>
    </row>
    <row r="535">
      <c r="A535" s="23"/>
      <c r="B535" s="52"/>
      <c r="C535" s="53"/>
      <c r="D535" s="23"/>
      <c r="E535" s="53"/>
      <c r="F535" s="54"/>
      <c r="G535" s="54"/>
      <c r="H535" s="54"/>
      <c r="I535" s="53"/>
      <c r="J535" s="53"/>
      <c r="K535" s="23"/>
      <c r="L535" s="53"/>
      <c r="M535" s="54"/>
    </row>
    <row r="536">
      <c r="A536" s="23"/>
      <c r="B536" s="52"/>
      <c r="C536" s="53"/>
      <c r="D536" s="23"/>
      <c r="E536" s="53"/>
      <c r="F536" s="54"/>
      <c r="G536" s="54"/>
      <c r="H536" s="54"/>
      <c r="I536" s="53"/>
      <c r="J536" s="53"/>
      <c r="K536" s="23"/>
      <c r="L536" s="53"/>
      <c r="M536" s="54"/>
    </row>
    <row r="537">
      <c r="A537" s="23"/>
      <c r="B537" s="52"/>
      <c r="C537" s="53"/>
      <c r="D537" s="23"/>
      <c r="E537" s="53"/>
      <c r="F537" s="54"/>
      <c r="G537" s="54"/>
      <c r="H537" s="54"/>
      <c r="I537" s="53"/>
      <c r="J537" s="53"/>
      <c r="K537" s="23"/>
      <c r="L537" s="53"/>
      <c r="M537" s="54"/>
    </row>
    <row r="538">
      <c r="A538" s="23"/>
      <c r="B538" s="52"/>
      <c r="C538" s="53"/>
      <c r="D538" s="23"/>
      <c r="E538" s="53"/>
      <c r="F538" s="54"/>
      <c r="G538" s="54"/>
      <c r="H538" s="54"/>
      <c r="I538" s="53"/>
      <c r="J538" s="53"/>
      <c r="K538" s="23"/>
      <c r="L538" s="53"/>
      <c r="M538" s="54"/>
    </row>
    <row r="539">
      <c r="A539" s="23"/>
      <c r="B539" s="52"/>
      <c r="C539" s="53"/>
      <c r="D539" s="23"/>
      <c r="E539" s="53"/>
      <c r="F539" s="54"/>
      <c r="G539" s="54"/>
      <c r="H539" s="54"/>
      <c r="I539" s="53"/>
      <c r="J539" s="53"/>
      <c r="K539" s="23"/>
      <c r="L539" s="53"/>
      <c r="M539" s="54"/>
    </row>
    <row r="540">
      <c r="A540" s="23"/>
      <c r="B540" s="52"/>
      <c r="C540" s="53"/>
      <c r="D540" s="23"/>
      <c r="E540" s="53"/>
      <c r="F540" s="54"/>
      <c r="G540" s="54"/>
      <c r="H540" s="54"/>
      <c r="I540" s="53"/>
      <c r="J540" s="53"/>
      <c r="K540" s="23"/>
      <c r="L540" s="53"/>
      <c r="M540" s="54"/>
    </row>
    <row r="541">
      <c r="A541" s="23"/>
      <c r="B541" s="52"/>
      <c r="C541" s="53"/>
      <c r="D541" s="23"/>
      <c r="E541" s="53"/>
      <c r="F541" s="54"/>
      <c r="G541" s="54"/>
      <c r="H541" s="54"/>
      <c r="I541" s="53"/>
      <c r="J541" s="53"/>
      <c r="K541" s="23"/>
      <c r="L541" s="53"/>
      <c r="M541" s="54"/>
    </row>
    <row r="542">
      <c r="A542" s="23"/>
      <c r="B542" s="52"/>
      <c r="C542" s="53"/>
      <c r="D542" s="23"/>
      <c r="E542" s="53"/>
      <c r="F542" s="54"/>
      <c r="G542" s="54"/>
      <c r="H542" s="54"/>
      <c r="I542" s="53"/>
      <c r="J542" s="53"/>
      <c r="K542" s="23"/>
      <c r="L542" s="53"/>
      <c r="M542" s="54"/>
    </row>
    <row r="543">
      <c r="A543" s="23"/>
      <c r="B543" s="52"/>
      <c r="C543" s="53"/>
      <c r="D543" s="23"/>
      <c r="E543" s="53"/>
      <c r="F543" s="54"/>
      <c r="G543" s="54"/>
      <c r="H543" s="54"/>
      <c r="I543" s="53"/>
      <c r="J543" s="53"/>
      <c r="K543" s="23"/>
      <c r="L543" s="53"/>
      <c r="M543" s="54"/>
    </row>
    <row r="544">
      <c r="A544" s="23"/>
      <c r="B544" s="52"/>
      <c r="C544" s="53"/>
      <c r="D544" s="23"/>
      <c r="E544" s="53"/>
      <c r="F544" s="54"/>
      <c r="G544" s="54"/>
      <c r="H544" s="54"/>
      <c r="I544" s="53"/>
      <c r="J544" s="53"/>
      <c r="K544" s="23"/>
      <c r="L544" s="53"/>
      <c r="M544" s="54"/>
    </row>
    <row r="545">
      <c r="A545" s="23"/>
      <c r="B545" s="52"/>
      <c r="C545" s="53"/>
      <c r="D545" s="23"/>
      <c r="E545" s="53"/>
      <c r="F545" s="54"/>
      <c r="G545" s="54"/>
      <c r="H545" s="54"/>
      <c r="I545" s="53"/>
      <c r="J545" s="53"/>
      <c r="K545" s="23"/>
      <c r="L545" s="53"/>
      <c r="M545" s="54"/>
    </row>
    <row r="546">
      <c r="A546" s="23"/>
      <c r="B546" s="52"/>
      <c r="C546" s="53"/>
      <c r="D546" s="23"/>
      <c r="E546" s="53"/>
      <c r="F546" s="54"/>
      <c r="G546" s="54"/>
      <c r="H546" s="54"/>
      <c r="I546" s="53"/>
      <c r="J546" s="53"/>
      <c r="K546" s="23"/>
      <c r="L546" s="53"/>
      <c r="M546" s="54"/>
    </row>
    <row r="547">
      <c r="A547" s="23"/>
      <c r="B547" s="52"/>
      <c r="C547" s="53"/>
      <c r="D547" s="23"/>
      <c r="E547" s="53"/>
      <c r="F547" s="54"/>
      <c r="G547" s="54"/>
      <c r="H547" s="54"/>
      <c r="I547" s="53"/>
      <c r="J547" s="53"/>
      <c r="K547" s="23"/>
      <c r="L547" s="53"/>
      <c r="M547" s="54"/>
    </row>
    <row r="548">
      <c r="A548" s="23"/>
      <c r="B548" s="52"/>
      <c r="C548" s="53"/>
      <c r="D548" s="23"/>
      <c r="E548" s="53"/>
      <c r="F548" s="54"/>
      <c r="G548" s="54"/>
      <c r="H548" s="54"/>
      <c r="I548" s="53"/>
      <c r="J548" s="53"/>
      <c r="K548" s="23"/>
      <c r="L548" s="53"/>
      <c r="M548" s="54"/>
    </row>
    <row r="549">
      <c r="A549" s="23"/>
      <c r="B549" s="52"/>
      <c r="C549" s="53"/>
      <c r="D549" s="23"/>
      <c r="E549" s="53"/>
      <c r="F549" s="54"/>
      <c r="G549" s="54"/>
      <c r="H549" s="54"/>
      <c r="I549" s="53"/>
      <c r="J549" s="53"/>
      <c r="K549" s="23"/>
      <c r="L549" s="53"/>
      <c r="M549" s="54"/>
    </row>
    <row r="550">
      <c r="A550" s="23"/>
      <c r="B550" s="52"/>
      <c r="C550" s="53"/>
      <c r="D550" s="23"/>
      <c r="E550" s="53"/>
      <c r="F550" s="54"/>
      <c r="G550" s="54"/>
      <c r="H550" s="54"/>
      <c r="I550" s="53"/>
      <c r="J550" s="53"/>
      <c r="K550" s="23"/>
      <c r="L550" s="53"/>
      <c r="M550" s="54"/>
    </row>
    <row r="551">
      <c r="A551" s="23"/>
      <c r="B551" s="52"/>
      <c r="C551" s="53"/>
      <c r="D551" s="23"/>
      <c r="E551" s="53"/>
      <c r="F551" s="54"/>
      <c r="G551" s="54"/>
      <c r="H551" s="54"/>
      <c r="I551" s="53"/>
      <c r="J551" s="53"/>
      <c r="K551" s="23"/>
      <c r="L551" s="53"/>
      <c r="M551" s="54"/>
    </row>
    <row r="552">
      <c r="A552" s="23"/>
      <c r="B552" s="52"/>
      <c r="C552" s="53"/>
      <c r="D552" s="23"/>
      <c r="E552" s="53"/>
      <c r="F552" s="54"/>
      <c r="G552" s="54"/>
      <c r="H552" s="54"/>
      <c r="I552" s="53"/>
      <c r="J552" s="53"/>
      <c r="K552" s="23"/>
      <c r="L552" s="53"/>
      <c r="M552" s="54"/>
    </row>
    <row r="553">
      <c r="A553" s="23"/>
      <c r="B553" s="52"/>
      <c r="C553" s="53"/>
      <c r="D553" s="23"/>
      <c r="E553" s="53"/>
      <c r="F553" s="54"/>
      <c r="G553" s="54"/>
      <c r="H553" s="54"/>
      <c r="I553" s="53"/>
      <c r="J553" s="53"/>
      <c r="K553" s="23"/>
      <c r="L553" s="53"/>
      <c r="M553" s="54"/>
    </row>
    <row r="554">
      <c r="A554" s="23"/>
      <c r="B554" s="52"/>
      <c r="C554" s="53"/>
      <c r="D554" s="23"/>
      <c r="E554" s="53"/>
      <c r="F554" s="54"/>
      <c r="G554" s="54"/>
      <c r="H554" s="54"/>
      <c r="I554" s="53"/>
      <c r="J554" s="53"/>
      <c r="K554" s="23"/>
      <c r="L554" s="53"/>
      <c r="M554" s="54"/>
    </row>
    <row r="555">
      <c r="A555" s="23"/>
      <c r="B555" s="52"/>
      <c r="C555" s="53"/>
      <c r="D555" s="23"/>
      <c r="E555" s="53"/>
      <c r="F555" s="54"/>
      <c r="G555" s="54"/>
      <c r="H555" s="54"/>
      <c r="I555" s="53"/>
      <c r="J555" s="53"/>
      <c r="K555" s="23"/>
      <c r="L555" s="53"/>
      <c r="M555" s="54"/>
    </row>
    <row r="556">
      <c r="A556" s="23"/>
      <c r="B556" s="52"/>
      <c r="C556" s="53"/>
      <c r="D556" s="23"/>
      <c r="E556" s="53"/>
      <c r="F556" s="54"/>
      <c r="G556" s="54"/>
      <c r="H556" s="54"/>
      <c r="I556" s="53"/>
      <c r="J556" s="53"/>
      <c r="K556" s="23"/>
      <c r="L556" s="53"/>
      <c r="M556" s="54"/>
    </row>
    <row r="557">
      <c r="A557" s="23"/>
      <c r="B557" s="52"/>
      <c r="C557" s="53"/>
      <c r="D557" s="23"/>
      <c r="E557" s="53"/>
      <c r="F557" s="54"/>
      <c r="G557" s="54"/>
      <c r="H557" s="54"/>
      <c r="I557" s="53"/>
      <c r="J557" s="53"/>
      <c r="K557" s="23"/>
      <c r="L557" s="53"/>
      <c r="M557" s="54"/>
    </row>
    <row r="558">
      <c r="A558" s="23"/>
      <c r="B558" s="52"/>
      <c r="C558" s="53"/>
      <c r="D558" s="23"/>
      <c r="E558" s="53"/>
      <c r="F558" s="54"/>
      <c r="G558" s="54"/>
      <c r="H558" s="54"/>
      <c r="I558" s="53"/>
      <c r="J558" s="53"/>
      <c r="K558" s="23"/>
      <c r="L558" s="53"/>
      <c r="M558" s="54"/>
    </row>
    <row r="559">
      <c r="A559" s="23"/>
      <c r="B559" s="52"/>
      <c r="C559" s="53"/>
      <c r="D559" s="23"/>
      <c r="E559" s="53"/>
      <c r="F559" s="54"/>
      <c r="G559" s="54"/>
      <c r="H559" s="54"/>
      <c r="I559" s="53"/>
      <c r="J559" s="53"/>
      <c r="K559" s="23"/>
      <c r="L559" s="53"/>
      <c r="M559" s="54"/>
    </row>
    <row r="560">
      <c r="A560" s="23"/>
      <c r="B560" s="52"/>
      <c r="C560" s="53"/>
      <c r="D560" s="23"/>
      <c r="E560" s="53"/>
      <c r="F560" s="54"/>
      <c r="G560" s="54"/>
      <c r="H560" s="54"/>
      <c r="I560" s="53"/>
      <c r="J560" s="53"/>
      <c r="K560" s="23"/>
      <c r="L560" s="53"/>
      <c r="M560" s="54"/>
    </row>
    <row r="561">
      <c r="A561" s="23"/>
      <c r="B561" s="52"/>
      <c r="C561" s="53"/>
      <c r="D561" s="23"/>
      <c r="E561" s="53"/>
      <c r="F561" s="54"/>
      <c r="G561" s="54"/>
      <c r="H561" s="54"/>
      <c r="I561" s="53"/>
      <c r="J561" s="53"/>
      <c r="K561" s="23"/>
      <c r="L561" s="53"/>
      <c r="M561" s="54"/>
    </row>
    <row r="562">
      <c r="A562" s="23"/>
      <c r="B562" s="52"/>
      <c r="C562" s="53"/>
      <c r="D562" s="23"/>
      <c r="E562" s="53"/>
      <c r="F562" s="54"/>
      <c r="G562" s="54"/>
      <c r="H562" s="54"/>
      <c r="I562" s="53"/>
      <c r="J562" s="53"/>
      <c r="K562" s="23"/>
      <c r="L562" s="53"/>
      <c r="M562" s="54"/>
    </row>
    <row r="563">
      <c r="A563" s="23"/>
      <c r="B563" s="52"/>
      <c r="C563" s="53"/>
      <c r="D563" s="23"/>
      <c r="E563" s="53"/>
      <c r="F563" s="54"/>
      <c r="G563" s="54"/>
      <c r="H563" s="54"/>
      <c r="I563" s="53"/>
      <c r="J563" s="53"/>
      <c r="K563" s="23"/>
      <c r="L563" s="53"/>
      <c r="M563" s="54"/>
    </row>
    <row r="564">
      <c r="A564" s="23"/>
      <c r="B564" s="52"/>
      <c r="C564" s="53"/>
      <c r="D564" s="23"/>
      <c r="E564" s="53"/>
      <c r="F564" s="54"/>
      <c r="G564" s="54"/>
      <c r="H564" s="54"/>
      <c r="I564" s="53"/>
      <c r="J564" s="53"/>
      <c r="K564" s="23"/>
      <c r="L564" s="53"/>
      <c r="M564" s="54"/>
    </row>
    <row r="565">
      <c r="A565" s="23"/>
      <c r="B565" s="52"/>
      <c r="C565" s="53"/>
      <c r="D565" s="23"/>
      <c r="E565" s="53"/>
      <c r="F565" s="54"/>
      <c r="G565" s="54"/>
      <c r="H565" s="54"/>
      <c r="I565" s="53"/>
      <c r="J565" s="53"/>
      <c r="K565" s="23"/>
      <c r="L565" s="53"/>
      <c r="M565" s="54"/>
    </row>
    <row r="566">
      <c r="A566" s="23"/>
      <c r="B566" s="52"/>
      <c r="C566" s="53"/>
      <c r="D566" s="23"/>
      <c r="E566" s="53"/>
      <c r="F566" s="54"/>
      <c r="G566" s="54"/>
      <c r="H566" s="54"/>
      <c r="I566" s="53"/>
      <c r="J566" s="53"/>
      <c r="K566" s="23"/>
      <c r="L566" s="53"/>
      <c r="M566" s="54"/>
    </row>
    <row r="567">
      <c r="A567" s="23"/>
      <c r="B567" s="52"/>
      <c r="C567" s="53"/>
      <c r="D567" s="23"/>
      <c r="E567" s="53"/>
      <c r="F567" s="54"/>
      <c r="G567" s="54"/>
      <c r="H567" s="54"/>
      <c r="I567" s="53"/>
      <c r="J567" s="53"/>
      <c r="K567" s="23"/>
      <c r="L567" s="53"/>
      <c r="M567" s="54"/>
    </row>
    <row r="568">
      <c r="A568" s="23"/>
      <c r="B568" s="52"/>
      <c r="C568" s="53"/>
      <c r="D568" s="23"/>
      <c r="E568" s="53"/>
      <c r="F568" s="54"/>
      <c r="G568" s="54"/>
      <c r="H568" s="54"/>
      <c r="I568" s="53"/>
      <c r="J568" s="53"/>
      <c r="K568" s="23"/>
      <c r="L568" s="53"/>
      <c r="M568" s="54"/>
    </row>
    <row r="569">
      <c r="A569" s="23"/>
      <c r="B569" s="52"/>
      <c r="C569" s="53"/>
      <c r="D569" s="23"/>
      <c r="E569" s="53"/>
      <c r="F569" s="54"/>
      <c r="G569" s="54"/>
      <c r="H569" s="54"/>
      <c r="I569" s="53"/>
      <c r="J569" s="53"/>
      <c r="K569" s="23"/>
      <c r="L569" s="53"/>
      <c r="M569" s="54"/>
    </row>
    <row r="570">
      <c r="A570" s="23"/>
      <c r="B570" s="52"/>
      <c r="C570" s="53"/>
      <c r="D570" s="23"/>
      <c r="E570" s="53"/>
      <c r="F570" s="54"/>
      <c r="G570" s="54"/>
      <c r="H570" s="54"/>
      <c r="I570" s="53"/>
      <c r="J570" s="53"/>
      <c r="K570" s="23"/>
      <c r="L570" s="53"/>
      <c r="M570" s="54"/>
    </row>
    <row r="571">
      <c r="A571" s="23"/>
      <c r="B571" s="52"/>
      <c r="C571" s="53"/>
      <c r="D571" s="23"/>
      <c r="E571" s="53"/>
      <c r="F571" s="54"/>
      <c r="G571" s="54"/>
      <c r="H571" s="54"/>
      <c r="I571" s="53"/>
      <c r="J571" s="53"/>
      <c r="K571" s="23"/>
      <c r="L571" s="53"/>
      <c r="M571" s="54"/>
    </row>
    <row r="572">
      <c r="A572" s="23"/>
      <c r="B572" s="52"/>
      <c r="C572" s="53"/>
      <c r="D572" s="23"/>
      <c r="E572" s="53"/>
      <c r="F572" s="54"/>
      <c r="G572" s="54"/>
      <c r="H572" s="54"/>
      <c r="I572" s="53"/>
      <c r="J572" s="53"/>
      <c r="K572" s="23"/>
      <c r="L572" s="53"/>
      <c r="M572" s="54"/>
    </row>
    <row r="573">
      <c r="A573" s="23"/>
      <c r="B573" s="52"/>
      <c r="C573" s="53"/>
      <c r="D573" s="23"/>
      <c r="E573" s="53"/>
      <c r="F573" s="54"/>
      <c r="G573" s="54"/>
      <c r="H573" s="54"/>
      <c r="I573" s="53"/>
      <c r="J573" s="53"/>
      <c r="K573" s="23"/>
      <c r="L573" s="53"/>
      <c r="M573" s="54"/>
    </row>
    <row r="574">
      <c r="A574" s="23"/>
      <c r="B574" s="52"/>
      <c r="C574" s="53"/>
      <c r="D574" s="23"/>
      <c r="E574" s="53"/>
      <c r="F574" s="54"/>
      <c r="G574" s="54"/>
      <c r="H574" s="54"/>
      <c r="I574" s="53"/>
      <c r="J574" s="53"/>
      <c r="K574" s="23"/>
      <c r="L574" s="53"/>
      <c r="M574" s="54"/>
    </row>
    <row r="575">
      <c r="A575" s="23"/>
      <c r="B575" s="52"/>
      <c r="C575" s="53"/>
      <c r="D575" s="23"/>
      <c r="E575" s="53"/>
      <c r="F575" s="54"/>
      <c r="G575" s="54"/>
      <c r="H575" s="54"/>
      <c r="I575" s="53"/>
      <c r="J575" s="53"/>
      <c r="K575" s="23"/>
      <c r="L575" s="53"/>
      <c r="M575" s="54"/>
    </row>
    <row r="576">
      <c r="A576" s="23"/>
      <c r="B576" s="52"/>
      <c r="C576" s="53"/>
      <c r="D576" s="23"/>
      <c r="E576" s="53"/>
      <c r="F576" s="54"/>
      <c r="G576" s="54"/>
      <c r="H576" s="54"/>
      <c r="I576" s="53"/>
      <c r="J576" s="53"/>
      <c r="K576" s="23"/>
      <c r="L576" s="53"/>
      <c r="M576" s="54"/>
    </row>
    <row r="577">
      <c r="A577" s="23"/>
      <c r="B577" s="52"/>
      <c r="C577" s="53"/>
      <c r="D577" s="23"/>
      <c r="E577" s="53"/>
      <c r="F577" s="54"/>
      <c r="G577" s="54"/>
      <c r="H577" s="54"/>
      <c r="I577" s="53"/>
      <c r="J577" s="53"/>
      <c r="K577" s="23"/>
      <c r="L577" s="53"/>
      <c r="M577" s="54"/>
    </row>
    <row r="578">
      <c r="A578" s="23"/>
      <c r="B578" s="52"/>
      <c r="C578" s="53"/>
      <c r="D578" s="23"/>
      <c r="E578" s="53"/>
      <c r="F578" s="54"/>
      <c r="G578" s="54"/>
      <c r="H578" s="54"/>
      <c r="I578" s="53"/>
      <c r="J578" s="53"/>
      <c r="K578" s="23"/>
      <c r="L578" s="53"/>
      <c r="M578" s="54"/>
    </row>
    <row r="579">
      <c r="A579" s="23"/>
      <c r="B579" s="52"/>
      <c r="C579" s="53"/>
      <c r="D579" s="23"/>
      <c r="E579" s="53"/>
      <c r="F579" s="54"/>
      <c r="G579" s="54"/>
      <c r="H579" s="54"/>
      <c r="I579" s="53"/>
      <c r="J579" s="53"/>
      <c r="K579" s="23"/>
      <c r="L579" s="53"/>
      <c r="M579" s="54"/>
    </row>
    <row r="580">
      <c r="A580" s="23"/>
      <c r="B580" s="52"/>
      <c r="C580" s="53"/>
      <c r="D580" s="23"/>
      <c r="E580" s="53"/>
      <c r="F580" s="54"/>
      <c r="G580" s="54"/>
      <c r="H580" s="54"/>
      <c r="I580" s="53"/>
      <c r="J580" s="53"/>
      <c r="K580" s="23"/>
      <c r="L580" s="53"/>
      <c r="M580" s="54"/>
    </row>
    <row r="581">
      <c r="A581" s="23"/>
      <c r="B581" s="52"/>
      <c r="C581" s="53"/>
      <c r="D581" s="23"/>
      <c r="E581" s="53"/>
      <c r="F581" s="54"/>
      <c r="G581" s="54"/>
      <c r="H581" s="54"/>
      <c r="I581" s="53"/>
      <c r="J581" s="53"/>
      <c r="K581" s="23"/>
      <c r="L581" s="53"/>
      <c r="M581" s="54"/>
    </row>
    <row r="582">
      <c r="A582" s="23"/>
      <c r="B582" s="52"/>
      <c r="C582" s="53"/>
      <c r="D582" s="23"/>
      <c r="E582" s="53"/>
      <c r="F582" s="54"/>
      <c r="G582" s="54"/>
      <c r="H582" s="54"/>
      <c r="I582" s="53"/>
      <c r="J582" s="53"/>
      <c r="K582" s="23"/>
      <c r="L582" s="53"/>
      <c r="M582" s="54"/>
    </row>
    <row r="583">
      <c r="A583" s="23"/>
      <c r="B583" s="52"/>
      <c r="C583" s="53"/>
      <c r="D583" s="23"/>
      <c r="E583" s="53"/>
      <c r="F583" s="54"/>
      <c r="G583" s="54"/>
      <c r="H583" s="54"/>
      <c r="I583" s="53"/>
      <c r="J583" s="53"/>
      <c r="K583" s="23"/>
      <c r="L583" s="53"/>
      <c r="M583" s="54"/>
    </row>
    <row r="584">
      <c r="A584" s="23"/>
      <c r="B584" s="52"/>
      <c r="C584" s="53"/>
      <c r="D584" s="23"/>
      <c r="E584" s="53"/>
      <c r="F584" s="54"/>
      <c r="G584" s="54"/>
      <c r="H584" s="54"/>
      <c r="I584" s="53"/>
      <c r="J584" s="53"/>
      <c r="K584" s="23"/>
      <c r="L584" s="53"/>
      <c r="M584" s="54"/>
    </row>
    <row r="585">
      <c r="A585" s="23"/>
      <c r="B585" s="52"/>
      <c r="C585" s="53"/>
      <c r="D585" s="23"/>
      <c r="E585" s="53"/>
      <c r="F585" s="54"/>
      <c r="G585" s="54"/>
      <c r="H585" s="54"/>
      <c r="I585" s="53"/>
      <c r="J585" s="53"/>
      <c r="K585" s="23"/>
      <c r="L585" s="53"/>
      <c r="M585" s="54"/>
    </row>
    <row r="586">
      <c r="A586" s="23"/>
      <c r="B586" s="52"/>
      <c r="C586" s="53"/>
      <c r="D586" s="23"/>
      <c r="E586" s="53"/>
      <c r="F586" s="54"/>
      <c r="G586" s="54"/>
      <c r="H586" s="54"/>
      <c r="I586" s="53"/>
      <c r="J586" s="53"/>
      <c r="K586" s="23"/>
      <c r="L586" s="53"/>
      <c r="M586" s="54"/>
    </row>
    <row r="587">
      <c r="A587" s="23"/>
      <c r="B587" s="52"/>
      <c r="C587" s="53"/>
      <c r="D587" s="23"/>
      <c r="E587" s="53"/>
      <c r="F587" s="54"/>
      <c r="G587" s="54"/>
      <c r="H587" s="54"/>
      <c r="I587" s="53"/>
      <c r="J587" s="53"/>
      <c r="K587" s="23"/>
      <c r="L587" s="53"/>
      <c r="M587" s="54"/>
    </row>
    <row r="588">
      <c r="A588" s="23"/>
      <c r="B588" s="52"/>
      <c r="C588" s="53"/>
      <c r="D588" s="23"/>
      <c r="E588" s="53"/>
      <c r="F588" s="54"/>
      <c r="G588" s="54"/>
      <c r="H588" s="54"/>
      <c r="I588" s="53"/>
      <c r="J588" s="53"/>
      <c r="K588" s="23"/>
      <c r="L588" s="53"/>
      <c r="M588" s="54"/>
    </row>
    <row r="589">
      <c r="A589" s="23"/>
      <c r="B589" s="52"/>
      <c r="C589" s="53"/>
      <c r="D589" s="23"/>
      <c r="E589" s="53"/>
      <c r="F589" s="54"/>
      <c r="G589" s="54"/>
      <c r="H589" s="54"/>
      <c r="I589" s="53"/>
      <c r="J589" s="53"/>
      <c r="K589" s="23"/>
      <c r="L589" s="53"/>
      <c r="M589" s="54"/>
    </row>
    <row r="590">
      <c r="A590" s="23"/>
      <c r="B590" s="52"/>
      <c r="C590" s="53"/>
      <c r="D590" s="23"/>
      <c r="E590" s="53"/>
      <c r="F590" s="54"/>
      <c r="G590" s="54"/>
      <c r="H590" s="54"/>
      <c r="I590" s="53"/>
      <c r="J590" s="53"/>
      <c r="K590" s="23"/>
      <c r="L590" s="53"/>
      <c r="M590" s="54"/>
    </row>
    <row r="591">
      <c r="A591" s="23"/>
      <c r="B591" s="52"/>
      <c r="C591" s="53"/>
      <c r="D591" s="23"/>
      <c r="E591" s="53"/>
      <c r="F591" s="54"/>
      <c r="G591" s="54"/>
      <c r="H591" s="54"/>
      <c r="I591" s="53"/>
      <c r="J591" s="53"/>
      <c r="K591" s="23"/>
      <c r="L591" s="53"/>
      <c r="M591" s="54"/>
    </row>
    <row r="592">
      <c r="A592" s="23"/>
      <c r="B592" s="52"/>
      <c r="C592" s="53"/>
      <c r="D592" s="23"/>
      <c r="E592" s="53"/>
      <c r="F592" s="54"/>
      <c r="G592" s="54"/>
      <c r="H592" s="54"/>
      <c r="I592" s="53"/>
      <c r="J592" s="53"/>
      <c r="K592" s="23"/>
      <c r="L592" s="53"/>
      <c r="M592" s="54"/>
    </row>
    <row r="593">
      <c r="A593" s="23"/>
      <c r="B593" s="52"/>
      <c r="C593" s="53"/>
      <c r="D593" s="23"/>
      <c r="E593" s="53"/>
      <c r="F593" s="54"/>
      <c r="G593" s="54"/>
      <c r="H593" s="54"/>
      <c r="I593" s="53"/>
      <c r="J593" s="53"/>
      <c r="K593" s="23"/>
      <c r="L593" s="53"/>
      <c r="M593" s="54"/>
    </row>
    <row r="594">
      <c r="A594" s="23"/>
      <c r="B594" s="52"/>
      <c r="C594" s="53"/>
      <c r="D594" s="23"/>
      <c r="E594" s="53"/>
      <c r="F594" s="54"/>
      <c r="G594" s="54"/>
      <c r="H594" s="54"/>
      <c r="I594" s="53"/>
      <c r="J594" s="53"/>
      <c r="K594" s="23"/>
      <c r="L594" s="53"/>
      <c r="M594" s="54"/>
    </row>
    <row r="595">
      <c r="A595" s="23"/>
      <c r="B595" s="52"/>
      <c r="C595" s="53"/>
      <c r="D595" s="23"/>
      <c r="E595" s="53"/>
      <c r="F595" s="54"/>
      <c r="G595" s="54"/>
      <c r="H595" s="54"/>
      <c r="I595" s="53"/>
      <c r="J595" s="53"/>
      <c r="K595" s="23"/>
      <c r="L595" s="53"/>
      <c r="M595" s="54"/>
    </row>
    <row r="596">
      <c r="A596" s="23"/>
      <c r="B596" s="52"/>
      <c r="C596" s="53"/>
      <c r="D596" s="23"/>
      <c r="E596" s="53"/>
      <c r="F596" s="54"/>
      <c r="G596" s="54"/>
      <c r="H596" s="54"/>
      <c r="I596" s="53"/>
      <c r="J596" s="53"/>
      <c r="K596" s="23"/>
      <c r="L596" s="53"/>
      <c r="M596" s="54"/>
    </row>
    <row r="597">
      <c r="A597" s="23"/>
      <c r="B597" s="52"/>
      <c r="C597" s="53"/>
      <c r="D597" s="23"/>
      <c r="E597" s="53"/>
      <c r="F597" s="54"/>
      <c r="G597" s="54"/>
      <c r="H597" s="54"/>
      <c r="I597" s="53"/>
      <c r="J597" s="53"/>
      <c r="K597" s="23"/>
      <c r="L597" s="53"/>
      <c r="M597" s="54"/>
    </row>
    <row r="598">
      <c r="A598" s="23"/>
      <c r="B598" s="52"/>
      <c r="C598" s="53"/>
      <c r="D598" s="23"/>
      <c r="E598" s="53"/>
      <c r="F598" s="54"/>
      <c r="G598" s="54"/>
      <c r="H598" s="54"/>
      <c r="I598" s="53"/>
      <c r="J598" s="53"/>
      <c r="K598" s="23"/>
      <c r="L598" s="53"/>
      <c r="M598" s="54"/>
    </row>
    <row r="599">
      <c r="A599" s="23"/>
      <c r="B599" s="52"/>
      <c r="C599" s="53"/>
      <c r="D599" s="23"/>
      <c r="E599" s="53"/>
      <c r="F599" s="54"/>
      <c r="G599" s="54"/>
      <c r="H599" s="54"/>
      <c r="I599" s="53"/>
      <c r="J599" s="53"/>
      <c r="K599" s="23"/>
      <c r="L599" s="53"/>
      <c r="M599" s="54"/>
    </row>
    <row r="600">
      <c r="A600" s="23"/>
      <c r="B600" s="52"/>
      <c r="C600" s="53"/>
      <c r="D600" s="23"/>
      <c r="E600" s="53"/>
      <c r="F600" s="54"/>
      <c r="G600" s="54"/>
      <c r="H600" s="54"/>
      <c r="I600" s="53"/>
      <c r="J600" s="53"/>
      <c r="K600" s="23"/>
      <c r="L600" s="53"/>
      <c r="M600" s="54"/>
    </row>
    <row r="601">
      <c r="A601" s="23"/>
      <c r="B601" s="52"/>
      <c r="C601" s="53"/>
      <c r="D601" s="23"/>
      <c r="E601" s="53"/>
      <c r="F601" s="54"/>
      <c r="G601" s="54"/>
      <c r="H601" s="54"/>
      <c r="I601" s="53"/>
      <c r="J601" s="53"/>
      <c r="K601" s="23"/>
      <c r="L601" s="53"/>
      <c r="M601" s="54"/>
    </row>
    <row r="602">
      <c r="A602" s="23"/>
      <c r="B602" s="52"/>
      <c r="C602" s="53"/>
      <c r="D602" s="23"/>
      <c r="E602" s="53"/>
      <c r="F602" s="54"/>
      <c r="G602" s="54"/>
      <c r="H602" s="54"/>
      <c r="I602" s="53"/>
      <c r="J602" s="53"/>
      <c r="K602" s="23"/>
      <c r="L602" s="53"/>
      <c r="M602" s="54"/>
    </row>
    <row r="603">
      <c r="A603" s="23"/>
      <c r="B603" s="52"/>
      <c r="C603" s="56"/>
      <c r="D603" s="23"/>
      <c r="E603" s="56"/>
      <c r="F603" s="54"/>
      <c r="G603" s="54"/>
      <c r="H603" s="54"/>
      <c r="I603" s="53"/>
      <c r="J603" s="53"/>
      <c r="K603" s="23"/>
      <c r="L603" s="53"/>
      <c r="M603" s="54"/>
    </row>
    <row r="604">
      <c r="A604" s="23"/>
      <c r="B604" s="52"/>
      <c r="C604" s="53"/>
      <c r="D604" s="23"/>
      <c r="E604" s="53"/>
      <c r="F604" s="54"/>
      <c r="G604" s="54"/>
      <c r="H604" s="54"/>
      <c r="I604" s="53"/>
      <c r="J604" s="53"/>
      <c r="K604" s="23"/>
      <c r="L604" s="53"/>
      <c r="M604" s="54"/>
    </row>
    <row r="605">
      <c r="A605" s="23"/>
      <c r="B605" s="52"/>
      <c r="C605" s="53"/>
      <c r="D605" s="23"/>
      <c r="E605" s="53"/>
      <c r="F605" s="54"/>
      <c r="G605" s="54"/>
      <c r="H605" s="54"/>
      <c r="I605" s="53"/>
      <c r="J605" s="53"/>
      <c r="K605" s="23"/>
      <c r="L605" s="53"/>
      <c r="M605" s="54"/>
    </row>
    <row r="606">
      <c r="A606" s="23"/>
      <c r="B606" s="52"/>
      <c r="C606" s="53"/>
      <c r="D606" s="23"/>
      <c r="E606" s="53"/>
      <c r="F606" s="54"/>
      <c r="G606" s="54"/>
      <c r="H606" s="54"/>
      <c r="I606" s="53"/>
      <c r="J606" s="53"/>
      <c r="K606" s="23"/>
      <c r="L606" s="53"/>
      <c r="M606" s="54"/>
    </row>
    <row r="607">
      <c r="A607" s="23"/>
      <c r="B607" s="52"/>
      <c r="C607" s="53"/>
      <c r="D607" s="23"/>
      <c r="E607" s="53"/>
      <c r="F607" s="54"/>
      <c r="G607" s="54"/>
      <c r="H607" s="54"/>
      <c r="I607" s="53"/>
      <c r="J607" s="53"/>
      <c r="K607" s="23"/>
      <c r="L607" s="53"/>
      <c r="M607" s="54"/>
    </row>
    <row r="608">
      <c r="A608" s="23"/>
      <c r="B608" s="52"/>
      <c r="C608" s="53"/>
      <c r="D608" s="23"/>
      <c r="E608" s="53"/>
      <c r="F608" s="54"/>
      <c r="G608" s="54"/>
      <c r="H608" s="54"/>
      <c r="I608" s="53"/>
      <c r="J608" s="53"/>
      <c r="K608" s="23"/>
      <c r="L608" s="53"/>
      <c r="M608" s="54"/>
    </row>
    <row r="609">
      <c r="A609" s="23"/>
      <c r="B609" s="52"/>
      <c r="C609" s="53"/>
      <c r="D609" s="23"/>
      <c r="E609" s="53"/>
      <c r="F609" s="54"/>
      <c r="G609" s="54"/>
      <c r="H609" s="54"/>
      <c r="I609" s="53"/>
      <c r="J609" s="53"/>
      <c r="K609" s="23"/>
      <c r="L609" s="53"/>
      <c r="M609" s="54"/>
    </row>
    <row r="610">
      <c r="A610" s="23"/>
      <c r="B610" s="52"/>
      <c r="C610" s="53"/>
      <c r="D610" s="23"/>
      <c r="E610" s="53"/>
      <c r="F610" s="54"/>
      <c r="G610" s="54"/>
      <c r="H610" s="54"/>
      <c r="I610" s="53"/>
      <c r="J610" s="53"/>
      <c r="K610" s="23"/>
      <c r="L610" s="53"/>
      <c r="M610" s="54"/>
    </row>
    <row r="611">
      <c r="A611" s="23"/>
      <c r="B611" s="52"/>
      <c r="C611" s="53"/>
      <c r="D611" s="23"/>
      <c r="E611" s="53"/>
      <c r="F611" s="54"/>
      <c r="G611" s="54"/>
      <c r="H611" s="54"/>
      <c r="I611" s="53"/>
      <c r="J611" s="53"/>
      <c r="K611" s="23"/>
      <c r="L611" s="53"/>
      <c r="M611" s="54"/>
    </row>
    <row r="612">
      <c r="A612" s="23"/>
      <c r="B612" s="52"/>
      <c r="C612" s="53"/>
      <c r="D612" s="23"/>
      <c r="E612" s="53"/>
      <c r="F612" s="54"/>
      <c r="G612" s="54"/>
      <c r="H612" s="54"/>
      <c r="I612" s="53"/>
      <c r="J612" s="53"/>
      <c r="K612" s="23"/>
      <c r="L612" s="53"/>
      <c r="M612" s="54"/>
    </row>
    <row r="613">
      <c r="A613" s="23"/>
      <c r="B613" s="52"/>
      <c r="C613" s="53"/>
      <c r="D613" s="23"/>
      <c r="E613" s="53"/>
      <c r="F613" s="54"/>
      <c r="G613" s="54"/>
      <c r="H613" s="54"/>
      <c r="I613" s="53"/>
      <c r="J613" s="53"/>
      <c r="K613" s="23"/>
      <c r="L613" s="53"/>
      <c r="M613" s="54"/>
    </row>
    <row r="614">
      <c r="A614" s="23"/>
      <c r="B614" s="52"/>
      <c r="C614" s="53"/>
      <c r="D614" s="23"/>
      <c r="E614" s="53"/>
      <c r="F614" s="54"/>
      <c r="G614" s="54"/>
      <c r="H614" s="54"/>
      <c r="I614" s="53"/>
      <c r="J614" s="53"/>
      <c r="K614" s="23"/>
      <c r="L614" s="53"/>
      <c r="M614" s="54"/>
    </row>
    <row r="615">
      <c r="A615" s="23"/>
      <c r="B615" s="52"/>
      <c r="C615" s="53"/>
      <c r="D615" s="23"/>
      <c r="E615" s="53"/>
      <c r="F615" s="54"/>
      <c r="G615" s="54"/>
      <c r="H615" s="54"/>
      <c r="I615" s="53"/>
      <c r="J615" s="53"/>
      <c r="K615" s="23"/>
      <c r="L615" s="53"/>
      <c r="M615" s="54"/>
    </row>
    <row r="616">
      <c r="A616" s="23"/>
      <c r="B616" s="52"/>
      <c r="C616" s="53"/>
      <c r="D616" s="23"/>
      <c r="E616" s="53"/>
      <c r="F616" s="54"/>
      <c r="G616" s="54"/>
      <c r="H616" s="54"/>
      <c r="I616" s="53"/>
      <c r="J616" s="53"/>
      <c r="K616" s="23"/>
      <c r="L616" s="53"/>
      <c r="M616" s="54"/>
    </row>
    <row r="617">
      <c r="A617" s="23"/>
      <c r="B617" s="52"/>
      <c r="C617" s="53"/>
      <c r="D617" s="23"/>
      <c r="E617" s="53"/>
      <c r="F617" s="54"/>
      <c r="G617" s="54"/>
      <c r="H617" s="54"/>
      <c r="I617" s="53"/>
      <c r="J617" s="53"/>
      <c r="K617" s="23"/>
      <c r="L617" s="53"/>
      <c r="M617" s="54"/>
    </row>
    <row r="618">
      <c r="A618" s="23"/>
      <c r="B618" s="52"/>
      <c r="C618" s="53"/>
      <c r="D618" s="23"/>
      <c r="E618" s="53"/>
      <c r="F618" s="54"/>
      <c r="G618" s="54"/>
      <c r="H618" s="54"/>
      <c r="I618" s="53"/>
      <c r="J618" s="53"/>
      <c r="K618" s="23"/>
      <c r="L618" s="53"/>
      <c r="M618" s="54"/>
    </row>
    <row r="619">
      <c r="A619" s="23"/>
      <c r="B619" s="52"/>
      <c r="C619" s="53"/>
      <c r="D619" s="23"/>
      <c r="E619" s="53"/>
      <c r="F619" s="54"/>
      <c r="G619" s="54"/>
      <c r="H619" s="54"/>
      <c r="I619" s="53"/>
      <c r="J619" s="53"/>
      <c r="K619" s="23"/>
      <c r="L619" s="53"/>
      <c r="M619" s="54"/>
    </row>
    <row r="620">
      <c r="A620" s="23"/>
      <c r="B620" s="52"/>
      <c r="C620" s="53"/>
      <c r="D620" s="23"/>
      <c r="E620" s="53"/>
      <c r="F620" s="54"/>
      <c r="G620" s="54"/>
      <c r="H620" s="54"/>
      <c r="I620" s="53"/>
      <c r="J620" s="53"/>
      <c r="K620" s="23"/>
      <c r="L620" s="53"/>
      <c r="M620" s="54"/>
    </row>
    <row r="621">
      <c r="A621" s="23"/>
      <c r="B621" s="52"/>
      <c r="C621" s="53"/>
      <c r="D621" s="23"/>
      <c r="E621" s="53"/>
      <c r="F621" s="54"/>
      <c r="G621" s="54"/>
      <c r="H621" s="54"/>
      <c r="I621" s="53"/>
      <c r="J621" s="53"/>
      <c r="K621" s="23"/>
      <c r="L621" s="53"/>
      <c r="M621" s="54"/>
    </row>
    <row r="622">
      <c r="A622" s="23"/>
      <c r="B622" s="52"/>
      <c r="C622" s="53"/>
      <c r="D622" s="23"/>
      <c r="E622" s="53"/>
      <c r="F622" s="54"/>
      <c r="G622" s="54"/>
      <c r="H622" s="54"/>
      <c r="I622" s="53"/>
      <c r="J622" s="53"/>
      <c r="K622" s="23"/>
      <c r="L622" s="53"/>
      <c r="M622" s="54"/>
    </row>
    <row r="623">
      <c r="A623" s="23"/>
      <c r="B623" s="52"/>
      <c r="C623" s="53"/>
      <c r="D623" s="23"/>
      <c r="E623" s="53"/>
      <c r="F623" s="54"/>
      <c r="G623" s="54"/>
      <c r="H623" s="54"/>
      <c r="I623" s="53"/>
      <c r="J623" s="53"/>
      <c r="K623" s="23"/>
      <c r="L623" s="53"/>
      <c r="M623" s="54"/>
    </row>
    <row r="624">
      <c r="A624" s="23"/>
      <c r="B624" s="52"/>
      <c r="C624" s="53"/>
      <c r="D624" s="23"/>
      <c r="E624" s="53"/>
      <c r="F624" s="54"/>
      <c r="G624" s="54"/>
      <c r="H624" s="54"/>
      <c r="I624" s="53"/>
      <c r="J624" s="53"/>
      <c r="K624" s="23"/>
      <c r="L624" s="53"/>
      <c r="M624" s="54"/>
    </row>
    <row r="625">
      <c r="A625" s="23"/>
      <c r="B625" s="52"/>
      <c r="C625" s="53"/>
      <c r="D625" s="23"/>
      <c r="E625" s="53"/>
      <c r="F625" s="54"/>
      <c r="G625" s="54"/>
      <c r="H625" s="54"/>
      <c r="I625" s="53"/>
      <c r="J625" s="53"/>
      <c r="K625" s="23"/>
      <c r="L625" s="53"/>
      <c r="M625" s="54"/>
    </row>
    <row r="626">
      <c r="A626" s="23"/>
      <c r="B626" s="52"/>
      <c r="C626" s="53"/>
      <c r="D626" s="23"/>
      <c r="E626" s="53"/>
      <c r="F626" s="54"/>
      <c r="G626" s="54"/>
      <c r="H626" s="54"/>
      <c r="I626" s="53"/>
      <c r="J626" s="53"/>
      <c r="K626" s="23"/>
      <c r="L626" s="53"/>
      <c r="M626" s="54"/>
    </row>
    <row r="627">
      <c r="A627" s="23"/>
      <c r="B627" s="52"/>
      <c r="C627" s="53"/>
      <c r="D627" s="23"/>
      <c r="E627" s="53"/>
      <c r="F627" s="54"/>
      <c r="G627" s="54"/>
      <c r="H627" s="54"/>
      <c r="I627" s="53"/>
      <c r="J627" s="53"/>
      <c r="K627" s="23"/>
      <c r="L627" s="53"/>
      <c r="M627" s="54"/>
    </row>
    <row r="628">
      <c r="A628" s="23"/>
      <c r="B628" s="52"/>
      <c r="C628" s="53"/>
      <c r="D628" s="23"/>
      <c r="E628" s="53"/>
      <c r="F628" s="54"/>
      <c r="G628" s="54"/>
      <c r="H628" s="54"/>
      <c r="I628" s="53"/>
      <c r="J628" s="53"/>
      <c r="K628" s="23"/>
      <c r="L628" s="53"/>
      <c r="M628" s="54"/>
    </row>
    <row r="629">
      <c r="A629" s="23"/>
      <c r="B629" s="52"/>
      <c r="C629" s="53"/>
      <c r="D629" s="23"/>
      <c r="E629" s="53"/>
      <c r="F629" s="54"/>
      <c r="G629" s="54"/>
      <c r="H629" s="54"/>
      <c r="I629" s="53"/>
      <c r="J629" s="53"/>
      <c r="K629" s="23"/>
      <c r="L629" s="53"/>
      <c r="M629" s="54"/>
    </row>
    <row r="630">
      <c r="A630" s="23"/>
      <c r="B630" s="52"/>
      <c r="C630" s="53"/>
      <c r="D630" s="23"/>
      <c r="E630" s="53"/>
      <c r="F630" s="54"/>
      <c r="G630" s="54"/>
      <c r="H630" s="54"/>
      <c r="I630" s="53"/>
      <c r="J630" s="53"/>
      <c r="K630" s="23"/>
      <c r="L630" s="53"/>
      <c r="M630" s="54"/>
    </row>
    <row r="631">
      <c r="A631" s="23"/>
      <c r="B631" s="52"/>
      <c r="C631" s="53"/>
      <c r="D631" s="23"/>
      <c r="E631" s="53"/>
      <c r="F631" s="54"/>
      <c r="G631" s="54"/>
      <c r="H631" s="54"/>
      <c r="I631" s="53"/>
      <c r="J631" s="53"/>
      <c r="K631" s="23"/>
      <c r="L631" s="53"/>
      <c r="M631" s="54"/>
    </row>
    <row r="632">
      <c r="A632" s="23"/>
      <c r="B632" s="52"/>
      <c r="C632" s="53"/>
      <c r="D632" s="23"/>
      <c r="E632" s="53"/>
      <c r="F632" s="54"/>
      <c r="G632" s="54"/>
      <c r="H632" s="54"/>
      <c r="I632" s="53"/>
      <c r="J632" s="53"/>
      <c r="K632" s="23"/>
      <c r="L632" s="53"/>
      <c r="M632" s="54"/>
    </row>
    <row r="633">
      <c r="A633" s="23"/>
      <c r="B633" s="52"/>
      <c r="C633" s="53"/>
      <c r="D633" s="23"/>
      <c r="E633" s="53"/>
      <c r="F633" s="54"/>
      <c r="G633" s="54"/>
      <c r="H633" s="54"/>
      <c r="I633" s="53"/>
      <c r="J633" s="53"/>
      <c r="K633" s="23"/>
      <c r="L633" s="53"/>
      <c r="M633" s="54"/>
    </row>
    <row r="634">
      <c r="A634" s="23"/>
      <c r="B634" s="52"/>
      <c r="C634" s="53"/>
      <c r="D634" s="23"/>
      <c r="E634" s="53"/>
      <c r="F634" s="54"/>
      <c r="G634" s="54"/>
      <c r="H634" s="54"/>
      <c r="I634" s="53"/>
      <c r="J634" s="53"/>
      <c r="K634" s="23"/>
      <c r="L634" s="53"/>
      <c r="M634" s="54"/>
    </row>
    <row r="635">
      <c r="A635" s="23"/>
      <c r="B635" s="52"/>
      <c r="C635" s="53"/>
      <c r="D635" s="23"/>
      <c r="E635" s="53"/>
      <c r="F635" s="54"/>
      <c r="G635" s="54"/>
      <c r="H635" s="54"/>
      <c r="I635" s="53"/>
      <c r="J635" s="53"/>
      <c r="K635" s="23"/>
      <c r="L635" s="53"/>
      <c r="M635" s="54"/>
    </row>
    <row r="636">
      <c r="A636" s="23"/>
      <c r="B636" s="52"/>
      <c r="C636" s="53"/>
      <c r="D636" s="23"/>
      <c r="E636" s="53"/>
      <c r="F636" s="54"/>
      <c r="G636" s="54"/>
      <c r="H636" s="54"/>
      <c r="I636" s="53"/>
      <c r="J636" s="53"/>
      <c r="K636" s="23"/>
      <c r="L636" s="53"/>
      <c r="M636" s="54"/>
    </row>
    <row r="637">
      <c r="A637" s="23"/>
      <c r="B637" s="52"/>
      <c r="C637" s="53"/>
      <c r="D637" s="23"/>
      <c r="E637" s="53"/>
      <c r="F637" s="54"/>
      <c r="G637" s="54"/>
      <c r="H637" s="54"/>
      <c r="I637" s="53"/>
      <c r="J637" s="53"/>
      <c r="K637" s="23"/>
      <c r="L637" s="53"/>
      <c r="M637" s="54"/>
    </row>
    <row r="638">
      <c r="A638" s="23"/>
      <c r="B638" s="52"/>
      <c r="C638" s="53"/>
      <c r="D638" s="23"/>
      <c r="E638" s="53"/>
      <c r="F638" s="54"/>
      <c r="G638" s="54"/>
      <c r="H638" s="54"/>
      <c r="I638" s="53"/>
      <c r="J638" s="53"/>
      <c r="K638" s="23"/>
      <c r="L638" s="53"/>
      <c r="M638" s="54"/>
    </row>
    <row r="639">
      <c r="A639" s="23"/>
      <c r="B639" s="52"/>
      <c r="C639" s="53"/>
      <c r="D639" s="23"/>
      <c r="E639" s="53"/>
      <c r="F639" s="54"/>
      <c r="G639" s="54"/>
      <c r="H639" s="54"/>
      <c r="I639" s="53"/>
      <c r="J639" s="53"/>
      <c r="K639" s="23"/>
      <c r="L639" s="53"/>
      <c r="M639" s="54"/>
    </row>
    <row r="640">
      <c r="A640" s="23"/>
      <c r="B640" s="52"/>
      <c r="C640" s="53"/>
      <c r="D640" s="23"/>
      <c r="E640" s="53"/>
      <c r="F640" s="54"/>
      <c r="G640" s="54"/>
      <c r="H640" s="54"/>
      <c r="I640" s="53"/>
      <c r="J640" s="53"/>
      <c r="K640" s="23"/>
      <c r="L640" s="53"/>
      <c r="M640" s="54"/>
    </row>
    <row r="641">
      <c r="A641" s="23"/>
      <c r="B641" s="52"/>
      <c r="C641" s="53"/>
      <c r="D641" s="23"/>
      <c r="E641" s="53"/>
      <c r="F641" s="54"/>
      <c r="G641" s="54"/>
      <c r="H641" s="54"/>
      <c r="I641" s="53"/>
      <c r="J641" s="53"/>
      <c r="K641" s="23"/>
      <c r="L641" s="53"/>
      <c r="M641" s="54"/>
    </row>
    <row r="642">
      <c r="A642" s="23"/>
      <c r="B642" s="52"/>
      <c r="C642" s="53"/>
      <c r="D642" s="23"/>
      <c r="E642" s="53"/>
      <c r="F642" s="54"/>
      <c r="G642" s="54"/>
      <c r="H642" s="54"/>
      <c r="I642" s="53"/>
      <c r="J642" s="53"/>
      <c r="K642" s="23"/>
      <c r="L642" s="53"/>
      <c r="M642" s="54"/>
    </row>
    <row r="643">
      <c r="A643" s="23"/>
      <c r="B643" s="52"/>
      <c r="C643" s="53"/>
      <c r="D643" s="23"/>
      <c r="E643" s="53"/>
      <c r="F643" s="54"/>
      <c r="G643" s="54"/>
      <c r="H643" s="54"/>
      <c r="I643" s="53"/>
      <c r="J643" s="53"/>
      <c r="K643" s="23"/>
      <c r="L643" s="53"/>
      <c r="M643" s="54"/>
    </row>
    <row r="644">
      <c r="A644" s="23"/>
      <c r="B644" s="52"/>
      <c r="C644" s="53"/>
      <c r="D644" s="23"/>
      <c r="E644" s="53"/>
      <c r="F644" s="54"/>
      <c r="G644" s="54"/>
      <c r="H644" s="54"/>
      <c r="I644" s="53"/>
      <c r="J644" s="53"/>
      <c r="K644" s="23"/>
      <c r="L644" s="53"/>
      <c r="M644" s="54"/>
    </row>
    <row r="645">
      <c r="A645" s="23"/>
      <c r="B645" s="52"/>
      <c r="C645" s="53"/>
      <c r="D645" s="23"/>
      <c r="E645" s="53"/>
      <c r="F645" s="54"/>
      <c r="G645" s="54"/>
      <c r="H645" s="54"/>
      <c r="I645" s="53"/>
      <c r="J645" s="53"/>
      <c r="K645" s="23"/>
      <c r="L645" s="53"/>
      <c r="M645" s="54"/>
    </row>
    <row r="646">
      <c r="A646" s="23"/>
      <c r="B646" s="52"/>
      <c r="C646" s="53"/>
      <c r="D646" s="23"/>
      <c r="E646" s="53"/>
      <c r="F646" s="54"/>
      <c r="G646" s="54"/>
      <c r="H646" s="54"/>
      <c r="I646" s="53"/>
      <c r="J646" s="53"/>
      <c r="K646" s="23"/>
      <c r="L646" s="53"/>
      <c r="M646" s="54"/>
    </row>
    <row r="647">
      <c r="A647" s="23"/>
      <c r="B647" s="52"/>
      <c r="C647" s="53"/>
      <c r="D647" s="23"/>
      <c r="E647" s="53"/>
      <c r="F647" s="54"/>
      <c r="G647" s="54"/>
      <c r="H647" s="54"/>
      <c r="I647" s="53"/>
      <c r="J647" s="53"/>
      <c r="K647" s="23"/>
      <c r="L647" s="53"/>
      <c r="M647" s="54"/>
    </row>
    <row r="648">
      <c r="A648" s="23"/>
      <c r="B648" s="52"/>
      <c r="C648" s="53"/>
      <c r="D648" s="23"/>
      <c r="E648" s="53"/>
      <c r="F648" s="54"/>
      <c r="G648" s="54"/>
      <c r="H648" s="54"/>
      <c r="I648" s="53"/>
      <c r="J648" s="53"/>
      <c r="K648" s="23"/>
      <c r="L648" s="53"/>
      <c r="M648" s="54"/>
    </row>
    <row r="649">
      <c r="A649" s="23"/>
      <c r="B649" s="52"/>
      <c r="C649" s="53"/>
      <c r="D649" s="23"/>
      <c r="E649" s="53"/>
      <c r="F649" s="54"/>
      <c r="G649" s="54"/>
      <c r="H649" s="54"/>
      <c r="I649" s="53"/>
      <c r="J649" s="53"/>
      <c r="K649" s="53"/>
      <c r="L649" s="53"/>
      <c r="M649" s="54"/>
    </row>
    <row r="650">
      <c r="A650" s="23"/>
      <c r="B650" s="52"/>
      <c r="C650" s="53"/>
      <c r="D650" s="23"/>
      <c r="E650" s="53"/>
      <c r="F650" s="54"/>
      <c r="G650" s="54"/>
      <c r="H650" s="54"/>
      <c r="I650" s="53"/>
      <c r="J650" s="53"/>
      <c r="K650" s="23"/>
      <c r="L650" s="53"/>
      <c r="M650" s="54"/>
    </row>
    <row r="651">
      <c r="A651" s="23"/>
      <c r="B651" s="52"/>
      <c r="C651" s="53"/>
      <c r="D651" s="23"/>
      <c r="E651" s="53"/>
      <c r="F651" s="54"/>
      <c r="G651" s="54"/>
      <c r="H651" s="54"/>
      <c r="I651" s="53"/>
      <c r="J651" s="53"/>
      <c r="K651" s="23"/>
      <c r="L651" s="53"/>
      <c r="M651" s="54"/>
    </row>
    <row r="652">
      <c r="A652" s="23"/>
      <c r="B652" s="52"/>
      <c r="C652" s="53"/>
      <c r="D652" s="23"/>
      <c r="E652" s="53"/>
      <c r="F652" s="54"/>
      <c r="G652" s="54"/>
      <c r="H652" s="54"/>
      <c r="I652" s="53"/>
      <c r="J652" s="53"/>
      <c r="K652" s="23"/>
      <c r="L652" s="53"/>
      <c r="M652" s="54"/>
    </row>
    <row r="653">
      <c r="A653" s="23"/>
      <c r="B653" s="52"/>
      <c r="C653" s="53"/>
      <c r="D653" s="23"/>
      <c r="E653" s="53"/>
      <c r="F653" s="54"/>
      <c r="G653" s="54"/>
      <c r="H653" s="54"/>
      <c r="I653" s="53"/>
      <c r="J653" s="53"/>
      <c r="K653" s="23"/>
      <c r="L653" s="53"/>
      <c r="M653" s="54"/>
    </row>
    <row r="654">
      <c r="A654" s="23"/>
      <c r="B654" s="52"/>
      <c r="C654" s="53"/>
      <c r="D654" s="23"/>
      <c r="E654" s="53"/>
      <c r="F654" s="54"/>
      <c r="G654" s="54"/>
      <c r="H654" s="54"/>
      <c r="I654" s="53"/>
      <c r="J654" s="53"/>
      <c r="K654" s="23"/>
      <c r="L654" s="53"/>
      <c r="M654" s="54"/>
    </row>
    <row r="655">
      <c r="A655" s="23"/>
      <c r="B655" s="52"/>
      <c r="C655" s="53"/>
      <c r="D655" s="23"/>
      <c r="E655" s="53"/>
      <c r="F655" s="54"/>
      <c r="G655" s="54"/>
      <c r="H655" s="54"/>
      <c r="I655" s="53"/>
      <c r="J655" s="53"/>
      <c r="K655" s="23"/>
      <c r="L655" s="53"/>
      <c r="M655" s="54"/>
    </row>
    <row r="656">
      <c r="A656" s="23"/>
      <c r="B656" s="52"/>
      <c r="C656" s="53"/>
      <c r="D656" s="23"/>
      <c r="E656" s="53"/>
      <c r="F656" s="54"/>
      <c r="G656" s="54"/>
      <c r="H656" s="54"/>
      <c r="I656" s="53"/>
      <c r="J656" s="53"/>
      <c r="K656" s="23"/>
      <c r="L656" s="53"/>
      <c r="M656" s="54"/>
    </row>
    <row r="657">
      <c r="A657" s="23"/>
      <c r="B657" s="52"/>
      <c r="C657" s="53"/>
      <c r="D657" s="23"/>
      <c r="E657" s="53"/>
      <c r="F657" s="54"/>
      <c r="G657" s="54"/>
      <c r="H657" s="54"/>
      <c r="I657" s="53"/>
      <c r="J657" s="53"/>
      <c r="K657" s="23"/>
      <c r="L657" s="53"/>
      <c r="M657" s="54"/>
    </row>
    <row r="658">
      <c r="A658" s="23"/>
      <c r="B658" s="52"/>
      <c r="C658" s="53"/>
      <c r="D658" s="23"/>
      <c r="E658" s="53"/>
      <c r="F658" s="54"/>
      <c r="G658" s="54"/>
      <c r="H658" s="54"/>
      <c r="I658" s="53"/>
      <c r="J658" s="53"/>
      <c r="K658" s="23"/>
      <c r="L658" s="53"/>
      <c r="M658" s="54"/>
    </row>
    <row r="659">
      <c r="A659" s="23"/>
      <c r="B659" s="52"/>
      <c r="C659" s="53"/>
      <c r="D659" s="23"/>
      <c r="E659" s="53"/>
      <c r="F659" s="54"/>
      <c r="G659" s="54"/>
      <c r="H659" s="54"/>
      <c r="I659" s="53"/>
      <c r="J659" s="53"/>
      <c r="K659" s="23"/>
      <c r="L659" s="53"/>
      <c r="M659" s="54"/>
    </row>
    <row r="660">
      <c r="A660" s="23"/>
      <c r="B660" s="52"/>
      <c r="C660" s="53"/>
      <c r="D660" s="23"/>
      <c r="E660" s="53"/>
      <c r="F660" s="54"/>
      <c r="G660" s="54"/>
      <c r="H660" s="54"/>
      <c r="I660" s="53"/>
      <c r="J660" s="53"/>
      <c r="K660" s="23"/>
      <c r="L660" s="53"/>
      <c r="M660" s="54"/>
    </row>
    <row r="661">
      <c r="A661" s="23"/>
      <c r="B661" s="52"/>
      <c r="C661" s="53"/>
      <c r="D661" s="23"/>
      <c r="E661" s="53"/>
      <c r="F661" s="54"/>
      <c r="G661" s="54"/>
      <c r="H661" s="54"/>
      <c r="I661" s="53"/>
      <c r="J661" s="53"/>
      <c r="K661" s="23"/>
      <c r="L661" s="53"/>
      <c r="M661" s="54"/>
    </row>
    <row r="662">
      <c r="A662" s="23"/>
      <c r="B662" s="52"/>
      <c r="C662" s="53"/>
      <c r="D662" s="23"/>
      <c r="E662" s="53"/>
      <c r="F662" s="54"/>
      <c r="G662" s="54"/>
      <c r="H662" s="54"/>
      <c r="I662" s="53"/>
      <c r="J662" s="53"/>
      <c r="K662" s="23"/>
      <c r="L662" s="53"/>
      <c r="M662" s="54"/>
    </row>
    <row r="663">
      <c r="A663" s="23"/>
      <c r="B663" s="52"/>
      <c r="C663" s="53"/>
      <c r="D663" s="23"/>
      <c r="E663" s="53"/>
      <c r="F663" s="54"/>
      <c r="G663" s="54"/>
      <c r="H663" s="54"/>
      <c r="I663" s="53"/>
      <c r="J663" s="53"/>
      <c r="K663" s="23"/>
      <c r="L663" s="53"/>
      <c r="M663" s="54"/>
    </row>
    <row r="664">
      <c r="A664" s="23"/>
      <c r="B664" s="52"/>
      <c r="C664" s="53"/>
      <c r="D664" s="23"/>
      <c r="E664" s="53"/>
      <c r="F664" s="54"/>
      <c r="G664" s="54"/>
      <c r="H664" s="54"/>
      <c r="I664" s="53"/>
      <c r="J664" s="53"/>
      <c r="K664" s="23"/>
      <c r="L664" s="53"/>
      <c r="M664" s="54"/>
    </row>
    <row r="665">
      <c r="A665" s="23"/>
      <c r="B665" s="52"/>
      <c r="C665" s="53"/>
      <c r="D665" s="23"/>
      <c r="E665" s="53"/>
      <c r="F665" s="54"/>
      <c r="G665" s="54"/>
      <c r="H665" s="54"/>
      <c r="I665" s="53"/>
      <c r="J665" s="53"/>
      <c r="K665" s="23"/>
      <c r="L665" s="53"/>
      <c r="M665" s="54"/>
    </row>
    <row r="666">
      <c r="A666" s="23"/>
      <c r="B666" s="52"/>
      <c r="C666" s="53"/>
      <c r="D666" s="23"/>
      <c r="E666" s="53"/>
      <c r="F666" s="54"/>
      <c r="G666" s="54"/>
      <c r="H666" s="54"/>
      <c r="I666" s="53"/>
      <c r="J666" s="53"/>
      <c r="K666" s="23"/>
      <c r="L666" s="53"/>
      <c r="M666" s="54"/>
    </row>
    <row r="667">
      <c r="A667" s="23"/>
      <c r="B667" s="52"/>
      <c r="C667" s="53"/>
      <c r="D667" s="23"/>
      <c r="E667" s="53"/>
      <c r="F667" s="54"/>
      <c r="G667" s="54"/>
      <c r="H667" s="54"/>
      <c r="I667" s="53"/>
      <c r="J667" s="53"/>
      <c r="K667" s="23"/>
      <c r="L667" s="53"/>
      <c r="M667" s="54"/>
    </row>
    <row r="668">
      <c r="A668" s="23"/>
      <c r="B668" s="52"/>
      <c r="C668" s="53"/>
      <c r="D668" s="23"/>
      <c r="E668" s="53"/>
      <c r="F668" s="54"/>
      <c r="G668" s="54"/>
      <c r="H668" s="54"/>
      <c r="I668" s="53"/>
      <c r="J668" s="53"/>
      <c r="K668" s="23"/>
      <c r="L668" s="53"/>
      <c r="M668" s="54"/>
    </row>
    <row r="669">
      <c r="A669" s="23"/>
      <c r="B669" s="52"/>
      <c r="C669" s="53"/>
      <c r="D669" s="23"/>
      <c r="E669" s="53"/>
      <c r="F669" s="54"/>
      <c r="G669" s="54"/>
      <c r="H669" s="54"/>
      <c r="I669" s="53"/>
      <c r="J669" s="53"/>
      <c r="K669" s="23"/>
      <c r="L669" s="53"/>
      <c r="M669" s="54"/>
    </row>
    <row r="670">
      <c r="A670" s="23"/>
      <c r="B670" s="52"/>
      <c r="C670" s="53"/>
      <c r="D670" s="23"/>
      <c r="E670" s="53"/>
      <c r="F670" s="54"/>
      <c r="G670" s="54"/>
      <c r="H670" s="54"/>
      <c r="I670" s="53"/>
      <c r="J670" s="53"/>
      <c r="K670" s="23"/>
      <c r="L670" s="53"/>
      <c r="M670" s="54"/>
    </row>
    <row r="671">
      <c r="A671" s="23"/>
      <c r="B671" s="52"/>
      <c r="C671" s="53"/>
      <c r="D671" s="23"/>
      <c r="E671" s="53"/>
      <c r="F671" s="54"/>
      <c r="G671" s="54"/>
      <c r="H671" s="54"/>
      <c r="I671" s="53"/>
      <c r="J671" s="53"/>
      <c r="K671" s="23"/>
      <c r="L671" s="53"/>
      <c r="M671" s="54"/>
    </row>
    <row r="672">
      <c r="A672" s="23"/>
      <c r="B672" s="52"/>
      <c r="C672" s="53"/>
      <c r="D672" s="23"/>
      <c r="E672" s="53"/>
      <c r="F672" s="54"/>
      <c r="G672" s="54"/>
      <c r="H672" s="54"/>
      <c r="I672" s="53"/>
      <c r="J672" s="53"/>
      <c r="K672" s="23"/>
      <c r="L672" s="53"/>
      <c r="M672" s="54"/>
    </row>
    <row r="673">
      <c r="A673" s="23"/>
      <c r="B673" s="52"/>
      <c r="C673" s="53"/>
      <c r="D673" s="23"/>
      <c r="E673" s="53"/>
      <c r="F673" s="54"/>
      <c r="G673" s="54"/>
      <c r="H673" s="54"/>
      <c r="I673" s="53"/>
      <c r="J673" s="53"/>
      <c r="K673" s="23"/>
      <c r="L673" s="53"/>
      <c r="M673" s="54"/>
    </row>
    <row r="674">
      <c r="A674" s="23"/>
      <c r="B674" s="52"/>
      <c r="C674" s="53"/>
      <c r="D674" s="23"/>
      <c r="E674" s="53"/>
      <c r="F674" s="54"/>
      <c r="G674" s="54"/>
      <c r="H674" s="54"/>
      <c r="I674" s="53"/>
      <c r="J674" s="53"/>
      <c r="K674" s="23"/>
      <c r="L674" s="53"/>
      <c r="M674" s="54"/>
    </row>
    <row r="675">
      <c r="A675" s="23"/>
      <c r="B675" s="52"/>
      <c r="C675" s="53"/>
      <c r="D675" s="23"/>
      <c r="E675" s="53"/>
      <c r="F675" s="54"/>
      <c r="G675" s="54"/>
      <c r="H675" s="54"/>
      <c r="I675" s="53"/>
      <c r="J675" s="53"/>
      <c r="K675" s="23"/>
      <c r="L675" s="53"/>
      <c r="M675" s="54"/>
    </row>
    <row r="676">
      <c r="A676" s="23"/>
      <c r="B676" s="52"/>
      <c r="C676" s="53"/>
      <c r="D676" s="23"/>
      <c r="E676" s="53"/>
      <c r="F676" s="54"/>
      <c r="G676" s="54"/>
      <c r="H676" s="54"/>
      <c r="I676" s="53"/>
      <c r="J676" s="53"/>
      <c r="K676" s="23"/>
      <c r="L676" s="53"/>
      <c r="M676" s="54"/>
    </row>
    <row r="677">
      <c r="A677" s="23"/>
      <c r="B677" s="52"/>
      <c r="C677" s="53"/>
      <c r="D677" s="23"/>
      <c r="E677" s="53"/>
      <c r="F677" s="54"/>
      <c r="G677" s="54"/>
      <c r="H677" s="54"/>
      <c r="I677" s="53"/>
      <c r="J677" s="53"/>
      <c r="K677" s="23"/>
      <c r="L677" s="53"/>
      <c r="M677" s="54"/>
    </row>
    <row r="678">
      <c r="A678" s="23"/>
      <c r="B678" s="52"/>
      <c r="C678" s="53"/>
      <c r="D678" s="23"/>
      <c r="E678" s="53"/>
      <c r="F678" s="54"/>
      <c r="G678" s="54"/>
      <c r="H678" s="54"/>
      <c r="I678" s="53"/>
      <c r="J678" s="53"/>
      <c r="K678" s="23"/>
      <c r="L678" s="53"/>
      <c r="M678" s="54"/>
    </row>
    <row r="679">
      <c r="A679" s="23"/>
      <c r="B679" s="52"/>
      <c r="C679" s="53"/>
      <c r="D679" s="23"/>
      <c r="E679" s="53"/>
      <c r="F679" s="54"/>
      <c r="G679" s="54"/>
      <c r="H679" s="54"/>
      <c r="I679" s="53"/>
      <c r="J679" s="53"/>
      <c r="K679" s="23"/>
      <c r="L679" s="53"/>
      <c r="M679" s="54"/>
    </row>
    <row r="680">
      <c r="A680" s="23"/>
      <c r="B680" s="52"/>
      <c r="C680" s="53"/>
      <c r="D680" s="23"/>
      <c r="E680" s="53"/>
      <c r="F680" s="54"/>
      <c r="G680" s="54"/>
      <c r="H680" s="54"/>
      <c r="I680" s="53"/>
      <c r="J680" s="53"/>
      <c r="K680" s="23"/>
      <c r="L680" s="53"/>
      <c r="M680" s="54"/>
    </row>
    <row r="681">
      <c r="A681" s="23"/>
      <c r="B681" s="52"/>
      <c r="C681" s="53"/>
      <c r="D681" s="23"/>
      <c r="E681" s="53"/>
      <c r="F681" s="54"/>
      <c r="G681" s="54"/>
      <c r="H681" s="54"/>
      <c r="I681" s="53"/>
      <c r="J681" s="53"/>
      <c r="K681" s="23"/>
      <c r="L681" s="53"/>
      <c r="M681" s="54"/>
    </row>
    <row r="682">
      <c r="A682" s="23"/>
      <c r="B682" s="52"/>
      <c r="C682" s="53"/>
      <c r="D682" s="23"/>
      <c r="E682" s="53"/>
      <c r="F682" s="54"/>
      <c r="G682" s="54"/>
      <c r="H682" s="54"/>
      <c r="I682" s="53"/>
      <c r="J682" s="53"/>
      <c r="K682" s="23"/>
      <c r="L682" s="53"/>
      <c r="M682" s="54"/>
    </row>
    <row r="683">
      <c r="A683" s="23"/>
      <c r="B683" s="52"/>
      <c r="C683" s="53"/>
      <c r="D683" s="23"/>
      <c r="E683" s="53"/>
      <c r="F683" s="54"/>
      <c r="G683" s="54"/>
      <c r="H683" s="54"/>
      <c r="I683" s="53"/>
      <c r="J683" s="53"/>
      <c r="K683" s="23"/>
      <c r="L683" s="53"/>
      <c r="M683" s="54"/>
    </row>
    <row r="684">
      <c r="A684" s="23"/>
      <c r="B684" s="52"/>
      <c r="C684" s="53"/>
      <c r="D684" s="23"/>
      <c r="E684" s="53"/>
      <c r="F684" s="54"/>
      <c r="G684" s="54"/>
      <c r="H684" s="54"/>
      <c r="I684" s="53"/>
      <c r="J684" s="53"/>
      <c r="K684" s="23"/>
      <c r="L684" s="53"/>
      <c r="M684" s="54"/>
    </row>
    <row r="685">
      <c r="A685" s="23"/>
      <c r="B685" s="52"/>
      <c r="C685" s="53"/>
      <c r="D685" s="23"/>
      <c r="E685" s="53"/>
      <c r="F685" s="54"/>
      <c r="G685" s="54"/>
      <c r="H685" s="54"/>
      <c r="I685" s="53"/>
      <c r="J685" s="53"/>
      <c r="K685" s="23"/>
      <c r="L685" s="53"/>
      <c r="M685" s="54"/>
    </row>
    <row r="686">
      <c r="A686" s="23"/>
      <c r="B686" s="52"/>
      <c r="C686" s="53"/>
      <c r="D686" s="23"/>
      <c r="E686" s="53"/>
      <c r="F686" s="54"/>
      <c r="G686" s="54"/>
      <c r="H686" s="54"/>
      <c r="I686" s="53"/>
      <c r="J686" s="53"/>
      <c r="K686" s="23"/>
      <c r="L686" s="53"/>
      <c r="M686" s="54"/>
    </row>
    <row r="687">
      <c r="A687" s="23"/>
      <c r="B687" s="52"/>
      <c r="C687" s="53"/>
      <c r="D687" s="23"/>
      <c r="E687" s="53"/>
      <c r="F687" s="54"/>
      <c r="G687" s="54"/>
      <c r="H687" s="54"/>
      <c r="I687" s="53"/>
      <c r="J687" s="53"/>
      <c r="K687" s="23"/>
      <c r="L687" s="53"/>
      <c r="M687" s="54"/>
    </row>
    <row r="688">
      <c r="A688" s="23"/>
      <c r="B688" s="52"/>
      <c r="C688" s="53"/>
      <c r="D688" s="23"/>
      <c r="E688" s="53"/>
      <c r="F688" s="54"/>
      <c r="G688" s="54"/>
      <c r="H688" s="54"/>
      <c r="I688" s="53"/>
      <c r="J688" s="53"/>
      <c r="K688" s="23"/>
      <c r="L688" s="53"/>
      <c r="M688" s="54"/>
    </row>
    <row r="689">
      <c r="A689" s="23"/>
      <c r="B689" s="52"/>
      <c r="C689" s="53"/>
      <c r="D689" s="23"/>
      <c r="E689" s="53"/>
      <c r="F689" s="54"/>
      <c r="G689" s="54"/>
      <c r="H689" s="54"/>
      <c r="I689" s="53"/>
      <c r="J689" s="53"/>
      <c r="K689" s="23"/>
      <c r="L689" s="53"/>
      <c r="M689" s="54"/>
    </row>
    <row r="690">
      <c r="A690" s="23"/>
      <c r="B690" s="52"/>
      <c r="C690" s="53"/>
      <c r="D690" s="23"/>
      <c r="E690" s="53"/>
      <c r="F690" s="54"/>
      <c r="G690" s="54"/>
      <c r="H690" s="54"/>
      <c r="I690" s="53"/>
      <c r="J690" s="53"/>
      <c r="K690" s="23"/>
      <c r="L690" s="53"/>
      <c r="M690" s="54"/>
    </row>
    <row r="691">
      <c r="A691" s="23"/>
      <c r="B691" s="52"/>
      <c r="C691" s="53"/>
      <c r="D691" s="23"/>
      <c r="E691" s="53"/>
      <c r="F691" s="54"/>
      <c r="G691" s="54"/>
      <c r="H691" s="54"/>
      <c r="I691" s="53"/>
      <c r="J691" s="53"/>
      <c r="K691" s="23"/>
      <c r="L691" s="53"/>
      <c r="M691" s="54"/>
    </row>
    <row r="692">
      <c r="A692" s="23"/>
      <c r="B692" s="52"/>
      <c r="C692" s="53"/>
      <c r="D692" s="23"/>
      <c r="E692" s="53"/>
      <c r="F692" s="54"/>
      <c r="G692" s="54"/>
      <c r="H692" s="54"/>
      <c r="I692" s="53"/>
      <c r="J692" s="53"/>
      <c r="K692" s="23"/>
      <c r="L692" s="53"/>
      <c r="M692" s="54"/>
    </row>
    <row r="693">
      <c r="A693" s="23"/>
      <c r="B693" s="52"/>
      <c r="C693" s="53"/>
      <c r="D693" s="23"/>
      <c r="E693" s="53"/>
      <c r="F693" s="54"/>
      <c r="G693" s="54"/>
      <c r="H693" s="54"/>
      <c r="I693" s="53"/>
      <c r="J693" s="53"/>
      <c r="K693" s="23"/>
      <c r="L693" s="53"/>
      <c r="M693" s="54"/>
    </row>
    <row r="694">
      <c r="A694" s="23"/>
      <c r="B694" s="52"/>
      <c r="C694" s="53"/>
      <c r="D694" s="23"/>
      <c r="E694" s="53"/>
      <c r="F694" s="54"/>
      <c r="G694" s="54"/>
      <c r="H694" s="54"/>
      <c r="I694" s="53"/>
      <c r="J694" s="53"/>
      <c r="K694" s="23"/>
      <c r="L694" s="53"/>
      <c r="M694" s="54"/>
    </row>
    <row r="695">
      <c r="A695" s="23"/>
      <c r="B695" s="52"/>
      <c r="C695" s="53"/>
      <c r="D695" s="23"/>
      <c r="E695" s="53"/>
      <c r="F695" s="54"/>
      <c r="G695" s="54"/>
      <c r="H695" s="54"/>
      <c r="I695" s="53"/>
      <c r="J695" s="53"/>
      <c r="K695" s="23"/>
      <c r="L695" s="53"/>
      <c r="M695" s="54"/>
    </row>
    <row r="696">
      <c r="A696" s="23"/>
      <c r="B696" s="52"/>
      <c r="C696" s="53"/>
      <c r="D696" s="23"/>
      <c r="E696" s="53"/>
      <c r="F696" s="54"/>
      <c r="G696" s="54"/>
      <c r="H696" s="54"/>
      <c r="I696" s="53"/>
      <c r="J696" s="53"/>
      <c r="K696" s="23"/>
      <c r="L696" s="53"/>
      <c r="M696" s="54"/>
    </row>
    <row r="697">
      <c r="A697" s="23"/>
      <c r="B697" s="52"/>
      <c r="C697" s="53"/>
      <c r="D697" s="23"/>
      <c r="E697" s="53"/>
      <c r="F697" s="54"/>
      <c r="G697" s="54"/>
      <c r="H697" s="54"/>
      <c r="I697" s="53"/>
      <c r="J697" s="53"/>
      <c r="K697" s="23"/>
      <c r="L697" s="53"/>
      <c r="M697" s="54"/>
    </row>
    <row r="698">
      <c r="A698" s="23"/>
      <c r="B698" s="52"/>
      <c r="C698" s="53"/>
      <c r="D698" s="23"/>
      <c r="E698" s="53"/>
      <c r="F698" s="54"/>
      <c r="G698" s="54"/>
      <c r="H698" s="54"/>
      <c r="I698" s="53"/>
      <c r="J698" s="53"/>
      <c r="K698" s="23"/>
      <c r="L698" s="53"/>
      <c r="M698" s="54"/>
    </row>
    <row r="699">
      <c r="A699" s="23"/>
      <c r="B699" s="52"/>
      <c r="C699" s="53"/>
      <c r="D699" s="23"/>
      <c r="E699" s="53"/>
      <c r="F699" s="54"/>
      <c r="G699" s="54"/>
      <c r="H699" s="54"/>
      <c r="I699" s="53"/>
      <c r="J699" s="53"/>
      <c r="K699" s="23"/>
      <c r="L699" s="53"/>
      <c r="M699" s="54"/>
    </row>
    <row r="700">
      <c r="A700" s="23"/>
      <c r="B700" s="52"/>
      <c r="C700" s="53"/>
      <c r="D700" s="23"/>
      <c r="E700" s="53"/>
      <c r="F700" s="54"/>
      <c r="G700" s="54"/>
      <c r="H700" s="54"/>
      <c r="I700" s="53"/>
      <c r="J700" s="53"/>
      <c r="K700" s="23"/>
      <c r="L700" s="53"/>
      <c r="M700" s="54"/>
    </row>
    <row r="701">
      <c r="A701" s="23"/>
      <c r="B701" s="52"/>
      <c r="C701" s="53"/>
      <c r="D701" s="23"/>
      <c r="E701" s="53"/>
      <c r="F701" s="54"/>
      <c r="G701" s="54"/>
      <c r="H701" s="54"/>
      <c r="I701" s="53"/>
      <c r="J701" s="53"/>
      <c r="K701" s="23"/>
      <c r="L701" s="53"/>
      <c r="M701" s="54"/>
    </row>
    <row r="702">
      <c r="A702" s="23"/>
      <c r="B702" s="52"/>
      <c r="C702" s="53"/>
      <c r="D702" s="23"/>
      <c r="E702" s="53"/>
      <c r="F702" s="54"/>
      <c r="G702" s="54"/>
      <c r="H702" s="54"/>
      <c r="I702" s="53"/>
      <c r="J702" s="53"/>
      <c r="K702" s="23"/>
      <c r="L702" s="53"/>
      <c r="M702" s="54"/>
    </row>
    <row r="703">
      <c r="A703" s="23"/>
      <c r="B703" s="52"/>
      <c r="C703" s="53"/>
      <c r="D703" s="23"/>
      <c r="E703" s="53"/>
      <c r="F703" s="54"/>
      <c r="G703" s="54"/>
      <c r="H703" s="54"/>
      <c r="I703" s="53"/>
      <c r="J703" s="53"/>
      <c r="K703" s="23"/>
      <c r="L703" s="53"/>
      <c r="M703" s="54"/>
    </row>
    <row r="704">
      <c r="A704" s="23"/>
      <c r="B704" s="52"/>
      <c r="C704" s="53"/>
      <c r="D704" s="23"/>
      <c r="E704" s="53"/>
      <c r="F704" s="54"/>
      <c r="G704" s="54"/>
      <c r="H704" s="54"/>
      <c r="I704" s="53"/>
      <c r="J704" s="53"/>
      <c r="K704" s="23"/>
      <c r="L704" s="53"/>
      <c r="M704" s="54"/>
    </row>
    <row r="705">
      <c r="A705" s="23"/>
      <c r="B705" s="52"/>
      <c r="C705" s="53"/>
      <c r="D705" s="23"/>
      <c r="E705" s="53"/>
      <c r="F705" s="54"/>
      <c r="G705" s="54"/>
      <c r="H705" s="54"/>
      <c r="I705" s="53"/>
      <c r="J705" s="53"/>
      <c r="K705" s="23"/>
      <c r="L705" s="53"/>
      <c r="M705" s="54"/>
    </row>
    <row r="706">
      <c r="A706" s="23"/>
      <c r="B706" s="52"/>
      <c r="C706" s="53"/>
      <c r="D706" s="23"/>
      <c r="E706" s="53"/>
      <c r="F706" s="54"/>
      <c r="G706" s="54"/>
      <c r="H706" s="54"/>
      <c r="I706" s="53"/>
      <c r="J706" s="53"/>
      <c r="K706" s="23"/>
      <c r="L706" s="53"/>
      <c r="M706" s="54"/>
    </row>
    <row r="707">
      <c r="A707" s="23"/>
      <c r="B707" s="52"/>
      <c r="C707" s="53"/>
      <c r="D707" s="23"/>
      <c r="E707" s="53"/>
      <c r="F707" s="54"/>
      <c r="G707" s="54"/>
      <c r="H707" s="54"/>
      <c r="I707" s="53"/>
      <c r="J707" s="53"/>
      <c r="K707" s="23"/>
      <c r="L707" s="53"/>
      <c r="M707" s="54"/>
    </row>
    <row r="708">
      <c r="A708" s="23"/>
      <c r="B708" s="52"/>
      <c r="C708" s="53"/>
      <c r="D708" s="23"/>
      <c r="E708" s="53"/>
      <c r="F708" s="54"/>
      <c r="G708" s="54"/>
      <c r="H708" s="54"/>
      <c r="I708" s="53"/>
      <c r="J708" s="53"/>
      <c r="K708" s="23"/>
      <c r="L708" s="53"/>
      <c r="M708" s="54"/>
    </row>
    <row r="709">
      <c r="A709" s="23"/>
      <c r="B709" s="52"/>
      <c r="C709" s="53"/>
      <c r="D709" s="23"/>
      <c r="E709" s="53"/>
      <c r="F709" s="54"/>
      <c r="G709" s="54"/>
      <c r="H709" s="54"/>
      <c r="I709" s="53"/>
      <c r="J709" s="53"/>
      <c r="K709" s="23"/>
      <c r="L709" s="53"/>
      <c r="M709" s="54"/>
    </row>
    <row r="710">
      <c r="A710" s="23"/>
      <c r="B710" s="52"/>
      <c r="C710" s="53"/>
      <c r="D710" s="23"/>
      <c r="E710" s="53"/>
      <c r="F710" s="54"/>
      <c r="G710" s="54"/>
      <c r="H710" s="54"/>
      <c r="I710" s="53"/>
      <c r="J710" s="53"/>
      <c r="K710" s="53"/>
      <c r="L710" s="53"/>
      <c r="M710" s="54"/>
    </row>
    <row r="711">
      <c r="A711" s="23"/>
      <c r="B711" s="52"/>
      <c r="C711" s="53"/>
      <c r="D711" s="23"/>
      <c r="E711" s="53"/>
      <c r="F711" s="54"/>
      <c r="G711" s="54"/>
      <c r="H711" s="54"/>
      <c r="I711" s="53"/>
      <c r="J711" s="53"/>
      <c r="K711" s="23"/>
      <c r="L711" s="53"/>
      <c r="M711" s="54"/>
    </row>
    <row r="712">
      <c r="A712" s="23"/>
      <c r="B712" s="52"/>
      <c r="C712" s="53"/>
      <c r="D712" s="23"/>
      <c r="E712" s="53"/>
      <c r="F712" s="54"/>
      <c r="G712" s="54"/>
      <c r="H712" s="54"/>
      <c r="I712" s="53"/>
      <c r="J712" s="53"/>
      <c r="K712" s="23"/>
      <c r="L712" s="53"/>
      <c r="M712" s="54"/>
    </row>
    <row r="713">
      <c r="A713" s="23"/>
      <c r="B713" s="52"/>
      <c r="C713" s="53"/>
      <c r="D713" s="23"/>
      <c r="E713" s="53"/>
      <c r="F713" s="54"/>
      <c r="G713" s="54"/>
      <c r="H713" s="54"/>
      <c r="I713" s="53"/>
      <c r="J713" s="53"/>
      <c r="K713" s="23"/>
      <c r="L713" s="53"/>
      <c r="M713" s="54"/>
    </row>
    <row r="714">
      <c r="A714" s="23"/>
      <c r="B714" s="52"/>
      <c r="C714" s="53"/>
      <c r="D714" s="23"/>
      <c r="E714" s="53"/>
      <c r="F714" s="54"/>
      <c r="G714" s="54"/>
      <c r="H714" s="54"/>
      <c r="I714" s="53"/>
      <c r="J714" s="53"/>
      <c r="K714" s="23"/>
      <c r="L714" s="53"/>
      <c r="M714" s="54"/>
    </row>
    <row r="715">
      <c r="A715" s="23"/>
      <c r="B715" s="52"/>
      <c r="C715" s="53"/>
      <c r="D715" s="23"/>
      <c r="E715" s="53"/>
      <c r="F715" s="54"/>
      <c r="G715" s="54"/>
      <c r="H715" s="54"/>
      <c r="I715" s="53"/>
      <c r="J715" s="53"/>
      <c r="K715" s="23"/>
      <c r="L715" s="53"/>
      <c r="M715" s="54"/>
    </row>
    <row r="716">
      <c r="A716" s="23"/>
      <c r="B716" s="52"/>
      <c r="C716" s="53"/>
      <c r="D716" s="23"/>
      <c r="E716" s="53"/>
      <c r="F716" s="54"/>
      <c r="G716" s="54"/>
      <c r="H716" s="54"/>
      <c r="I716" s="53"/>
      <c r="J716" s="53"/>
      <c r="K716" s="23"/>
      <c r="L716" s="53"/>
      <c r="M716" s="54"/>
    </row>
    <row r="717">
      <c r="A717" s="23"/>
      <c r="B717" s="52"/>
      <c r="C717" s="53"/>
      <c r="D717" s="23"/>
      <c r="E717" s="53"/>
      <c r="F717" s="54"/>
      <c r="G717" s="54"/>
      <c r="H717" s="54"/>
      <c r="I717" s="53"/>
      <c r="J717" s="53"/>
      <c r="K717" s="23"/>
      <c r="L717" s="53"/>
      <c r="M717" s="54"/>
    </row>
    <row r="718">
      <c r="A718" s="23"/>
      <c r="B718" s="52"/>
      <c r="C718" s="53"/>
      <c r="D718" s="23"/>
      <c r="E718" s="53"/>
      <c r="F718" s="54"/>
      <c r="G718" s="54"/>
      <c r="H718" s="54"/>
      <c r="I718" s="53"/>
      <c r="J718" s="53"/>
      <c r="K718" s="23"/>
      <c r="L718" s="53"/>
      <c r="M718" s="54"/>
    </row>
    <row r="719">
      <c r="A719" s="23"/>
      <c r="B719" s="52"/>
      <c r="C719" s="53"/>
      <c r="D719" s="23"/>
      <c r="E719" s="53"/>
      <c r="F719" s="54"/>
      <c r="G719" s="54"/>
      <c r="H719" s="54"/>
      <c r="I719" s="53"/>
      <c r="J719" s="53"/>
      <c r="K719" s="23"/>
      <c r="L719" s="53"/>
      <c r="M719" s="54"/>
    </row>
    <row r="720">
      <c r="A720" s="23"/>
      <c r="B720" s="52"/>
      <c r="C720" s="53"/>
      <c r="D720" s="23"/>
      <c r="E720" s="53"/>
      <c r="F720" s="54"/>
      <c r="G720" s="54"/>
      <c r="H720" s="54"/>
      <c r="I720" s="53"/>
      <c r="J720" s="53"/>
      <c r="K720" s="23"/>
      <c r="L720" s="53"/>
      <c r="M720" s="54"/>
    </row>
    <row r="721">
      <c r="A721" s="23"/>
      <c r="B721" s="52"/>
      <c r="C721" s="53"/>
      <c r="D721" s="23"/>
      <c r="E721" s="53"/>
      <c r="F721" s="54"/>
      <c r="G721" s="54"/>
      <c r="H721" s="54"/>
      <c r="I721" s="53"/>
      <c r="J721" s="53"/>
      <c r="K721" s="23"/>
      <c r="L721" s="53"/>
      <c r="M721" s="54"/>
    </row>
    <row r="722">
      <c r="A722" s="23"/>
      <c r="B722" s="52"/>
      <c r="C722" s="53"/>
      <c r="D722" s="23"/>
      <c r="E722" s="53"/>
      <c r="F722" s="54"/>
      <c r="G722" s="54"/>
      <c r="H722" s="54"/>
      <c r="I722" s="53"/>
      <c r="J722" s="53"/>
      <c r="K722" s="23"/>
      <c r="L722" s="53"/>
      <c r="M722" s="54"/>
    </row>
    <row r="723">
      <c r="A723" s="23"/>
      <c r="B723" s="52"/>
      <c r="C723" s="53"/>
      <c r="D723" s="23"/>
      <c r="E723" s="53"/>
      <c r="F723" s="54"/>
      <c r="G723" s="54"/>
      <c r="H723" s="54"/>
      <c r="I723" s="53"/>
      <c r="J723" s="53"/>
      <c r="K723" s="23"/>
      <c r="L723" s="53"/>
      <c r="M723" s="54"/>
    </row>
    <row r="724">
      <c r="A724" s="23"/>
      <c r="B724" s="52"/>
      <c r="C724" s="53"/>
      <c r="D724" s="23"/>
      <c r="E724" s="53"/>
      <c r="F724" s="54"/>
      <c r="G724" s="54"/>
      <c r="H724" s="54"/>
      <c r="I724" s="53"/>
      <c r="J724" s="53"/>
      <c r="K724" s="23"/>
      <c r="L724" s="53"/>
      <c r="M724" s="54"/>
    </row>
    <row r="725">
      <c r="A725" s="23"/>
      <c r="B725" s="52"/>
      <c r="C725" s="53"/>
      <c r="D725" s="23"/>
      <c r="E725" s="53"/>
      <c r="F725" s="54"/>
      <c r="G725" s="54"/>
      <c r="H725" s="54"/>
      <c r="I725" s="53"/>
      <c r="J725" s="53"/>
      <c r="K725" s="23"/>
      <c r="L725" s="53"/>
      <c r="M725" s="54"/>
    </row>
    <row r="726">
      <c r="A726" s="23"/>
      <c r="B726" s="52"/>
      <c r="C726" s="53"/>
      <c r="D726" s="23"/>
      <c r="E726" s="53"/>
      <c r="F726" s="54"/>
      <c r="G726" s="54"/>
      <c r="H726" s="54"/>
      <c r="I726" s="53"/>
      <c r="J726" s="53"/>
      <c r="K726" s="23"/>
      <c r="L726" s="53"/>
      <c r="M726" s="54"/>
    </row>
    <row r="727">
      <c r="A727" s="23"/>
      <c r="B727" s="52"/>
      <c r="C727" s="53"/>
      <c r="D727" s="23"/>
      <c r="E727" s="53"/>
      <c r="F727" s="54"/>
      <c r="G727" s="54"/>
      <c r="H727" s="54"/>
      <c r="I727" s="53"/>
      <c r="J727" s="53"/>
      <c r="K727" s="23"/>
      <c r="L727" s="53"/>
      <c r="M727" s="54"/>
    </row>
    <row r="728">
      <c r="A728" s="23"/>
      <c r="B728" s="52"/>
      <c r="C728" s="53"/>
      <c r="D728" s="23"/>
      <c r="E728" s="53"/>
      <c r="F728" s="54"/>
      <c r="G728" s="54"/>
      <c r="H728" s="54"/>
      <c r="I728" s="53"/>
      <c r="J728" s="53"/>
      <c r="K728" s="23"/>
      <c r="L728" s="53"/>
      <c r="M728" s="54"/>
    </row>
    <row r="729">
      <c r="A729" s="23"/>
      <c r="B729" s="52"/>
      <c r="C729" s="53"/>
      <c r="D729" s="23"/>
      <c r="E729" s="53"/>
      <c r="F729" s="54"/>
      <c r="G729" s="54"/>
      <c r="H729" s="54"/>
      <c r="I729" s="53"/>
      <c r="J729" s="53"/>
      <c r="K729" s="23"/>
      <c r="L729" s="53"/>
      <c r="M729" s="54"/>
    </row>
    <row r="730">
      <c r="A730" s="23"/>
      <c r="B730" s="52"/>
      <c r="C730" s="53"/>
      <c r="D730" s="23"/>
      <c r="E730" s="53"/>
      <c r="F730" s="54"/>
      <c r="G730" s="54"/>
      <c r="H730" s="54"/>
      <c r="I730" s="53"/>
      <c r="J730" s="53"/>
      <c r="K730" s="23"/>
      <c r="L730" s="53"/>
      <c r="M730" s="54"/>
    </row>
    <row r="731">
      <c r="A731" s="23"/>
      <c r="B731" s="52"/>
      <c r="C731" s="53"/>
      <c r="D731" s="23"/>
      <c r="E731" s="53"/>
      <c r="F731" s="54"/>
      <c r="G731" s="54"/>
      <c r="H731" s="54"/>
      <c r="I731" s="53"/>
      <c r="J731" s="53"/>
      <c r="K731" s="23"/>
      <c r="L731" s="53"/>
      <c r="M731" s="54"/>
    </row>
    <row r="732">
      <c r="A732" s="23"/>
      <c r="B732" s="52"/>
      <c r="C732" s="53"/>
      <c r="D732" s="23"/>
      <c r="E732" s="53"/>
      <c r="F732" s="54"/>
      <c r="G732" s="54"/>
      <c r="H732" s="54"/>
      <c r="I732" s="53"/>
      <c r="J732" s="53"/>
      <c r="K732" s="23"/>
      <c r="L732" s="53"/>
      <c r="M732" s="54"/>
    </row>
    <row r="733">
      <c r="A733" s="23"/>
      <c r="B733" s="52"/>
      <c r="C733" s="53"/>
      <c r="D733" s="23"/>
      <c r="E733" s="53"/>
      <c r="F733" s="54"/>
      <c r="G733" s="54"/>
      <c r="H733" s="54"/>
      <c r="I733" s="53"/>
      <c r="J733" s="53"/>
      <c r="K733" s="23"/>
      <c r="L733" s="53"/>
      <c r="M733" s="54"/>
    </row>
    <row r="734">
      <c r="A734" s="23"/>
      <c r="B734" s="52"/>
      <c r="C734" s="53"/>
      <c r="D734" s="23"/>
      <c r="E734" s="53"/>
      <c r="F734" s="54"/>
      <c r="G734" s="54"/>
      <c r="H734" s="54"/>
      <c r="I734" s="53"/>
      <c r="J734" s="53"/>
      <c r="K734" s="23"/>
      <c r="L734" s="53"/>
      <c r="M734" s="54"/>
    </row>
    <row r="735">
      <c r="A735" s="23"/>
      <c r="B735" s="52"/>
      <c r="C735" s="53"/>
      <c r="D735" s="23"/>
      <c r="E735" s="53"/>
      <c r="F735" s="54"/>
      <c r="G735" s="54"/>
      <c r="H735" s="54"/>
      <c r="I735" s="53"/>
      <c r="J735" s="53"/>
      <c r="K735" s="23"/>
      <c r="L735" s="53"/>
      <c r="M735" s="54"/>
    </row>
    <row r="736">
      <c r="A736" s="23"/>
      <c r="B736" s="52"/>
      <c r="C736" s="53"/>
      <c r="D736" s="23"/>
      <c r="E736" s="53"/>
      <c r="F736" s="54"/>
      <c r="G736" s="54"/>
      <c r="H736" s="54"/>
      <c r="I736" s="53"/>
      <c r="J736" s="53"/>
      <c r="K736" s="23"/>
      <c r="L736" s="53"/>
      <c r="M736" s="54"/>
    </row>
    <row r="737">
      <c r="A737" s="23"/>
      <c r="B737" s="52"/>
      <c r="C737" s="53"/>
      <c r="D737" s="23"/>
      <c r="E737" s="53"/>
      <c r="F737" s="54"/>
      <c r="G737" s="54"/>
      <c r="H737" s="54"/>
      <c r="I737" s="53"/>
      <c r="J737" s="53"/>
      <c r="K737" s="23"/>
      <c r="L737" s="53"/>
      <c r="M737" s="54"/>
    </row>
    <row r="738">
      <c r="A738" s="23"/>
      <c r="B738" s="52"/>
      <c r="C738" s="53"/>
      <c r="D738" s="23"/>
      <c r="E738" s="53"/>
      <c r="F738" s="54"/>
      <c r="G738" s="54"/>
      <c r="H738" s="54"/>
      <c r="I738" s="53"/>
      <c r="J738" s="53"/>
      <c r="K738" s="23"/>
      <c r="L738" s="53"/>
      <c r="M738" s="54"/>
    </row>
    <row r="739">
      <c r="A739" s="23"/>
      <c r="B739" s="52"/>
      <c r="C739" s="53"/>
      <c r="D739" s="23"/>
      <c r="E739" s="53"/>
      <c r="F739" s="54"/>
      <c r="G739" s="54"/>
      <c r="H739" s="54"/>
      <c r="I739" s="53"/>
      <c r="J739" s="53"/>
      <c r="K739" s="23"/>
      <c r="L739" s="53"/>
      <c r="M739" s="54"/>
    </row>
    <row r="740">
      <c r="A740" s="23"/>
      <c r="B740" s="52"/>
      <c r="C740" s="53"/>
      <c r="D740" s="23"/>
      <c r="E740" s="53"/>
      <c r="F740" s="54"/>
      <c r="G740" s="54"/>
      <c r="H740" s="54"/>
      <c r="I740" s="53"/>
      <c r="J740" s="53"/>
      <c r="K740" s="23"/>
      <c r="L740" s="53"/>
      <c r="M740" s="54"/>
    </row>
    <row r="741">
      <c r="A741" s="23"/>
      <c r="B741" s="52"/>
      <c r="C741" s="53"/>
      <c r="D741" s="23"/>
      <c r="E741" s="53"/>
      <c r="F741" s="54"/>
      <c r="G741" s="54"/>
      <c r="H741" s="54"/>
      <c r="I741" s="53"/>
      <c r="J741" s="53"/>
      <c r="K741" s="23"/>
      <c r="L741" s="53"/>
      <c r="M741" s="54"/>
    </row>
    <row r="742">
      <c r="A742" s="23"/>
      <c r="B742" s="52"/>
      <c r="C742" s="53"/>
      <c r="D742" s="23"/>
      <c r="E742" s="53"/>
      <c r="F742" s="54"/>
      <c r="G742" s="54"/>
      <c r="H742" s="54"/>
      <c r="I742" s="53"/>
      <c r="J742" s="53"/>
      <c r="K742" s="23"/>
      <c r="L742" s="53"/>
      <c r="M742" s="54"/>
    </row>
    <row r="743">
      <c r="A743" s="23"/>
      <c r="B743" s="52"/>
      <c r="C743" s="53"/>
      <c r="D743" s="23"/>
      <c r="E743" s="53"/>
      <c r="F743" s="54"/>
      <c r="G743" s="54"/>
      <c r="H743" s="54"/>
      <c r="I743" s="53"/>
      <c r="J743" s="53"/>
      <c r="K743" s="23"/>
      <c r="L743" s="53"/>
      <c r="M743" s="54"/>
    </row>
    <row r="744">
      <c r="A744" s="23"/>
      <c r="B744" s="52"/>
      <c r="C744" s="53"/>
      <c r="D744" s="23"/>
      <c r="E744" s="53"/>
      <c r="F744" s="54"/>
      <c r="G744" s="54"/>
      <c r="H744" s="54"/>
      <c r="I744" s="53"/>
      <c r="J744" s="53"/>
      <c r="K744" s="23"/>
      <c r="L744" s="53"/>
      <c r="M744" s="54"/>
    </row>
    <row r="745">
      <c r="A745" s="23"/>
      <c r="B745" s="52"/>
      <c r="C745" s="53"/>
      <c r="D745" s="23"/>
      <c r="E745" s="53"/>
      <c r="F745" s="54"/>
      <c r="G745" s="54"/>
      <c r="H745" s="54"/>
      <c r="I745" s="53"/>
      <c r="J745" s="53"/>
      <c r="K745" s="23"/>
      <c r="L745" s="53"/>
      <c r="M745" s="54"/>
    </row>
    <row r="746">
      <c r="A746" s="23"/>
      <c r="B746" s="52"/>
      <c r="C746" s="53"/>
      <c r="D746" s="23"/>
      <c r="E746" s="53"/>
      <c r="F746" s="54"/>
      <c r="G746" s="54"/>
      <c r="H746" s="54"/>
      <c r="I746" s="53"/>
      <c r="J746" s="53"/>
      <c r="K746" s="23"/>
      <c r="L746" s="53"/>
      <c r="M746" s="54"/>
    </row>
    <row r="747">
      <c r="A747" s="23"/>
      <c r="B747" s="52"/>
      <c r="C747" s="53"/>
      <c r="D747" s="23"/>
      <c r="E747" s="53"/>
      <c r="F747" s="54"/>
      <c r="G747" s="54"/>
      <c r="H747" s="54"/>
      <c r="I747" s="53"/>
      <c r="J747" s="53"/>
      <c r="K747" s="23"/>
      <c r="L747" s="53"/>
      <c r="M747" s="54"/>
    </row>
    <row r="748">
      <c r="A748" s="23"/>
      <c r="B748" s="52"/>
      <c r="C748" s="53"/>
      <c r="D748" s="23"/>
      <c r="E748" s="53"/>
      <c r="F748" s="54"/>
      <c r="G748" s="54"/>
      <c r="H748" s="54"/>
      <c r="I748" s="53"/>
      <c r="J748" s="53"/>
      <c r="K748" s="23"/>
      <c r="L748" s="53"/>
      <c r="M748" s="54"/>
    </row>
    <row r="749">
      <c r="A749" s="23"/>
      <c r="B749" s="52"/>
      <c r="C749" s="53"/>
      <c r="D749" s="23"/>
      <c r="E749" s="53"/>
      <c r="F749" s="54"/>
      <c r="G749" s="54"/>
      <c r="H749" s="54"/>
      <c r="I749" s="53"/>
      <c r="J749" s="53"/>
      <c r="K749" s="23"/>
      <c r="L749" s="53"/>
      <c r="M749" s="54"/>
    </row>
    <row r="750">
      <c r="A750" s="23"/>
      <c r="B750" s="52"/>
      <c r="C750" s="53"/>
      <c r="D750" s="23"/>
      <c r="E750" s="53"/>
      <c r="F750" s="54"/>
      <c r="G750" s="54"/>
      <c r="H750" s="54"/>
      <c r="I750" s="53"/>
      <c r="J750" s="53"/>
      <c r="K750" s="23"/>
      <c r="L750" s="53"/>
      <c r="M750" s="54"/>
    </row>
    <row r="751">
      <c r="A751" s="23"/>
      <c r="B751" s="52"/>
      <c r="C751" s="53"/>
      <c r="D751" s="23"/>
      <c r="E751" s="53"/>
      <c r="F751" s="54"/>
      <c r="G751" s="54"/>
      <c r="H751" s="54"/>
      <c r="I751" s="53"/>
      <c r="J751" s="53"/>
      <c r="K751" s="23"/>
      <c r="L751" s="53"/>
      <c r="M751" s="54"/>
    </row>
    <row r="752">
      <c r="A752" s="23"/>
      <c r="B752" s="52"/>
      <c r="C752" s="53"/>
      <c r="D752" s="23"/>
      <c r="E752" s="53"/>
      <c r="F752" s="54"/>
      <c r="G752" s="54"/>
      <c r="H752" s="54"/>
      <c r="I752" s="53"/>
      <c r="J752" s="53"/>
      <c r="K752" s="23"/>
      <c r="L752" s="53"/>
      <c r="M752" s="54"/>
    </row>
    <row r="753">
      <c r="A753" s="23"/>
      <c r="B753" s="52"/>
      <c r="C753" s="53"/>
      <c r="D753" s="23"/>
      <c r="E753" s="53"/>
      <c r="F753" s="54"/>
      <c r="G753" s="54"/>
      <c r="H753" s="54"/>
      <c r="I753" s="53"/>
      <c r="J753" s="53"/>
      <c r="K753" s="23"/>
      <c r="L753" s="53"/>
      <c r="M753" s="54"/>
    </row>
    <row r="754">
      <c r="A754" s="23"/>
      <c r="B754" s="52"/>
      <c r="C754" s="53"/>
      <c r="D754" s="23"/>
      <c r="E754" s="53"/>
      <c r="F754" s="54"/>
      <c r="G754" s="54"/>
      <c r="H754" s="54"/>
      <c r="I754" s="53"/>
      <c r="J754" s="53"/>
      <c r="K754" s="23"/>
      <c r="L754" s="53"/>
      <c r="M754" s="54"/>
    </row>
    <row r="755">
      <c r="A755" s="23"/>
      <c r="B755" s="52"/>
      <c r="C755" s="53"/>
      <c r="D755" s="23"/>
      <c r="E755" s="53"/>
      <c r="F755" s="54"/>
      <c r="G755" s="54"/>
      <c r="H755" s="54"/>
      <c r="I755" s="53"/>
      <c r="J755" s="53"/>
      <c r="K755" s="23"/>
      <c r="L755" s="53"/>
      <c r="M755" s="54"/>
    </row>
    <row r="756">
      <c r="A756" s="23"/>
      <c r="B756" s="52"/>
      <c r="C756" s="53"/>
      <c r="D756" s="23"/>
      <c r="E756" s="53"/>
      <c r="F756" s="54"/>
      <c r="G756" s="54"/>
      <c r="H756" s="54"/>
      <c r="I756" s="53"/>
      <c r="J756" s="53"/>
      <c r="K756" s="23"/>
      <c r="L756" s="53"/>
      <c r="M756" s="54"/>
    </row>
    <row r="757">
      <c r="A757" s="23"/>
      <c r="B757" s="52"/>
      <c r="C757" s="53"/>
      <c r="D757" s="23"/>
      <c r="E757" s="53"/>
      <c r="F757" s="54"/>
      <c r="G757" s="54"/>
      <c r="H757" s="54"/>
      <c r="I757" s="53"/>
      <c r="J757" s="53"/>
      <c r="K757" s="23"/>
      <c r="L757" s="53"/>
      <c r="M757" s="54"/>
    </row>
    <row r="758">
      <c r="A758" s="23"/>
      <c r="B758" s="52"/>
      <c r="C758" s="53"/>
      <c r="D758" s="23"/>
      <c r="E758" s="53"/>
      <c r="F758" s="54"/>
      <c r="G758" s="54"/>
      <c r="H758" s="54"/>
      <c r="I758" s="53"/>
      <c r="J758" s="53"/>
      <c r="K758" s="23"/>
      <c r="L758" s="53"/>
      <c r="M758" s="54"/>
    </row>
    <row r="759">
      <c r="A759" s="23"/>
      <c r="B759" s="52"/>
      <c r="C759" s="53"/>
      <c r="D759" s="23"/>
      <c r="E759" s="53"/>
      <c r="F759" s="54"/>
      <c r="G759" s="54"/>
      <c r="H759" s="54"/>
      <c r="I759" s="53"/>
      <c r="J759" s="53"/>
      <c r="K759" s="23"/>
      <c r="L759" s="53"/>
      <c r="M759" s="54"/>
    </row>
    <row r="760">
      <c r="A760" s="23"/>
      <c r="B760" s="52"/>
      <c r="C760" s="53"/>
      <c r="D760" s="23"/>
      <c r="E760" s="53"/>
      <c r="F760" s="54"/>
      <c r="G760" s="54"/>
      <c r="H760" s="54"/>
      <c r="I760" s="53"/>
      <c r="J760" s="53"/>
      <c r="K760" s="23"/>
      <c r="L760" s="53"/>
      <c r="M760" s="54"/>
    </row>
    <row r="761">
      <c r="A761" s="23"/>
      <c r="B761" s="52"/>
      <c r="C761" s="53"/>
      <c r="D761" s="23"/>
      <c r="E761" s="53"/>
      <c r="F761" s="54"/>
      <c r="G761" s="54"/>
      <c r="H761" s="54"/>
      <c r="I761" s="53"/>
      <c r="J761" s="53"/>
      <c r="K761" s="23"/>
      <c r="L761" s="53"/>
      <c r="M761" s="54"/>
    </row>
    <row r="762">
      <c r="A762" s="23"/>
      <c r="B762" s="52"/>
      <c r="C762" s="53"/>
      <c r="D762" s="23"/>
      <c r="E762" s="53"/>
      <c r="F762" s="54"/>
      <c r="G762" s="54"/>
      <c r="H762" s="54"/>
      <c r="I762" s="53"/>
      <c r="J762" s="53"/>
      <c r="K762" s="23"/>
      <c r="L762" s="53"/>
      <c r="M762" s="54"/>
    </row>
    <row r="763">
      <c r="A763" s="23"/>
      <c r="B763" s="52"/>
      <c r="C763" s="53"/>
      <c r="D763" s="23"/>
      <c r="E763" s="53"/>
      <c r="F763" s="54"/>
      <c r="G763" s="54"/>
      <c r="H763" s="54"/>
      <c r="I763" s="53"/>
      <c r="J763" s="53"/>
      <c r="K763" s="23"/>
      <c r="L763" s="53"/>
      <c r="M763" s="54"/>
    </row>
    <row r="764">
      <c r="A764" s="23"/>
      <c r="B764" s="52"/>
      <c r="C764" s="53"/>
      <c r="D764" s="23"/>
      <c r="E764" s="53"/>
      <c r="F764" s="54"/>
      <c r="G764" s="54"/>
      <c r="H764" s="54"/>
      <c r="I764" s="53"/>
      <c r="J764" s="53"/>
      <c r="K764" s="23"/>
      <c r="L764" s="53"/>
      <c r="M764" s="54"/>
    </row>
    <row r="765">
      <c r="A765" s="23"/>
      <c r="B765" s="52"/>
      <c r="C765" s="53"/>
      <c r="D765" s="23"/>
      <c r="E765" s="53"/>
      <c r="F765" s="54"/>
      <c r="G765" s="54"/>
      <c r="H765" s="54"/>
      <c r="I765" s="53"/>
      <c r="J765" s="53"/>
      <c r="K765" s="23"/>
      <c r="L765" s="53"/>
      <c r="M765" s="54"/>
    </row>
    <row r="766">
      <c r="A766" s="23"/>
      <c r="B766" s="52"/>
      <c r="C766" s="53"/>
      <c r="D766" s="23"/>
      <c r="E766" s="53"/>
      <c r="F766" s="54"/>
      <c r="G766" s="54"/>
      <c r="H766" s="54"/>
      <c r="I766" s="53"/>
      <c r="J766" s="53"/>
      <c r="K766" s="23"/>
      <c r="L766" s="53"/>
      <c r="M766" s="54"/>
    </row>
    <row r="767">
      <c r="A767" s="23"/>
      <c r="B767" s="52"/>
      <c r="C767" s="53"/>
      <c r="D767" s="23"/>
      <c r="E767" s="53"/>
      <c r="F767" s="54"/>
      <c r="G767" s="54"/>
      <c r="H767" s="54"/>
      <c r="I767" s="53"/>
      <c r="J767" s="53"/>
      <c r="K767" s="23"/>
      <c r="L767" s="53"/>
      <c r="M767" s="54"/>
    </row>
    <row r="768">
      <c r="A768" s="23"/>
      <c r="B768" s="52"/>
      <c r="C768" s="53"/>
      <c r="D768" s="23"/>
      <c r="E768" s="53"/>
      <c r="F768" s="54"/>
      <c r="G768" s="54"/>
      <c r="H768" s="54"/>
      <c r="I768" s="53"/>
      <c r="J768" s="53"/>
      <c r="K768" s="23"/>
      <c r="L768" s="53"/>
      <c r="M768" s="54"/>
    </row>
    <row r="769">
      <c r="A769" s="23"/>
      <c r="B769" s="52"/>
      <c r="C769" s="53"/>
      <c r="D769" s="23"/>
      <c r="E769" s="53"/>
      <c r="F769" s="54"/>
      <c r="G769" s="54"/>
      <c r="H769" s="54"/>
      <c r="I769" s="53"/>
      <c r="J769" s="53"/>
      <c r="K769" s="23"/>
      <c r="L769" s="53"/>
      <c r="M769" s="54"/>
    </row>
    <row r="770">
      <c r="A770" s="23"/>
      <c r="B770" s="52"/>
      <c r="C770" s="53"/>
      <c r="D770" s="23"/>
      <c r="E770" s="53"/>
      <c r="F770" s="54"/>
      <c r="G770" s="54"/>
      <c r="H770" s="54"/>
      <c r="I770" s="53"/>
      <c r="J770" s="53"/>
      <c r="K770" s="23"/>
      <c r="L770" s="53"/>
      <c r="M770" s="54"/>
    </row>
    <row r="771">
      <c r="A771" s="23"/>
      <c r="B771" s="52"/>
      <c r="C771" s="53"/>
      <c r="D771" s="23"/>
      <c r="E771" s="53"/>
      <c r="F771" s="54"/>
      <c r="G771" s="54"/>
      <c r="H771" s="54"/>
      <c r="I771" s="53"/>
      <c r="J771" s="53"/>
      <c r="K771" s="23"/>
      <c r="L771" s="53"/>
      <c r="M771" s="54"/>
    </row>
    <row r="772">
      <c r="A772" s="23"/>
      <c r="B772" s="52"/>
      <c r="C772" s="53"/>
      <c r="D772" s="23"/>
      <c r="E772" s="53"/>
      <c r="F772" s="54"/>
      <c r="G772" s="54"/>
      <c r="H772" s="54"/>
      <c r="I772" s="53"/>
      <c r="J772" s="53"/>
      <c r="K772" s="23"/>
      <c r="L772" s="53"/>
      <c r="M772" s="54"/>
    </row>
    <row r="773">
      <c r="A773" s="23"/>
      <c r="B773" s="52"/>
      <c r="C773" s="53"/>
      <c r="D773" s="23"/>
      <c r="E773" s="53"/>
      <c r="F773" s="54"/>
      <c r="G773" s="54"/>
      <c r="H773" s="54"/>
      <c r="I773" s="53"/>
      <c r="J773" s="53"/>
      <c r="K773" s="23"/>
      <c r="L773" s="53"/>
      <c r="M773" s="54"/>
    </row>
    <row r="774">
      <c r="A774" s="23"/>
      <c r="B774" s="52"/>
      <c r="C774" s="53"/>
      <c r="D774" s="23"/>
      <c r="E774" s="53"/>
      <c r="F774" s="54"/>
      <c r="G774" s="54"/>
      <c r="H774" s="54"/>
      <c r="I774" s="53"/>
      <c r="J774" s="53"/>
      <c r="K774" s="23"/>
      <c r="L774" s="53"/>
      <c r="M774" s="54"/>
    </row>
    <row r="775">
      <c r="A775" s="23"/>
      <c r="B775" s="52"/>
      <c r="C775" s="53"/>
      <c r="D775" s="23"/>
      <c r="E775" s="53"/>
      <c r="F775" s="54"/>
      <c r="G775" s="54"/>
      <c r="H775" s="54"/>
      <c r="I775" s="53"/>
      <c r="J775" s="53"/>
      <c r="K775" s="23"/>
      <c r="L775" s="53"/>
      <c r="M775" s="54"/>
    </row>
    <row r="776">
      <c r="A776" s="23"/>
      <c r="B776" s="52"/>
      <c r="C776" s="53"/>
      <c r="D776" s="23"/>
      <c r="E776" s="53"/>
      <c r="F776" s="54"/>
      <c r="G776" s="54"/>
      <c r="H776" s="54"/>
      <c r="I776" s="53"/>
      <c r="J776" s="53"/>
      <c r="K776" s="23"/>
      <c r="L776" s="53"/>
      <c r="M776" s="54"/>
    </row>
    <row r="777">
      <c r="A777" s="23"/>
      <c r="B777" s="52"/>
      <c r="C777" s="53"/>
      <c r="D777" s="23"/>
      <c r="E777" s="53"/>
      <c r="F777" s="54"/>
      <c r="G777" s="54"/>
      <c r="H777" s="54"/>
      <c r="I777" s="53"/>
      <c r="J777" s="53"/>
      <c r="K777" s="23"/>
      <c r="L777" s="53"/>
      <c r="M777" s="54"/>
    </row>
    <row r="778">
      <c r="A778" s="23"/>
      <c r="B778" s="52"/>
      <c r="C778" s="53"/>
      <c r="D778" s="23"/>
      <c r="E778" s="53"/>
      <c r="F778" s="54"/>
      <c r="G778" s="54"/>
      <c r="H778" s="54"/>
      <c r="I778" s="53"/>
      <c r="J778" s="53"/>
      <c r="K778" s="23"/>
      <c r="L778" s="53"/>
      <c r="M778" s="54"/>
    </row>
    <row r="779">
      <c r="A779" s="23"/>
      <c r="B779" s="52"/>
      <c r="C779" s="53"/>
      <c r="D779" s="23"/>
      <c r="E779" s="53"/>
      <c r="F779" s="54"/>
      <c r="G779" s="54"/>
      <c r="H779" s="54"/>
      <c r="I779" s="53"/>
      <c r="J779" s="53"/>
      <c r="K779" s="23"/>
      <c r="L779" s="53"/>
      <c r="M779" s="54"/>
    </row>
    <row r="780">
      <c r="A780" s="23"/>
      <c r="B780" s="52"/>
      <c r="C780" s="53"/>
      <c r="D780" s="23"/>
      <c r="E780" s="53"/>
      <c r="F780" s="54"/>
      <c r="G780" s="54"/>
      <c r="H780" s="54"/>
      <c r="I780" s="53"/>
      <c r="J780" s="53"/>
      <c r="K780" s="23"/>
      <c r="L780" s="53"/>
      <c r="M780" s="54"/>
    </row>
    <row r="781">
      <c r="A781" s="23"/>
      <c r="B781" s="52"/>
      <c r="C781" s="53"/>
      <c r="D781" s="23"/>
      <c r="E781" s="53"/>
      <c r="F781" s="54"/>
      <c r="G781" s="54"/>
      <c r="H781" s="54"/>
      <c r="I781" s="53"/>
      <c r="J781" s="53"/>
      <c r="K781" s="23"/>
      <c r="L781" s="53"/>
      <c r="M781" s="54"/>
    </row>
    <row r="782">
      <c r="A782" s="23"/>
      <c r="B782" s="52"/>
      <c r="C782" s="53"/>
      <c r="D782" s="23"/>
      <c r="E782" s="53"/>
      <c r="F782" s="54"/>
      <c r="G782" s="54"/>
      <c r="H782" s="54"/>
      <c r="I782" s="53"/>
      <c r="J782" s="53"/>
      <c r="K782" s="23"/>
      <c r="L782" s="53"/>
      <c r="M782" s="54"/>
    </row>
    <row r="783">
      <c r="A783" s="23"/>
      <c r="B783" s="52"/>
      <c r="C783" s="53"/>
      <c r="D783" s="23"/>
      <c r="E783" s="53"/>
      <c r="F783" s="54"/>
      <c r="G783" s="54"/>
      <c r="H783" s="54"/>
      <c r="I783" s="53"/>
      <c r="J783" s="53"/>
      <c r="K783" s="23"/>
      <c r="L783" s="53"/>
      <c r="M783" s="54"/>
    </row>
    <row r="784">
      <c r="A784" s="23"/>
      <c r="B784" s="52"/>
      <c r="C784" s="53"/>
      <c r="D784" s="23"/>
      <c r="E784" s="53"/>
      <c r="F784" s="54"/>
      <c r="G784" s="54"/>
      <c r="H784" s="54"/>
      <c r="I784" s="53"/>
      <c r="J784" s="53"/>
      <c r="K784" s="23"/>
      <c r="L784" s="53"/>
      <c r="M784" s="54"/>
    </row>
    <row r="785">
      <c r="A785" s="23"/>
      <c r="B785" s="52"/>
      <c r="C785" s="53"/>
      <c r="D785" s="23"/>
      <c r="E785" s="53"/>
      <c r="F785" s="54"/>
      <c r="G785" s="54"/>
      <c r="H785" s="54"/>
      <c r="I785" s="53"/>
      <c r="J785" s="53"/>
      <c r="K785" s="23"/>
      <c r="L785" s="53"/>
      <c r="M785" s="54"/>
    </row>
    <row r="786">
      <c r="A786" s="23"/>
      <c r="B786" s="52"/>
      <c r="C786" s="53"/>
      <c r="D786" s="23"/>
      <c r="E786" s="53"/>
      <c r="F786" s="54"/>
      <c r="G786" s="54"/>
      <c r="H786" s="54"/>
      <c r="I786" s="53"/>
      <c r="J786" s="53"/>
      <c r="K786" s="23"/>
      <c r="L786" s="53"/>
      <c r="M786" s="54"/>
    </row>
    <row r="787">
      <c r="A787" s="23"/>
      <c r="B787" s="52"/>
      <c r="C787" s="53"/>
      <c r="D787" s="23"/>
      <c r="E787" s="53"/>
      <c r="F787" s="54"/>
      <c r="G787" s="54"/>
      <c r="H787" s="54"/>
      <c r="I787" s="53"/>
      <c r="J787" s="53"/>
      <c r="K787" s="23"/>
      <c r="L787" s="53"/>
      <c r="M787" s="54"/>
    </row>
    <row r="788">
      <c r="A788" s="23"/>
      <c r="B788" s="52"/>
      <c r="C788" s="53"/>
      <c r="D788" s="23"/>
      <c r="E788" s="53"/>
      <c r="F788" s="54"/>
      <c r="G788" s="54"/>
      <c r="H788" s="54"/>
      <c r="I788" s="53"/>
      <c r="J788" s="53"/>
      <c r="K788" s="23"/>
      <c r="L788" s="53"/>
      <c r="M788" s="54"/>
    </row>
    <row r="789">
      <c r="A789" s="23"/>
      <c r="B789" s="52"/>
      <c r="C789" s="53"/>
      <c r="D789" s="23"/>
      <c r="E789" s="53"/>
      <c r="F789" s="54"/>
      <c r="G789" s="54"/>
      <c r="H789" s="54"/>
      <c r="I789" s="53"/>
      <c r="J789" s="53"/>
      <c r="K789" s="23"/>
      <c r="L789" s="53"/>
      <c r="M789" s="54"/>
    </row>
    <row r="790">
      <c r="A790" s="23"/>
      <c r="B790" s="52"/>
      <c r="C790" s="53"/>
      <c r="D790" s="23"/>
      <c r="E790" s="53"/>
      <c r="F790" s="54"/>
      <c r="G790" s="54"/>
      <c r="H790" s="54"/>
      <c r="I790" s="53"/>
      <c r="J790" s="53"/>
      <c r="K790" s="23"/>
      <c r="L790" s="53"/>
      <c r="M790" s="54"/>
    </row>
    <row r="791">
      <c r="A791" s="23"/>
      <c r="B791" s="52"/>
      <c r="C791" s="53"/>
      <c r="D791" s="23"/>
      <c r="E791" s="53"/>
      <c r="F791" s="54"/>
      <c r="G791" s="54"/>
      <c r="H791" s="54"/>
      <c r="I791" s="53"/>
      <c r="J791" s="53"/>
      <c r="K791" s="23"/>
      <c r="L791" s="53"/>
      <c r="M791" s="54"/>
    </row>
    <row r="792">
      <c r="A792" s="23"/>
      <c r="B792" s="52"/>
      <c r="C792" s="53"/>
      <c r="D792" s="23"/>
      <c r="E792" s="53"/>
      <c r="F792" s="54"/>
      <c r="G792" s="54"/>
      <c r="H792" s="54"/>
      <c r="I792" s="53"/>
      <c r="J792" s="53"/>
      <c r="K792" s="23"/>
      <c r="L792" s="53"/>
      <c r="M792" s="54"/>
    </row>
    <row r="793">
      <c r="A793" s="23"/>
      <c r="B793" s="52"/>
      <c r="C793" s="53"/>
      <c r="D793" s="23"/>
      <c r="E793" s="53"/>
      <c r="F793" s="54"/>
      <c r="G793" s="54"/>
      <c r="H793" s="54"/>
      <c r="I793" s="53"/>
      <c r="J793" s="53"/>
      <c r="K793" s="23"/>
      <c r="L793" s="53"/>
      <c r="M793" s="54"/>
    </row>
    <row r="794">
      <c r="A794" s="23"/>
      <c r="B794" s="52"/>
      <c r="C794" s="53"/>
      <c r="D794" s="23"/>
      <c r="E794" s="53"/>
      <c r="F794" s="54"/>
      <c r="G794" s="54"/>
      <c r="H794" s="54"/>
      <c r="I794" s="53"/>
      <c r="J794" s="53"/>
      <c r="K794" s="23"/>
      <c r="L794" s="53"/>
      <c r="M794" s="54"/>
    </row>
    <row r="795">
      <c r="A795" s="23"/>
      <c r="B795" s="52"/>
      <c r="C795" s="53"/>
      <c r="D795" s="23"/>
      <c r="E795" s="53"/>
      <c r="F795" s="54"/>
      <c r="G795" s="54"/>
      <c r="H795" s="54"/>
      <c r="I795" s="53"/>
      <c r="J795" s="53"/>
      <c r="K795" s="23"/>
      <c r="L795" s="53"/>
      <c r="M795" s="54"/>
    </row>
    <row r="796">
      <c r="A796" s="23"/>
      <c r="B796" s="52"/>
      <c r="C796" s="53"/>
      <c r="D796" s="23"/>
      <c r="E796" s="53"/>
      <c r="F796" s="54"/>
      <c r="G796" s="54"/>
      <c r="H796" s="54"/>
      <c r="I796" s="53"/>
      <c r="J796" s="53"/>
      <c r="K796" s="23"/>
      <c r="L796" s="53"/>
      <c r="M796" s="54"/>
    </row>
    <row r="797">
      <c r="A797" s="23"/>
      <c r="B797" s="52"/>
      <c r="C797" s="53"/>
      <c r="D797" s="23"/>
      <c r="E797" s="53"/>
      <c r="F797" s="54"/>
      <c r="G797" s="54"/>
      <c r="H797" s="54"/>
      <c r="I797" s="53"/>
      <c r="J797" s="53"/>
      <c r="K797" s="23"/>
      <c r="L797" s="53"/>
      <c r="M797" s="54"/>
    </row>
    <row r="798">
      <c r="A798" s="23"/>
      <c r="B798" s="52"/>
      <c r="C798" s="53"/>
      <c r="D798" s="23"/>
      <c r="E798" s="53"/>
      <c r="F798" s="54"/>
      <c r="G798" s="54"/>
      <c r="H798" s="54"/>
      <c r="I798" s="53"/>
      <c r="J798" s="53"/>
      <c r="K798" s="23"/>
      <c r="L798" s="53"/>
      <c r="M798" s="54"/>
    </row>
    <row r="799">
      <c r="A799" s="23"/>
      <c r="B799" s="52"/>
      <c r="C799" s="53"/>
      <c r="D799" s="23"/>
      <c r="E799" s="53"/>
      <c r="F799" s="54"/>
      <c r="G799" s="54"/>
      <c r="H799" s="54"/>
      <c r="I799" s="53"/>
      <c r="J799" s="53"/>
      <c r="K799" s="23"/>
      <c r="L799" s="53"/>
      <c r="M799" s="54"/>
    </row>
    <row r="800">
      <c r="A800" s="23"/>
      <c r="B800" s="52"/>
      <c r="C800" s="53"/>
      <c r="D800" s="23"/>
      <c r="E800" s="53"/>
      <c r="F800" s="54"/>
      <c r="G800" s="54"/>
      <c r="H800" s="54"/>
      <c r="I800" s="53"/>
      <c r="J800" s="53"/>
      <c r="K800" s="23"/>
      <c r="L800" s="53"/>
      <c r="M800" s="54"/>
    </row>
    <row r="801">
      <c r="A801" s="23"/>
      <c r="B801" s="52"/>
      <c r="C801" s="53"/>
      <c r="D801" s="23"/>
      <c r="E801" s="53"/>
      <c r="F801" s="54"/>
      <c r="G801" s="54"/>
      <c r="H801" s="54"/>
      <c r="I801" s="53"/>
      <c r="J801" s="53"/>
      <c r="K801" s="23"/>
      <c r="L801" s="53"/>
      <c r="M801" s="54"/>
    </row>
    <row r="802">
      <c r="A802" s="23"/>
      <c r="B802" s="52"/>
      <c r="C802" s="53"/>
      <c r="D802" s="23"/>
      <c r="E802" s="53"/>
      <c r="F802" s="54"/>
      <c r="G802" s="54"/>
      <c r="H802" s="54"/>
      <c r="I802" s="53"/>
      <c r="J802" s="53"/>
      <c r="K802" s="23"/>
      <c r="L802" s="53"/>
      <c r="M802" s="54"/>
    </row>
    <row r="803">
      <c r="A803" s="23"/>
      <c r="B803" s="52"/>
      <c r="C803" s="53"/>
      <c r="D803" s="23"/>
      <c r="E803" s="53"/>
      <c r="F803" s="54"/>
      <c r="G803" s="54"/>
      <c r="H803" s="54"/>
      <c r="I803" s="53"/>
      <c r="J803" s="53"/>
      <c r="K803" s="23"/>
      <c r="L803" s="53"/>
      <c r="M803" s="54"/>
    </row>
    <row r="804">
      <c r="A804" s="23"/>
      <c r="B804" s="52"/>
      <c r="C804" s="53"/>
      <c r="D804" s="23"/>
      <c r="E804" s="53"/>
      <c r="F804" s="54"/>
      <c r="G804" s="54"/>
      <c r="H804" s="54"/>
      <c r="I804" s="53"/>
      <c r="J804" s="53"/>
      <c r="K804" s="23"/>
      <c r="L804" s="53"/>
      <c r="M804" s="54"/>
    </row>
    <row r="805">
      <c r="A805" s="23"/>
      <c r="B805" s="52"/>
      <c r="C805" s="53"/>
      <c r="D805" s="23"/>
      <c r="E805" s="53"/>
      <c r="F805" s="54"/>
      <c r="G805" s="54"/>
      <c r="H805" s="54"/>
      <c r="I805" s="53"/>
      <c r="J805" s="53"/>
      <c r="K805" s="23"/>
      <c r="L805" s="53"/>
      <c r="M805" s="54"/>
    </row>
    <row r="806">
      <c r="A806" s="23"/>
      <c r="B806" s="52"/>
      <c r="C806" s="53"/>
      <c r="D806" s="23"/>
      <c r="E806" s="53"/>
      <c r="F806" s="54"/>
      <c r="G806" s="54"/>
      <c r="H806" s="54"/>
      <c r="I806" s="53"/>
      <c r="J806" s="53"/>
      <c r="K806" s="23"/>
      <c r="L806" s="53"/>
      <c r="M806" s="54"/>
    </row>
    <row r="807">
      <c r="A807" s="23"/>
      <c r="B807" s="52"/>
      <c r="C807" s="53"/>
      <c r="D807" s="23"/>
      <c r="E807" s="53"/>
      <c r="F807" s="54"/>
      <c r="G807" s="54"/>
      <c r="H807" s="54"/>
      <c r="I807" s="53"/>
      <c r="J807" s="53"/>
      <c r="K807" s="23"/>
      <c r="L807" s="53"/>
      <c r="M807" s="54"/>
    </row>
    <row r="808">
      <c r="A808" s="23"/>
      <c r="B808" s="52"/>
      <c r="C808" s="53"/>
      <c r="D808" s="23"/>
      <c r="E808" s="53"/>
      <c r="F808" s="54"/>
      <c r="G808" s="54"/>
      <c r="H808" s="54"/>
      <c r="I808" s="53"/>
      <c r="J808" s="53"/>
      <c r="K808" s="23"/>
      <c r="L808" s="53"/>
      <c r="M808" s="54"/>
    </row>
    <row r="809">
      <c r="A809" s="23"/>
      <c r="B809" s="52"/>
      <c r="C809" s="53"/>
      <c r="D809" s="23"/>
      <c r="E809" s="53"/>
      <c r="F809" s="54"/>
      <c r="G809" s="54"/>
      <c r="H809" s="54"/>
      <c r="I809" s="53"/>
      <c r="J809" s="53"/>
      <c r="K809" s="23"/>
      <c r="L809" s="53"/>
      <c r="M809" s="54"/>
    </row>
    <row r="810">
      <c r="A810" s="23"/>
      <c r="B810" s="52"/>
      <c r="C810" s="53"/>
      <c r="D810" s="23"/>
      <c r="E810" s="53"/>
      <c r="F810" s="54"/>
      <c r="G810" s="54"/>
      <c r="H810" s="54"/>
      <c r="I810" s="53"/>
      <c r="J810" s="53"/>
      <c r="K810" s="23"/>
      <c r="L810" s="53"/>
      <c r="M810" s="54"/>
    </row>
    <row r="811">
      <c r="A811" s="23"/>
      <c r="B811" s="52"/>
      <c r="C811" s="53"/>
      <c r="D811" s="23"/>
      <c r="E811" s="53"/>
      <c r="F811" s="54"/>
      <c r="G811" s="54"/>
      <c r="H811" s="54"/>
      <c r="I811" s="53"/>
      <c r="J811" s="53"/>
      <c r="K811" s="23"/>
      <c r="L811" s="53"/>
      <c r="M811" s="54"/>
    </row>
    <row r="812">
      <c r="A812" s="23"/>
      <c r="B812" s="52"/>
      <c r="C812" s="53"/>
      <c r="D812" s="23"/>
      <c r="E812" s="53"/>
      <c r="F812" s="54"/>
      <c r="G812" s="54"/>
      <c r="H812" s="54"/>
      <c r="I812" s="53"/>
      <c r="J812" s="53"/>
      <c r="K812" s="23"/>
      <c r="L812" s="53"/>
      <c r="M812" s="54"/>
    </row>
    <row r="813">
      <c r="A813" s="23"/>
      <c r="B813" s="52"/>
      <c r="C813" s="53"/>
      <c r="D813" s="23"/>
      <c r="E813" s="53"/>
      <c r="F813" s="54"/>
      <c r="G813" s="54"/>
      <c r="H813" s="54"/>
      <c r="I813" s="53"/>
      <c r="J813" s="53"/>
      <c r="K813" s="23"/>
      <c r="L813" s="53"/>
      <c r="M813" s="54"/>
    </row>
    <row r="814">
      <c r="A814" s="23"/>
      <c r="B814" s="52"/>
      <c r="C814" s="53"/>
      <c r="D814" s="23"/>
      <c r="E814" s="53"/>
      <c r="F814" s="54"/>
      <c r="G814" s="54"/>
      <c r="H814" s="54"/>
      <c r="I814" s="53"/>
      <c r="J814" s="53"/>
      <c r="K814" s="23"/>
      <c r="L814" s="53"/>
      <c r="M814" s="54"/>
    </row>
    <row r="815">
      <c r="A815" s="23"/>
      <c r="B815" s="52"/>
      <c r="C815" s="53"/>
      <c r="D815" s="23"/>
      <c r="E815" s="53"/>
      <c r="F815" s="54"/>
      <c r="G815" s="54"/>
      <c r="H815" s="54"/>
      <c r="I815" s="53"/>
      <c r="J815" s="53"/>
      <c r="K815" s="23"/>
      <c r="L815" s="53"/>
      <c r="M815" s="54"/>
    </row>
    <row r="816">
      <c r="A816" s="23"/>
      <c r="B816" s="52"/>
      <c r="C816" s="53"/>
      <c r="D816" s="23"/>
      <c r="E816" s="53"/>
      <c r="F816" s="54"/>
      <c r="G816" s="54"/>
      <c r="H816" s="54"/>
      <c r="I816" s="53"/>
      <c r="J816" s="53"/>
      <c r="K816" s="23"/>
      <c r="L816" s="53"/>
      <c r="M816" s="54"/>
    </row>
    <row r="817">
      <c r="A817" s="23"/>
      <c r="B817" s="52"/>
      <c r="C817" s="53"/>
      <c r="D817" s="23"/>
      <c r="E817" s="53"/>
      <c r="F817" s="54"/>
      <c r="G817" s="54"/>
      <c r="H817" s="54"/>
      <c r="I817" s="53"/>
      <c r="J817" s="53"/>
      <c r="K817" s="23"/>
      <c r="L817" s="53"/>
      <c r="M817" s="54"/>
    </row>
    <row r="818">
      <c r="A818" s="23"/>
      <c r="B818" s="52"/>
      <c r="C818" s="53"/>
      <c r="D818" s="23"/>
      <c r="E818" s="53"/>
      <c r="F818" s="54"/>
      <c r="G818" s="54"/>
      <c r="H818" s="54"/>
      <c r="I818" s="53"/>
      <c r="J818" s="53"/>
      <c r="K818" s="23"/>
      <c r="L818" s="53"/>
      <c r="M818" s="54"/>
    </row>
    <row r="819">
      <c r="A819" s="23"/>
      <c r="B819" s="52"/>
      <c r="C819" s="53"/>
      <c r="D819" s="23"/>
      <c r="E819" s="53"/>
      <c r="F819" s="54"/>
      <c r="G819" s="54"/>
      <c r="H819" s="54"/>
      <c r="I819" s="53"/>
      <c r="J819" s="53"/>
      <c r="K819" s="23"/>
      <c r="L819" s="53"/>
      <c r="M819" s="54"/>
    </row>
    <row r="820">
      <c r="A820" s="23"/>
      <c r="B820" s="52"/>
      <c r="C820" s="53"/>
      <c r="D820" s="23"/>
      <c r="E820" s="53"/>
      <c r="F820" s="54"/>
      <c r="G820" s="54"/>
      <c r="H820" s="54"/>
      <c r="I820" s="53"/>
      <c r="J820" s="53"/>
      <c r="K820" s="23"/>
      <c r="L820" s="53"/>
      <c r="M820" s="54"/>
    </row>
    <row r="821">
      <c r="A821" s="23"/>
      <c r="B821" s="52"/>
      <c r="C821" s="53"/>
      <c r="D821" s="23"/>
      <c r="E821" s="53"/>
      <c r="F821" s="54"/>
      <c r="G821" s="54"/>
      <c r="H821" s="54"/>
      <c r="I821" s="53"/>
      <c r="J821" s="53"/>
      <c r="K821" s="23"/>
      <c r="L821" s="53"/>
      <c r="M821" s="54"/>
    </row>
    <row r="822">
      <c r="A822" s="23"/>
      <c r="B822" s="52"/>
      <c r="C822" s="53"/>
      <c r="D822" s="23"/>
      <c r="E822" s="53"/>
      <c r="F822" s="54"/>
      <c r="G822" s="54"/>
      <c r="H822" s="54"/>
      <c r="I822" s="53"/>
      <c r="J822" s="53"/>
      <c r="K822" s="23"/>
      <c r="L822" s="53"/>
      <c r="M822" s="54"/>
    </row>
    <row r="823">
      <c r="A823" s="23"/>
      <c r="B823" s="52"/>
      <c r="C823" s="53"/>
      <c r="D823" s="23"/>
      <c r="E823" s="53"/>
      <c r="F823" s="54"/>
      <c r="G823" s="54"/>
      <c r="H823" s="54"/>
      <c r="I823" s="53"/>
      <c r="J823" s="53"/>
      <c r="K823" s="23"/>
      <c r="L823" s="53"/>
      <c r="M823" s="54"/>
    </row>
    <row r="824">
      <c r="A824" s="23"/>
      <c r="B824" s="52"/>
      <c r="C824" s="53"/>
      <c r="D824" s="23"/>
      <c r="E824" s="53"/>
      <c r="F824" s="54"/>
      <c r="G824" s="54"/>
      <c r="H824" s="54"/>
      <c r="I824" s="53"/>
      <c r="J824" s="53"/>
      <c r="K824" s="23"/>
      <c r="L824" s="53"/>
      <c r="M824" s="54"/>
    </row>
    <row r="825">
      <c r="A825" s="23"/>
      <c r="B825" s="52"/>
      <c r="C825" s="53"/>
      <c r="D825" s="23"/>
      <c r="E825" s="53"/>
      <c r="F825" s="54"/>
      <c r="G825" s="54"/>
      <c r="H825" s="54"/>
      <c r="I825" s="53"/>
      <c r="J825" s="53"/>
      <c r="K825" s="23"/>
      <c r="L825" s="53"/>
      <c r="M825" s="54"/>
    </row>
    <row r="826">
      <c r="A826" s="23"/>
      <c r="B826" s="52"/>
      <c r="C826" s="53"/>
      <c r="D826" s="23"/>
      <c r="E826" s="53"/>
      <c r="F826" s="54"/>
      <c r="G826" s="54"/>
      <c r="H826" s="54"/>
      <c r="I826" s="53"/>
      <c r="J826" s="53"/>
      <c r="K826" s="23"/>
      <c r="L826" s="23"/>
      <c r="M826" s="54"/>
    </row>
    <row r="827">
      <c r="A827" s="23"/>
      <c r="B827" s="52"/>
      <c r="C827" s="53"/>
      <c r="D827" s="23"/>
      <c r="E827" s="53"/>
      <c r="F827" s="54"/>
      <c r="G827" s="54"/>
      <c r="H827" s="54"/>
      <c r="I827" s="53"/>
      <c r="J827" s="53"/>
      <c r="K827" s="23"/>
      <c r="L827" s="53"/>
      <c r="M827" s="54"/>
    </row>
    <row r="828">
      <c r="A828" s="23"/>
      <c r="B828" s="52"/>
      <c r="C828" s="53"/>
      <c r="D828" s="23"/>
      <c r="E828" s="53"/>
      <c r="F828" s="54"/>
      <c r="G828" s="54"/>
      <c r="H828" s="54"/>
      <c r="I828" s="53"/>
      <c r="J828" s="53"/>
      <c r="K828" s="23"/>
      <c r="L828" s="53"/>
      <c r="M828" s="54"/>
    </row>
    <row r="829">
      <c r="A829" s="23"/>
      <c r="B829" s="52"/>
      <c r="C829" s="53"/>
      <c r="D829" s="23"/>
      <c r="E829" s="53"/>
      <c r="F829" s="54"/>
      <c r="G829" s="54"/>
      <c r="H829" s="54"/>
      <c r="I829" s="53"/>
      <c r="J829" s="53"/>
      <c r="K829" s="23"/>
      <c r="L829" s="53"/>
      <c r="M829" s="54"/>
    </row>
    <row r="830">
      <c r="A830" s="23"/>
      <c r="B830" s="52"/>
      <c r="C830" s="53"/>
      <c r="D830" s="23"/>
      <c r="E830" s="53"/>
      <c r="F830" s="54"/>
      <c r="G830" s="54"/>
      <c r="H830" s="54"/>
      <c r="I830" s="53"/>
      <c r="J830" s="53"/>
      <c r="K830" s="23"/>
      <c r="L830" s="53"/>
      <c r="M830" s="54"/>
    </row>
    <row r="831">
      <c r="A831" s="23"/>
      <c r="B831" s="52"/>
      <c r="C831" s="53"/>
      <c r="D831" s="23"/>
      <c r="E831" s="53"/>
      <c r="F831" s="54"/>
      <c r="G831" s="54"/>
      <c r="H831" s="54"/>
      <c r="I831" s="53"/>
      <c r="J831" s="53"/>
      <c r="K831" s="23"/>
      <c r="L831" s="53"/>
      <c r="M831" s="54"/>
    </row>
    <row r="832">
      <c r="A832" s="23"/>
      <c r="B832" s="52"/>
      <c r="C832" s="53"/>
      <c r="D832" s="23"/>
      <c r="E832" s="53"/>
      <c r="F832" s="54"/>
      <c r="G832" s="54"/>
      <c r="H832" s="54"/>
      <c r="I832" s="53"/>
      <c r="J832" s="53"/>
      <c r="K832" s="23"/>
      <c r="L832" s="23"/>
      <c r="M832" s="54"/>
    </row>
    <row r="833">
      <c r="A833" s="23"/>
      <c r="B833" s="52"/>
      <c r="C833" s="53"/>
      <c r="D833" s="23"/>
      <c r="E833" s="53"/>
      <c r="F833" s="54"/>
      <c r="G833" s="54"/>
      <c r="H833" s="54"/>
      <c r="I833" s="53"/>
      <c r="J833" s="53"/>
      <c r="K833" s="23"/>
      <c r="L833" s="53"/>
      <c r="M833" s="54"/>
    </row>
    <row r="834">
      <c r="A834" s="23"/>
      <c r="B834" s="52"/>
      <c r="C834" s="53"/>
      <c r="D834" s="23"/>
      <c r="E834" s="53"/>
      <c r="F834" s="54"/>
      <c r="G834" s="54"/>
      <c r="H834" s="54"/>
      <c r="I834" s="53"/>
      <c r="J834" s="53"/>
      <c r="K834" s="23"/>
      <c r="L834" s="53"/>
      <c r="M834" s="54"/>
    </row>
    <row r="835">
      <c r="A835" s="23"/>
      <c r="B835" s="52"/>
      <c r="C835" s="53"/>
      <c r="D835" s="23"/>
      <c r="E835" s="53"/>
      <c r="F835" s="54"/>
      <c r="G835" s="54"/>
      <c r="H835" s="54"/>
      <c r="I835" s="53"/>
      <c r="J835" s="53"/>
      <c r="K835" s="23"/>
      <c r="L835" s="53"/>
      <c r="M835" s="54"/>
    </row>
    <row r="836">
      <c r="A836" s="23"/>
      <c r="B836" s="52"/>
      <c r="C836" s="53"/>
      <c r="D836" s="23"/>
      <c r="E836" s="53"/>
      <c r="F836" s="54"/>
      <c r="G836" s="54"/>
      <c r="H836" s="54"/>
      <c r="I836" s="53"/>
      <c r="J836" s="53"/>
      <c r="K836" s="23"/>
      <c r="L836" s="53"/>
      <c r="M836" s="54"/>
    </row>
    <row r="837">
      <c r="A837" s="23"/>
      <c r="B837" s="52"/>
      <c r="C837" s="53"/>
      <c r="D837" s="23"/>
      <c r="E837" s="53"/>
      <c r="F837" s="54"/>
      <c r="G837" s="54"/>
      <c r="H837" s="54"/>
      <c r="I837" s="53"/>
      <c r="J837" s="53"/>
      <c r="K837" s="23"/>
      <c r="L837" s="53"/>
      <c r="M837" s="54"/>
    </row>
    <row r="838">
      <c r="A838" s="23"/>
      <c r="B838" s="52"/>
      <c r="C838" s="53"/>
      <c r="D838" s="23"/>
      <c r="E838" s="53"/>
      <c r="F838" s="54"/>
      <c r="G838" s="54"/>
      <c r="H838" s="54"/>
      <c r="I838" s="53"/>
      <c r="J838" s="53"/>
      <c r="K838" s="23"/>
      <c r="L838" s="53"/>
      <c r="M838" s="54"/>
    </row>
    <row r="839">
      <c r="A839" s="23"/>
      <c r="B839" s="52"/>
      <c r="C839" s="53"/>
      <c r="D839" s="23"/>
      <c r="E839" s="53"/>
      <c r="F839" s="54"/>
      <c r="G839" s="54"/>
      <c r="H839" s="54"/>
      <c r="I839" s="53"/>
      <c r="J839" s="53"/>
      <c r="K839" s="23"/>
      <c r="L839" s="53"/>
      <c r="M839" s="54"/>
    </row>
    <row r="840">
      <c r="A840" s="23"/>
      <c r="B840" s="52"/>
      <c r="C840" s="53"/>
      <c r="D840" s="23"/>
      <c r="E840" s="53"/>
      <c r="F840" s="54"/>
      <c r="G840" s="54"/>
      <c r="H840" s="54"/>
      <c r="I840" s="53"/>
      <c r="J840" s="53"/>
      <c r="K840" s="23"/>
      <c r="L840" s="53"/>
      <c r="M840" s="54"/>
    </row>
    <row r="841">
      <c r="A841" s="23"/>
      <c r="B841" s="52"/>
      <c r="C841" s="53"/>
      <c r="D841" s="23"/>
      <c r="E841" s="53"/>
      <c r="F841" s="54"/>
      <c r="G841" s="54"/>
      <c r="H841" s="54"/>
      <c r="I841" s="53"/>
      <c r="J841" s="53"/>
      <c r="K841" s="23"/>
      <c r="L841" s="53"/>
      <c r="M841" s="54"/>
    </row>
    <row r="842">
      <c r="A842" s="23"/>
      <c r="B842" s="52"/>
      <c r="C842" s="53"/>
      <c r="D842" s="23"/>
      <c r="E842" s="53"/>
      <c r="F842" s="54"/>
      <c r="G842" s="54"/>
      <c r="H842" s="54"/>
      <c r="I842" s="53"/>
      <c r="J842" s="53"/>
      <c r="K842" s="23"/>
      <c r="L842" s="53"/>
      <c r="M842" s="54"/>
    </row>
    <row r="843">
      <c r="A843" s="23"/>
      <c r="B843" s="52"/>
      <c r="C843" s="53"/>
      <c r="D843" s="23"/>
      <c r="E843" s="53"/>
      <c r="F843" s="54"/>
      <c r="G843" s="54"/>
      <c r="H843" s="54"/>
      <c r="I843" s="53"/>
      <c r="J843" s="53"/>
      <c r="K843" s="23"/>
      <c r="L843" s="53"/>
      <c r="M843" s="54"/>
    </row>
    <row r="844">
      <c r="A844" s="23"/>
      <c r="B844" s="52"/>
      <c r="C844" s="53"/>
      <c r="D844" s="23"/>
      <c r="E844" s="53"/>
      <c r="F844" s="54"/>
      <c r="G844" s="54"/>
      <c r="H844" s="54"/>
      <c r="I844" s="53"/>
      <c r="J844" s="53"/>
      <c r="K844" s="23"/>
      <c r="L844" s="53"/>
      <c r="M844" s="54"/>
    </row>
    <row r="845">
      <c r="A845" s="23"/>
      <c r="B845" s="52"/>
      <c r="C845" s="53"/>
      <c r="D845" s="23"/>
      <c r="E845" s="53"/>
      <c r="F845" s="54"/>
      <c r="G845" s="54"/>
      <c r="H845" s="54"/>
      <c r="I845" s="53"/>
      <c r="J845" s="53"/>
      <c r="K845" s="23"/>
      <c r="L845" s="53"/>
      <c r="M845" s="54"/>
    </row>
    <row r="846">
      <c r="A846" s="23"/>
      <c r="B846" s="52"/>
      <c r="C846" s="53"/>
      <c r="D846" s="23"/>
      <c r="E846" s="53"/>
      <c r="F846" s="54"/>
      <c r="G846" s="54"/>
      <c r="H846" s="54"/>
      <c r="I846" s="53"/>
      <c r="J846" s="53"/>
      <c r="K846" s="23"/>
      <c r="L846" s="53"/>
      <c r="M846" s="54"/>
    </row>
    <row r="847">
      <c r="A847" s="23"/>
      <c r="B847" s="52"/>
      <c r="C847" s="53"/>
      <c r="D847" s="23"/>
      <c r="E847" s="53"/>
      <c r="F847" s="54"/>
      <c r="G847" s="54"/>
      <c r="H847" s="54"/>
      <c r="I847" s="53"/>
      <c r="J847" s="53"/>
      <c r="K847" s="23"/>
      <c r="L847" s="53"/>
      <c r="M847" s="54"/>
    </row>
    <row r="848">
      <c r="A848" s="23"/>
      <c r="B848" s="52"/>
      <c r="C848" s="53"/>
      <c r="D848" s="23"/>
      <c r="E848" s="53"/>
      <c r="F848" s="54"/>
      <c r="G848" s="54"/>
      <c r="H848" s="54"/>
      <c r="I848" s="53"/>
      <c r="J848" s="53"/>
      <c r="K848" s="23"/>
      <c r="L848" s="53"/>
      <c r="M848" s="54"/>
    </row>
    <row r="849">
      <c r="A849" s="23"/>
      <c r="B849" s="52"/>
      <c r="C849" s="53"/>
      <c r="D849" s="23"/>
      <c r="E849" s="53"/>
      <c r="F849" s="54"/>
      <c r="G849" s="54"/>
      <c r="H849" s="54"/>
      <c r="I849" s="53"/>
      <c r="J849" s="53"/>
      <c r="K849" s="23"/>
      <c r="L849" s="53"/>
      <c r="M849" s="54"/>
    </row>
    <row r="850">
      <c r="A850" s="23"/>
      <c r="B850" s="52"/>
      <c r="C850" s="53"/>
      <c r="D850" s="23"/>
      <c r="E850" s="53"/>
      <c r="F850" s="54"/>
      <c r="G850" s="54"/>
      <c r="H850" s="54"/>
      <c r="I850" s="53"/>
      <c r="J850" s="53"/>
      <c r="K850" s="23"/>
      <c r="L850" s="53"/>
      <c r="M850" s="54"/>
    </row>
    <row r="851">
      <c r="A851" s="23"/>
      <c r="B851" s="52"/>
      <c r="C851" s="53"/>
      <c r="D851" s="23"/>
      <c r="E851" s="53"/>
      <c r="F851" s="54"/>
      <c r="G851" s="54"/>
      <c r="H851" s="54"/>
      <c r="I851" s="53"/>
      <c r="J851" s="53"/>
      <c r="K851" s="23"/>
      <c r="L851" s="53"/>
      <c r="M851" s="54"/>
    </row>
    <row r="852">
      <c r="A852" s="23"/>
      <c r="B852" s="52"/>
      <c r="C852" s="53"/>
      <c r="D852" s="23"/>
      <c r="E852" s="53"/>
      <c r="F852" s="54"/>
      <c r="G852" s="54"/>
      <c r="H852" s="54"/>
      <c r="I852" s="53"/>
      <c r="J852" s="53"/>
      <c r="K852" s="23"/>
      <c r="L852" s="53"/>
      <c r="M852" s="54"/>
    </row>
    <row r="853">
      <c r="A853" s="23"/>
      <c r="B853" s="52"/>
      <c r="C853" s="53"/>
      <c r="D853" s="23"/>
      <c r="E853" s="53"/>
      <c r="F853" s="54"/>
      <c r="G853" s="54"/>
      <c r="H853" s="54"/>
      <c r="I853" s="53"/>
      <c r="J853" s="53"/>
      <c r="K853" s="23"/>
      <c r="L853" s="53"/>
      <c r="M853" s="54"/>
    </row>
    <row r="854">
      <c r="A854" s="23"/>
      <c r="B854" s="52"/>
      <c r="C854" s="53"/>
      <c r="D854" s="23"/>
      <c r="E854" s="53"/>
      <c r="F854" s="54"/>
      <c r="G854" s="54"/>
      <c r="H854" s="54"/>
      <c r="I854" s="53"/>
      <c r="J854" s="53"/>
      <c r="K854" s="23"/>
      <c r="L854" s="53"/>
      <c r="M854" s="54"/>
    </row>
    <row r="855">
      <c r="A855" s="23"/>
      <c r="B855" s="52"/>
      <c r="C855" s="53"/>
      <c r="D855" s="23"/>
      <c r="E855" s="53"/>
      <c r="F855" s="54"/>
      <c r="G855" s="54"/>
      <c r="H855" s="54"/>
      <c r="I855" s="53"/>
      <c r="J855" s="53"/>
      <c r="K855" s="23"/>
      <c r="L855" s="53"/>
      <c r="M855" s="54"/>
    </row>
    <row r="856">
      <c r="A856" s="23"/>
      <c r="B856" s="52"/>
      <c r="C856" s="53"/>
      <c r="D856" s="23"/>
      <c r="E856" s="53"/>
      <c r="F856" s="54"/>
      <c r="G856" s="54"/>
      <c r="H856" s="54"/>
      <c r="I856" s="53"/>
      <c r="J856" s="53"/>
      <c r="K856" s="23"/>
      <c r="L856" s="53"/>
      <c r="M856" s="54"/>
    </row>
    <row r="857">
      <c r="A857" s="23"/>
      <c r="B857" s="52"/>
      <c r="C857" s="53"/>
      <c r="D857" s="23"/>
      <c r="E857" s="53"/>
      <c r="F857" s="54"/>
      <c r="G857" s="54"/>
      <c r="H857" s="54"/>
      <c r="I857" s="53"/>
      <c r="J857" s="53"/>
      <c r="K857" s="23"/>
      <c r="L857" s="53"/>
      <c r="M857" s="54"/>
    </row>
    <row r="858">
      <c r="A858" s="23"/>
      <c r="B858" s="52"/>
      <c r="C858" s="53"/>
      <c r="D858" s="23"/>
      <c r="E858" s="53"/>
      <c r="F858" s="54"/>
      <c r="G858" s="54"/>
      <c r="H858" s="54"/>
      <c r="I858" s="53"/>
      <c r="J858" s="53"/>
      <c r="K858" s="23"/>
      <c r="L858" s="53"/>
      <c r="M858" s="54"/>
    </row>
    <row r="859">
      <c r="A859" s="23"/>
      <c r="B859" s="52"/>
      <c r="C859" s="53"/>
      <c r="D859" s="23"/>
      <c r="E859" s="53"/>
      <c r="F859" s="54"/>
      <c r="G859" s="54"/>
      <c r="H859" s="54"/>
      <c r="I859" s="53"/>
      <c r="J859" s="53"/>
      <c r="K859" s="23"/>
      <c r="L859" s="53"/>
      <c r="M859" s="54"/>
    </row>
    <row r="860">
      <c r="A860" s="23"/>
      <c r="B860" s="52"/>
      <c r="C860" s="53"/>
      <c r="D860" s="23"/>
      <c r="E860" s="53"/>
      <c r="F860" s="54"/>
      <c r="G860" s="54"/>
      <c r="H860" s="54"/>
      <c r="I860" s="53"/>
      <c r="J860" s="53"/>
      <c r="K860" s="23"/>
      <c r="L860" s="53"/>
      <c r="M860" s="54"/>
    </row>
    <row r="861">
      <c r="A861" s="23"/>
      <c r="B861" s="52"/>
      <c r="C861" s="53"/>
      <c r="D861" s="23"/>
      <c r="E861" s="53"/>
      <c r="F861" s="54"/>
      <c r="G861" s="54"/>
      <c r="H861" s="54"/>
      <c r="I861" s="53"/>
      <c r="J861" s="53"/>
      <c r="K861" s="23"/>
      <c r="L861" s="53"/>
      <c r="M861" s="54"/>
    </row>
    <row r="862">
      <c r="A862" s="23"/>
      <c r="B862" s="52"/>
      <c r="C862" s="53"/>
      <c r="D862" s="23"/>
      <c r="E862" s="53"/>
      <c r="F862" s="54"/>
      <c r="G862" s="54"/>
      <c r="H862" s="54"/>
      <c r="I862" s="53"/>
      <c r="J862" s="53"/>
      <c r="K862" s="23"/>
      <c r="L862" s="53"/>
      <c r="M862" s="54"/>
    </row>
    <row r="863">
      <c r="A863" s="23"/>
      <c r="B863" s="52"/>
      <c r="C863" s="53"/>
      <c r="D863" s="23"/>
      <c r="E863" s="53"/>
      <c r="F863" s="54"/>
      <c r="G863" s="54"/>
      <c r="H863" s="54"/>
      <c r="I863" s="53"/>
      <c r="J863" s="53"/>
      <c r="K863" s="23"/>
      <c r="L863" s="53"/>
      <c r="M863" s="54"/>
    </row>
    <row r="864">
      <c r="A864" s="23"/>
      <c r="B864" s="52"/>
      <c r="C864" s="53"/>
      <c r="D864" s="23"/>
      <c r="E864" s="53"/>
      <c r="F864" s="54"/>
      <c r="G864" s="54"/>
      <c r="H864" s="54"/>
      <c r="I864" s="53"/>
      <c r="J864" s="53"/>
      <c r="K864" s="23"/>
      <c r="L864" s="53"/>
      <c r="M864" s="54"/>
    </row>
    <row r="865">
      <c r="A865" s="23"/>
      <c r="B865" s="52"/>
      <c r="C865" s="53"/>
      <c r="D865" s="23"/>
      <c r="E865" s="53"/>
      <c r="F865" s="54"/>
      <c r="G865" s="54"/>
      <c r="H865" s="54"/>
      <c r="I865" s="53"/>
      <c r="J865" s="53"/>
      <c r="K865" s="23"/>
      <c r="L865" s="53"/>
      <c r="M865" s="54"/>
    </row>
    <row r="866">
      <c r="A866" s="23"/>
      <c r="B866" s="52"/>
      <c r="C866" s="53"/>
      <c r="D866" s="23"/>
      <c r="E866" s="53"/>
      <c r="F866" s="54"/>
      <c r="G866" s="54"/>
      <c r="H866" s="54"/>
      <c r="I866" s="53"/>
      <c r="J866" s="53"/>
      <c r="K866" s="23"/>
      <c r="L866" s="53"/>
      <c r="M866" s="54"/>
    </row>
    <row r="867">
      <c r="A867" s="23"/>
      <c r="B867" s="52"/>
      <c r="C867" s="53"/>
      <c r="D867" s="23"/>
      <c r="E867" s="53"/>
      <c r="F867" s="54"/>
      <c r="G867" s="54"/>
      <c r="H867" s="54"/>
      <c r="I867" s="53"/>
      <c r="J867" s="53"/>
      <c r="K867" s="23"/>
      <c r="L867" s="53"/>
      <c r="M867" s="54"/>
    </row>
    <row r="868">
      <c r="A868" s="23"/>
      <c r="B868" s="52"/>
      <c r="C868" s="53"/>
      <c r="D868" s="23"/>
      <c r="E868" s="53"/>
      <c r="F868" s="54"/>
      <c r="G868" s="54"/>
      <c r="H868" s="54"/>
      <c r="I868" s="53"/>
      <c r="J868" s="53"/>
      <c r="K868" s="23"/>
      <c r="L868" s="53"/>
      <c r="M868" s="54"/>
    </row>
    <row r="869">
      <c r="A869" s="23"/>
      <c r="B869" s="52"/>
      <c r="C869" s="53"/>
      <c r="D869" s="23"/>
      <c r="E869" s="53"/>
      <c r="F869" s="54"/>
      <c r="G869" s="54"/>
      <c r="H869" s="54"/>
      <c r="I869" s="53"/>
      <c r="J869" s="53"/>
      <c r="K869" s="23"/>
      <c r="L869" s="53"/>
      <c r="M869" s="54"/>
    </row>
    <row r="870">
      <c r="A870" s="23"/>
      <c r="B870" s="52"/>
      <c r="C870" s="53"/>
      <c r="D870" s="23"/>
      <c r="E870" s="53"/>
      <c r="F870" s="54"/>
      <c r="G870" s="54"/>
      <c r="H870" s="54"/>
      <c r="I870" s="53"/>
      <c r="J870" s="53"/>
      <c r="K870" s="23"/>
      <c r="L870" s="53"/>
      <c r="M870" s="54"/>
    </row>
    <row r="871">
      <c r="A871" s="23"/>
      <c r="B871" s="52"/>
      <c r="C871" s="53"/>
      <c r="D871" s="23"/>
      <c r="E871" s="53"/>
      <c r="F871" s="54"/>
      <c r="G871" s="54"/>
      <c r="H871" s="54"/>
      <c r="I871" s="53"/>
      <c r="J871" s="53"/>
      <c r="K871" s="23"/>
      <c r="L871" s="53"/>
      <c r="M871" s="54"/>
    </row>
    <row r="872">
      <c r="A872" s="23"/>
      <c r="B872" s="52"/>
      <c r="C872" s="53"/>
      <c r="D872" s="23"/>
      <c r="E872" s="53"/>
      <c r="F872" s="54"/>
      <c r="G872" s="54"/>
      <c r="H872" s="54"/>
      <c r="I872" s="53"/>
      <c r="J872" s="53"/>
      <c r="K872" s="23"/>
      <c r="L872" s="53"/>
      <c r="M872" s="54"/>
    </row>
    <row r="873">
      <c r="A873" s="23"/>
      <c r="B873" s="52"/>
      <c r="C873" s="53"/>
      <c r="D873" s="23"/>
      <c r="E873" s="53"/>
      <c r="F873" s="54"/>
      <c r="G873" s="54"/>
      <c r="H873" s="54"/>
      <c r="I873" s="53"/>
      <c r="J873" s="53"/>
      <c r="K873" s="23"/>
      <c r="L873" s="53"/>
      <c r="M873" s="54"/>
    </row>
    <row r="874">
      <c r="A874" s="23"/>
      <c r="B874" s="52"/>
      <c r="C874" s="53"/>
      <c r="D874" s="23"/>
      <c r="E874" s="53"/>
      <c r="F874" s="54"/>
      <c r="G874" s="54"/>
      <c r="H874" s="54"/>
      <c r="I874" s="53"/>
      <c r="J874" s="53"/>
      <c r="K874" s="23"/>
      <c r="L874" s="53"/>
      <c r="M874" s="54"/>
    </row>
    <row r="875">
      <c r="A875" s="23"/>
      <c r="B875" s="52"/>
      <c r="C875" s="53"/>
      <c r="D875" s="23"/>
      <c r="E875" s="53"/>
      <c r="F875" s="54"/>
      <c r="G875" s="54"/>
      <c r="H875" s="54"/>
      <c r="I875" s="53"/>
      <c r="J875" s="53"/>
      <c r="K875" s="23"/>
      <c r="L875" s="53"/>
      <c r="M875" s="54"/>
    </row>
    <row r="876">
      <c r="A876" s="23"/>
      <c r="B876" s="52"/>
      <c r="C876" s="53"/>
      <c r="D876" s="23"/>
      <c r="E876" s="53"/>
      <c r="F876" s="54"/>
      <c r="G876" s="54"/>
      <c r="H876" s="54"/>
      <c r="I876" s="53"/>
      <c r="J876" s="53"/>
      <c r="K876" s="23"/>
      <c r="L876" s="53"/>
      <c r="M876" s="54"/>
    </row>
    <row r="877">
      <c r="A877" s="23"/>
      <c r="B877" s="52"/>
      <c r="C877" s="53"/>
      <c r="D877" s="23"/>
      <c r="E877" s="53"/>
      <c r="F877" s="54"/>
      <c r="G877" s="54"/>
      <c r="H877" s="54"/>
      <c r="I877" s="53"/>
      <c r="J877" s="53"/>
      <c r="K877" s="23"/>
      <c r="L877" s="53"/>
      <c r="M877" s="54"/>
    </row>
    <row r="878">
      <c r="A878" s="23"/>
      <c r="B878" s="52"/>
      <c r="C878" s="53"/>
      <c r="D878" s="23"/>
      <c r="E878" s="53"/>
      <c r="F878" s="54"/>
      <c r="G878" s="54"/>
      <c r="H878" s="54"/>
      <c r="I878" s="53"/>
      <c r="J878" s="53"/>
      <c r="K878" s="23"/>
      <c r="L878" s="53"/>
      <c r="M878" s="54"/>
    </row>
    <row r="879">
      <c r="A879" s="23"/>
      <c r="B879" s="52"/>
      <c r="C879" s="53"/>
      <c r="D879" s="23"/>
      <c r="E879" s="53"/>
      <c r="F879" s="54"/>
      <c r="G879" s="54"/>
      <c r="H879" s="54"/>
      <c r="I879" s="53"/>
      <c r="J879" s="53"/>
      <c r="K879" s="23"/>
      <c r="L879" s="53"/>
      <c r="M879" s="54"/>
    </row>
    <row r="880">
      <c r="A880" s="23"/>
      <c r="B880" s="52"/>
      <c r="C880" s="53"/>
      <c r="D880" s="23"/>
      <c r="E880" s="53"/>
      <c r="F880" s="54"/>
      <c r="G880" s="54"/>
      <c r="H880" s="54"/>
      <c r="I880" s="53"/>
      <c r="J880" s="53"/>
      <c r="K880" s="23"/>
      <c r="L880" s="53"/>
      <c r="M880" s="54"/>
    </row>
    <row r="881">
      <c r="A881" s="23"/>
      <c r="B881" s="52"/>
      <c r="C881" s="53"/>
      <c r="D881" s="23"/>
      <c r="E881" s="53"/>
      <c r="F881" s="54"/>
      <c r="G881" s="54"/>
      <c r="H881" s="54"/>
      <c r="I881" s="53"/>
      <c r="J881" s="53"/>
      <c r="K881" s="23"/>
      <c r="L881" s="53"/>
      <c r="M881" s="54"/>
    </row>
    <row r="882">
      <c r="A882" s="23"/>
      <c r="B882" s="52"/>
      <c r="C882" s="53"/>
      <c r="D882" s="23"/>
      <c r="E882" s="53"/>
      <c r="F882" s="54"/>
      <c r="G882" s="54"/>
      <c r="H882" s="54"/>
      <c r="I882" s="53"/>
      <c r="J882" s="53"/>
      <c r="K882" s="23"/>
      <c r="L882" s="53"/>
      <c r="M882" s="54"/>
    </row>
    <row r="883">
      <c r="A883" s="23"/>
      <c r="B883" s="52"/>
      <c r="C883" s="53"/>
      <c r="D883" s="23"/>
      <c r="E883" s="53"/>
      <c r="F883" s="54"/>
      <c r="G883" s="54"/>
      <c r="H883" s="54"/>
      <c r="I883" s="53"/>
      <c r="J883" s="53"/>
      <c r="K883" s="23"/>
      <c r="L883" s="53"/>
      <c r="M883" s="54"/>
    </row>
    <row r="884">
      <c r="A884" s="23"/>
      <c r="B884" s="52"/>
      <c r="C884" s="53"/>
      <c r="D884" s="23"/>
      <c r="E884" s="53"/>
      <c r="F884" s="54"/>
      <c r="G884" s="54"/>
      <c r="H884" s="54"/>
      <c r="I884" s="53"/>
      <c r="J884" s="53"/>
      <c r="K884" s="23"/>
      <c r="L884" s="53"/>
      <c r="M884" s="54"/>
    </row>
    <row r="885">
      <c r="A885" s="23"/>
      <c r="B885" s="52"/>
      <c r="C885" s="53"/>
      <c r="D885" s="23"/>
      <c r="E885" s="53"/>
      <c r="F885" s="54"/>
      <c r="G885" s="54"/>
      <c r="H885" s="54"/>
      <c r="I885" s="53"/>
      <c r="J885" s="53"/>
      <c r="K885" s="23"/>
      <c r="L885" s="53"/>
      <c r="M885" s="54"/>
    </row>
    <row r="886">
      <c r="A886" s="23"/>
      <c r="B886" s="52"/>
      <c r="C886" s="53"/>
      <c r="D886" s="23"/>
      <c r="E886" s="53"/>
      <c r="F886" s="54"/>
      <c r="G886" s="54"/>
      <c r="H886" s="54"/>
      <c r="I886" s="53"/>
      <c r="J886" s="53"/>
      <c r="K886" s="23"/>
      <c r="L886" s="53"/>
      <c r="M886" s="54"/>
    </row>
    <row r="887">
      <c r="A887" s="23"/>
      <c r="B887" s="52"/>
      <c r="C887" s="53"/>
      <c r="D887" s="23"/>
      <c r="E887" s="53"/>
      <c r="F887" s="54"/>
      <c r="G887" s="54"/>
      <c r="H887" s="54"/>
      <c r="I887" s="53"/>
      <c r="J887" s="53"/>
      <c r="K887" s="23"/>
      <c r="L887" s="53"/>
      <c r="M887" s="54"/>
    </row>
    <row r="888">
      <c r="A888" s="23"/>
      <c r="B888" s="52"/>
      <c r="C888" s="53"/>
      <c r="D888" s="23"/>
      <c r="E888" s="53"/>
      <c r="F888" s="54"/>
      <c r="G888" s="54"/>
      <c r="H888" s="54"/>
      <c r="I888" s="53"/>
      <c r="J888" s="53"/>
      <c r="K888" s="23"/>
      <c r="L888" s="53"/>
      <c r="M888" s="54"/>
    </row>
    <row r="889">
      <c r="A889" s="23"/>
      <c r="B889" s="52"/>
      <c r="C889" s="53"/>
      <c r="D889" s="23"/>
      <c r="E889" s="53"/>
      <c r="F889" s="54"/>
      <c r="G889" s="54"/>
      <c r="H889" s="54"/>
      <c r="I889" s="53"/>
      <c r="J889" s="53"/>
      <c r="K889" s="23"/>
      <c r="L889" s="53"/>
      <c r="M889" s="54"/>
    </row>
    <row r="890">
      <c r="A890" s="23"/>
      <c r="B890" s="52"/>
      <c r="C890" s="53"/>
      <c r="D890" s="23"/>
      <c r="E890" s="53"/>
      <c r="F890" s="54"/>
      <c r="G890" s="54"/>
      <c r="H890" s="54"/>
      <c r="I890" s="53"/>
      <c r="J890" s="53"/>
      <c r="K890" s="23"/>
      <c r="L890" s="53"/>
      <c r="M890" s="54"/>
    </row>
    <row r="891">
      <c r="A891" s="23"/>
      <c r="B891" s="52"/>
      <c r="C891" s="53"/>
      <c r="D891" s="23"/>
      <c r="E891" s="53"/>
      <c r="F891" s="54"/>
      <c r="G891" s="54"/>
      <c r="H891" s="54"/>
      <c r="I891" s="53"/>
      <c r="J891" s="53"/>
      <c r="K891" s="23"/>
      <c r="L891" s="53"/>
      <c r="M891" s="54"/>
    </row>
    <row r="892">
      <c r="A892" s="23"/>
      <c r="B892" s="52"/>
      <c r="C892" s="53"/>
      <c r="D892" s="23"/>
      <c r="E892" s="53"/>
      <c r="F892" s="54"/>
      <c r="G892" s="54"/>
      <c r="H892" s="54"/>
      <c r="I892" s="53"/>
      <c r="J892" s="53"/>
      <c r="K892" s="23"/>
      <c r="L892" s="53"/>
      <c r="M892" s="54"/>
    </row>
    <row r="893">
      <c r="A893" s="23"/>
      <c r="B893" s="52"/>
      <c r="C893" s="53"/>
      <c r="D893" s="23"/>
      <c r="E893" s="53"/>
      <c r="F893" s="54"/>
      <c r="G893" s="54"/>
      <c r="H893" s="54"/>
      <c r="I893" s="53"/>
      <c r="J893" s="53"/>
      <c r="K893" s="23"/>
      <c r="L893" s="53"/>
      <c r="M893" s="54"/>
    </row>
    <row r="894">
      <c r="A894" s="23"/>
      <c r="B894" s="52"/>
      <c r="C894" s="53"/>
      <c r="D894" s="23"/>
      <c r="E894" s="53"/>
      <c r="F894" s="54"/>
      <c r="G894" s="54"/>
      <c r="H894" s="54"/>
      <c r="I894" s="53"/>
      <c r="J894" s="53"/>
      <c r="K894" s="23"/>
      <c r="L894" s="53"/>
      <c r="M894" s="54"/>
    </row>
    <row r="895">
      <c r="A895" s="23"/>
      <c r="B895" s="52"/>
      <c r="C895" s="53"/>
      <c r="D895" s="23"/>
      <c r="E895" s="53"/>
      <c r="F895" s="54"/>
      <c r="G895" s="54"/>
      <c r="H895" s="54"/>
      <c r="I895" s="53"/>
      <c r="J895" s="53"/>
      <c r="K895" s="23"/>
      <c r="L895" s="53"/>
      <c r="M895" s="54"/>
    </row>
    <row r="896">
      <c r="A896" s="23"/>
      <c r="B896" s="52"/>
      <c r="C896" s="53"/>
      <c r="D896" s="23"/>
      <c r="E896" s="53"/>
      <c r="F896" s="54"/>
      <c r="G896" s="54"/>
      <c r="H896" s="54"/>
      <c r="I896" s="53"/>
      <c r="J896" s="53"/>
      <c r="K896" s="23"/>
      <c r="L896" s="53"/>
      <c r="M896" s="54"/>
    </row>
    <row r="897">
      <c r="A897" s="23"/>
      <c r="B897" s="52"/>
      <c r="C897" s="53"/>
      <c r="D897" s="23"/>
      <c r="E897" s="53"/>
      <c r="F897" s="54"/>
      <c r="G897" s="54"/>
      <c r="H897" s="54"/>
      <c r="I897" s="53"/>
      <c r="J897" s="53"/>
      <c r="K897" s="23"/>
      <c r="L897" s="53"/>
      <c r="M897" s="54"/>
    </row>
    <row r="898">
      <c r="A898" s="23"/>
      <c r="B898" s="52"/>
      <c r="C898" s="53"/>
      <c r="D898" s="23"/>
      <c r="E898" s="53"/>
      <c r="F898" s="54"/>
      <c r="G898" s="54"/>
      <c r="H898" s="54"/>
      <c r="I898" s="53"/>
      <c r="J898" s="53"/>
      <c r="K898" s="23"/>
      <c r="L898" s="53"/>
      <c r="M898" s="54"/>
    </row>
    <row r="899">
      <c r="A899" s="23"/>
      <c r="B899" s="52"/>
      <c r="C899" s="53"/>
      <c r="D899" s="23"/>
      <c r="E899" s="53"/>
      <c r="F899" s="54"/>
      <c r="G899" s="54"/>
      <c r="H899" s="54"/>
      <c r="I899" s="53"/>
      <c r="J899" s="53"/>
      <c r="K899" s="23"/>
      <c r="L899" s="53"/>
      <c r="M899" s="54"/>
    </row>
    <row r="900">
      <c r="A900" s="23"/>
      <c r="B900" s="52"/>
      <c r="C900" s="53"/>
      <c r="D900" s="23"/>
      <c r="E900" s="53"/>
      <c r="F900" s="54"/>
      <c r="G900" s="54"/>
      <c r="H900" s="54"/>
      <c r="I900" s="53"/>
      <c r="J900" s="53"/>
      <c r="K900" s="23"/>
      <c r="L900" s="53"/>
      <c r="M900" s="54"/>
    </row>
    <row r="901">
      <c r="A901" s="23"/>
      <c r="B901" s="52"/>
      <c r="C901" s="53"/>
      <c r="D901" s="23"/>
      <c r="E901" s="53"/>
      <c r="F901" s="54"/>
      <c r="G901" s="54"/>
      <c r="H901" s="54"/>
      <c r="I901" s="53"/>
      <c r="J901" s="53"/>
      <c r="K901" s="23"/>
      <c r="L901" s="53"/>
      <c r="M901" s="54"/>
    </row>
    <row r="902">
      <c r="A902" s="23"/>
      <c r="B902" s="52"/>
      <c r="C902" s="53"/>
      <c r="D902" s="23"/>
      <c r="E902" s="53"/>
      <c r="F902" s="54"/>
      <c r="G902" s="54"/>
      <c r="H902" s="54"/>
      <c r="I902" s="53"/>
      <c r="J902" s="53"/>
      <c r="K902" s="23"/>
      <c r="L902" s="53"/>
      <c r="M902" s="54"/>
    </row>
    <row r="903">
      <c r="A903" s="23"/>
      <c r="B903" s="52"/>
      <c r="C903" s="53"/>
      <c r="D903" s="23"/>
      <c r="E903" s="53"/>
      <c r="F903" s="54"/>
      <c r="G903" s="54"/>
      <c r="H903" s="54"/>
      <c r="I903" s="53"/>
      <c r="J903" s="53"/>
      <c r="K903" s="23"/>
      <c r="L903" s="53"/>
      <c r="M903" s="54"/>
    </row>
    <row r="904">
      <c r="A904" s="23"/>
      <c r="B904" s="52"/>
      <c r="C904" s="53"/>
      <c r="D904" s="23"/>
      <c r="E904" s="53"/>
      <c r="F904" s="54"/>
      <c r="G904" s="54"/>
      <c r="H904" s="54"/>
      <c r="I904" s="53"/>
      <c r="J904" s="53"/>
      <c r="K904" s="23"/>
      <c r="L904" s="53"/>
      <c r="M904" s="54"/>
    </row>
    <row r="905">
      <c r="A905" s="23"/>
      <c r="B905" s="52"/>
      <c r="C905" s="53"/>
      <c r="D905" s="23"/>
      <c r="E905" s="53"/>
      <c r="F905" s="54"/>
      <c r="G905" s="54"/>
      <c r="H905" s="54"/>
      <c r="I905" s="53"/>
      <c r="J905" s="53"/>
      <c r="K905" s="23"/>
      <c r="L905" s="53"/>
      <c r="M905" s="54"/>
    </row>
    <row r="906">
      <c r="A906" s="23"/>
      <c r="B906" s="52"/>
      <c r="C906" s="53"/>
      <c r="D906" s="23"/>
      <c r="E906" s="53"/>
      <c r="F906" s="54"/>
      <c r="G906" s="54"/>
      <c r="H906" s="54"/>
      <c r="I906" s="53"/>
      <c r="J906" s="53"/>
      <c r="K906" s="23"/>
      <c r="L906" s="53"/>
      <c r="M906" s="54"/>
    </row>
    <row r="907">
      <c r="A907" s="23"/>
      <c r="B907" s="52"/>
      <c r="C907" s="53"/>
      <c r="D907" s="23"/>
      <c r="E907" s="53"/>
      <c r="F907" s="54"/>
      <c r="G907" s="54"/>
      <c r="H907" s="54"/>
      <c r="I907" s="53"/>
      <c r="J907" s="53"/>
      <c r="K907" s="23"/>
      <c r="L907" s="53"/>
      <c r="M907" s="54"/>
    </row>
    <row r="908">
      <c r="A908" s="23"/>
      <c r="B908" s="52"/>
      <c r="C908" s="53"/>
      <c r="D908" s="23"/>
      <c r="E908" s="53"/>
      <c r="F908" s="54"/>
      <c r="G908" s="54"/>
      <c r="H908" s="54"/>
      <c r="I908" s="53"/>
      <c r="J908" s="53"/>
      <c r="K908" s="23"/>
      <c r="L908" s="53"/>
      <c r="M908" s="54"/>
    </row>
    <row r="909">
      <c r="A909" s="23"/>
      <c r="B909" s="52"/>
      <c r="C909" s="53"/>
      <c r="D909" s="23"/>
      <c r="E909" s="53"/>
      <c r="F909" s="54"/>
      <c r="G909" s="54"/>
      <c r="H909" s="54"/>
      <c r="I909" s="53"/>
      <c r="J909" s="53"/>
      <c r="K909" s="23"/>
      <c r="L909" s="53"/>
      <c r="M909" s="54"/>
    </row>
    <row r="910">
      <c r="A910" s="23"/>
      <c r="B910" s="52"/>
      <c r="C910" s="53"/>
      <c r="D910" s="23"/>
      <c r="E910" s="53"/>
      <c r="F910" s="54"/>
      <c r="G910" s="54"/>
      <c r="H910" s="54"/>
      <c r="I910" s="53"/>
      <c r="J910" s="53"/>
      <c r="K910" s="23"/>
      <c r="L910" s="53"/>
      <c r="M910" s="54"/>
    </row>
    <row r="911">
      <c r="A911" s="23"/>
      <c r="B911" s="52"/>
      <c r="C911" s="53"/>
      <c r="D911" s="23"/>
      <c r="E911" s="53"/>
      <c r="F911" s="54"/>
      <c r="G911" s="54"/>
      <c r="H911" s="54"/>
      <c r="I911" s="53"/>
      <c r="J911" s="53"/>
      <c r="K911" s="23"/>
      <c r="L911" s="53"/>
      <c r="M911" s="54"/>
    </row>
    <row r="912">
      <c r="A912" s="23"/>
      <c r="B912" s="52"/>
      <c r="C912" s="53"/>
      <c r="D912" s="23"/>
      <c r="E912" s="53"/>
      <c r="F912" s="54"/>
      <c r="G912" s="54"/>
      <c r="H912" s="54"/>
      <c r="I912" s="53"/>
      <c r="J912" s="53"/>
      <c r="K912" s="23"/>
      <c r="L912" s="53"/>
      <c r="M912" s="54"/>
    </row>
    <row r="913">
      <c r="A913" s="23"/>
      <c r="B913" s="52"/>
      <c r="C913" s="53"/>
      <c r="D913" s="23"/>
      <c r="E913" s="53"/>
      <c r="F913" s="54"/>
      <c r="G913" s="54"/>
      <c r="H913" s="54"/>
      <c r="I913" s="53"/>
      <c r="J913" s="53"/>
      <c r="K913" s="23"/>
      <c r="L913" s="53"/>
      <c r="M913" s="54"/>
    </row>
    <row r="914">
      <c r="A914" s="23"/>
      <c r="B914" s="52"/>
      <c r="C914" s="53"/>
      <c r="D914" s="23"/>
      <c r="E914" s="53"/>
      <c r="F914" s="54"/>
      <c r="G914" s="54"/>
      <c r="H914" s="54"/>
      <c r="I914" s="53"/>
      <c r="J914" s="53"/>
      <c r="K914" s="23"/>
      <c r="L914" s="53"/>
      <c r="M914" s="54"/>
    </row>
    <row r="915">
      <c r="A915" s="23"/>
      <c r="B915" s="52"/>
      <c r="C915" s="53"/>
      <c r="D915" s="23"/>
      <c r="E915" s="53"/>
      <c r="F915" s="54"/>
      <c r="G915" s="54"/>
      <c r="H915" s="54"/>
      <c r="I915" s="53"/>
      <c r="J915" s="53"/>
      <c r="K915" s="23"/>
      <c r="L915" s="53"/>
      <c r="M915" s="54"/>
    </row>
    <row r="916">
      <c r="A916" s="23"/>
      <c r="B916" s="52"/>
      <c r="C916" s="53"/>
      <c r="D916" s="23"/>
      <c r="E916" s="53"/>
      <c r="F916" s="54"/>
      <c r="G916" s="54"/>
      <c r="H916" s="54"/>
      <c r="I916" s="53"/>
      <c r="J916" s="53"/>
      <c r="K916" s="23"/>
      <c r="L916" s="53"/>
      <c r="M916" s="54"/>
    </row>
    <row r="917">
      <c r="A917" s="23"/>
      <c r="B917" s="52"/>
      <c r="C917" s="53"/>
      <c r="D917" s="23"/>
      <c r="E917" s="53"/>
      <c r="F917" s="54"/>
      <c r="G917" s="54"/>
      <c r="H917" s="54"/>
      <c r="I917" s="53"/>
      <c r="J917" s="53"/>
      <c r="K917" s="23"/>
      <c r="L917" s="53"/>
      <c r="M917" s="54"/>
    </row>
    <row r="918">
      <c r="A918" s="23"/>
      <c r="B918" s="52"/>
      <c r="C918" s="53"/>
      <c r="D918" s="23"/>
      <c r="E918" s="53"/>
      <c r="F918" s="54"/>
      <c r="G918" s="54"/>
      <c r="H918" s="54"/>
      <c r="I918" s="53"/>
      <c r="J918" s="53"/>
      <c r="K918" s="23"/>
      <c r="L918" s="53"/>
      <c r="M918" s="54"/>
    </row>
    <row r="919">
      <c r="A919" s="23"/>
      <c r="B919" s="52"/>
      <c r="C919" s="53"/>
      <c r="D919" s="23"/>
      <c r="E919" s="53"/>
      <c r="F919" s="54"/>
      <c r="G919" s="54"/>
      <c r="H919" s="54"/>
      <c r="I919" s="53"/>
      <c r="J919" s="53"/>
      <c r="K919" s="23"/>
      <c r="L919" s="53"/>
      <c r="M919" s="54"/>
    </row>
    <row r="920">
      <c r="A920" s="23"/>
      <c r="B920" s="52"/>
      <c r="C920" s="53"/>
      <c r="D920" s="23"/>
      <c r="E920" s="53"/>
      <c r="F920" s="54"/>
      <c r="G920" s="54"/>
      <c r="H920" s="54"/>
      <c r="I920" s="53"/>
      <c r="J920" s="53"/>
      <c r="K920" s="23"/>
      <c r="L920" s="53"/>
      <c r="M920" s="54"/>
    </row>
    <row r="921">
      <c r="A921" s="23"/>
      <c r="B921" s="52"/>
      <c r="C921" s="53"/>
      <c r="D921" s="23"/>
      <c r="E921" s="53"/>
      <c r="F921" s="54"/>
      <c r="G921" s="54"/>
      <c r="H921" s="54"/>
      <c r="I921" s="53"/>
      <c r="J921" s="53"/>
      <c r="K921" s="23"/>
      <c r="L921" s="53"/>
      <c r="M921" s="54"/>
    </row>
    <row r="922">
      <c r="A922" s="23"/>
      <c r="B922" s="52"/>
      <c r="C922" s="53"/>
      <c r="D922" s="23"/>
      <c r="E922" s="53"/>
      <c r="F922" s="54"/>
      <c r="G922" s="54"/>
      <c r="H922" s="54"/>
      <c r="I922" s="53"/>
      <c r="J922" s="53"/>
      <c r="K922" s="23"/>
      <c r="L922" s="23"/>
      <c r="M922" s="54"/>
    </row>
    <row r="923">
      <c r="A923" s="23"/>
      <c r="B923" s="52"/>
      <c r="C923" s="53"/>
      <c r="D923" s="23"/>
      <c r="E923" s="53"/>
      <c r="F923" s="54"/>
      <c r="G923" s="54"/>
      <c r="H923" s="54"/>
      <c r="I923" s="53"/>
      <c r="J923" s="53"/>
      <c r="K923" s="23"/>
      <c r="L923" s="53"/>
      <c r="M923" s="54"/>
    </row>
    <row r="924">
      <c r="A924" s="23"/>
      <c r="B924" s="52"/>
      <c r="C924" s="53"/>
      <c r="D924" s="23"/>
      <c r="E924" s="53"/>
      <c r="F924" s="54"/>
      <c r="G924" s="54"/>
      <c r="H924" s="54"/>
      <c r="I924" s="53"/>
      <c r="J924" s="53"/>
      <c r="K924" s="23"/>
      <c r="L924" s="53"/>
      <c r="M924" s="54"/>
    </row>
    <row r="925">
      <c r="A925" s="23"/>
      <c r="B925" s="52"/>
      <c r="C925" s="53"/>
      <c r="D925" s="23"/>
      <c r="E925" s="53"/>
      <c r="F925" s="54"/>
      <c r="G925" s="54"/>
      <c r="H925" s="54"/>
      <c r="I925" s="53"/>
      <c r="J925" s="53"/>
      <c r="K925" s="23"/>
      <c r="L925" s="53"/>
      <c r="M925" s="54"/>
    </row>
    <row r="926">
      <c r="A926" s="23"/>
      <c r="B926" s="52"/>
      <c r="C926" s="53"/>
      <c r="D926" s="23"/>
      <c r="E926" s="53"/>
      <c r="F926" s="54"/>
      <c r="G926" s="54"/>
      <c r="H926" s="54"/>
      <c r="I926" s="53"/>
      <c r="J926" s="53"/>
      <c r="K926" s="23"/>
      <c r="L926" s="53"/>
      <c r="M926" s="54"/>
    </row>
    <row r="927">
      <c r="A927" s="23"/>
      <c r="B927" s="52"/>
      <c r="C927" s="53"/>
      <c r="D927" s="23"/>
      <c r="E927" s="53"/>
      <c r="F927" s="54"/>
      <c r="G927" s="54"/>
      <c r="H927" s="54"/>
      <c r="I927" s="53"/>
      <c r="J927" s="53"/>
      <c r="K927" s="23"/>
      <c r="L927" s="53"/>
      <c r="M927" s="54"/>
    </row>
    <row r="928">
      <c r="A928" s="23"/>
      <c r="B928" s="52"/>
      <c r="C928" s="53"/>
      <c r="D928" s="23"/>
      <c r="E928" s="53"/>
      <c r="F928" s="54"/>
      <c r="G928" s="54"/>
      <c r="H928" s="54"/>
      <c r="I928" s="53"/>
      <c r="J928" s="53"/>
      <c r="K928" s="23"/>
      <c r="L928" s="53"/>
      <c r="M928" s="54"/>
    </row>
    <row r="929">
      <c r="A929" s="23"/>
      <c r="B929" s="52"/>
      <c r="C929" s="53"/>
      <c r="D929" s="23"/>
      <c r="E929" s="53"/>
      <c r="F929" s="54"/>
      <c r="G929" s="54"/>
      <c r="H929" s="54"/>
      <c r="I929" s="53"/>
      <c r="J929" s="53"/>
      <c r="K929" s="23"/>
      <c r="L929" s="53"/>
      <c r="M929" s="54"/>
    </row>
    <row r="930">
      <c r="A930" s="23"/>
      <c r="B930" s="52"/>
      <c r="C930" s="53"/>
      <c r="D930" s="23"/>
      <c r="E930" s="53"/>
      <c r="F930" s="54"/>
      <c r="G930" s="54"/>
      <c r="H930" s="54"/>
      <c r="I930" s="53"/>
      <c r="J930" s="53"/>
      <c r="K930" s="23"/>
      <c r="L930" s="53"/>
      <c r="M930" s="54"/>
    </row>
    <row r="931">
      <c r="A931" s="23"/>
      <c r="B931" s="52"/>
      <c r="C931" s="53"/>
      <c r="D931" s="23"/>
      <c r="E931" s="53"/>
      <c r="F931" s="54"/>
      <c r="G931" s="54"/>
      <c r="H931" s="54"/>
      <c r="I931" s="53"/>
      <c r="J931" s="53"/>
      <c r="K931" s="23"/>
      <c r="L931" s="23"/>
      <c r="M931" s="54"/>
    </row>
    <row r="932">
      <c r="A932" s="23"/>
      <c r="B932" s="52"/>
      <c r="C932" s="53"/>
      <c r="D932" s="23"/>
      <c r="E932" s="53"/>
      <c r="F932" s="54"/>
      <c r="G932" s="54"/>
      <c r="H932" s="54"/>
      <c r="I932" s="53"/>
      <c r="J932" s="53"/>
      <c r="K932" s="23"/>
      <c r="L932" s="53"/>
      <c r="M932" s="54"/>
    </row>
    <row r="933">
      <c r="A933" s="23"/>
      <c r="B933" s="52"/>
      <c r="C933" s="53"/>
      <c r="D933" s="23"/>
      <c r="E933" s="53"/>
      <c r="F933" s="54"/>
      <c r="G933" s="54"/>
      <c r="H933" s="54"/>
      <c r="I933" s="53"/>
      <c r="J933" s="53"/>
      <c r="K933" s="23"/>
      <c r="L933" s="53"/>
      <c r="M933" s="54"/>
    </row>
    <row r="934">
      <c r="A934" s="23"/>
      <c r="B934" s="52"/>
      <c r="C934" s="53"/>
      <c r="D934" s="23"/>
      <c r="E934" s="53"/>
      <c r="F934" s="54"/>
      <c r="G934" s="54"/>
      <c r="H934" s="54"/>
      <c r="I934" s="53"/>
      <c r="J934" s="53"/>
      <c r="K934" s="23"/>
      <c r="L934" s="53"/>
      <c r="M934" s="54"/>
    </row>
    <row r="935">
      <c r="A935" s="23"/>
      <c r="B935" s="52"/>
      <c r="C935" s="53"/>
      <c r="D935" s="23"/>
      <c r="E935" s="53"/>
      <c r="F935" s="54"/>
      <c r="G935" s="54"/>
      <c r="H935" s="54"/>
      <c r="I935" s="53"/>
      <c r="J935" s="53"/>
      <c r="K935" s="23"/>
      <c r="L935" s="53"/>
      <c r="M935" s="54"/>
    </row>
    <row r="936">
      <c r="A936" s="23"/>
      <c r="B936" s="52"/>
      <c r="C936" s="53"/>
      <c r="D936" s="23"/>
      <c r="E936" s="53"/>
      <c r="F936" s="54"/>
      <c r="G936" s="54"/>
      <c r="H936" s="54"/>
      <c r="I936" s="53"/>
      <c r="J936" s="53"/>
      <c r="K936" s="23"/>
      <c r="L936" s="53"/>
      <c r="M936" s="54"/>
    </row>
    <row r="937">
      <c r="A937" s="23"/>
      <c r="B937" s="52"/>
      <c r="C937" s="53"/>
      <c r="D937" s="23"/>
      <c r="E937" s="53"/>
      <c r="F937" s="54"/>
      <c r="G937" s="54"/>
      <c r="H937" s="54"/>
      <c r="I937" s="53"/>
      <c r="J937" s="53"/>
      <c r="K937" s="23"/>
      <c r="L937" s="53"/>
      <c r="M937" s="54"/>
    </row>
    <row r="938">
      <c r="A938" s="23"/>
      <c r="B938" s="52"/>
      <c r="C938" s="53"/>
      <c r="D938" s="23"/>
      <c r="E938" s="53"/>
      <c r="F938" s="54"/>
      <c r="G938" s="54"/>
      <c r="H938" s="54"/>
      <c r="I938" s="53"/>
      <c r="J938" s="53"/>
      <c r="K938" s="23"/>
      <c r="L938" s="53"/>
      <c r="M938" s="54"/>
    </row>
    <row r="939">
      <c r="A939" s="23"/>
      <c r="B939" s="52"/>
      <c r="C939" s="53"/>
      <c r="D939" s="23"/>
      <c r="E939" s="53"/>
      <c r="F939" s="54"/>
      <c r="G939" s="54"/>
      <c r="H939" s="54"/>
      <c r="I939" s="53"/>
      <c r="J939" s="53"/>
      <c r="K939" s="23"/>
      <c r="L939" s="23"/>
      <c r="M939" s="54"/>
    </row>
    <row r="940">
      <c r="A940" s="23"/>
      <c r="B940" s="52"/>
      <c r="C940" s="53"/>
      <c r="D940" s="23"/>
      <c r="E940" s="53"/>
      <c r="F940" s="54"/>
      <c r="G940" s="54"/>
      <c r="H940" s="54"/>
      <c r="I940" s="53"/>
      <c r="J940" s="53"/>
      <c r="K940" s="23"/>
      <c r="L940" s="53"/>
      <c r="M940" s="54"/>
    </row>
    <row r="941">
      <c r="A941" s="23"/>
      <c r="B941" s="52"/>
      <c r="C941" s="53"/>
      <c r="D941" s="23"/>
      <c r="E941" s="53"/>
      <c r="F941" s="54"/>
      <c r="G941" s="54"/>
      <c r="H941" s="54"/>
      <c r="I941" s="53"/>
      <c r="J941" s="53"/>
      <c r="K941" s="23"/>
      <c r="L941" s="53"/>
      <c r="M941" s="54"/>
    </row>
    <row r="942">
      <c r="A942" s="23"/>
      <c r="B942" s="52"/>
      <c r="C942" s="53"/>
      <c r="D942" s="23"/>
      <c r="E942" s="53"/>
      <c r="F942" s="54"/>
      <c r="G942" s="54"/>
      <c r="H942" s="54"/>
      <c r="I942" s="53"/>
      <c r="J942" s="53"/>
      <c r="K942" s="23"/>
      <c r="L942" s="53"/>
      <c r="M942" s="54"/>
    </row>
    <row r="943">
      <c r="A943" s="23"/>
      <c r="B943" s="52"/>
      <c r="C943" s="53"/>
      <c r="D943" s="23"/>
      <c r="E943" s="53"/>
      <c r="F943" s="54"/>
      <c r="G943" s="54"/>
      <c r="H943" s="54"/>
      <c r="I943" s="53"/>
      <c r="J943" s="53"/>
      <c r="K943" s="23"/>
      <c r="L943" s="53"/>
      <c r="M943" s="54"/>
    </row>
    <row r="944">
      <c r="A944" s="23"/>
      <c r="B944" s="52"/>
      <c r="C944" s="53"/>
      <c r="D944" s="23"/>
      <c r="E944" s="53"/>
      <c r="F944" s="54"/>
      <c r="G944" s="54"/>
      <c r="H944" s="54"/>
      <c r="I944" s="53"/>
      <c r="J944" s="53"/>
      <c r="K944" s="23"/>
      <c r="L944" s="53"/>
      <c r="M944" s="54"/>
    </row>
    <row r="945">
      <c r="A945" s="23"/>
      <c r="B945" s="52"/>
      <c r="C945" s="53"/>
      <c r="D945" s="23"/>
      <c r="E945" s="53"/>
      <c r="F945" s="54"/>
      <c r="G945" s="54"/>
      <c r="H945" s="54"/>
      <c r="I945" s="53"/>
      <c r="J945" s="53"/>
      <c r="K945" s="23"/>
      <c r="L945" s="53"/>
      <c r="M945" s="54"/>
    </row>
    <row r="946">
      <c r="A946" s="23"/>
      <c r="B946" s="52"/>
      <c r="C946" s="53"/>
      <c r="D946" s="23"/>
      <c r="E946" s="53"/>
      <c r="F946" s="54"/>
      <c r="G946" s="54"/>
      <c r="H946" s="54"/>
      <c r="I946" s="53"/>
      <c r="J946" s="53"/>
      <c r="K946" s="23"/>
      <c r="L946" s="53"/>
      <c r="M946" s="54"/>
    </row>
    <row r="947">
      <c r="A947" s="23"/>
      <c r="B947" s="52"/>
      <c r="C947" s="53"/>
      <c r="D947" s="23"/>
      <c r="E947" s="53"/>
      <c r="F947" s="54"/>
      <c r="G947" s="54"/>
      <c r="H947" s="54"/>
      <c r="I947" s="53"/>
      <c r="J947" s="53"/>
      <c r="K947" s="23"/>
      <c r="L947" s="53"/>
      <c r="M947" s="54"/>
    </row>
    <row r="948">
      <c r="A948" s="23"/>
      <c r="B948" s="52"/>
      <c r="C948" s="53"/>
      <c r="D948" s="23"/>
      <c r="E948" s="53"/>
      <c r="F948" s="54"/>
      <c r="G948" s="54"/>
      <c r="H948" s="54"/>
      <c r="I948" s="53"/>
      <c r="J948" s="53"/>
      <c r="K948" s="23"/>
      <c r="L948" s="53"/>
      <c r="M948" s="54"/>
    </row>
    <row r="949">
      <c r="A949" s="23"/>
      <c r="B949" s="52"/>
      <c r="C949" s="53"/>
      <c r="D949" s="23"/>
      <c r="E949" s="53"/>
      <c r="F949" s="54"/>
      <c r="G949" s="54"/>
      <c r="H949" s="54"/>
      <c r="I949" s="53"/>
      <c r="J949" s="53"/>
      <c r="K949" s="23"/>
      <c r="L949" s="53"/>
      <c r="M949" s="54"/>
    </row>
    <row r="950">
      <c r="A950" s="23"/>
      <c r="B950" s="52"/>
      <c r="C950" s="53"/>
      <c r="D950" s="23"/>
      <c r="E950" s="53"/>
      <c r="F950" s="54"/>
      <c r="G950" s="54"/>
      <c r="H950" s="54"/>
      <c r="I950" s="53"/>
      <c r="J950" s="53"/>
      <c r="K950" s="23"/>
      <c r="L950" s="53"/>
      <c r="M950" s="54"/>
    </row>
    <row r="951">
      <c r="A951" s="23"/>
      <c r="B951" s="52"/>
      <c r="C951" s="53"/>
      <c r="D951" s="23"/>
      <c r="E951" s="53"/>
      <c r="F951" s="54"/>
      <c r="G951" s="54"/>
      <c r="H951" s="54"/>
      <c r="I951" s="53"/>
      <c r="J951" s="53"/>
      <c r="K951" s="23"/>
      <c r="L951" s="53"/>
      <c r="M951" s="54"/>
    </row>
    <row r="952">
      <c r="A952" s="23"/>
      <c r="B952" s="52"/>
      <c r="C952" s="53"/>
      <c r="D952" s="23"/>
      <c r="E952" s="53"/>
      <c r="F952" s="54"/>
      <c r="G952" s="54"/>
      <c r="H952" s="54"/>
      <c r="I952" s="53"/>
      <c r="J952" s="53"/>
      <c r="K952" s="23"/>
      <c r="L952" s="53"/>
      <c r="M952" s="54"/>
    </row>
    <row r="953">
      <c r="A953" s="23"/>
      <c r="B953" s="52"/>
      <c r="C953" s="53"/>
      <c r="D953" s="23"/>
      <c r="E953" s="53"/>
      <c r="F953" s="54"/>
      <c r="G953" s="54"/>
      <c r="H953" s="54"/>
      <c r="I953" s="53"/>
      <c r="J953" s="53"/>
      <c r="K953" s="23"/>
      <c r="L953" s="23"/>
      <c r="M953" s="54"/>
    </row>
    <row r="954">
      <c r="A954" s="23"/>
      <c r="B954" s="52"/>
      <c r="C954" s="53"/>
      <c r="D954" s="23"/>
      <c r="E954" s="53"/>
      <c r="F954" s="54"/>
      <c r="G954" s="54"/>
      <c r="H954" s="54"/>
      <c r="I954" s="53"/>
      <c r="J954" s="53"/>
      <c r="K954" s="23"/>
      <c r="L954" s="53"/>
      <c r="M954" s="54"/>
    </row>
    <row r="955">
      <c r="A955" s="23"/>
      <c r="B955" s="52"/>
      <c r="C955" s="53"/>
      <c r="D955" s="23"/>
      <c r="E955" s="53"/>
      <c r="F955" s="54"/>
      <c r="G955" s="54"/>
      <c r="H955" s="54"/>
      <c r="I955" s="53"/>
      <c r="J955" s="53"/>
      <c r="K955" s="23"/>
      <c r="L955" s="53"/>
      <c r="M955" s="54"/>
    </row>
    <row r="956">
      <c r="A956" s="23"/>
      <c r="B956" s="52"/>
      <c r="C956" s="53"/>
      <c r="D956" s="23"/>
      <c r="E956" s="53"/>
      <c r="F956" s="54"/>
      <c r="G956" s="54"/>
      <c r="H956" s="54"/>
      <c r="I956" s="53"/>
      <c r="J956" s="53"/>
      <c r="K956" s="23"/>
      <c r="L956" s="53"/>
      <c r="M956" s="54"/>
    </row>
    <row r="957">
      <c r="A957" s="23"/>
      <c r="B957" s="52"/>
      <c r="C957" s="53"/>
      <c r="D957" s="23"/>
      <c r="E957" s="53"/>
      <c r="F957" s="54"/>
      <c r="G957" s="54"/>
      <c r="H957" s="54"/>
      <c r="I957" s="53"/>
      <c r="J957" s="53"/>
      <c r="K957" s="23"/>
      <c r="L957" s="53"/>
      <c r="M957" s="54"/>
    </row>
    <row r="958">
      <c r="A958" s="23"/>
      <c r="B958" s="52"/>
      <c r="C958" s="53"/>
      <c r="D958" s="23"/>
      <c r="E958" s="53"/>
      <c r="F958" s="54"/>
      <c r="G958" s="54"/>
      <c r="H958" s="54"/>
      <c r="I958" s="53"/>
      <c r="J958" s="53"/>
      <c r="K958" s="23"/>
      <c r="L958" s="53"/>
      <c r="M958" s="54"/>
    </row>
    <row r="959">
      <c r="A959" s="23"/>
      <c r="B959" s="52"/>
      <c r="C959" s="53"/>
      <c r="D959" s="23"/>
      <c r="E959" s="53"/>
      <c r="F959" s="54"/>
      <c r="G959" s="54"/>
      <c r="H959" s="54"/>
      <c r="I959" s="53"/>
      <c r="J959" s="53"/>
      <c r="K959" s="23"/>
      <c r="L959" s="53"/>
      <c r="M959" s="54"/>
    </row>
    <row r="960">
      <c r="A960" s="23"/>
      <c r="B960" s="52"/>
      <c r="C960" s="53"/>
      <c r="D960" s="23"/>
      <c r="E960" s="53"/>
      <c r="F960" s="54"/>
      <c r="G960" s="54"/>
      <c r="H960" s="54"/>
      <c r="I960" s="53"/>
      <c r="J960" s="53"/>
      <c r="K960" s="23"/>
      <c r="L960" s="53"/>
      <c r="M960" s="54"/>
    </row>
    <row r="961">
      <c r="A961" s="23"/>
      <c r="B961" s="52"/>
      <c r="C961" s="53"/>
      <c r="D961" s="23"/>
      <c r="E961" s="53"/>
      <c r="F961" s="54"/>
      <c r="G961" s="54"/>
      <c r="H961" s="54"/>
      <c r="I961" s="53"/>
      <c r="J961" s="53"/>
      <c r="K961" s="23"/>
      <c r="L961" s="53"/>
      <c r="M961" s="54"/>
    </row>
    <row r="962">
      <c r="A962" s="23"/>
      <c r="B962" s="52"/>
      <c r="C962" s="53"/>
      <c r="D962" s="23"/>
      <c r="E962" s="53"/>
      <c r="F962" s="54"/>
      <c r="G962" s="54"/>
      <c r="H962" s="54"/>
      <c r="I962" s="53"/>
      <c r="J962" s="53"/>
      <c r="K962" s="23"/>
      <c r="L962" s="53"/>
      <c r="M962" s="54"/>
    </row>
    <row r="963">
      <c r="A963" s="23"/>
      <c r="B963" s="52"/>
      <c r="C963" s="53"/>
      <c r="D963" s="23"/>
      <c r="E963" s="53"/>
      <c r="F963" s="54"/>
      <c r="G963" s="54"/>
      <c r="H963" s="54"/>
      <c r="I963" s="53"/>
      <c r="J963" s="53"/>
      <c r="K963" s="23"/>
      <c r="L963" s="53"/>
      <c r="M963" s="54"/>
    </row>
    <row r="964">
      <c r="A964" s="23"/>
      <c r="B964" s="52"/>
      <c r="C964" s="53"/>
      <c r="D964" s="23"/>
      <c r="E964" s="53"/>
      <c r="F964" s="54"/>
      <c r="G964" s="54"/>
      <c r="H964" s="54"/>
      <c r="I964" s="53"/>
      <c r="J964" s="53"/>
      <c r="K964" s="23"/>
      <c r="L964" s="23"/>
      <c r="M964" s="54"/>
    </row>
    <row r="965">
      <c r="A965" s="23"/>
      <c r="B965" s="52"/>
      <c r="C965" s="53"/>
      <c r="D965" s="23"/>
      <c r="E965" s="53"/>
      <c r="F965" s="54"/>
      <c r="G965" s="54"/>
      <c r="H965" s="54"/>
      <c r="I965" s="53"/>
      <c r="J965" s="53"/>
      <c r="K965" s="23"/>
      <c r="L965" s="23"/>
      <c r="M965" s="54"/>
    </row>
    <row r="966">
      <c r="A966" s="23"/>
      <c r="B966" s="52"/>
      <c r="C966" s="53"/>
      <c r="D966" s="23"/>
      <c r="E966" s="53"/>
      <c r="F966" s="54"/>
      <c r="G966" s="54"/>
      <c r="H966" s="54"/>
      <c r="I966" s="53"/>
      <c r="J966" s="53"/>
      <c r="K966" s="23"/>
      <c r="L966" s="23"/>
      <c r="M966" s="54"/>
    </row>
    <row r="967">
      <c r="A967" s="23"/>
      <c r="B967" s="52"/>
      <c r="C967" s="53"/>
      <c r="D967" s="23"/>
      <c r="E967" s="53"/>
      <c r="F967" s="54"/>
      <c r="G967" s="54"/>
      <c r="H967" s="54"/>
      <c r="I967" s="53"/>
      <c r="J967" s="53"/>
      <c r="K967" s="23"/>
      <c r="L967" s="53"/>
      <c r="M967" s="54"/>
    </row>
    <row r="968">
      <c r="A968" s="23"/>
      <c r="B968" s="52"/>
      <c r="C968" s="53"/>
      <c r="D968" s="23"/>
      <c r="E968" s="53"/>
      <c r="F968" s="54"/>
      <c r="G968" s="54"/>
      <c r="H968" s="54"/>
      <c r="I968" s="53"/>
      <c r="J968" s="53"/>
      <c r="K968" s="23"/>
      <c r="L968" s="53"/>
      <c r="M968" s="54"/>
    </row>
    <row r="969">
      <c r="A969" s="23"/>
      <c r="B969" s="52"/>
      <c r="C969" s="53"/>
      <c r="D969" s="23"/>
      <c r="E969" s="53"/>
      <c r="F969" s="54"/>
      <c r="G969" s="54"/>
      <c r="H969" s="54"/>
      <c r="I969" s="53"/>
      <c r="J969" s="53"/>
      <c r="K969" s="23"/>
      <c r="L969" s="53"/>
      <c r="M969" s="54"/>
    </row>
    <row r="970">
      <c r="A970" s="23"/>
      <c r="B970" s="52"/>
      <c r="C970" s="53"/>
      <c r="D970" s="23"/>
      <c r="E970" s="53"/>
      <c r="F970" s="54"/>
      <c r="G970" s="54"/>
      <c r="H970" s="54"/>
      <c r="I970" s="53"/>
      <c r="J970" s="53"/>
      <c r="K970" s="23"/>
      <c r="L970" s="53"/>
      <c r="M970" s="54"/>
    </row>
    <row r="971">
      <c r="A971" s="23"/>
      <c r="B971" s="52"/>
      <c r="C971" s="53"/>
      <c r="D971" s="23"/>
      <c r="E971" s="53"/>
      <c r="F971" s="54"/>
      <c r="G971" s="54"/>
      <c r="H971" s="54"/>
      <c r="I971" s="53"/>
      <c r="J971" s="53"/>
      <c r="K971" s="23"/>
      <c r="L971" s="53"/>
      <c r="M971" s="54"/>
    </row>
    <row r="972">
      <c r="A972" s="23"/>
      <c r="B972" s="52"/>
      <c r="C972" s="53"/>
      <c r="D972" s="23"/>
      <c r="E972" s="53"/>
      <c r="F972" s="54"/>
      <c r="G972" s="54"/>
      <c r="H972" s="54"/>
      <c r="I972" s="53"/>
      <c r="J972" s="53"/>
      <c r="K972" s="23"/>
      <c r="L972" s="23"/>
      <c r="M972" s="54"/>
    </row>
    <row r="973">
      <c r="A973" s="23"/>
      <c r="B973" s="52"/>
      <c r="C973" s="53"/>
      <c r="D973" s="23"/>
      <c r="E973" s="53"/>
      <c r="F973" s="54"/>
      <c r="G973" s="54"/>
      <c r="H973" s="54"/>
      <c r="I973" s="53"/>
      <c r="J973" s="53"/>
      <c r="K973" s="23"/>
      <c r="L973" s="53"/>
      <c r="M973" s="54"/>
    </row>
    <row r="974">
      <c r="A974" s="23"/>
      <c r="B974" s="52"/>
      <c r="C974" s="53"/>
      <c r="D974" s="23"/>
      <c r="E974" s="53"/>
      <c r="F974" s="54"/>
      <c r="G974" s="54"/>
      <c r="H974" s="54"/>
      <c r="I974" s="53"/>
      <c r="J974" s="53"/>
      <c r="K974" s="23"/>
      <c r="L974" s="53"/>
      <c r="M974" s="54"/>
    </row>
    <row r="975">
      <c r="A975" s="23"/>
      <c r="B975" s="52"/>
      <c r="C975" s="53"/>
      <c r="D975" s="23"/>
      <c r="E975" s="53"/>
      <c r="F975" s="54"/>
      <c r="G975" s="54"/>
      <c r="H975" s="54"/>
      <c r="I975" s="53"/>
      <c r="J975" s="53"/>
      <c r="K975" s="23"/>
      <c r="L975" s="53"/>
      <c r="M975" s="54"/>
    </row>
    <row r="976">
      <c r="A976" s="23"/>
      <c r="B976" s="52"/>
      <c r="C976" s="53"/>
      <c r="D976" s="23"/>
      <c r="E976" s="53"/>
      <c r="F976" s="54"/>
      <c r="G976" s="54"/>
      <c r="H976" s="54"/>
      <c r="I976" s="53"/>
      <c r="J976" s="53"/>
      <c r="K976" s="23"/>
      <c r="L976" s="53"/>
      <c r="M976" s="54"/>
    </row>
    <row r="977">
      <c r="A977" s="23"/>
      <c r="B977" s="52"/>
      <c r="C977" s="53"/>
      <c r="D977" s="23"/>
      <c r="E977" s="53"/>
      <c r="F977" s="54"/>
      <c r="G977" s="54"/>
      <c r="H977" s="54"/>
      <c r="I977" s="53"/>
      <c r="J977" s="53"/>
      <c r="K977" s="23"/>
      <c r="L977" s="53"/>
      <c r="M977" s="54"/>
    </row>
    <row r="978">
      <c r="A978" s="23"/>
      <c r="B978" s="52"/>
      <c r="C978" s="53"/>
      <c r="D978" s="23"/>
      <c r="E978" s="53"/>
      <c r="F978" s="54"/>
      <c r="G978" s="54"/>
      <c r="H978" s="54"/>
      <c r="I978" s="53"/>
      <c r="J978" s="53"/>
      <c r="K978" s="23"/>
      <c r="L978" s="53"/>
      <c r="M978" s="54"/>
    </row>
    <row r="979">
      <c r="A979" s="23"/>
      <c r="B979" s="52"/>
      <c r="C979" s="53"/>
      <c r="D979" s="23"/>
      <c r="E979" s="53"/>
      <c r="F979" s="54"/>
      <c r="G979" s="54"/>
      <c r="H979" s="54"/>
      <c r="I979" s="53"/>
      <c r="J979" s="53"/>
      <c r="K979" s="23"/>
      <c r="L979" s="53"/>
      <c r="M979" s="54"/>
    </row>
    <row r="980">
      <c r="A980" s="23"/>
      <c r="B980" s="52"/>
      <c r="C980" s="53"/>
      <c r="D980" s="23"/>
      <c r="E980" s="53"/>
      <c r="F980" s="54"/>
      <c r="G980" s="54"/>
      <c r="H980" s="54"/>
      <c r="I980" s="53"/>
      <c r="J980" s="53"/>
      <c r="K980" s="23"/>
      <c r="L980" s="53"/>
      <c r="M980" s="54"/>
    </row>
    <row r="981">
      <c r="A981" s="23"/>
      <c r="B981" s="52"/>
      <c r="C981" s="53"/>
      <c r="D981" s="23"/>
      <c r="E981" s="53"/>
      <c r="F981" s="54"/>
      <c r="G981" s="54"/>
      <c r="H981" s="54"/>
      <c r="I981" s="53"/>
      <c r="J981" s="53"/>
      <c r="K981" s="23"/>
      <c r="L981" s="53"/>
      <c r="M981" s="54"/>
    </row>
    <row r="982">
      <c r="A982" s="23"/>
      <c r="B982" s="52"/>
      <c r="C982" s="53"/>
      <c r="D982" s="23"/>
      <c r="E982" s="53"/>
      <c r="F982" s="54"/>
      <c r="G982" s="54"/>
      <c r="H982" s="54"/>
      <c r="I982" s="53"/>
      <c r="J982" s="53"/>
      <c r="K982" s="23"/>
      <c r="L982" s="53"/>
      <c r="M982" s="54"/>
    </row>
    <row r="983">
      <c r="A983" s="23"/>
      <c r="B983" s="52"/>
      <c r="C983" s="53"/>
      <c r="D983" s="23"/>
      <c r="E983" s="53"/>
      <c r="F983" s="54"/>
      <c r="G983" s="54"/>
      <c r="H983" s="54"/>
      <c r="I983" s="53"/>
      <c r="J983" s="53"/>
      <c r="K983" s="23"/>
      <c r="L983" s="53"/>
      <c r="M983" s="54"/>
    </row>
    <row r="984">
      <c r="A984" s="23"/>
      <c r="B984" s="52"/>
      <c r="C984" s="53"/>
      <c r="D984" s="23"/>
      <c r="E984" s="53"/>
      <c r="F984" s="54"/>
      <c r="G984" s="54"/>
      <c r="H984" s="54"/>
      <c r="I984" s="53"/>
      <c r="J984" s="53"/>
      <c r="K984" s="23"/>
      <c r="L984" s="53"/>
      <c r="M984" s="54"/>
    </row>
    <row r="985">
      <c r="A985" s="23"/>
      <c r="B985" s="52"/>
      <c r="C985" s="53"/>
      <c r="D985" s="23"/>
      <c r="E985" s="53"/>
      <c r="F985" s="54"/>
      <c r="G985" s="54"/>
      <c r="H985" s="54"/>
      <c r="I985" s="53"/>
      <c r="J985" s="53"/>
      <c r="K985" s="23"/>
      <c r="L985" s="53"/>
      <c r="M985" s="54"/>
    </row>
    <row r="986">
      <c r="A986" s="23"/>
      <c r="B986" s="52"/>
      <c r="C986" s="53"/>
      <c r="D986" s="23"/>
      <c r="E986" s="53"/>
      <c r="F986" s="54"/>
      <c r="G986" s="54"/>
      <c r="H986" s="54"/>
      <c r="I986" s="53"/>
      <c r="J986" s="53"/>
      <c r="K986" s="23"/>
      <c r="L986" s="53"/>
      <c r="M986" s="54"/>
    </row>
    <row r="987">
      <c r="A987" s="23"/>
      <c r="B987" s="52"/>
      <c r="C987" s="53"/>
      <c r="D987" s="23"/>
      <c r="E987" s="53"/>
      <c r="F987" s="54"/>
      <c r="G987" s="54"/>
      <c r="H987" s="54"/>
      <c r="I987" s="53"/>
      <c r="J987" s="53"/>
      <c r="K987" s="23"/>
      <c r="L987" s="53"/>
      <c r="M987" s="54"/>
    </row>
    <row r="988">
      <c r="A988" s="23"/>
      <c r="B988" s="52"/>
      <c r="C988" s="53"/>
      <c r="D988" s="23"/>
      <c r="E988" s="53"/>
      <c r="F988" s="54"/>
      <c r="G988" s="54"/>
      <c r="H988" s="54"/>
      <c r="I988" s="53"/>
      <c r="J988" s="53"/>
      <c r="K988" s="23"/>
      <c r="L988" s="53"/>
      <c r="M988" s="54"/>
    </row>
    <row r="989">
      <c r="A989" s="23"/>
      <c r="B989" s="52"/>
      <c r="C989" s="53"/>
      <c r="D989" s="23"/>
      <c r="E989" s="53"/>
      <c r="F989" s="54"/>
      <c r="G989" s="54"/>
      <c r="H989" s="54"/>
      <c r="I989" s="53"/>
      <c r="J989" s="53"/>
      <c r="K989" s="23"/>
      <c r="L989" s="53"/>
      <c r="M989" s="54"/>
    </row>
    <row r="990">
      <c r="A990" s="23"/>
      <c r="B990" s="52"/>
      <c r="C990" s="53"/>
      <c r="D990" s="23"/>
      <c r="E990" s="53"/>
      <c r="F990" s="54"/>
      <c r="G990" s="54"/>
      <c r="H990" s="54"/>
      <c r="I990" s="53"/>
      <c r="J990" s="53"/>
      <c r="K990" s="23"/>
      <c r="L990" s="53"/>
      <c r="M990" s="54"/>
    </row>
    <row r="991">
      <c r="A991" s="23"/>
      <c r="B991" s="52"/>
      <c r="C991" s="53"/>
      <c r="D991" s="23"/>
      <c r="E991" s="53"/>
      <c r="F991" s="54"/>
      <c r="G991" s="54"/>
      <c r="H991" s="54"/>
      <c r="I991" s="53"/>
      <c r="J991" s="53"/>
      <c r="K991" s="23"/>
      <c r="L991" s="53"/>
      <c r="M991" s="54"/>
    </row>
    <row r="992">
      <c r="A992" s="23"/>
      <c r="B992" s="52"/>
      <c r="C992" s="53"/>
      <c r="D992" s="23"/>
      <c r="E992" s="53"/>
      <c r="F992" s="54"/>
      <c r="G992" s="54"/>
      <c r="H992" s="54"/>
      <c r="I992" s="53"/>
      <c r="J992" s="53"/>
      <c r="K992" s="23"/>
      <c r="L992" s="53"/>
      <c r="M992" s="54"/>
    </row>
    <row r="993">
      <c r="A993" s="23"/>
      <c r="B993" s="52"/>
      <c r="C993" s="53"/>
      <c r="D993" s="23"/>
      <c r="E993" s="53"/>
      <c r="F993" s="54"/>
      <c r="G993" s="54"/>
      <c r="H993" s="54"/>
      <c r="I993" s="53"/>
      <c r="J993" s="53"/>
      <c r="K993" s="23"/>
      <c r="L993" s="53"/>
      <c r="M993" s="54"/>
    </row>
    <row r="994">
      <c r="A994" s="23"/>
      <c r="B994" s="52"/>
      <c r="C994" s="53"/>
      <c r="D994" s="23"/>
      <c r="E994" s="53"/>
      <c r="F994" s="54"/>
      <c r="G994" s="54"/>
      <c r="H994" s="54"/>
      <c r="I994" s="53"/>
      <c r="J994" s="53"/>
      <c r="K994" s="23"/>
      <c r="L994" s="53"/>
      <c r="M994" s="54"/>
    </row>
    <row r="995">
      <c r="A995" s="23"/>
      <c r="B995" s="52"/>
      <c r="C995" s="53"/>
      <c r="D995" s="23"/>
      <c r="E995" s="53"/>
      <c r="F995" s="54"/>
      <c r="G995" s="54"/>
      <c r="H995" s="54"/>
      <c r="I995" s="53"/>
      <c r="J995" s="53"/>
      <c r="K995" s="23"/>
      <c r="L995" s="53"/>
      <c r="M995" s="54"/>
    </row>
    <row r="996">
      <c r="A996" s="23"/>
      <c r="B996" s="52"/>
      <c r="C996" s="53"/>
      <c r="D996" s="23"/>
      <c r="E996" s="53"/>
      <c r="F996" s="54"/>
      <c r="G996" s="54"/>
      <c r="H996" s="54"/>
      <c r="I996" s="53"/>
      <c r="J996" s="53"/>
      <c r="K996" s="23"/>
      <c r="L996" s="53"/>
      <c r="M996" s="54"/>
    </row>
    <row r="997">
      <c r="A997" s="23"/>
      <c r="B997" s="52"/>
      <c r="C997" s="53"/>
      <c r="D997" s="23"/>
      <c r="E997" s="53"/>
      <c r="F997" s="54"/>
      <c r="G997" s="54"/>
      <c r="H997" s="54"/>
      <c r="I997" s="53"/>
      <c r="J997" s="53"/>
      <c r="K997" s="23"/>
      <c r="L997" s="53"/>
      <c r="M997" s="54"/>
    </row>
    <row r="998">
      <c r="A998" s="23"/>
      <c r="B998" s="52"/>
      <c r="C998" s="53"/>
      <c r="D998" s="23"/>
      <c r="E998" s="53"/>
      <c r="F998" s="54"/>
      <c r="G998" s="54"/>
      <c r="H998" s="54"/>
      <c r="I998" s="53"/>
      <c r="J998" s="53"/>
      <c r="K998" s="23"/>
      <c r="L998" s="53"/>
      <c r="M998" s="54"/>
    </row>
    <row r="999">
      <c r="A999" s="23"/>
      <c r="B999" s="52"/>
      <c r="C999" s="53"/>
      <c r="D999" s="23"/>
      <c r="E999" s="53"/>
      <c r="F999" s="54"/>
      <c r="G999" s="54"/>
      <c r="H999" s="54"/>
      <c r="I999" s="53"/>
      <c r="J999" s="53"/>
      <c r="K999" s="23"/>
      <c r="L999" s="53"/>
      <c r="M999" s="54"/>
    </row>
    <row r="1000">
      <c r="A1000" s="23"/>
      <c r="B1000" s="52"/>
      <c r="C1000" s="53"/>
      <c r="D1000" s="23"/>
      <c r="E1000" s="53"/>
      <c r="F1000" s="54"/>
      <c r="G1000" s="54"/>
      <c r="H1000" s="54"/>
      <c r="I1000" s="53"/>
      <c r="J1000" s="53"/>
      <c r="K1000" s="23"/>
      <c r="L1000" s="53"/>
      <c r="M1000" s="54"/>
    </row>
    <row r="1001">
      <c r="A1001" s="23"/>
      <c r="B1001" s="52"/>
      <c r="C1001" s="53"/>
      <c r="D1001" s="23"/>
      <c r="E1001" s="53"/>
      <c r="F1001" s="54"/>
      <c r="G1001" s="54"/>
      <c r="H1001" s="54"/>
      <c r="I1001" s="53"/>
      <c r="J1001" s="53"/>
      <c r="K1001" s="23"/>
      <c r="L1001" s="53"/>
      <c r="M1001" s="54"/>
    </row>
    <row r="1002">
      <c r="A1002" s="23"/>
      <c r="B1002" s="52"/>
      <c r="C1002" s="53"/>
      <c r="D1002" s="23"/>
      <c r="E1002" s="53"/>
      <c r="F1002" s="54"/>
      <c r="G1002" s="54"/>
      <c r="H1002" s="54"/>
      <c r="I1002" s="53"/>
      <c r="J1002" s="53"/>
      <c r="K1002" s="23"/>
      <c r="L1002" s="53"/>
      <c r="M1002" s="54"/>
    </row>
    <row r="1003">
      <c r="A1003" s="23"/>
      <c r="B1003" s="52"/>
      <c r="C1003" s="53"/>
      <c r="D1003" s="23"/>
      <c r="E1003" s="53"/>
      <c r="F1003" s="54"/>
      <c r="G1003" s="54"/>
      <c r="H1003" s="54"/>
      <c r="I1003" s="53"/>
      <c r="J1003" s="53"/>
      <c r="K1003" s="23"/>
      <c r="L1003" s="53"/>
      <c r="M1003" s="54"/>
    </row>
    <row r="1004">
      <c r="A1004" s="23"/>
      <c r="B1004" s="52"/>
      <c r="C1004" s="53"/>
      <c r="D1004" s="23"/>
      <c r="E1004" s="53"/>
      <c r="F1004" s="54"/>
      <c r="G1004" s="54"/>
      <c r="H1004" s="54"/>
      <c r="I1004" s="53"/>
      <c r="J1004" s="53"/>
      <c r="K1004" s="23"/>
      <c r="L1004" s="53"/>
      <c r="M1004" s="54"/>
    </row>
    <row r="1005">
      <c r="A1005" s="23"/>
      <c r="B1005" s="52"/>
      <c r="C1005" s="53"/>
      <c r="D1005" s="23"/>
      <c r="E1005" s="53"/>
      <c r="F1005" s="54"/>
      <c r="G1005" s="54"/>
      <c r="H1005" s="54"/>
      <c r="I1005" s="53"/>
      <c r="J1005" s="53"/>
      <c r="K1005" s="23"/>
      <c r="L1005" s="53"/>
      <c r="M1005" s="54"/>
    </row>
    <row r="1006">
      <c r="A1006" s="23"/>
      <c r="B1006" s="52"/>
      <c r="C1006" s="53"/>
      <c r="D1006" s="23"/>
      <c r="E1006" s="53"/>
      <c r="F1006" s="54"/>
      <c r="G1006" s="54"/>
      <c r="H1006" s="54"/>
      <c r="I1006" s="53"/>
      <c r="J1006" s="53"/>
      <c r="K1006" s="23"/>
      <c r="L1006" s="53"/>
      <c r="M1006" s="54"/>
    </row>
    <row r="1007">
      <c r="A1007" s="23"/>
      <c r="B1007" s="52"/>
      <c r="C1007" s="53"/>
      <c r="D1007" s="23"/>
      <c r="E1007" s="53"/>
      <c r="F1007" s="54"/>
      <c r="G1007" s="54"/>
      <c r="H1007" s="54"/>
      <c r="I1007" s="53"/>
      <c r="J1007" s="53"/>
      <c r="K1007" s="23"/>
      <c r="L1007" s="53"/>
      <c r="M1007" s="54"/>
    </row>
    <row r="1008">
      <c r="A1008" s="23"/>
      <c r="B1008" s="52"/>
      <c r="C1008" s="53"/>
      <c r="D1008" s="23"/>
      <c r="E1008" s="53"/>
      <c r="F1008" s="54"/>
      <c r="G1008" s="54"/>
      <c r="H1008" s="54"/>
      <c r="I1008" s="53"/>
      <c r="J1008" s="53"/>
      <c r="K1008" s="23"/>
      <c r="L1008" s="53"/>
      <c r="M1008" s="54"/>
    </row>
    <row r="1009">
      <c r="A1009" s="23"/>
      <c r="B1009" s="52"/>
      <c r="C1009" s="53"/>
      <c r="D1009" s="23"/>
      <c r="E1009" s="53"/>
      <c r="F1009" s="54"/>
      <c r="G1009" s="54"/>
      <c r="H1009" s="54"/>
      <c r="I1009" s="53"/>
      <c r="J1009" s="53"/>
      <c r="K1009" s="23"/>
      <c r="L1009" s="53"/>
      <c r="M1009" s="54"/>
    </row>
    <row r="1010">
      <c r="A1010" s="23"/>
      <c r="B1010" s="52"/>
      <c r="C1010" s="53"/>
      <c r="D1010" s="23"/>
      <c r="E1010" s="53"/>
      <c r="F1010" s="54"/>
      <c r="G1010" s="54"/>
      <c r="H1010" s="54"/>
      <c r="I1010" s="53"/>
      <c r="J1010" s="53"/>
      <c r="K1010" s="23"/>
      <c r="L1010" s="53"/>
      <c r="M1010" s="54"/>
    </row>
    <row r="1011">
      <c r="A1011" s="23"/>
      <c r="B1011" s="52"/>
      <c r="C1011" s="53"/>
      <c r="D1011" s="23"/>
      <c r="E1011" s="53"/>
      <c r="F1011" s="54"/>
      <c r="G1011" s="54"/>
      <c r="H1011" s="54"/>
      <c r="I1011" s="53"/>
      <c r="J1011" s="53"/>
      <c r="K1011" s="23"/>
      <c r="L1011" s="53"/>
      <c r="M1011" s="54"/>
    </row>
    <row r="1012">
      <c r="A1012" s="23"/>
      <c r="B1012" s="52"/>
      <c r="C1012" s="53"/>
      <c r="D1012" s="23"/>
      <c r="E1012" s="53"/>
      <c r="F1012" s="54"/>
      <c r="G1012" s="54"/>
      <c r="H1012" s="54"/>
      <c r="I1012" s="53"/>
      <c r="J1012" s="53"/>
      <c r="K1012" s="23"/>
      <c r="L1012" s="53"/>
      <c r="M1012" s="54"/>
    </row>
    <row r="1013">
      <c r="A1013" s="23"/>
      <c r="B1013" s="52"/>
      <c r="C1013" s="53"/>
      <c r="D1013" s="23"/>
      <c r="E1013" s="53"/>
      <c r="F1013" s="54"/>
      <c r="G1013" s="54"/>
      <c r="H1013" s="54"/>
      <c r="I1013" s="53"/>
      <c r="J1013" s="53"/>
      <c r="K1013" s="23"/>
      <c r="L1013" s="53"/>
      <c r="M1013" s="54"/>
    </row>
    <row r="1014">
      <c r="A1014" s="23"/>
      <c r="B1014" s="52"/>
      <c r="C1014" s="53"/>
      <c r="D1014" s="23"/>
      <c r="E1014" s="53"/>
      <c r="F1014" s="54"/>
      <c r="G1014" s="54"/>
      <c r="H1014" s="54"/>
      <c r="I1014" s="53"/>
      <c r="J1014" s="53"/>
      <c r="K1014" s="23"/>
      <c r="L1014" s="53"/>
      <c r="M1014" s="54"/>
    </row>
    <row r="1015">
      <c r="A1015" s="23"/>
      <c r="B1015" s="52"/>
      <c r="C1015" s="53"/>
      <c r="D1015" s="23"/>
      <c r="E1015" s="53"/>
      <c r="F1015" s="54"/>
      <c r="G1015" s="54"/>
      <c r="H1015" s="54"/>
      <c r="I1015" s="53"/>
      <c r="J1015" s="53"/>
      <c r="K1015" s="23"/>
      <c r="L1015" s="53"/>
      <c r="M1015" s="54"/>
    </row>
    <row r="1016">
      <c r="A1016" s="23"/>
      <c r="B1016" s="52"/>
      <c r="C1016" s="53"/>
      <c r="D1016" s="23"/>
      <c r="E1016" s="53"/>
      <c r="F1016" s="54"/>
      <c r="G1016" s="54"/>
      <c r="H1016" s="54"/>
      <c r="I1016" s="53"/>
      <c r="J1016" s="53"/>
      <c r="K1016" s="23"/>
      <c r="L1016" s="53"/>
      <c r="M1016" s="54"/>
    </row>
    <row r="1017">
      <c r="A1017" s="23"/>
      <c r="B1017" s="52"/>
      <c r="C1017" s="53"/>
      <c r="D1017" s="23"/>
      <c r="E1017" s="53"/>
      <c r="F1017" s="54"/>
      <c r="G1017" s="54"/>
      <c r="H1017" s="54"/>
      <c r="I1017" s="53"/>
      <c r="J1017" s="53"/>
      <c r="K1017" s="23"/>
      <c r="L1017" s="53"/>
      <c r="M1017" s="54"/>
    </row>
    <row r="1018">
      <c r="A1018" s="23"/>
      <c r="B1018" s="52"/>
      <c r="C1018" s="53"/>
      <c r="D1018" s="23"/>
      <c r="E1018" s="53"/>
      <c r="F1018" s="54"/>
      <c r="G1018" s="54"/>
      <c r="H1018" s="54"/>
      <c r="I1018" s="53"/>
      <c r="J1018" s="53"/>
      <c r="K1018" s="23"/>
      <c r="L1018" s="53"/>
      <c r="M1018" s="54"/>
    </row>
    <row r="1019">
      <c r="A1019" s="23"/>
      <c r="B1019" s="52"/>
      <c r="C1019" s="53"/>
      <c r="D1019" s="23"/>
      <c r="E1019" s="53"/>
      <c r="F1019" s="54"/>
      <c r="G1019" s="54"/>
      <c r="H1019" s="54"/>
      <c r="I1019" s="53"/>
      <c r="J1019" s="53"/>
      <c r="K1019" s="23"/>
      <c r="L1019" s="53"/>
      <c r="M1019" s="54"/>
    </row>
    <row r="1020">
      <c r="A1020" s="23"/>
      <c r="B1020" s="52"/>
      <c r="C1020" s="53"/>
      <c r="D1020" s="23"/>
      <c r="E1020" s="53"/>
      <c r="F1020" s="54"/>
      <c r="G1020" s="54"/>
      <c r="H1020" s="54"/>
      <c r="I1020" s="53"/>
      <c r="J1020" s="53"/>
      <c r="K1020" s="23"/>
      <c r="L1020" s="53"/>
      <c r="M1020" s="54"/>
    </row>
    <row r="1021">
      <c r="A1021" s="23"/>
      <c r="B1021" s="52"/>
      <c r="C1021" s="53"/>
      <c r="D1021" s="23"/>
      <c r="E1021" s="53"/>
      <c r="F1021" s="54"/>
      <c r="G1021" s="54"/>
      <c r="H1021" s="54"/>
      <c r="I1021" s="53"/>
      <c r="J1021" s="53"/>
      <c r="K1021" s="23"/>
      <c r="L1021" s="53"/>
      <c r="M1021" s="54"/>
    </row>
    <row r="1022">
      <c r="A1022" s="23"/>
      <c r="B1022" s="52"/>
      <c r="C1022" s="53"/>
      <c r="D1022" s="23"/>
      <c r="E1022" s="53"/>
      <c r="F1022" s="54"/>
      <c r="G1022" s="54"/>
      <c r="H1022" s="54"/>
      <c r="I1022" s="53"/>
      <c r="J1022" s="53"/>
      <c r="K1022" s="23"/>
      <c r="L1022" s="53"/>
      <c r="M1022" s="54"/>
    </row>
    <row r="1023">
      <c r="A1023" s="23"/>
      <c r="B1023" s="52"/>
      <c r="C1023" s="53"/>
      <c r="D1023" s="23"/>
      <c r="E1023" s="53"/>
      <c r="F1023" s="54"/>
      <c r="G1023" s="54"/>
      <c r="H1023" s="54"/>
      <c r="I1023" s="53"/>
      <c r="J1023" s="53"/>
      <c r="K1023" s="23"/>
      <c r="L1023" s="53"/>
      <c r="M1023" s="54"/>
    </row>
    <row r="1024">
      <c r="A1024" s="23"/>
      <c r="B1024" s="52"/>
      <c r="C1024" s="53"/>
      <c r="D1024" s="23"/>
      <c r="E1024" s="53"/>
      <c r="F1024" s="54"/>
      <c r="G1024" s="54"/>
      <c r="H1024" s="54"/>
      <c r="I1024" s="53"/>
      <c r="J1024" s="53"/>
      <c r="K1024" s="23"/>
      <c r="L1024" s="53"/>
      <c r="M1024" s="54"/>
    </row>
    <row r="1025">
      <c r="A1025" s="23"/>
      <c r="B1025" s="52"/>
      <c r="C1025" s="53"/>
      <c r="D1025" s="23"/>
      <c r="E1025" s="53"/>
      <c r="F1025" s="54"/>
      <c r="G1025" s="54"/>
      <c r="H1025" s="54"/>
      <c r="I1025" s="53"/>
      <c r="J1025" s="53"/>
      <c r="K1025" s="23"/>
      <c r="L1025" s="53"/>
      <c r="M1025" s="54"/>
    </row>
    <row r="1026">
      <c r="A1026" s="23"/>
      <c r="B1026" s="52"/>
      <c r="C1026" s="53"/>
      <c r="D1026" s="23"/>
      <c r="E1026" s="53"/>
      <c r="F1026" s="54"/>
      <c r="G1026" s="54"/>
      <c r="H1026" s="54"/>
      <c r="I1026" s="53"/>
      <c r="J1026" s="53"/>
      <c r="K1026" s="23"/>
      <c r="L1026" s="53"/>
      <c r="M1026" s="54"/>
    </row>
    <row r="1027">
      <c r="A1027" s="23"/>
      <c r="B1027" s="52"/>
      <c r="C1027" s="53"/>
      <c r="D1027" s="23"/>
      <c r="E1027" s="53"/>
      <c r="F1027" s="54"/>
      <c r="G1027" s="54"/>
      <c r="H1027" s="54"/>
      <c r="I1027" s="53"/>
      <c r="J1027" s="53"/>
      <c r="K1027" s="23"/>
      <c r="L1027" s="53"/>
      <c r="M1027" s="54"/>
    </row>
    <row r="1028">
      <c r="A1028" s="23"/>
      <c r="B1028" s="52"/>
      <c r="C1028" s="53"/>
      <c r="D1028" s="23"/>
      <c r="E1028" s="53"/>
      <c r="F1028" s="54"/>
      <c r="G1028" s="54"/>
      <c r="H1028" s="54"/>
      <c r="I1028" s="53"/>
      <c r="J1028" s="53"/>
      <c r="K1028" s="23"/>
      <c r="L1028" s="53"/>
      <c r="M1028" s="54"/>
    </row>
    <row r="1029">
      <c r="A1029" s="23"/>
      <c r="B1029" s="52"/>
      <c r="C1029" s="53"/>
      <c r="D1029" s="23"/>
      <c r="E1029" s="53"/>
      <c r="F1029" s="54"/>
      <c r="G1029" s="54"/>
      <c r="H1029" s="54"/>
      <c r="I1029" s="53"/>
      <c r="J1029" s="53"/>
      <c r="K1029" s="23"/>
      <c r="L1029" s="53"/>
      <c r="M1029" s="54"/>
    </row>
    <row r="1030">
      <c r="A1030" s="23"/>
      <c r="B1030" s="52"/>
      <c r="C1030" s="53"/>
      <c r="D1030" s="23"/>
      <c r="E1030" s="53"/>
      <c r="F1030" s="54"/>
      <c r="G1030" s="54"/>
      <c r="H1030" s="54"/>
      <c r="I1030" s="53"/>
      <c r="J1030" s="53"/>
      <c r="K1030" s="23"/>
      <c r="L1030" s="53"/>
      <c r="M1030" s="54"/>
    </row>
    <row r="1031">
      <c r="A1031" s="23"/>
      <c r="B1031" s="52"/>
      <c r="C1031" s="53"/>
      <c r="D1031" s="23"/>
      <c r="E1031" s="53"/>
      <c r="F1031" s="54"/>
      <c r="G1031" s="54"/>
      <c r="H1031" s="54"/>
      <c r="I1031" s="53"/>
      <c r="J1031" s="53"/>
      <c r="K1031" s="23"/>
      <c r="L1031" s="53"/>
      <c r="M1031" s="54"/>
    </row>
    <row r="1032">
      <c r="A1032" s="23"/>
      <c r="B1032" s="52"/>
      <c r="C1032" s="53"/>
      <c r="D1032" s="23"/>
      <c r="E1032" s="53"/>
      <c r="F1032" s="54"/>
      <c r="G1032" s="54"/>
      <c r="H1032" s="54"/>
      <c r="I1032" s="53"/>
      <c r="J1032" s="53"/>
      <c r="K1032" s="23"/>
      <c r="L1032" s="53"/>
      <c r="M1032" s="54"/>
    </row>
    <row r="1033">
      <c r="A1033" s="23"/>
      <c r="B1033" s="52"/>
      <c r="C1033" s="53"/>
      <c r="D1033" s="23"/>
      <c r="E1033" s="53"/>
      <c r="F1033" s="54"/>
      <c r="G1033" s="54"/>
      <c r="H1033" s="54"/>
      <c r="I1033" s="53"/>
      <c r="J1033" s="53"/>
      <c r="K1033" s="23"/>
      <c r="L1033" s="53"/>
      <c r="M1033" s="54"/>
    </row>
    <row r="1034">
      <c r="A1034" s="23"/>
      <c r="B1034" s="52"/>
      <c r="C1034" s="53"/>
      <c r="D1034" s="23"/>
      <c r="E1034" s="53"/>
      <c r="F1034" s="54"/>
      <c r="G1034" s="54"/>
      <c r="H1034" s="54"/>
      <c r="I1034" s="53"/>
      <c r="J1034" s="53"/>
      <c r="K1034" s="23"/>
      <c r="L1034" s="53"/>
      <c r="M1034" s="54"/>
    </row>
    <row r="1035">
      <c r="A1035" s="23"/>
      <c r="B1035" s="52"/>
      <c r="C1035" s="53"/>
      <c r="D1035" s="23"/>
      <c r="E1035" s="53"/>
      <c r="F1035" s="54"/>
      <c r="G1035" s="54"/>
      <c r="H1035" s="54"/>
      <c r="I1035" s="53"/>
      <c r="J1035" s="53"/>
      <c r="K1035" s="23"/>
      <c r="L1035" s="53"/>
      <c r="M1035" s="54"/>
    </row>
    <row r="1036">
      <c r="A1036" s="23"/>
      <c r="B1036" s="52"/>
      <c r="C1036" s="53"/>
      <c r="D1036" s="23"/>
      <c r="E1036" s="53"/>
      <c r="F1036" s="54"/>
      <c r="G1036" s="54"/>
      <c r="H1036" s="54"/>
      <c r="I1036" s="53"/>
      <c r="J1036" s="53"/>
      <c r="K1036" s="23"/>
      <c r="L1036" s="53"/>
      <c r="M1036" s="54"/>
    </row>
    <row r="1037">
      <c r="A1037" s="23"/>
      <c r="B1037" s="52"/>
      <c r="C1037" s="53"/>
      <c r="D1037" s="23"/>
      <c r="E1037" s="53"/>
      <c r="F1037" s="54"/>
      <c r="G1037" s="54"/>
      <c r="H1037" s="54"/>
      <c r="I1037" s="53"/>
      <c r="J1037" s="53"/>
      <c r="K1037" s="23"/>
      <c r="L1037" s="53"/>
      <c r="M1037" s="54"/>
    </row>
    <row r="1038">
      <c r="A1038" s="23"/>
      <c r="B1038" s="52"/>
      <c r="C1038" s="53"/>
      <c r="D1038" s="23"/>
      <c r="E1038" s="53"/>
      <c r="F1038" s="54"/>
      <c r="G1038" s="54"/>
      <c r="H1038" s="54"/>
      <c r="I1038" s="53"/>
      <c r="J1038" s="53"/>
      <c r="K1038" s="23"/>
      <c r="L1038" s="53"/>
      <c r="M1038" s="54"/>
    </row>
    <row r="1039">
      <c r="A1039" s="23"/>
      <c r="B1039" s="52"/>
      <c r="C1039" s="53"/>
      <c r="D1039" s="23"/>
      <c r="E1039" s="53"/>
      <c r="F1039" s="54"/>
      <c r="G1039" s="54"/>
      <c r="H1039" s="54"/>
      <c r="I1039" s="53"/>
      <c r="J1039" s="53"/>
      <c r="K1039" s="23"/>
      <c r="L1039" s="53"/>
      <c r="M1039" s="54"/>
    </row>
    <row r="1040">
      <c r="A1040" s="23"/>
      <c r="B1040" s="52"/>
      <c r="C1040" s="53"/>
      <c r="D1040" s="23"/>
      <c r="E1040" s="53"/>
      <c r="F1040" s="54"/>
      <c r="G1040" s="54"/>
      <c r="H1040" s="54"/>
      <c r="I1040" s="53"/>
      <c r="J1040" s="53"/>
      <c r="K1040" s="23"/>
      <c r="L1040" s="53"/>
      <c r="M1040" s="54"/>
    </row>
    <row r="1041">
      <c r="A1041" s="23"/>
      <c r="B1041" s="52"/>
      <c r="C1041" s="53"/>
      <c r="D1041" s="23"/>
      <c r="E1041" s="53"/>
      <c r="F1041" s="54"/>
      <c r="G1041" s="54"/>
      <c r="H1041" s="54"/>
      <c r="I1041" s="53"/>
      <c r="J1041" s="53"/>
      <c r="K1041" s="23"/>
      <c r="L1041" s="53"/>
      <c r="M1041" s="54"/>
    </row>
    <row r="1042">
      <c r="A1042" s="23"/>
      <c r="B1042" s="52"/>
      <c r="C1042" s="53"/>
      <c r="D1042" s="23"/>
      <c r="E1042" s="53"/>
      <c r="F1042" s="54"/>
      <c r="G1042" s="54"/>
      <c r="H1042" s="54"/>
      <c r="I1042" s="53"/>
      <c r="J1042" s="53"/>
      <c r="K1042" s="23"/>
      <c r="L1042" s="53"/>
      <c r="M1042" s="54"/>
    </row>
    <row r="1043">
      <c r="A1043" s="23"/>
      <c r="B1043" s="52"/>
      <c r="C1043" s="53"/>
      <c r="D1043" s="23"/>
      <c r="E1043" s="53"/>
      <c r="F1043" s="54"/>
      <c r="G1043" s="54"/>
      <c r="H1043" s="54"/>
      <c r="I1043" s="53"/>
      <c r="J1043" s="53"/>
      <c r="K1043" s="23"/>
      <c r="L1043" s="53"/>
      <c r="M1043" s="54"/>
    </row>
    <row r="1044">
      <c r="A1044" s="23"/>
      <c r="B1044" s="52"/>
      <c r="C1044" s="53"/>
      <c r="D1044" s="23"/>
      <c r="E1044" s="53"/>
      <c r="F1044" s="54"/>
      <c r="G1044" s="54"/>
      <c r="H1044" s="54"/>
      <c r="I1044" s="53"/>
      <c r="J1044" s="53"/>
      <c r="K1044" s="23"/>
      <c r="L1044" s="53"/>
      <c r="M1044" s="54"/>
    </row>
    <row r="1045">
      <c r="A1045" s="23"/>
      <c r="B1045" s="52"/>
      <c r="C1045" s="53"/>
      <c r="D1045" s="23"/>
      <c r="E1045" s="53"/>
      <c r="F1045" s="54"/>
      <c r="G1045" s="54"/>
      <c r="H1045" s="54"/>
      <c r="I1045" s="53"/>
      <c r="J1045" s="53"/>
      <c r="K1045" s="23"/>
      <c r="L1045" s="53"/>
      <c r="M1045" s="54"/>
    </row>
    <row r="1046">
      <c r="A1046" s="23"/>
      <c r="B1046" s="52"/>
      <c r="C1046" s="53"/>
      <c r="D1046" s="23"/>
      <c r="E1046" s="53"/>
      <c r="F1046" s="54"/>
      <c r="G1046" s="54"/>
      <c r="H1046" s="54"/>
      <c r="I1046" s="53"/>
      <c r="J1046" s="53"/>
      <c r="K1046" s="23"/>
      <c r="L1046" s="53"/>
      <c r="M1046" s="54"/>
    </row>
    <row r="1047">
      <c r="A1047" s="23"/>
      <c r="B1047" s="52"/>
      <c r="C1047" s="53"/>
      <c r="D1047" s="23"/>
      <c r="E1047" s="53"/>
      <c r="F1047" s="54"/>
      <c r="G1047" s="54"/>
      <c r="H1047" s="54"/>
      <c r="I1047" s="53"/>
      <c r="J1047" s="53"/>
      <c r="K1047" s="23"/>
      <c r="L1047" s="53"/>
      <c r="M1047" s="54"/>
    </row>
    <row r="1048">
      <c r="A1048" s="23"/>
      <c r="B1048" s="52"/>
      <c r="C1048" s="53"/>
      <c r="D1048" s="23"/>
      <c r="E1048" s="53"/>
      <c r="F1048" s="54"/>
      <c r="G1048" s="54"/>
      <c r="H1048" s="54"/>
      <c r="I1048" s="53"/>
      <c r="J1048" s="53"/>
      <c r="K1048" s="23"/>
      <c r="L1048" s="53"/>
      <c r="M1048" s="54"/>
    </row>
    <row r="1049">
      <c r="A1049" s="23"/>
      <c r="B1049" s="52"/>
      <c r="C1049" s="53"/>
      <c r="D1049" s="23"/>
      <c r="E1049" s="53"/>
      <c r="F1049" s="54"/>
      <c r="G1049" s="54"/>
      <c r="H1049" s="54"/>
      <c r="I1049" s="53"/>
      <c r="J1049" s="53"/>
      <c r="K1049" s="23"/>
      <c r="L1049" s="53"/>
      <c r="M1049" s="54"/>
    </row>
    <row r="1050">
      <c r="A1050" s="23"/>
      <c r="B1050" s="52"/>
      <c r="C1050" s="53"/>
      <c r="D1050" s="23"/>
      <c r="E1050" s="53"/>
      <c r="F1050" s="54"/>
      <c r="G1050" s="54"/>
      <c r="H1050" s="54"/>
      <c r="I1050" s="53"/>
      <c r="J1050" s="53"/>
      <c r="K1050" s="23"/>
      <c r="L1050" s="53"/>
      <c r="M1050" s="54"/>
    </row>
    <row r="1051">
      <c r="A1051" s="23"/>
      <c r="B1051" s="52"/>
      <c r="C1051" s="53"/>
      <c r="D1051" s="23"/>
      <c r="E1051" s="53"/>
      <c r="F1051" s="54"/>
      <c r="G1051" s="54"/>
      <c r="H1051" s="54"/>
      <c r="I1051" s="53"/>
      <c r="J1051" s="53"/>
      <c r="K1051" s="23"/>
      <c r="L1051" s="53"/>
      <c r="M1051" s="54"/>
    </row>
    <row r="1052">
      <c r="A1052" s="23"/>
      <c r="B1052" s="52"/>
      <c r="C1052" s="53"/>
      <c r="D1052" s="23"/>
      <c r="E1052" s="53"/>
      <c r="F1052" s="54"/>
      <c r="G1052" s="54"/>
      <c r="H1052" s="54"/>
      <c r="I1052" s="53"/>
      <c r="J1052" s="53"/>
      <c r="K1052" s="23"/>
      <c r="L1052" s="53"/>
      <c r="M1052" s="54"/>
    </row>
    <row r="1053">
      <c r="A1053" s="23"/>
      <c r="B1053" s="52"/>
      <c r="C1053" s="53"/>
      <c r="D1053" s="23"/>
      <c r="E1053" s="53"/>
      <c r="F1053" s="54"/>
      <c r="G1053" s="54"/>
      <c r="H1053" s="54"/>
      <c r="I1053" s="53"/>
      <c r="J1053" s="53"/>
      <c r="K1053" s="23"/>
      <c r="L1053" s="53"/>
      <c r="M1053" s="54"/>
    </row>
    <row r="1054">
      <c r="A1054" s="23"/>
      <c r="B1054" s="52"/>
      <c r="C1054" s="53"/>
      <c r="D1054" s="23"/>
      <c r="E1054" s="53"/>
      <c r="F1054" s="54"/>
      <c r="G1054" s="54"/>
      <c r="H1054" s="54"/>
      <c r="I1054" s="53"/>
      <c r="J1054" s="53"/>
      <c r="K1054" s="23"/>
      <c r="L1054" s="53"/>
      <c r="M1054" s="54"/>
    </row>
    <row r="1055">
      <c r="A1055" s="23"/>
      <c r="B1055" s="52"/>
      <c r="C1055" s="53"/>
      <c r="D1055" s="23"/>
      <c r="E1055" s="53"/>
      <c r="F1055" s="54"/>
      <c r="G1055" s="54"/>
      <c r="H1055" s="54"/>
      <c r="I1055" s="53"/>
      <c r="J1055" s="53"/>
      <c r="K1055" s="23"/>
      <c r="L1055" s="53"/>
      <c r="M1055" s="54"/>
    </row>
    <row r="1056">
      <c r="A1056" s="23"/>
      <c r="B1056" s="52"/>
      <c r="C1056" s="53"/>
      <c r="D1056" s="23"/>
      <c r="E1056" s="53"/>
      <c r="F1056" s="54"/>
      <c r="G1056" s="54"/>
      <c r="H1056" s="54"/>
      <c r="I1056" s="53"/>
      <c r="J1056" s="53"/>
      <c r="K1056" s="23"/>
      <c r="L1056" s="53"/>
      <c r="M1056" s="54"/>
    </row>
    <row r="1057">
      <c r="A1057" s="23"/>
      <c r="B1057" s="52"/>
      <c r="C1057" s="53"/>
      <c r="D1057" s="23"/>
      <c r="E1057" s="53"/>
      <c r="F1057" s="54"/>
      <c r="G1057" s="54"/>
      <c r="H1057" s="54"/>
      <c r="I1057" s="53"/>
      <c r="J1057" s="53"/>
      <c r="K1057" s="23"/>
      <c r="L1057" s="53"/>
      <c r="M1057" s="54"/>
    </row>
    <row r="1058">
      <c r="A1058" s="23"/>
      <c r="B1058" s="52"/>
      <c r="C1058" s="53"/>
      <c r="D1058" s="23"/>
      <c r="E1058" s="53"/>
      <c r="F1058" s="54"/>
      <c r="G1058" s="54"/>
      <c r="H1058" s="54"/>
      <c r="I1058" s="53"/>
      <c r="J1058" s="53"/>
      <c r="K1058" s="23"/>
      <c r="L1058" s="53"/>
      <c r="M1058" s="54"/>
    </row>
    <row r="1059">
      <c r="A1059" s="23"/>
      <c r="B1059" s="52"/>
      <c r="C1059" s="53"/>
      <c r="D1059" s="23"/>
      <c r="E1059" s="53"/>
      <c r="F1059" s="54"/>
      <c r="G1059" s="54"/>
      <c r="H1059" s="54"/>
      <c r="I1059" s="53"/>
      <c r="J1059" s="53"/>
      <c r="K1059" s="23"/>
      <c r="L1059" s="53"/>
      <c r="M1059" s="54"/>
    </row>
    <row r="1060">
      <c r="A1060" s="23"/>
      <c r="B1060" s="52"/>
      <c r="C1060" s="53"/>
      <c r="D1060" s="23"/>
      <c r="E1060" s="53"/>
      <c r="F1060" s="54"/>
      <c r="G1060" s="54"/>
      <c r="H1060" s="54"/>
      <c r="I1060" s="53"/>
      <c r="J1060" s="53"/>
      <c r="K1060" s="23"/>
      <c r="L1060" s="53"/>
      <c r="M1060" s="54"/>
    </row>
    <row r="1061">
      <c r="A1061" s="23"/>
      <c r="B1061" s="52"/>
      <c r="C1061" s="53"/>
      <c r="D1061" s="23"/>
      <c r="E1061" s="53"/>
      <c r="F1061" s="54"/>
      <c r="G1061" s="54"/>
      <c r="H1061" s="54"/>
      <c r="I1061" s="53"/>
      <c r="J1061" s="53"/>
      <c r="K1061" s="23"/>
      <c r="L1061" s="53"/>
      <c r="M1061" s="54"/>
    </row>
    <row r="1062">
      <c r="A1062" s="23"/>
      <c r="B1062" s="52"/>
      <c r="C1062" s="53"/>
      <c r="D1062" s="23"/>
      <c r="E1062" s="53"/>
      <c r="F1062" s="54"/>
      <c r="G1062" s="54"/>
      <c r="H1062" s="54"/>
      <c r="I1062" s="53"/>
      <c r="J1062" s="53"/>
      <c r="K1062" s="23"/>
      <c r="L1062" s="53"/>
      <c r="M1062" s="54"/>
    </row>
    <row r="1063">
      <c r="A1063" s="23"/>
      <c r="B1063" s="52"/>
      <c r="C1063" s="53"/>
      <c r="D1063" s="23"/>
      <c r="E1063" s="53"/>
      <c r="F1063" s="54"/>
      <c r="G1063" s="54"/>
      <c r="H1063" s="54"/>
      <c r="I1063" s="53"/>
      <c r="J1063" s="53"/>
      <c r="K1063" s="23"/>
      <c r="L1063" s="53"/>
      <c r="M1063" s="54"/>
    </row>
    <row r="1064">
      <c r="A1064" s="23"/>
      <c r="B1064" s="52"/>
      <c r="C1064" s="53"/>
      <c r="D1064" s="23"/>
      <c r="E1064" s="53"/>
      <c r="F1064" s="54"/>
      <c r="G1064" s="54"/>
      <c r="H1064" s="54"/>
      <c r="I1064" s="53"/>
      <c r="J1064" s="53"/>
      <c r="K1064" s="23"/>
      <c r="L1064" s="53"/>
      <c r="M1064" s="54"/>
    </row>
    <row r="1065">
      <c r="A1065" s="23"/>
      <c r="B1065" s="52"/>
      <c r="C1065" s="53"/>
      <c r="D1065" s="23"/>
      <c r="E1065" s="53"/>
      <c r="F1065" s="54"/>
      <c r="G1065" s="54"/>
      <c r="H1065" s="54"/>
      <c r="I1065" s="53"/>
      <c r="J1065" s="53"/>
      <c r="K1065" s="23"/>
      <c r="L1065" s="53"/>
      <c r="M1065" s="54"/>
    </row>
    <row r="1066">
      <c r="A1066" s="23"/>
      <c r="B1066" s="52"/>
      <c r="C1066" s="53"/>
      <c r="D1066" s="23"/>
      <c r="E1066" s="53"/>
      <c r="F1066" s="54"/>
      <c r="G1066" s="54"/>
      <c r="H1066" s="54"/>
      <c r="I1066" s="53"/>
      <c r="J1066" s="53"/>
      <c r="K1066" s="23"/>
      <c r="L1066" s="53"/>
      <c r="M1066" s="54"/>
    </row>
    <row r="1067">
      <c r="A1067" s="23"/>
      <c r="B1067" s="52"/>
      <c r="C1067" s="53"/>
      <c r="D1067" s="23"/>
      <c r="E1067" s="53"/>
      <c r="F1067" s="54"/>
      <c r="G1067" s="54"/>
      <c r="H1067" s="54"/>
      <c r="I1067" s="53"/>
      <c r="J1067" s="53"/>
      <c r="K1067" s="23"/>
      <c r="L1067" s="53"/>
      <c r="M1067" s="54"/>
    </row>
    <row r="1068">
      <c r="A1068" s="23"/>
      <c r="B1068" s="52"/>
      <c r="C1068" s="53"/>
      <c r="D1068" s="23"/>
      <c r="E1068" s="53"/>
      <c r="F1068" s="54"/>
      <c r="G1068" s="54"/>
      <c r="H1068" s="54"/>
      <c r="I1068" s="53"/>
      <c r="J1068" s="53"/>
      <c r="K1068" s="23"/>
      <c r="L1068" s="53"/>
      <c r="M1068" s="54"/>
    </row>
    <row r="1069">
      <c r="A1069" s="23"/>
      <c r="B1069" s="52"/>
      <c r="C1069" s="53"/>
      <c r="D1069" s="23"/>
      <c r="E1069" s="53"/>
      <c r="F1069" s="54"/>
      <c r="G1069" s="54"/>
      <c r="H1069" s="54"/>
      <c r="I1069" s="53"/>
      <c r="J1069" s="53"/>
      <c r="K1069" s="23"/>
      <c r="L1069" s="53"/>
      <c r="M1069" s="54"/>
    </row>
    <row r="1070">
      <c r="A1070" s="23"/>
      <c r="B1070" s="52"/>
      <c r="C1070" s="53"/>
      <c r="D1070" s="23"/>
      <c r="E1070" s="53"/>
      <c r="F1070" s="54"/>
      <c r="G1070" s="54"/>
      <c r="H1070" s="54"/>
      <c r="I1070" s="53"/>
      <c r="J1070" s="53"/>
      <c r="K1070" s="23"/>
      <c r="L1070" s="53"/>
      <c r="M1070" s="54"/>
    </row>
    <row r="1071">
      <c r="A1071" s="23"/>
      <c r="B1071" s="52"/>
      <c r="C1071" s="53"/>
      <c r="D1071" s="23"/>
      <c r="E1071" s="53"/>
      <c r="F1071" s="54"/>
      <c r="G1071" s="54"/>
      <c r="H1071" s="54"/>
      <c r="I1071" s="53"/>
      <c r="J1071" s="53"/>
      <c r="K1071" s="23"/>
      <c r="L1071" s="53"/>
      <c r="M1071" s="54"/>
    </row>
    <row r="1072">
      <c r="A1072" s="23"/>
      <c r="B1072" s="52"/>
      <c r="C1072" s="53"/>
      <c r="D1072" s="23"/>
      <c r="E1072" s="53"/>
      <c r="F1072" s="54"/>
      <c r="G1072" s="54"/>
      <c r="H1072" s="54"/>
      <c r="I1072" s="53"/>
      <c r="J1072" s="53"/>
      <c r="K1072" s="23"/>
      <c r="L1072" s="53"/>
      <c r="M1072" s="54"/>
    </row>
    <row r="1073">
      <c r="A1073" s="23"/>
      <c r="B1073" s="52"/>
      <c r="C1073" s="53"/>
      <c r="D1073" s="23"/>
      <c r="E1073" s="53"/>
      <c r="F1073" s="54"/>
      <c r="G1073" s="54"/>
      <c r="H1073" s="54"/>
      <c r="I1073" s="53"/>
      <c r="J1073" s="53"/>
      <c r="K1073" s="23"/>
      <c r="L1073" s="53"/>
      <c r="M1073" s="54"/>
    </row>
    <row r="1074">
      <c r="A1074" s="23"/>
      <c r="B1074" s="52"/>
      <c r="C1074" s="53"/>
      <c r="D1074" s="23"/>
      <c r="E1074" s="53"/>
      <c r="F1074" s="54"/>
      <c r="G1074" s="54"/>
      <c r="H1074" s="54"/>
      <c r="I1074" s="53"/>
      <c r="J1074" s="53"/>
      <c r="K1074" s="23"/>
      <c r="L1074" s="53"/>
      <c r="M1074" s="54"/>
    </row>
    <row r="1075">
      <c r="A1075" s="23"/>
      <c r="B1075" s="52"/>
      <c r="C1075" s="53"/>
      <c r="D1075" s="23"/>
      <c r="E1075" s="53"/>
      <c r="F1075" s="54"/>
      <c r="G1075" s="54"/>
      <c r="H1075" s="54"/>
      <c r="I1075" s="53"/>
      <c r="J1075" s="53"/>
      <c r="K1075" s="23"/>
      <c r="L1075" s="53"/>
      <c r="M1075" s="54"/>
    </row>
    <row r="1076">
      <c r="A1076" s="23"/>
      <c r="B1076" s="52"/>
      <c r="C1076" s="53"/>
      <c r="D1076" s="23"/>
      <c r="E1076" s="53"/>
      <c r="F1076" s="54"/>
      <c r="G1076" s="54"/>
      <c r="H1076" s="54"/>
      <c r="I1076" s="53"/>
      <c r="J1076" s="53"/>
      <c r="K1076" s="23"/>
      <c r="L1076" s="53"/>
      <c r="M1076" s="54"/>
    </row>
    <row r="1077">
      <c r="A1077" s="23"/>
      <c r="B1077" s="52"/>
      <c r="C1077" s="53"/>
      <c r="D1077" s="23"/>
      <c r="E1077" s="53"/>
      <c r="F1077" s="54"/>
      <c r="G1077" s="54"/>
      <c r="H1077" s="54"/>
      <c r="I1077" s="53"/>
      <c r="J1077" s="53"/>
      <c r="K1077" s="23"/>
      <c r="L1077" s="53"/>
      <c r="M1077" s="54"/>
    </row>
    <row r="1078">
      <c r="A1078" s="23"/>
      <c r="B1078" s="52"/>
      <c r="C1078" s="53"/>
      <c r="D1078" s="23"/>
      <c r="E1078" s="53"/>
      <c r="F1078" s="54"/>
      <c r="G1078" s="54"/>
      <c r="H1078" s="54"/>
      <c r="I1078" s="53"/>
      <c r="J1078" s="53"/>
      <c r="K1078" s="23"/>
      <c r="L1078" s="53"/>
      <c r="M1078" s="54"/>
    </row>
    <row r="1079">
      <c r="A1079" s="23"/>
      <c r="B1079" s="52"/>
      <c r="C1079" s="53"/>
      <c r="D1079" s="23"/>
      <c r="E1079" s="53"/>
      <c r="F1079" s="54"/>
      <c r="G1079" s="54"/>
      <c r="H1079" s="54"/>
      <c r="I1079" s="53"/>
      <c r="J1079" s="53"/>
      <c r="K1079" s="23"/>
      <c r="L1079" s="53"/>
      <c r="M1079" s="54"/>
    </row>
    <row r="1080">
      <c r="A1080" s="23"/>
      <c r="B1080" s="52"/>
      <c r="C1080" s="53"/>
      <c r="D1080" s="23"/>
      <c r="E1080" s="53"/>
      <c r="F1080" s="54"/>
      <c r="G1080" s="54"/>
      <c r="H1080" s="54"/>
      <c r="I1080" s="53"/>
      <c r="J1080" s="53"/>
      <c r="K1080" s="23"/>
      <c r="L1080" s="53"/>
      <c r="M1080" s="54"/>
    </row>
    <row r="1081">
      <c r="A1081" s="23"/>
      <c r="B1081" s="52"/>
      <c r="C1081" s="53"/>
      <c r="D1081" s="23"/>
      <c r="E1081" s="53"/>
      <c r="F1081" s="54"/>
      <c r="G1081" s="54"/>
      <c r="H1081" s="54"/>
      <c r="I1081" s="53"/>
      <c r="J1081" s="53"/>
      <c r="K1081" s="23"/>
      <c r="L1081" s="53"/>
      <c r="M1081" s="54"/>
    </row>
    <row r="1082">
      <c r="A1082" s="23"/>
      <c r="B1082" s="52"/>
      <c r="C1082" s="53"/>
      <c r="D1082" s="23"/>
      <c r="E1082" s="53"/>
      <c r="F1082" s="54"/>
      <c r="G1082" s="54"/>
      <c r="H1082" s="54"/>
      <c r="I1082" s="53"/>
      <c r="J1082" s="53"/>
      <c r="K1082" s="23"/>
      <c r="L1082" s="53"/>
      <c r="M1082" s="54"/>
    </row>
    <row r="1083">
      <c r="A1083" s="23"/>
      <c r="B1083" s="52"/>
      <c r="C1083" s="53"/>
      <c r="D1083" s="23"/>
      <c r="E1083" s="53"/>
      <c r="F1083" s="54"/>
      <c r="G1083" s="54"/>
      <c r="H1083" s="54"/>
      <c r="I1083" s="53"/>
      <c r="J1083" s="53"/>
      <c r="K1083" s="23"/>
      <c r="L1083" s="53"/>
      <c r="M1083" s="54"/>
    </row>
    <row r="1084">
      <c r="A1084" s="23"/>
      <c r="B1084" s="52"/>
      <c r="C1084" s="53"/>
      <c r="D1084" s="23"/>
      <c r="E1084" s="53"/>
      <c r="F1084" s="54"/>
      <c r="G1084" s="54"/>
      <c r="H1084" s="54"/>
      <c r="I1084" s="53"/>
      <c r="J1084" s="53"/>
      <c r="K1084" s="23"/>
      <c r="L1084" s="53"/>
      <c r="M1084" s="54"/>
    </row>
    <row r="1085">
      <c r="A1085" s="23"/>
      <c r="B1085" s="52"/>
      <c r="C1085" s="53"/>
      <c r="D1085" s="23"/>
      <c r="E1085" s="53"/>
      <c r="F1085" s="54"/>
      <c r="G1085" s="54"/>
      <c r="H1085" s="54"/>
      <c r="I1085" s="53"/>
      <c r="J1085" s="53"/>
      <c r="K1085" s="23"/>
      <c r="L1085" s="53"/>
      <c r="M1085" s="54"/>
    </row>
    <row r="1086">
      <c r="A1086" s="23"/>
      <c r="B1086" s="52"/>
      <c r="C1086" s="53"/>
      <c r="D1086" s="23"/>
      <c r="E1086" s="53"/>
      <c r="F1086" s="54"/>
      <c r="G1086" s="54"/>
      <c r="H1086" s="54"/>
      <c r="I1086" s="53"/>
      <c r="J1086" s="53"/>
      <c r="K1086" s="23"/>
      <c r="L1086" s="53"/>
      <c r="M1086" s="54"/>
    </row>
    <row r="1087">
      <c r="A1087" s="23"/>
      <c r="B1087" s="52"/>
      <c r="C1087" s="53"/>
      <c r="D1087" s="23"/>
      <c r="E1087" s="53"/>
      <c r="F1087" s="54"/>
      <c r="G1087" s="54"/>
      <c r="H1087" s="54"/>
      <c r="I1087" s="53"/>
      <c r="J1087" s="53"/>
      <c r="K1087" s="23"/>
      <c r="L1087" s="53"/>
      <c r="M1087" s="54"/>
    </row>
    <row r="1088">
      <c r="A1088" s="23"/>
      <c r="B1088" s="52"/>
      <c r="C1088" s="53"/>
      <c r="D1088" s="23"/>
      <c r="E1088" s="53"/>
      <c r="F1088" s="54"/>
      <c r="G1088" s="54"/>
      <c r="H1088" s="54"/>
      <c r="I1088" s="53"/>
      <c r="J1088" s="53"/>
      <c r="K1088" s="23"/>
      <c r="L1088" s="53"/>
      <c r="M1088" s="54"/>
    </row>
    <row r="1089">
      <c r="A1089" s="23"/>
      <c r="B1089" s="52"/>
      <c r="C1089" s="53"/>
      <c r="D1089" s="23"/>
      <c r="E1089" s="53"/>
      <c r="F1089" s="54"/>
      <c r="G1089" s="54"/>
      <c r="H1089" s="54"/>
      <c r="I1089" s="53"/>
      <c r="J1089" s="53"/>
      <c r="K1089" s="23"/>
      <c r="L1089" s="53"/>
      <c r="M1089" s="54"/>
    </row>
    <row r="1090">
      <c r="A1090" s="23"/>
      <c r="B1090" s="52"/>
      <c r="C1090" s="53"/>
      <c r="D1090" s="23"/>
      <c r="E1090" s="53"/>
      <c r="F1090" s="54"/>
      <c r="G1090" s="54"/>
      <c r="H1090" s="54"/>
      <c r="I1090" s="53"/>
      <c r="J1090" s="53"/>
      <c r="K1090" s="23"/>
      <c r="L1090" s="53"/>
      <c r="M1090" s="54"/>
    </row>
    <row r="1091">
      <c r="A1091" s="23"/>
      <c r="B1091" s="52"/>
      <c r="C1091" s="53"/>
      <c r="D1091" s="23"/>
      <c r="E1091" s="53"/>
      <c r="F1091" s="54"/>
      <c r="G1091" s="54"/>
      <c r="H1091" s="54"/>
      <c r="I1091" s="53"/>
      <c r="J1091" s="53"/>
      <c r="K1091" s="23"/>
      <c r="L1091" s="53"/>
      <c r="M1091" s="54"/>
    </row>
    <row r="1092">
      <c r="A1092" s="23"/>
      <c r="B1092" s="52"/>
      <c r="C1092" s="53"/>
      <c r="D1092" s="23"/>
      <c r="E1092" s="53"/>
      <c r="F1092" s="54"/>
      <c r="G1092" s="54"/>
      <c r="H1092" s="54"/>
      <c r="I1092" s="53"/>
      <c r="J1092" s="53"/>
      <c r="K1092" s="23"/>
      <c r="L1092" s="53"/>
      <c r="M1092" s="54"/>
    </row>
    <row r="1093">
      <c r="A1093" s="23"/>
      <c r="B1093" s="52"/>
      <c r="C1093" s="53"/>
      <c r="D1093" s="23"/>
      <c r="E1093" s="53"/>
      <c r="F1093" s="54"/>
      <c r="G1093" s="54"/>
      <c r="H1093" s="54"/>
      <c r="I1093" s="53"/>
      <c r="J1093" s="53"/>
      <c r="K1093" s="23"/>
      <c r="L1093" s="53"/>
      <c r="M1093" s="54"/>
    </row>
    <row r="1094">
      <c r="A1094" s="23"/>
      <c r="B1094" s="52"/>
      <c r="C1094" s="53"/>
      <c r="D1094" s="23"/>
      <c r="E1094" s="53"/>
      <c r="F1094" s="54"/>
      <c r="G1094" s="54"/>
      <c r="H1094" s="54"/>
      <c r="I1094" s="53"/>
      <c r="J1094" s="53"/>
      <c r="K1094" s="23"/>
      <c r="L1094" s="53"/>
      <c r="M1094" s="54"/>
    </row>
    <row r="1095">
      <c r="A1095" s="23"/>
      <c r="B1095" s="52"/>
      <c r="C1095" s="53"/>
      <c r="D1095" s="23"/>
      <c r="E1095" s="53"/>
      <c r="F1095" s="54"/>
      <c r="G1095" s="54"/>
      <c r="H1095" s="54"/>
      <c r="I1095" s="53"/>
      <c r="J1095" s="53"/>
      <c r="K1095" s="23"/>
      <c r="L1095" s="53"/>
      <c r="M1095" s="54"/>
    </row>
    <row r="1096">
      <c r="A1096" s="23"/>
      <c r="B1096" s="52"/>
      <c r="C1096" s="53"/>
      <c r="D1096" s="23"/>
      <c r="E1096" s="53"/>
      <c r="F1096" s="54"/>
      <c r="G1096" s="54"/>
      <c r="H1096" s="54"/>
      <c r="I1096" s="53"/>
      <c r="J1096" s="53"/>
      <c r="K1096" s="23"/>
      <c r="L1096" s="53"/>
      <c r="M1096" s="54"/>
    </row>
    <row r="1097">
      <c r="A1097" s="23"/>
      <c r="B1097" s="52"/>
      <c r="C1097" s="53"/>
      <c r="D1097" s="23"/>
      <c r="E1097" s="53"/>
      <c r="F1097" s="54"/>
      <c r="G1097" s="54"/>
      <c r="H1097" s="54"/>
      <c r="I1097" s="53"/>
      <c r="J1097" s="53"/>
      <c r="K1097" s="23"/>
      <c r="L1097" s="53"/>
      <c r="M1097" s="54"/>
    </row>
    <row r="1098">
      <c r="A1098" s="23"/>
      <c r="B1098" s="52"/>
      <c r="C1098" s="53"/>
      <c r="D1098" s="23"/>
      <c r="E1098" s="53"/>
      <c r="F1098" s="54"/>
      <c r="G1098" s="54"/>
      <c r="H1098" s="54"/>
      <c r="I1098" s="53"/>
      <c r="J1098" s="53"/>
      <c r="K1098" s="23"/>
      <c r="L1098" s="53"/>
      <c r="M1098" s="54"/>
    </row>
    <row r="1099">
      <c r="A1099" s="23"/>
      <c r="B1099" s="52"/>
      <c r="C1099" s="53"/>
      <c r="D1099" s="23"/>
      <c r="E1099" s="53"/>
      <c r="F1099" s="54"/>
      <c r="G1099" s="54"/>
      <c r="H1099" s="54"/>
      <c r="I1099" s="53"/>
      <c r="J1099" s="53"/>
      <c r="K1099" s="23"/>
      <c r="L1099" s="53"/>
      <c r="M1099" s="54"/>
    </row>
    <row r="1100">
      <c r="A1100" s="23"/>
      <c r="B1100" s="52"/>
      <c r="C1100" s="53"/>
      <c r="D1100" s="23"/>
      <c r="E1100" s="53"/>
      <c r="F1100" s="54"/>
      <c r="G1100" s="54"/>
      <c r="H1100" s="54"/>
      <c r="I1100" s="53"/>
      <c r="J1100" s="53"/>
      <c r="K1100" s="23"/>
      <c r="L1100" s="53"/>
      <c r="M1100" s="54"/>
    </row>
    <row r="1101">
      <c r="A1101" s="23"/>
      <c r="B1101" s="52"/>
      <c r="C1101" s="53"/>
      <c r="D1101" s="23"/>
      <c r="E1101" s="53"/>
      <c r="F1101" s="54"/>
      <c r="G1101" s="54"/>
      <c r="H1101" s="54"/>
      <c r="I1101" s="53"/>
      <c r="J1101" s="53"/>
      <c r="K1101" s="23"/>
      <c r="L1101" s="53"/>
      <c r="M1101" s="54"/>
    </row>
    <row r="1102">
      <c r="A1102" s="23"/>
      <c r="B1102" s="52"/>
      <c r="C1102" s="53"/>
      <c r="D1102" s="23"/>
      <c r="E1102" s="53"/>
      <c r="F1102" s="54"/>
      <c r="G1102" s="54"/>
      <c r="H1102" s="54"/>
      <c r="I1102" s="53"/>
      <c r="J1102" s="53"/>
      <c r="K1102" s="23"/>
      <c r="L1102" s="53"/>
      <c r="M1102" s="54"/>
    </row>
    <row r="1103">
      <c r="A1103" s="23"/>
      <c r="B1103" s="52"/>
      <c r="C1103" s="53"/>
      <c r="D1103" s="23"/>
      <c r="E1103" s="53"/>
      <c r="F1103" s="54"/>
      <c r="G1103" s="54"/>
      <c r="H1103" s="54"/>
      <c r="I1103" s="53"/>
      <c r="J1103" s="53"/>
      <c r="K1103" s="23"/>
      <c r="L1103" s="53"/>
      <c r="M1103" s="54"/>
    </row>
    <row r="1104">
      <c r="A1104" s="23"/>
      <c r="B1104" s="52"/>
      <c r="C1104" s="53"/>
      <c r="D1104" s="23"/>
      <c r="E1104" s="53"/>
      <c r="F1104" s="54"/>
      <c r="G1104" s="54"/>
      <c r="H1104" s="54"/>
      <c r="I1104" s="53"/>
      <c r="J1104" s="53"/>
      <c r="K1104" s="23"/>
      <c r="L1104" s="53"/>
      <c r="M1104" s="54"/>
    </row>
    <row r="1105">
      <c r="A1105" s="23"/>
      <c r="B1105" s="52"/>
      <c r="C1105" s="53"/>
      <c r="D1105" s="23"/>
      <c r="E1105" s="53"/>
      <c r="F1105" s="54"/>
      <c r="G1105" s="54"/>
      <c r="H1105" s="54"/>
      <c r="I1105" s="53"/>
      <c r="J1105" s="53"/>
      <c r="K1105" s="23"/>
      <c r="L1105" s="53"/>
      <c r="M1105" s="54"/>
    </row>
    <row r="1106">
      <c r="A1106" s="23"/>
      <c r="B1106" s="52"/>
      <c r="C1106" s="53"/>
      <c r="D1106" s="23"/>
      <c r="E1106" s="53"/>
      <c r="F1106" s="54"/>
      <c r="G1106" s="54"/>
      <c r="H1106" s="54"/>
      <c r="I1106" s="53"/>
      <c r="J1106" s="53"/>
      <c r="K1106" s="23"/>
      <c r="L1106" s="53"/>
      <c r="M1106" s="54"/>
    </row>
    <row r="1107">
      <c r="A1107" s="23"/>
      <c r="B1107" s="52"/>
      <c r="C1107" s="53"/>
      <c r="D1107" s="23"/>
      <c r="E1107" s="53"/>
      <c r="F1107" s="54"/>
      <c r="G1107" s="54"/>
      <c r="H1107" s="54"/>
      <c r="I1107" s="53"/>
      <c r="J1107" s="53"/>
      <c r="K1107" s="23"/>
      <c r="L1107" s="53"/>
      <c r="M1107" s="54"/>
    </row>
    <row r="1108">
      <c r="A1108" s="23"/>
      <c r="B1108" s="52"/>
      <c r="C1108" s="53"/>
      <c r="D1108" s="23"/>
      <c r="E1108" s="53"/>
      <c r="F1108" s="54"/>
      <c r="G1108" s="54"/>
      <c r="H1108" s="54"/>
      <c r="I1108" s="53"/>
      <c r="J1108" s="53"/>
      <c r="K1108" s="23"/>
      <c r="L1108" s="53"/>
      <c r="M1108" s="54"/>
    </row>
    <row r="1109">
      <c r="A1109" s="23"/>
      <c r="B1109" s="52"/>
      <c r="C1109" s="53"/>
      <c r="D1109" s="23"/>
      <c r="E1109" s="53"/>
      <c r="F1109" s="54"/>
      <c r="G1109" s="54"/>
      <c r="H1109" s="54"/>
      <c r="I1109" s="53"/>
      <c r="J1109" s="53"/>
      <c r="K1109" s="23"/>
      <c r="L1109" s="53"/>
      <c r="M1109" s="54"/>
    </row>
    <row r="1110">
      <c r="A1110" s="23"/>
      <c r="B1110" s="52"/>
      <c r="C1110" s="53"/>
      <c r="D1110" s="23"/>
      <c r="E1110" s="53"/>
      <c r="F1110" s="54"/>
      <c r="G1110" s="54"/>
      <c r="H1110" s="54"/>
      <c r="I1110" s="53"/>
      <c r="J1110" s="53"/>
      <c r="K1110" s="23"/>
      <c r="L1110" s="53"/>
      <c r="M1110" s="54"/>
    </row>
    <row r="1111">
      <c r="A1111" s="23"/>
      <c r="B1111" s="52"/>
      <c r="C1111" s="53"/>
      <c r="D1111" s="23"/>
      <c r="E1111" s="53"/>
      <c r="F1111" s="54"/>
      <c r="G1111" s="54"/>
      <c r="H1111" s="54"/>
      <c r="I1111" s="53"/>
      <c r="J1111" s="53"/>
      <c r="K1111" s="23"/>
      <c r="L1111" s="53"/>
      <c r="M1111" s="54"/>
    </row>
    <row r="1112">
      <c r="A1112" s="23"/>
      <c r="B1112" s="52"/>
      <c r="C1112" s="53"/>
      <c r="D1112" s="23"/>
      <c r="E1112" s="53"/>
      <c r="F1112" s="54"/>
      <c r="G1112" s="54"/>
      <c r="H1112" s="54"/>
      <c r="I1112" s="53"/>
      <c r="J1112" s="53"/>
      <c r="K1112" s="23"/>
      <c r="L1112" s="53"/>
      <c r="M1112" s="54"/>
    </row>
    <row r="1113">
      <c r="A1113" s="23"/>
      <c r="B1113" s="52"/>
      <c r="C1113" s="53"/>
      <c r="D1113" s="23"/>
      <c r="E1113" s="53"/>
      <c r="F1113" s="54"/>
      <c r="G1113" s="54"/>
      <c r="H1113" s="54"/>
      <c r="I1113" s="53"/>
      <c r="J1113" s="53"/>
      <c r="K1113" s="23"/>
      <c r="L1113" s="53"/>
      <c r="M1113" s="54"/>
    </row>
    <row r="1114">
      <c r="A1114" s="23"/>
      <c r="B1114" s="52"/>
      <c r="C1114" s="53"/>
      <c r="D1114" s="23"/>
      <c r="E1114" s="53"/>
      <c r="F1114" s="54"/>
      <c r="G1114" s="54"/>
      <c r="H1114" s="54"/>
      <c r="I1114" s="53"/>
      <c r="J1114" s="53"/>
      <c r="K1114" s="23"/>
      <c r="L1114" s="53"/>
      <c r="M1114" s="54"/>
    </row>
    <row r="1115">
      <c r="A1115" s="23"/>
      <c r="B1115" s="52"/>
      <c r="C1115" s="53"/>
      <c r="D1115" s="23"/>
      <c r="E1115" s="53"/>
      <c r="F1115" s="54"/>
      <c r="G1115" s="54"/>
      <c r="H1115" s="54"/>
      <c r="I1115" s="53"/>
      <c r="J1115" s="53"/>
      <c r="K1115" s="23"/>
      <c r="L1115" s="53"/>
      <c r="M1115" s="54"/>
    </row>
    <row r="1116">
      <c r="A1116" s="23"/>
      <c r="B1116" s="52"/>
      <c r="C1116" s="53"/>
      <c r="D1116" s="23"/>
      <c r="E1116" s="53"/>
      <c r="F1116" s="54"/>
      <c r="G1116" s="54"/>
      <c r="H1116" s="54"/>
      <c r="I1116" s="53"/>
      <c r="J1116" s="53"/>
      <c r="K1116" s="23"/>
      <c r="L1116" s="53"/>
      <c r="M1116" s="54"/>
    </row>
    <row r="1117">
      <c r="A1117" s="23"/>
      <c r="B1117" s="52"/>
      <c r="C1117" s="53"/>
      <c r="D1117" s="23"/>
      <c r="E1117" s="53"/>
      <c r="F1117" s="54"/>
      <c r="G1117" s="54"/>
      <c r="H1117" s="54"/>
      <c r="I1117" s="53"/>
      <c r="J1117" s="53"/>
      <c r="K1117" s="23"/>
      <c r="L1117" s="53"/>
      <c r="M1117" s="54"/>
    </row>
    <row r="1118">
      <c r="A1118" s="23"/>
      <c r="B1118" s="52"/>
      <c r="C1118" s="53"/>
      <c r="D1118" s="23"/>
      <c r="E1118" s="53"/>
      <c r="F1118" s="54"/>
      <c r="G1118" s="54"/>
      <c r="H1118" s="54"/>
      <c r="I1118" s="53"/>
      <c r="J1118" s="53"/>
      <c r="K1118" s="23"/>
      <c r="L1118" s="53"/>
      <c r="M1118" s="54"/>
    </row>
    <row r="1119">
      <c r="A1119" s="23"/>
      <c r="B1119" s="52"/>
      <c r="C1119" s="53"/>
      <c r="D1119" s="23"/>
      <c r="E1119" s="53"/>
      <c r="F1119" s="54"/>
      <c r="G1119" s="54"/>
      <c r="H1119" s="54"/>
      <c r="I1119" s="53"/>
      <c r="J1119" s="53"/>
      <c r="K1119" s="23"/>
      <c r="L1119" s="53"/>
      <c r="M1119" s="54"/>
    </row>
    <row r="1120">
      <c r="A1120" s="23"/>
      <c r="B1120" s="52"/>
      <c r="C1120" s="53"/>
      <c r="D1120" s="23"/>
      <c r="E1120" s="53"/>
      <c r="F1120" s="54"/>
      <c r="G1120" s="54"/>
      <c r="H1120" s="54"/>
      <c r="I1120" s="53"/>
      <c r="J1120" s="53"/>
      <c r="K1120" s="23"/>
      <c r="L1120" s="53"/>
      <c r="M1120" s="54"/>
    </row>
    <row r="1121">
      <c r="A1121" s="23"/>
      <c r="B1121" s="52"/>
      <c r="C1121" s="53"/>
      <c r="D1121" s="23"/>
      <c r="E1121" s="53"/>
      <c r="F1121" s="54"/>
      <c r="G1121" s="54"/>
      <c r="H1121" s="54"/>
      <c r="I1121" s="53"/>
      <c r="J1121" s="53"/>
      <c r="K1121" s="23"/>
      <c r="L1121" s="53"/>
      <c r="M1121" s="54"/>
    </row>
    <row r="1122">
      <c r="A1122" s="23"/>
      <c r="B1122" s="52"/>
      <c r="C1122" s="53"/>
      <c r="D1122" s="23"/>
      <c r="E1122" s="53"/>
      <c r="F1122" s="54"/>
      <c r="G1122" s="54"/>
      <c r="H1122" s="54"/>
      <c r="I1122" s="53"/>
      <c r="J1122" s="53"/>
      <c r="K1122" s="23"/>
      <c r="L1122" s="53"/>
      <c r="M1122" s="54"/>
    </row>
    <row r="1123">
      <c r="A1123" s="23"/>
      <c r="B1123" s="52"/>
      <c r="C1123" s="53"/>
      <c r="D1123" s="23"/>
      <c r="E1123" s="53"/>
      <c r="F1123" s="54"/>
      <c r="G1123" s="54"/>
      <c r="H1123" s="54"/>
      <c r="I1123" s="53"/>
      <c r="J1123" s="53"/>
      <c r="K1123" s="23"/>
      <c r="L1123" s="53"/>
      <c r="M1123" s="54"/>
    </row>
    <row r="1124">
      <c r="A1124" s="23"/>
      <c r="B1124" s="52"/>
      <c r="C1124" s="53"/>
      <c r="D1124" s="23"/>
      <c r="E1124" s="53"/>
      <c r="F1124" s="54"/>
      <c r="G1124" s="54"/>
      <c r="H1124" s="54"/>
      <c r="I1124" s="53"/>
      <c r="J1124" s="23"/>
      <c r="K1124" s="23"/>
      <c r="L1124" s="53"/>
      <c r="M1124" s="54"/>
    </row>
    <row r="1125">
      <c r="A1125" s="23"/>
      <c r="B1125" s="52"/>
      <c r="C1125" s="53"/>
      <c r="D1125" s="23"/>
      <c r="E1125" s="53"/>
      <c r="F1125" s="54"/>
      <c r="G1125" s="54"/>
      <c r="H1125" s="54"/>
      <c r="I1125" s="53"/>
      <c r="J1125" s="53"/>
      <c r="K1125" s="23"/>
      <c r="L1125" s="53"/>
      <c r="M1125" s="54"/>
    </row>
    <row r="1126">
      <c r="A1126" s="23"/>
      <c r="B1126" s="52"/>
      <c r="C1126" s="53"/>
      <c r="D1126" s="23"/>
      <c r="E1126" s="53"/>
      <c r="F1126" s="54"/>
      <c r="G1126" s="54"/>
      <c r="H1126" s="54"/>
      <c r="I1126" s="53"/>
      <c r="J1126" s="53"/>
      <c r="K1126" s="23"/>
      <c r="L1126" s="53"/>
      <c r="M1126" s="54"/>
    </row>
    <row r="1127">
      <c r="A1127" s="23"/>
      <c r="B1127" s="52"/>
      <c r="C1127" s="53"/>
      <c r="D1127" s="23"/>
      <c r="E1127" s="53"/>
      <c r="F1127" s="54"/>
      <c r="G1127" s="54"/>
      <c r="H1127" s="54"/>
      <c r="I1127" s="53"/>
      <c r="J1127" s="53"/>
      <c r="K1127" s="23"/>
      <c r="L1127" s="53"/>
      <c r="M1127" s="54"/>
    </row>
    <row r="1128">
      <c r="A1128" s="23"/>
      <c r="B1128" s="52"/>
      <c r="C1128" s="53"/>
      <c r="D1128" s="23"/>
      <c r="E1128" s="53"/>
      <c r="F1128" s="54"/>
      <c r="G1128" s="54"/>
      <c r="H1128" s="54"/>
      <c r="I1128" s="53"/>
      <c r="J1128" s="53"/>
      <c r="K1128" s="23"/>
      <c r="L1128" s="53"/>
      <c r="M1128" s="54"/>
    </row>
    <row r="1129">
      <c r="A1129" s="23"/>
      <c r="B1129" s="52"/>
      <c r="C1129" s="53"/>
      <c r="D1129" s="23"/>
      <c r="E1129" s="53"/>
      <c r="F1129" s="54"/>
      <c r="G1129" s="54"/>
      <c r="H1129" s="54"/>
      <c r="I1129" s="53"/>
      <c r="J1129" s="53"/>
      <c r="K1129" s="23"/>
      <c r="L1129" s="53"/>
      <c r="M1129" s="54"/>
    </row>
    <row r="1130">
      <c r="A1130" s="23"/>
      <c r="B1130" s="52"/>
      <c r="C1130" s="53"/>
      <c r="D1130" s="23"/>
      <c r="E1130" s="53"/>
      <c r="F1130" s="54"/>
      <c r="G1130" s="54"/>
      <c r="H1130" s="54"/>
      <c r="I1130" s="53"/>
      <c r="J1130" s="23"/>
      <c r="K1130" s="23"/>
      <c r="L1130" s="53"/>
      <c r="M1130" s="54"/>
    </row>
    <row r="1131">
      <c r="A1131" s="23"/>
      <c r="B1131" s="52"/>
      <c r="C1131" s="53"/>
      <c r="D1131" s="23"/>
      <c r="E1131" s="53"/>
      <c r="F1131" s="54"/>
      <c r="G1131" s="54"/>
      <c r="H1131" s="54"/>
      <c r="I1131" s="53"/>
      <c r="J1131" s="53"/>
      <c r="K1131" s="23"/>
      <c r="L1131" s="53"/>
      <c r="M1131" s="54"/>
    </row>
    <row r="1132">
      <c r="A1132" s="23"/>
      <c r="B1132" s="52"/>
      <c r="C1132" s="53"/>
      <c r="D1132" s="23"/>
      <c r="E1132" s="53"/>
      <c r="F1132" s="54"/>
      <c r="G1132" s="54"/>
      <c r="H1132" s="54"/>
      <c r="I1132" s="53"/>
      <c r="J1132" s="53"/>
      <c r="K1132" s="23"/>
      <c r="L1132" s="53"/>
      <c r="M1132" s="54"/>
    </row>
    <row r="1133">
      <c r="A1133" s="23"/>
      <c r="B1133" s="52"/>
      <c r="C1133" s="53"/>
      <c r="D1133" s="23"/>
      <c r="E1133" s="53"/>
      <c r="F1133" s="54"/>
      <c r="G1133" s="54"/>
      <c r="H1133" s="54"/>
      <c r="I1133" s="53"/>
      <c r="J1133" s="53"/>
      <c r="K1133" s="23"/>
      <c r="L1133" s="53"/>
      <c r="M1133" s="54"/>
    </row>
    <row r="1134">
      <c r="A1134" s="23"/>
      <c r="B1134" s="52"/>
      <c r="C1134" s="53"/>
      <c r="D1134" s="23"/>
      <c r="E1134" s="53"/>
      <c r="F1134" s="54"/>
      <c r="G1134" s="54"/>
      <c r="H1134" s="54"/>
      <c r="I1134" s="53"/>
      <c r="J1134" s="53"/>
      <c r="K1134" s="23"/>
      <c r="L1134" s="53"/>
      <c r="M1134" s="54"/>
    </row>
    <row r="1135">
      <c r="A1135" s="23"/>
      <c r="B1135" s="52"/>
      <c r="C1135" s="53"/>
      <c r="D1135" s="23"/>
      <c r="E1135" s="53"/>
      <c r="F1135" s="54"/>
      <c r="G1135" s="54"/>
      <c r="H1135" s="54"/>
      <c r="I1135" s="53"/>
      <c r="J1135" s="53"/>
      <c r="K1135" s="23"/>
      <c r="L1135" s="53"/>
      <c r="M1135" s="54"/>
    </row>
    <row r="1136">
      <c r="A1136" s="23"/>
      <c r="B1136" s="52"/>
      <c r="C1136" s="53"/>
      <c r="D1136" s="23"/>
      <c r="E1136" s="53"/>
      <c r="F1136" s="54"/>
      <c r="G1136" s="54"/>
      <c r="H1136" s="54"/>
      <c r="I1136" s="53"/>
      <c r="J1136" s="53"/>
      <c r="K1136" s="23"/>
      <c r="L1136" s="53"/>
      <c r="M1136" s="54"/>
    </row>
    <row r="1137">
      <c r="A1137" s="23"/>
      <c r="B1137" s="52"/>
      <c r="C1137" s="53"/>
      <c r="D1137" s="23"/>
      <c r="E1137" s="53"/>
      <c r="F1137" s="54"/>
      <c r="G1137" s="54"/>
      <c r="H1137" s="54"/>
      <c r="I1137" s="53"/>
      <c r="J1137" s="53"/>
      <c r="K1137" s="23"/>
      <c r="L1137" s="53"/>
      <c r="M1137" s="54"/>
    </row>
    <row r="1138">
      <c r="A1138" s="23"/>
      <c r="B1138" s="52"/>
      <c r="C1138" s="53"/>
      <c r="D1138" s="23"/>
      <c r="E1138" s="53"/>
      <c r="F1138" s="54"/>
      <c r="G1138" s="54"/>
      <c r="H1138" s="54"/>
      <c r="I1138" s="53"/>
      <c r="J1138" s="53"/>
      <c r="K1138" s="23"/>
      <c r="L1138" s="53"/>
      <c r="M1138" s="54"/>
    </row>
    <row r="1139">
      <c r="A1139" s="23"/>
      <c r="B1139" s="52"/>
      <c r="C1139" s="53"/>
      <c r="D1139" s="23"/>
      <c r="E1139" s="53"/>
      <c r="F1139" s="54"/>
      <c r="G1139" s="54"/>
      <c r="H1139" s="54"/>
      <c r="I1139" s="53"/>
      <c r="J1139" s="53"/>
      <c r="K1139" s="23"/>
      <c r="L1139" s="53"/>
      <c r="M1139" s="54"/>
    </row>
    <row r="1140">
      <c r="A1140" s="23"/>
      <c r="B1140" s="52"/>
      <c r="C1140" s="53"/>
      <c r="D1140" s="23"/>
      <c r="E1140" s="53"/>
      <c r="F1140" s="54"/>
      <c r="G1140" s="54"/>
      <c r="H1140" s="54"/>
      <c r="I1140" s="53"/>
      <c r="J1140" s="53"/>
      <c r="K1140" s="23"/>
      <c r="L1140" s="53"/>
      <c r="M1140" s="54"/>
    </row>
    <row r="1141">
      <c r="A1141" s="23"/>
      <c r="B1141" s="52"/>
      <c r="C1141" s="53"/>
      <c r="D1141" s="23"/>
      <c r="E1141" s="53"/>
      <c r="F1141" s="54"/>
      <c r="G1141" s="54"/>
      <c r="H1141" s="54"/>
      <c r="I1141" s="53"/>
      <c r="J1141" s="53"/>
      <c r="K1141" s="23"/>
      <c r="L1141" s="53"/>
      <c r="M1141" s="54"/>
    </row>
    <row r="1142">
      <c r="A1142" s="23"/>
      <c r="B1142" s="52"/>
      <c r="C1142" s="53"/>
      <c r="D1142" s="23"/>
      <c r="E1142" s="53"/>
      <c r="F1142" s="54"/>
      <c r="G1142" s="54"/>
      <c r="H1142" s="54"/>
      <c r="I1142" s="53"/>
      <c r="J1142" s="53"/>
      <c r="K1142" s="23"/>
      <c r="L1142" s="53"/>
      <c r="M1142" s="54"/>
    </row>
    <row r="1143">
      <c r="A1143" s="23"/>
      <c r="B1143" s="52"/>
      <c r="C1143" s="53"/>
      <c r="D1143" s="23"/>
      <c r="E1143" s="53"/>
      <c r="F1143" s="54"/>
      <c r="G1143" s="54"/>
      <c r="H1143" s="54"/>
      <c r="I1143" s="53"/>
      <c r="J1143" s="53"/>
      <c r="K1143" s="23"/>
      <c r="L1143" s="53"/>
      <c r="M1143" s="54"/>
    </row>
    <row r="1144">
      <c r="A1144" s="23"/>
      <c r="B1144" s="52"/>
      <c r="C1144" s="53"/>
      <c r="D1144" s="23"/>
      <c r="E1144" s="53"/>
      <c r="F1144" s="54"/>
      <c r="G1144" s="54"/>
      <c r="H1144" s="54"/>
      <c r="I1144" s="53"/>
      <c r="J1144" s="53"/>
      <c r="K1144" s="23"/>
      <c r="L1144" s="53"/>
      <c r="M1144" s="54"/>
    </row>
    <row r="1145">
      <c r="A1145" s="23"/>
      <c r="B1145" s="52"/>
      <c r="C1145" s="53"/>
      <c r="D1145" s="23"/>
      <c r="E1145" s="53"/>
      <c r="F1145" s="54"/>
      <c r="G1145" s="54"/>
      <c r="H1145" s="54"/>
      <c r="I1145" s="53"/>
      <c r="J1145" s="53"/>
      <c r="K1145" s="23"/>
      <c r="L1145" s="53"/>
      <c r="M1145" s="54"/>
    </row>
    <row r="1146">
      <c r="A1146" s="23"/>
      <c r="B1146" s="52"/>
      <c r="C1146" s="53"/>
      <c r="D1146" s="23"/>
      <c r="E1146" s="53"/>
      <c r="F1146" s="54"/>
      <c r="G1146" s="54"/>
      <c r="H1146" s="54"/>
      <c r="I1146" s="53"/>
      <c r="J1146" s="53"/>
      <c r="K1146" s="23"/>
      <c r="L1146" s="53"/>
      <c r="M1146" s="54"/>
    </row>
    <row r="1147">
      <c r="A1147" s="23"/>
      <c r="B1147" s="52"/>
      <c r="C1147" s="53"/>
      <c r="D1147" s="23"/>
      <c r="E1147" s="53"/>
      <c r="F1147" s="54"/>
      <c r="G1147" s="54"/>
      <c r="H1147" s="54"/>
      <c r="I1147" s="53"/>
      <c r="J1147" s="53"/>
      <c r="K1147" s="23"/>
      <c r="L1147" s="53"/>
      <c r="M1147" s="54"/>
    </row>
    <row r="1148">
      <c r="A1148" s="23"/>
      <c r="B1148" s="52"/>
      <c r="C1148" s="53"/>
      <c r="D1148" s="23"/>
      <c r="E1148" s="53"/>
      <c r="F1148" s="54"/>
      <c r="G1148" s="54"/>
      <c r="H1148" s="54"/>
      <c r="I1148" s="53"/>
      <c r="J1148" s="53"/>
      <c r="K1148" s="23"/>
      <c r="L1148" s="53"/>
      <c r="M1148" s="54"/>
    </row>
    <row r="1149">
      <c r="A1149" s="23"/>
      <c r="B1149" s="52"/>
      <c r="C1149" s="53"/>
      <c r="D1149" s="23"/>
      <c r="E1149" s="53"/>
      <c r="F1149" s="54"/>
      <c r="G1149" s="54"/>
      <c r="H1149" s="54"/>
      <c r="I1149" s="53"/>
      <c r="J1149" s="53"/>
      <c r="K1149" s="23"/>
      <c r="L1149" s="53"/>
      <c r="M1149" s="54"/>
    </row>
    <row r="1150">
      <c r="A1150" s="23"/>
      <c r="B1150" s="52"/>
      <c r="C1150" s="53"/>
      <c r="D1150" s="23"/>
      <c r="E1150" s="53"/>
      <c r="F1150" s="54"/>
      <c r="G1150" s="54"/>
      <c r="H1150" s="54"/>
      <c r="I1150" s="53"/>
      <c r="J1150" s="53"/>
      <c r="K1150" s="23"/>
      <c r="L1150" s="53"/>
      <c r="M1150" s="54"/>
    </row>
    <row r="1151">
      <c r="A1151" s="23"/>
      <c r="B1151" s="52"/>
      <c r="C1151" s="53"/>
      <c r="D1151" s="23"/>
      <c r="E1151" s="53"/>
      <c r="F1151" s="54"/>
      <c r="G1151" s="54"/>
      <c r="H1151" s="54"/>
      <c r="I1151" s="53"/>
      <c r="J1151" s="53"/>
      <c r="K1151" s="23"/>
      <c r="L1151" s="53"/>
      <c r="M1151" s="54"/>
    </row>
    <row r="1152">
      <c r="A1152" s="23"/>
      <c r="B1152" s="52"/>
      <c r="C1152" s="53"/>
      <c r="D1152" s="23"/>
      <c r="E1152" s="53"/>
      <c r="F1152" s="54"/>
      <c r="G1152" s="54"/>
      <c r="H1152" s="54"/>
      <c r="I1152" s="53"/>
      <c r="J1152" s="53"/>
      <c r="K1152" s="23"/>
      <c r="L1152" s="53"/>
      <c r="M1152" s="54"/>
    </row>
    <row r="1153">
      <c r="A1153" s="23"/>
      <c r="B1153" s="52"/>
      <c r="C1153" s="53"/>
      <c r="D1153" s="23"/>
      <c r="E1153" s="53"/>
      <c r="F1153" s="54"/>
      <c r="G1153" s="54"/>
      <c r="H1153" s="54"/>
      <c r="I1153" s="53"/>
      <c r="J1153" s="53"/>
      <c r="K1153" s="23"/>
      <c r="L1153" s="53"/>
      <c r="M1153" s="54"/>
    </row>
    <row r="1154">
      <c r="A1154" s="23"/>
      <c r="B1154" s="52"/>
      <c r="C1154" s="53"/>
      <c r="D1154" s="23"/>
      <c r="E1154" s="53"/>
      <c r="F1154" s="54"/>
      <c r="G1154" s="54"/>
      <c r="H1154" s="54"/>
      <c r="I1154" s="53"/>
      <c r="J1154" s="53"/>
      <c r="K1154" s="23"/>
      <c r="L1154" s="53"/>
      <c r="M1154" s="54"/>
    </row>
    <row r="1155">
      <c r="A1155" s="23"/>
      <c r="B1155" s="52"/>
      <c r="C1155" s="53"/>
      <c r="D1155" s="23"/>
      <c r="E1155" s="53"/>
      <c r="F1155" s="54"/>
      <c r="G1155" s="54"/>
      <c r="H1155" s="54"/>
      <c r="I1155" s="53"/>
      <c r="J1155" s="53"/>
      <c r="K1155" s="23"/>
      <c r="L1155" s="53"/>
      <c r="M1155" s="54"/>
    </row>
    <row r="1156">
      <c r="A1156" s="23"/>
      <c r="B1156" s="52"/>
      <c r="C1156" s="53"/>
      <c r="D1156" s="23"/>
      <c r="E1156" s="53"/>
      <c r="F1156" s="54"/>
      <c r="G1156" s="54"/>
      <c r="H1156" s="54"/>
      <c r="I1156" s="53"/>
      <c r="J1156" s="53"/>
      <c r="K1156" s="23"/>
      <c r="L1156" s="53"/>
      <c r="M1156" s="54"/>
    </row>
    <row r="1157">
      <c r="A1157" s="23"/>
      <c r="B1157" s="52"/>
      <c r="C1157" s="53"/>
      <c r="D1157" s="23"/>
      <c r="E1157" s="53"/>
      <c r="F1157" s="54"/>
      <c r="G1157" s="54"/>
      <c r="H1157" s="54"/>
      <c r="I1157" s="53"/>
      <c r="J1157" s="53"/>
      <c r="K1157" s="23"/>
      <c r="L1157" s="53"/>
      <c r="M1157" s="54"/>
    </row>
    <row r="1158">
      <c r="A1158" s="23"/>
      <c r="B1158" s="52"/>
      <c r="C1158" s="53"/>
      <c r="D1158" s="23"/>
      <c r="E1158" s="53"/>
      <c r="F1158" s="54"/>
      <c r="G1158" s="54"/>
      <c r="H1158" s="54"/>
      <c r="I1158" s="53"/>
      <c r="J1158" s="53"/>
      <c r="K1158" s="23"/>
      <c r="L1158" s="53"/>
      <c r="M1158" s="54"/>
    </row>
    <row r="1159">
      <c r="A1159" s="23"/>
      <c r="B1159" s="52"/>
      <c r="C1159" s="53"/>
      <c r="D1159" s="23"/>
      <c r="E1159" s="53"/>
      <c r="F1159" s="54"/>
      <c r="G1159" s="54"/>
      <c r="H1159" s="54"/>
      <c r="I1159" s="53"/>
      <c r="J1159" s="53"/>
      <c r="K1159" s="23"/>
      <c r="L1159" s="53"/>
      <c r="M1159" s="54"/>
    </row>
    <row r="1160">
      <c r="A1160" s="23"/>
      <c r="B1160" s="52"/>
      <c r="C1160" s="53"/>
      <c r="D1160" s="23"/>
      <c r="E1160" s="53"/>
      <c r="F1160" s="54"/>
      <c r="G1160" s="54"/>
      <c r="H1160" s="54"/>
      <c r="I1160" s="53"/>
      <c r="J1160" s="53"/>
      <c r="K1160" s="23"/>
      <c r="L1160" s="53"/>
      <c r="M1160" s="54"/>
    </row>
    <row r="1161">
      <c r="A1161" s="23"/>
      <c r="B1161" s="52"/>
      <c r="C1161" s="53"/>
      <c r="D1161" s="23"/>
      <c r="E1161" s="53"/>
      <c r="F1161" s="54"/>
      <c r="G1161" s="54"/>
      <c r="H1161" s="54"/>
      <c r="I1161" s="53"/>
      <c r="J1161" s="53"/>
      <c r="K1161" s="23"/>
      <c r="L1161" s="53"/>
      <c r="M1161" s="54"/>
    </row>
    <row r="1162">
      <c r="A1162" s="23"/>
      <c r="B1162" s="52"/>
      <c r="C1162" s="53"/>
      <c r="D1162" s="23"/>
      <c r="E1162" s="53"/>
      <c r="F1162" s="54"/>
      <c r="G1162" s="54"/>
      <c r="H1162" s="54"/>
      <c r="I1162" s="53"/>
      <c r="J1162" s="53"/>
      <c r="K1162" s="23"/>
      <c r="L1162" s="53"/>
      <c r="M1162" s="54"/>
    </row>
    <row r="1163">
      <c r="A1163" s="23"/>
      <c r="B1163" s="52"/>
      <c r="C1163" s="53"/>
      <c r="D1163" s="23"/>
      <c r="E1163" s="53"/>
      <c r="F1163" s="54"/>
      <c r="G1163" s="54"/>
      <c r="H1163" s="54"/>
      <c r="I1163" s="53"/>
      <c r="J1163" s="53"/>
      <c r="K1163" s="23"/>
      <c r="L1163" s="53"/>
      <c r="M1163" s="54"/>
    </row>
    <row r="1164">
      <c r="A1164" s="23"/>
      <c r="B1164" s="52"/>
      <c r="C1164" s="53"/>
      <c r="D1164" s="23"/>
      <c r="E1164" s="53"/>
      <c r="F1164" s="54"/>
      <c r="G1164" s="54"/>
      <c r="H1164" s="54"/>
      <c r="I1164" s="53"/>
      <c r="J1164" s="53"/>
      <c r="K1164" s="23"/>
      <c r="L1164" s="53"/>
      <c r="M1164" s="54"/>
    </row>
    <row r="1165">
      <c r="A1165" s="23"/>
      <c r="B1165" s="52"/>
      <c r="C1165" s="53"/>
      <c r="D1165" s="23"/>
      <c r="E1165" s="53"/>
      <c r="F1165" s="54"/>
      <c r="G1165" s="54"/>
      <c r="H1165" s="54"/>
      <c r="I1165" s="53"/>
      <c r="J1165" s="53"/>
      <c r="K1165" s="23"/>
      <c r="L1165" s="53"/>
      <c r="M1165" s="54"/>
    </row>
    <row r="1166">
      <c r="A1166" s="23"/>
      <c r="B1166" s="52"/>
      <c r="C1166" s="53"/>
      <c r="D1166" s="23"/>
      <c r="E1166" s="53"/>
      <c r="F1166" s="54"/>
      <c r="G1166" s="54"/>
      <c r="H1166" s="54"/>
      <c r="I1166" s="53"/>
      <c r="J1166" s="53"/>
      <c r="K1166" s="23"/>
      <c r="L1166" s="53"/>
      <c r="M1166" s="54"/>
    </row>
    <row r="1167">
      <c r="A1167" s="23"/>
      <c r="B1167" s="52"/>
      <c r="C1167" s="53"/>
      <c r="D1167" s="23"/>
      <c r="E1167" s="53"/>
      <c r="F1167" s="54"/>
      <c r="G1167" s="54"/>
      <c r="H1167" s="54"/>
      <c r="I1167" s="53"/>
      <c r="J1167" s="53"/>
      <c r="K1167" s="23"/>
      <c r="L1167" s="53"/>
      <c r="M1167" s="54"/>
    </row>
    <row r="1168">
      <c r="A1168" s="23"/>
      <c r="B1168" s="52"/>
      <c r="C1168" s="53"/>
      <c r="D1168" s="23"/>
      <c r="E1168" s="53"/>
      <c r="F1168" s="54"/>
      <c r="G1168" s="54"/>
      <c r="H1168" s="54"/>
      <c r="I1168" s="53"/>
      <c r="J1168" s="53"/>
      <c r="K1168" s="23"/>
      <c r="L1168" s="53"/>
      <c r="M1168" s="54"/>
    </row>
    <row r="1169">
      <c r="A1169" s="23"/>
      <c r="B1169" s="52"/>
      <c r="C1169" s="53"/>
      <c r="D1169" s="23"/>
      <c r="E1169" s="53"/>
      <c r="F1169" s="54"/>
      <c r="G1169" s="54"/>
      <c r="H1169" s="54"/>
      <c r="I1169" s="53"/>
      <c r="J1169" s="53"/>
      <c r="K1169" s="23"/>
      <c r="L1169" s="53"/>
      <c r="M1169" s="54"/>
    </row>
    <row r="1170">
      <c r="A1170" s="23"/>
      <c r="B1170" s="52"/>
      <c r="C1170" s="53"/>
      <c r="D1170" s="23"/>
      <c r="E1170" s="53"/>
      <c r="F1170" s="54"/>
      <c r="G1170" s="54"/>
      <c r="H1170" s="54"/>
      <c r="I1170" s="53"/>
      <c r="J1170" s="53"/>
      <c r="K1170" s="23"/>
      <c r="L1170" s="53"/>
      <c r="M1170" s="54"/>
    </row>
    <row r="1171">
      <c r="A1171" s="23"/>
      <c r="B1171" s="52"/>
      <c r="C1171" s="53"/>
      <c r="D1171" s="23"/>
      <c r="E1171" s="53"/>
      <c r="F1171" s="54"/>
      <c r="G1171" s="54"/>
      <c r="H1171" s="54"/>
      <c r="I1171" s="53"/>
      <c r="J1171" s="53"/>
      <c r="K1171" s="23"/>
      <c r="L1171" s="53"/>
      <c r="M1171" s="54"/>
    </row>
    <row r="1172">
      <c r="A1172" s="23"/>
      <c r="B1172" s="52"/>
      <c r="C1172" s="53"/>
      <c r="D1172" s="23"/>
      <c r="E1172" s="53"/>
      <c r="F1172" s="54"/>
      <c r="G1172" s="54"/>
      <c r="H1172" s="54"/>
      <c r="I1172" s="53"/>
      <c r="J1172" s="53"/>
      <c r="K1172" s="23"/>
      <c r="L1172" s="53"/>
      <c r="M1172" s="54"/>
    </row>
    <row r="1173">
      <c r="A1173" s="23"/>
      <c r="B1173" s="52"/>
      <c r="C1173" s="53"/>
      <c r="D1173" s="23"/>
      <c r="E1173" s="53"/>
      <c r="F1173" s="54"/>
      <c r="G1173" s="54"/>
      <c r="H1173" s="54"/>
      <c r="I1173" s="53"/>
      <c r="J1173" s="53"/>
      <c r="K1173" s="23"/>
      <c r="L1173" s="53"/>
      <c r="M1173" s="54"/>
    </row>
    <row r="1174">
      <c r="A1174" s="23"/>
      <c r="B1174" s="52"/>
      <c r="C1174" s="53"/>
      <c r="D1174" s="23"/>
      <c r="E1174" s="53"/>
      <c r="F1174" s="54"/>
      <c r="G1174" s="54"/>
      <c r="H1174" s="54"/>
      <c r="I1174" s="53"/>
      <c r="J1174" s="53"/>
      <c r="K1174" s="23"/>
      <c r="L1174" s="53"/>
      <c r="M1174" s="54"/>
    </row>
    <row r="1175">
      <c r="A1175" s="23"/>
      <c r="B1175" s="52"/>
      <c r="C1175" s="53"/>
      <c r="D1175" s="23"/>
      <c r="E1175" s="53"/>
      <c r="F1175" s="54"/>
      <c r="G1175" s="54"/>
      <c r="H1175" s="54"/>
      <c r="I1175" s="53"/>
      <c r="J1175" s="53"/>
      <c r="K1175" s="23"/>
      <c r="L1175" s="53"/>
      <c r="M1175" s="54"/>
    </row>
    <row r="1176">
      <c r="A1176" s="23"/>
      <c r="B1176" s="52"/>
      <c r="C1176" s="53"/>
      <c r="D1176" s="23"/>
      <c r="E1176" s="53"/>
      <c r="F1176" s="54"/>
      <c r="G1176" s="54"/>
      <c r="H1176" s="54"/>
      <c r="I1176" s="53"/>
      <c r="J1176" s="53"/>
      <c r="K1176" s="23"/>
      <c r="L1176" s="53"/>
      <c r="M1176" s="54"/>
    </row>
    <row r="1177">
      <c r="A1177" s="23"/>
      <c r="B1177" s="52"/>
      <c r="C1177" s="53"/>
      <c r="D1177" s="23"/>
      <c r="E1177" s="53"/>
      <c r="F1177" s="54"/>
      <c r="G1177" s="54"/>
      <c r="H1177" s="54"/>
      <c r="I1177" s="53"/>
      <c r="J1177" s="53"/>
      <c r="K1177" s="23"/>
      <c r="L1177" s="53"/>
      <c r="M1177" s="54"/>
    </row>
    <row r="1178">
      <c r="A1178" s="23"/>
      <c r="B1178" s="52"/>
      <c r="C1178" s="53"/>
      <c r="D1178" s="23"/>
      <c r="E1178" s="53"/>
      <c r="F1178" s="54"/>
      <c r="G1178" s="54"/>
      <c r="H1178" s="54"/>
      <c r="I1178" s="53"/>
      <c r="J1178" s="53"/>
      <c r="K1178" s="23"/>
      <c r="L1178" s="53"/>
      <c r="M1178" s="54"/>
    </row>
    <row r="1179">
      <c r="A1179" s="23"/>
      <c r="B1179" s="52"/>
      <c r="C1179" s="53"/>
      <c r="D1179" s="23"/>
      <c r="E1179" s="53"/>
      <c r="F1179" s="54"/>
      <c r="G1179" s="54"/>
      <c r="H1179" s="54"/>
      <c r="I1179" s="53"/>
      <c r="J1179" s="53"/>
      <c r="K1179" s="23"/>
      <c r="L1179" s="53"/>
      <c r="M1179" s="54"/>
    </row>
    <row r="1180">
      <c r="A1180" s="23"/>
      <c r="B1180" s="52"/>
      <c r="C1180" s="53"/>
      <c r="D1180" s="23"/>
      <c r="E1180" s="53"/>
      <c r="F1180" s="54"/>
      <c r="G1180" s="54"/>
      <c r="H1180" s="54"/>
      <c r="I1180" s="53"/>
      <c r="J1180" s="53"/>
      <c r="K1180" s="23"/>
      <c r="L1180" s="53"/>
      <c r="M1180" s="54"/>
    </row>
    <row r="1181">
      <c r="A1181" s="23"/>
      <c r="B1181" s="52"/>
      <c r="C1181" s="53"/>
      <c r="D1181" s="23"/>
      <c r="E1181" s="53"/>
      <c r="F1181" s="54"/>
      <c r="G1181" s="54"/>
      <c r="H1181" s="54"/>
      <c r="I1181" s="53"/>
      <c r="J1181" s="53"/>
      <c r="K1181" s="23"/>
      <c r="L1181" s="53"/>
      <c r="M1181" s="54"/>
    </row>
    <row r="1182">
      <c r="A1182" s="23"/>
      <c r="B1182" s="52"/>
      <c r="C1182" s="53"/>
      <c r="D1182" s="23"/>
      <c r="E1182" s="53"/>
      <c r="F1182" s="54"/>
      <c r="G1182" s="54"/>
      <c r="H1182" s="54"/>
      <c r="I1182" s="53"/>
      <c r="J1182" s="53"/>
      <c r="K1182" s="23"/>
      <c r="L1182" s="53"/>
      <c r="M1182" s="54"/>
    </row>
    <row r="1183">
      <c r="A1183" s="23"/>
      <c r="B1183" s="52"/>
      <c r="C1183" s="53"/>
      <c r="D1183" s="23"/>
      <c r="E1183" s="53"/>
      <c r="F1183" s="54"/>
      <c r="G1183" s="54"/>
      <c r="H1183" s="54"/>
      <c r="I1183" s="53"/>
      <c r="J1183" s="53"/>
      <c r="K1183" s="23"/>
      <c r="L1183" s="53"/>
      <c r="M1183" s="54"/>
    </row>
    <row r="1184">
      <c r="A1184" s="23"/>
      <c r="B1184" s="52"/>
      <c r="C1184" s="53"/>
      <c r="D1184" s="23"/>
      <c r="E1184" s="53"/>
      <c r="F1184" s="54"/>
      <c r="G1184" s="54"/>
      <c r="H1184" s="54"/>
      <c r="I1184" s="53"/>
      <c r="J1184" s="53"/>
      <c r="K1184" s="23"/>
      <c r="L1184" s="53"/>
      <c r="M1184" s="54"/>
    </row>
    <row r="1185">
      <c r="A1185" s="23"/>
      <c r="B1185" s="52"/>
      <c r="C1185" s="53"/>
      <c r="D1185" s="23"/>
      <c r="E1185" s="53"/>
      <c r="F1185" s="54"/>
      <c r="G1185" s="54"/>
      <c r="H1185" s="54"/>
      <c r="I1185" s="53"/>
      <c r="J1185" s="53"/>
      <c r="K1185" s="23"/>
      <c r="L1185" s="53"/>
      <c r="M1185" s="54"/>
    </row>
    <row r="1186">
      <c r="A1186" s="23"/>
      <c r="B1186" s="52"/>
      <c r="C1186" s="53"/>
      <c r="D1186" s="23"/>
      <c r="E1186" s="53"/>
      <c r="F1186" s="54"/>
      <c r="G1186" s="54"/>
      <c r="H1186" s="54"/>
      <c r="I1186" s="53"/>
      <c r="J1186" s="53"/>
      <c r="K1186" s="23"/>
      <c r="L1186" s="53"/>
      <c r="M1186" s="54"/>
    </row>
    <row r="1187">
      <c r="A1187" s="23"/>
      <c r="B1187" s="52"/>
      <c r="C1187" s="53"/>
      <c r="D1187" s="23"/>
      <c r="E1187" s="53"/>
      <c r="F1187" s="54"/>
      <c r="G1187" s="54"/>
      <c r="H1187" s="54"/>
      <c r="I1187" s="53"/>
      <c r="J1187" s="53"/>
      <c r="K1187" s="23"/>
      <c r="L1187" s="53"/>
      <c r="M1187" s="54"/>
    </row>
    <row r="1188">
      <c r="A1188" s="23"/>
      <c r="B1188" s="52"/>
      <c r="C1188" s="53"/>
      <c r="D1188" s="23"/>
      <c r="E1188" s="53"/>
      <c r="F1188" s="54"/>
      <c r="G1188" s="54"/>
      <c r="H1188" s="54"/>
      <c r="I1188" s="53"/>
      <c r="J1188" s="53"/>
      <c r="K1188" s="23"/>
      <c r="L1188" s="53"/>
      <c r="M1188" s="54"/>
    </row>
    <row r="1189">
      <c r="A1189" s="23"/>
      <c r="B1189" s="52"/>
      <c r="C1189" s="53"/>
      <c r="D1189" s="23"/>
      <c r="E1189" s="53"/>
      <c r="F1189" s="54"/>
      <c r="G1189" s="54"/>
      <c r="H1189" s="54"/>
      <c r="I1189" s="53"/>
      <c r="J1189" s="53"/>
      <c r="K1189" s="23"/>
      <c r="L1189" s="53"/>
      <c r="M1189" s="54"/>
    </row>
    <row r="1190">
      <c r="A1190" s="23"/>
      <c r="B1190" s="52"/>
      <c r="C1190" s="53"/>
      <c r="D1190" s="23"/>
      <c r="E1190" s="53"/>
      <c r="F1190" s="54"/>
      <c r="G1190" s="54"/>
      <c r="H1190" s="54"/>
      <c r="I1190" s="53"/>
      <c r="J1190" s="53"/>
      <c r="K1190" s="23"/>
      <c r="L1190" s="53"/>
      <c r="M1190" s="54"/>
    </row>
    <row r="1191">
      <c r="A1191" s="23"/>
      <c r="B1191" s="52"/>
      <c r="C1191" s="53"/>
      <c r="D1191" s="23"/>
      <c r="E1191" s="53"/>
      <c r="F1191" s="54"/>
      <c r="G1191" s="54"/>
      <c r="H1191" s="54"/>
      <c r="I1191" s="53"/>
      <c r="J1191" s="53"/>
      <c r="K1191" s="23"/>
      <c r="L1191" s="53"/>
      <c r="M1191" s="54"/>
    </row>
    <row r="1192">
      <c r="A1192" s="23"/>
      <c r="B1192" s="52"/>
      <c r="C1192" s="53"/>
      <c r="D1192" s="23"/>
      <c r="E1192" s="53"/>
      <c r="F1192" s="54"/>
      <c r="G1192" s="54"/>
      <c r="H1192" s="54"/>
      <c r="I1192" s="53"/>
      <c r="J1192" s="53"/>
      <c r="K1192" s="23"/>
      <c r="L1192" s="53"/>
      <c r="M1192" s="54"/>
    </row>
    <row r="1193">
      <c r="A1193" s="23"/>
      <c r="B1193" s="52"/>
      <c r="C1193" s="53"/>
      <c r="D1193" s="23"/>
      <c r="E1193" s="53"/>
      <c r="F1193" s="54"/>
      <c r="G1193" s="54"/>
      <c r="H1193" s="54"/>
      <c r="I1193" s="53"/>
      <c r="J1193" s="53"/>
      <c r="K1193" s="23"/>
      <c r="L1193" s="53"/>
      <c r="M1193" s="54"/>
    </row>
    <row r="1194">
      <c r="A1194" s="23"/>
      <c r="B1194" s="52"/>
      <c r="C1194" s="53"/>
      <c r="D1194" s="23"/>
      <c r="E1194" s="53"/>
      <c r="F1194" s="54"/>
      <c r="G1194" s="54"/>
      <c r="H1194" s="54"/>
      <c r="I1194" s="53"/>
      <c r="J1194" s="53"/>
      <c r="K1194" s="23"/>
      <c r="L1194" s="53"/>
      <c r="M1194" s="54"/>
    </row>
    <row r="1195">
      <c r="A1195" s="23"/>
      <c r="B1195" s="52"/>
      <c r="C1195" s="53"/>
      <c r="D1195" s="23"/>
      <c r="E1195" s="53"/>
      <c r="F1195" s="54"/>
      <c r="G1195" s="54"/>
      <c r="H1195" s="54"/>
      <c r="I1195" s="53"/>
      <c r="J1195" s="53"/>
      <c r="K1195" s="23"/>
      <c r="L1195" s="53"/>
      <c r="M1195" s="54"/>
    </row>
    <row r="1196">
      <c r="A1196" s="23"/>
      <c r="B1196" s="52"/>
      <c r="C1196" s="53"/>
      <c r="D1196" s="23"/>
      <c r="E1196" s="53"/>
      <c r="F1196" s="54"/>
      <c r="G1196" s="54"/>
      <c r="H1196" s="54"/>
      <c r="I1196" s="53"/>
      <c r="J1196" s="53"/>
      <c r="K1196" s="23"/>
      <c r="L1196" s="53"/>
      <c r="M1196" s="54"/>
    </row>
    <row r="1197">
      <c r="A1197" s="23"/>
      <c r="B1197" s="52"/>
      <c r="C1197" s="53"/>
      <c r="D1197" s="23"/>
      <c r="E1197" s="53"/>
      <c r="F1197" s="54"/>
      <c r="G1197" s="54"/>
      <c r="H1197" s="54"/>
      <c r="I1197" s="53"/>
      <c r="J1197" s="53"/>
      <c r="K1197" s="23"/>
      <c r="L1197" s="53"/>
      <c r="M1197" s="54"/>
    </row>
    <row r="1198">
      <c r="A1198" s="23"/>
      <c r="B1198" s="52"/>
      <c r="C1198" s="53"/>
      <c r="D1198" s="23"/>
      <c r="E1198" s="53"/>
      <c r="F1198" s="54"/>
      <c r="G1198" s="54"/>
      <c r="H1198" s="54"/>
      <c r="I1198" s="53"/>
      <c r="J1198" s="53"/>
      <c r="K1198" s="23"/>
      <c r="L1198" s="53"/>
      <c r="M1198" s="54"/>
    </row>
    <row r="1199">
      <c r="A1199" s="23"/>
      <c r="B1199" s="52"/>
      <c r="C1199" s="53"/>
      <c r="D1199" s="23"/>
      <c r="E1199" s="53"/>
      <c r="F1199" s="54"/>
      <c r="G1199" s="54"/>
      <c r="H1199" s="54"/>
      <c r="I1199" s="53"/>
      <c r="J1199" s="53"/>
      <c r="K1199" s="23"/>
      <c r="L1199" s="53"/>
      <c r="M1199" s="54"/>
    </row>
    <row r="1200">
      <c r="A1200" s="23"/>
      <c r="B1200" s="52"/>
      <c r="C1200" s="53"/>
      <c r="D1200" s="23"/>
      <c r="E1200" s="53"/>
      <c r="F1200" s="54"/>
      <c r="G1200" s="54"/>
      <c r="H1200" s="54"/>
      <c r="I1200" s="53"/>
      <c r="J1200" s="53"/>
      <c r="K1200" s="23"/>
      <c r="L1200" s="53"/>
      <c r="M1200" s="54"/>
    </row>
    <row r="1201">
      <c r="A1201" s="23"/>
      <c r="B1201" s="52"/>
      <c r="C1201" s="53"/>
      <c r="D1201" s="23"/>
      <c r="E1201" s="53"/>
      <c r="F1201" s="54"/>
      <c r="G1201" s="54"/>
      <c r="H1201" s="54"/>
      <c r="I1201" s="53"/>
      <c r="J1201" s="53"/>
      <c r="K1201" s="23"/>
      <c r="L1201" s="53"/>
      <c r="M1201" s="54"/>
    </row>
    <row r="1202">
      <c r="A1202" s="23"/>
      <c r="B1202" s="52"/>
      <c r="C1202" s="53"/>
      <c r="D1202" s="23"/>
      <c r="E1202" s="53"/>
      <c r="F1202" s="54"/>
      <c r="G1202" s="54"/>
      <c r="H1202" s="54"/>
      <c r="I1202" s="53"/>
      <c r="J1202" s="53"/>
      <c r="K1202" s="23"/>
      <c r="L1202" s="53"/>
      <c r="M1202" s="54"/>
    </row>
    <row r="1203">
      <c r="A1203" s="23"/>
      <c r="B1203" s="52"/>
      <c r="C1203" s="53"/>
      <c r="D1203" s="23"/>
      <c r="E1203" s="53"/>
      <c r="F1203" s="54"/>
      <c r="G1203" s="54"/>
      <c r="H1203" s="54"/>
      <c r="I1203" s="53"/>
      <c r="J1203" s="53"/>
      <c r="K1203" s="23"/>
      <c r="L1203" s="53"/>
      <c r="M1203" s="54"/>
    </row>
    <row r="1204">
      <c r="A1204" s="23"/>
      <c r="B1204" s="52"/>
      <c r="C1204" s="53"/>
      <c r="D1204" s="23"/>
      <c r="E1204" s="53"/>
      <c r="F1204" s="54"/>
      <c r="G1204" s="54"/>
      <c r="H1204" s="54"/>
      <c r="I1204" s="53"/>
      <c r="J1204" s="53"/>
      <c r="K1204" s="23"/>
      <c r="L1204" s="53"/>
      <c r="M1204" s="54"/>
    </row>
    <row r="1205">
      <c r="A1205" s="23"/>
      <c r="B1205" s="52"/>
      <c r="C1205" s="53"/>
      <c r="D1205" s="23"/>
      <c r="E1205" s="53"/>
      <c r="F1205" s="54"/>
      <c r="G1205" s="54"/>
      <c r="H1205" s="54"/>
      <c r="I1205" s="53"/>
      <c r="J1205" s="53"/>
      <c r="K1205" s="23"/>
      <c r="L1205" s="53"/>
      <c r="M1205" s="54"/>
    </row>
    <row r="1206">
      <c r="A1206" s="23"/>
      <c r="B1206" s="52"/>
      <c r="C1206" s="53"/>
      <c r="D1206" s="23"/>
      <c r="E1206" s="53"/>
      <c r="F1206" s="54"/>
      <c r="G1206" s="54"/>
      <c r="H1206" s="54"/>
      <c r="I1206" s="53"/>
      <c r="J1206" s="53"/>
      <c r="K1206" s="23"/>
      <c r="L1206" s="53"/>
      <c r="M1206" s="54"/>
    </row>
    <row r="1207">
      <c r="A1207" s="23"/>
      <c r="B1207" s="52"/>
      <c r="C1207" s="53"/>
      <c r="D1207" s="23"/>
      <c r="E1207" s="53"/>
      <c r="F1207" s="54"/>
      <c r="G1207" s="54"/>
      <c r="H1207" s="54"/>
      <c r="I1207" s="53"/>
      <c r="J1207" s="53"/>
      <c r="K1207" s="23"/>
      <c r="L1207" s="53"/>
      <c r="M1207" s="54"/>
    </row>
    <row r="1208">
      <c r="A1208" s="23"/>
      <c r="B1208" s="52"/>
      <c r="C1208" s="53"/>
      <c r="D1208" s="23"/>
      <c r="E1208" s="53"/>
      <c r="F1208" s="54"/>
      <c r="G1208" s="54"/>
      <c r="H1208" s="54"/>
      <c r="I1208" s="53"/>
      <c r="J1208" s="53"/>
      <c r="K1208" s="23"/>
      <c r="L1208" s="53"/>
      <c r="M1208" s="54"/>
    </row>
    <row r="1209">
      <c r="A1209" s="23"/>
      <c r="B1209" s="52"/>
      <c r="C1209" s="53"/>
      <c r="D1209" s="23"/>
      <c r="E1209" s="53"/>
      <c r="F1209" s="54"/>
      <c r="G1209" s="54"/>
      <c r="H1209" s="54"/>
      <c r="I1209" s="53"/>
      <c r="J1209" s="53"/>
      <c r="K1209" s="23"/>
      <c r="L1209" s="53"/>
      <c r="M1209" s="54"/>
    </row>
    <row r="1210">
      <c r="A1210" s="23"/>
      <c r="B1210" s="52"/>
      <c r="C1210" s="53"/>
      <c r="D1210" s="23"/>
      <c r="E1210" s="53"/>
      <c r="F1210" s="54"/>
      <c r="G1210" s="54"/>
      <c r="H1210" s="54"/>
      <c r="I1210" s="53"/>
      <c r="J1210" s="53"/>
      <c r="K1210" s="23"/>
      <c r="L1210" s="53"/>
      <c r="M1210" s="54"/>
    </row>
    <row r="1211">
      <c r="A1211" s="23"/>
      <c r="B1211" s="52"/>
      <c r="C1211" s="53"/>
      <c r="D1211" s="23"/>
      <c r="E1211" s="53"/>
      <c r="F1211" s="54"/>
      <c r="G1211" s="54"/>
      <c r="H1211" s="54"/>
      <c r="I1211" s="53"/>
      <c r="J1211" s="53"/>
      <c r="K1211" s="23"/>
      <c r="L1211" s="53"/>
      <c r="M1211" s="54"/>
    </row>
    <row r="1212">
      <c r="A1212" s="23"/>
      <c r="B1212" s="52"/>
      <c r="C1212" s="53"/>
      <c r="D1212" s="23"/>
      <c r="E1212" s="53"/>
      <c r="F1212" s="54"/>
      <c r="G1212" s="54"/>
      <c r="H1212" s="54"/>
      <c r="I1212" s="53"/>
      <c r="J1212" s="53"/>
      <c r="K1212" s="23"/>
      <c r="L1212" s="53"/>
      <c r="M1212" s="54"/>
    </row>
    <row r="1213">
      <c r="A1213" s="23"/>
      <c r="B1213" s="52"/>
      <c r="C1213" s="53"/>
      <c r="D1213" s="23"/>
      <c r="E1213" s="53"/>
      <c r="F1213" s="54"/>
      <c r="G1213" s="54"/>
      <c r="H1213" s="54"/>
      <c r="I1213" s="53"/>
      <c r="J1213" s="53"/>
      <c r="K1213" s="23"/>
      <c r="L1213" s="53"/>
      <c r="M1213" s="54"/>
    </row>
    <row r="1214">
      <c r="A1214" s="23"/>
      <c r="B1214" s="52"/>
      <c r="C1214" s="53"/>
      <c r="D1214" s="23"/>
      <c r="E1214" s="53"/>
      <c r="F1214" s="54"/>
      <c r="G1214" s="54"/>
      <c r="H1214" s="54"/>
      <c r="I1214" s="53"/>
      <c r="J1214" s="53"/>
      <c r="K1214" s="23"/>
      <c r="L1214" s="53"/>
      <c r="M1214" s="54"/>
    </row>
    <row r="1215">
      <c r="A1215" s="23"/>
      <c r="B1215" s="52"/>
      <c r="C1215" s="53"/>
      <c r="D1215" s="23"/>
      <c r="E1215" s="53"/>
      <c r="F1215" s="54"/>
      <c r="G1215" s="54"/>
      <c r="H1215" s="54"/>
      <c r="I1215" s="53"/>
      <c r="J1215" s="53"/>
      <c r="K1215" s="23"/>
      <c r="L1215" s="53"/>
      <c r="M1215" s="54"/>
    </row>
    <row r="1216">
      <c r="A1216" s="23"/>
      <c r="B1216" s="52"/>
      <c r="C1216" s="53"/>
      <c r="D1216" s="23"/>
      <c r="E1216" s="53"/>
      <c r="F1216" s="54"/>
      <c r="G1216" s="54"/>
      <c r="H1216" s="54"/>
      <c r="I1216" s="53"/>
      <c r="J1216" s="53"/>
      <c r="K1216" s="23"/>
      <c r="L1216" s="53"/>
      <c r="M1216" s="54"/>
    </row>
    <row r="1217">
      <c r="A1217" s="23"/>
      <c r="B1217" s="52"/>
      <c r="C1217" s="53"/>
      <c r="D1217" s="23"/>
      <c r="E1217" s="53"/>
      <c r="F1217" s="54"/>
      <c r="G1217" s="54"/>
      <c r="H1217" s="54"/>
      <c r="I1217" s="53"/>
      <c r="J1217" s="53"/>
      <c r="K1217" s="23"/>
      <c r="L1217" s="53"/>
      <c r="M1217" s="54"/>
    </row>
    <row r="1218">
      <c r="A1218" s="23"/>
      <c r="B1218" s="52"/>
      <c r="C1218" s="53"/>
      <c r="D1218" s="23"/>
      <c r="E1218" s="53"/>
      <c r="F1218" s="54"/>
      <c r="G1218" s="54"/>
      <c r="H1218" s="54"/>
      <c r="I1218" s="53"/>
      <c r="J1218" s="53"/>
      <c r="K1218" s="23"/>
      <c r="L1218" s="53"/>
      <c r="M1218" s="54"/>
    </row>
    <row r="1219">
      <c r="A1219" s="23"/>
      <c r="B1219" s="52"/>
      <c r="C1219" s="53"/>
      <c r="D1219" s="23"/>
      <c r="E1219" s="53"/>
      <c r="F1219" s="54"/>
      <c r="G1219" s="54"/>
      <c r="H1219" s="54"/>
      <c r="I1219" s="53"/>
      <c r="J1219" s="53"/>
      <c r="K1219" s="23"/>
      <c r="L1219" s="53"/>
      <c r="M1219" s="54"/>
    </row>
    <row r="1220">
      <c r="A1220" s="23"/>
      <c r="B1220" s="52"/>
      <c r="C1220" s="53"/>
      <c r="D1220" s="23"/>
      <c r="E1220" s="53"/>
      <c r="F1220" s="54"/>
      <c r="G1220" s="54"/>
      <c r="H1220" s="54"/>
      <c r="I1220" s="53"/>
      <c r="J1220" s="53"/>
      <c r="K1220" s="23"/>
      <c r="L1220" s="53"/>
      <c r="M1220" s="54"/>
    </row>
    <row r="1221">
      <c r="A1221" s="23"/>
      <c r="B1221" s="52"/>
      <c r="C1221" s="53"/>
      <c r="D1221" s="23"/>
      <c r="E1221" s="53"/>
      <c r="F1221" s="54"/>
      <c r="G1221" s="54"/>
      <c r="H1221" s="54"/>
      <c r="I1221" s="53"/>
      <c r="J1221" s="53"/>
      <c r="K1221" s="23"/>
      <c r="L1221" s="53"/>
      <c r="M1221" s="54"/>
    </row>
    <row r="1222">
      <c r="A1222" s="23"/>
      <c r="B1222" s="52"/>
      <c r="C1222" s="53"/>
      <c r="D1222" s="23"/>
      <c r="E1222" s="53"/>
      <c r="F1222" s="54"/>
      <c r="G1222" s="54"/>
      <c r="H1222" s="54"/>
      <c r="I1222" s="53"/>
      <c r="J1222" s="53"/>
      <c r="K1222" s="23"/>
      <c r="L1222" s="53"/>
      <c r="M1222" s="54"/>
    </row>
    <row r="1223">
      <c r="A1223" s="23"/>
      <c r="B1223" s="52"/>
      <c r="C1223" s="53"/>
      <c r="D1223" s="23"/>
      <c r="E1223" s="53"/>
      <c r="F1223" s="54"/>
      <c r="G1223" s="54"/>
      <c r="H1223" s="54"/>
      <c r="I1223" s="53"/>
      <c r="J1223" s="53"/>
      <c r="K1223" s="23"/>
      <c r="L1223" s="53"/>
      <c r="M1223" s="54"/>
    </row>
    <row r="1224">
      <c r="A1224" s="23"/>
      <c r="B1224" s="52"/>
      <c r="C1224" s="53"/>
      <c r="D1224" s="23"/>
      <c r="E1224" s="53"/>
      <c r="F1224" s="54"/>
      <c r="G1224" s="54"/>
      <c r="H1224" s="54"/>
      <c r="I1224" s="53"/>
      <c r="J1224" s="53"/>
      <c r="K1224" s="23"/>
      <c r="L1224" s="53"/>
      <c r="M1224" s="54"/>
    </row>
    <row r="1225">
      <c r="A1225" s="23"/>
      <c r="B1225" s="52"/>
      <c r="C1225" s="53"/>
      <c r="D1225" s="23"/>
      <c r="E1225" s="53"/>
      <c r="F1225" s="54"/>
      <c r="G1225" s="54"/>
      <c r="H1225" s="54"/>
      <c r="I1225" s="53"/>
      <c r="J1225" s="53"/>
      <c r="K1225" s="23"/>
      <c r="L1225" s="53"/>
      <c r="M1225" s="54"/>
    </row>
    <row r="1226">
      <c r="A1226" s="23"/>
      <c r="B1226" s="52"/>
      <c r="C1226" s="53"/>
      <c r="D1226" s="23"/>
      <c r="E1226" s="53"/>
      <c r="F1226" s="54"/>
      <c r="G1226" s="54"/>
      <c r="H1226" s="54"/>
      <c r="I1226" s="53"/>
      <c r="J1226" s="53"/>
      <c r="K1226" s="23"/>
      <c r="L1226" s="53"/>
      <c r="M1226" s="54"/>
    </row>
    <row r="1227">
      <c r="A1227" s="23"/>
      <c r="B1227" s="52"/>
      <c r="C1227" s="53"/>
      <c r="D1227" s="23"/>
      <c r="E1227" s="53"/>
      <c r="F1227" s="54"/>
      <c r="G1227" s="54"/>
      <c r="H1227" s="54"/>
      <c r="I1227" s="53"/>
      <c r="J1227" s="53"/>
      <c r="K1227" s="23"/>
      <c r="L1227" s="53"/>
      <c r="M1227" s="54"/>
    </row>
    <row r="1228">
      <c r="A1228" s="23"/>
      <c r="B1228" s="52"/>
      <c r="C1228" s="53"/>
      <c r="D1228" s="23"/>
      <c r="E1228" s="53"/>
      <c r="F1228" s="54"/>
      <c r="G1228" s="54"/>
      <c r="H1228" s="54"/>
      <c r="I1228" s="53"/>
      <c r="J1228" s="53"/>
      <c r="K1228" s="23"/>
      <c r="L1228" s="53"/>
      <c r="M1228" s="54"/>
    </row>
    <row r="1229">
      <c r="A1229" s="23"/>
      <c r="B1229" s="52"/>
      <c r="C1229" s="53"/>
      <c r="D1229" s="23"/>
      <c r="E1229" s="53"/>
      <c r="F1229" s="54"/>
      <c r="G1229" s="54"/>
      <c r="H1229" s="54"/>
      <c r="I1229" s="53"/>
      <c r="J1229" s="53"/>
      <c r="K1229" s="23"/>
      <c r="L1229" s="53"/>
      <c r="M1229" s="54"/>
    </row>
    <row r="1230">
      <c r="A1230" s="23"/>
      <c r="B1230" s="52"/>
      <c r="C1230" s="53"/>
      <c r="D1230" s="23"/>
      <c r="E1230" s="53"/>
      <c r="F1230" s="54"/>
      <c r="G1230" s="54"/>
      <c r="H1230" s="54"/>
      <c r="I1230" s="53"/>
      <c r="J1230" s="53"/>
      <c r="K1230" s="23"/>
      <c r="L1230" s="53"/>
      <c r="M1230" s="54"/>
    </row>
    <row r="1231">
      <c r="A1231" s="23"/>
      <c r="B1231" s="52"/>
      <c r="C1231" s="53"/>
      <c r="D1231" s="23"/>
      <c r="E1231" s="53"/>
      <c r="F1231" s="54"/>
      <c r="G1231" s="54"/>
      <c r="H1231" s="54"/>
      <c r="I1231" s="53"/>
      <c r="J1231" s="53"/>
      <c r="K1231" s="23"/>
      <c r="L1231" s="53"/>
      <c r="M1231" s="54"/>
    </row>
    <row r="1232">
      <c r="A1232" s="23"/>
      <c r="B1232" s="52"/>
      <c r="C1232" s="53"/>
      <c r="D1232" s="23"/>
      <c r="E1232" s="53"/>
      <c r="F1232" s="54"/>
      <c r="G1232" s="54"/>
      <c r="H1232" s="54"/>
      <c r="I1232" s="53"/>
      <c r="J1232" s="53"/>
      <c r="K1232" s="23"/>
      <c r="L1232" s="53"/>
      <c r="M1232" s="54"/>
    </row>
    <row r="1233">
      <c r="A1233" s="23"/>
      <c r="B1233" s="52"/>
      <c r="C1233" s="53"/>
      <c r="D1233" s="23"/>
      <c r="E1233" s="53"/>
      <c r="F1233" s="54"/>
      <c r="G1233" s="54"/>
      <c r="H1233" s="54"/>
      <c r="I1233" s="53"/>
      <c r="J1233" s="53"/>
      <c r="K1233" s="23"/>
      <c r="L1233" s="53"/>
      <c r="M1233" s="54"/>
    </row>
    <row r="1234">
      <c r="A1234" s="23"/>
      <c r="B1234" s="52"/>
      <c r="C1234" s="53"/>
      <c r="D1234" s="23"/>
      <c r="E1234" s="53"/>
      <c r="F1234" s="54"/>
      <c r="G1234" s="54"/>
      <c r="H1234" s="54"/>
      <c r="I1234" s="53"/>
      <c r="J1234" s="53"/>
      <c r="K1234" s="23"/>
      <c r="L1234" s="53"/>
      <c r="M1234" s="54"/>
    </row>
    <row r="1235">
      <c r="A1235" s="23"/>
      <c r="B1235" s="52"/>
      <c r="C1235" s="53"/>
      <c r="D1235" s="23"/>
      <c r="E1235" s="53"/>
      <c r="F1235" s="54"/>
      <c r="G1235" s="54"/>
      <c r="H1235" s="54"/>
      <c r="I1235" s="53"/>
      <c r="J1235" s="53"/>
      <c r="K1235" s="23"/>
      <c r="L1235" s="53"/>
      <c r="M1235" s="54"/>
    </row>
    <row r="1236">
      <c r="A1236" s="23"/>
      <c r="B1236" s="52"/>
      <c r="C1236" s="53"/>
      <c r="D1236" s="23"/>
      <c r="E1236" s="53"/>
      <c r="F1236" s="54"/>
      <c r="G1236" s="54"/>
      <c r="H1236" s="54"/>
      <c r="I1236" s="53"/>
      <c r="J1236" s="53"/>
      <c r="K1236" s="23"/>
      <c r="L1236" s="53"/>
      <c r="M1236" s="54"/>
    </row>
    <row r="1237">
      <c r="A1237" s="23"/>
      <c r="B1237" s="52"/>
      <c r="C1237" s="53"/>
      <c r="D1237" s="23"/>
      <c r="E1237" s="53"/>
      <c r="F1237" s="54"/>
      <c r="G1237" s="54"/>
      <c r="H1237" s="54"/>
      <c r="I1237" s="53"/>
      <c r="J1237" s="53"/>
      <c r="K1237" s="23"/>
      <c r="L1237" s="53"/>
      <c r="M1237" s="54"/>
    </row>
    <row r="1238">
      <c r="A1238" s="23"/>
      <c r="B1238" s="52"/>
      <c r="C1238" s="53"/>
      <c r="D1238" s="23"/>
      <c r="E1238" s="53"/>
      <c r="F1238" s="54"/>
      <c r="G1238" s="54"/>
      <c r="H1238" s="54"/>
      <c r="I1238" s="53"/>
      <c r="J1238" s="53"/>
      <c r="K1238" s="23"/>
      <c r="L1238" s="53"/>
      <c r="M1238" s="54"/>
    </row>
    <row r="1239">
      <c r="A1239" s="23"/>
      <c r="B1239" s="52"/>
      <c r="C1239" s="53"/>
      <c r="D1239" s="23"/>
      <c r="E1239" s="53"/>
      <c r="F1239" s="54"/>
      <c r="G1239" s="54"/>
      <c r="H1239" s="54"/>
      <c r="I1239" s="53"/>
      <c r="J1239" s="53"/>
      <c r="K1239" s="23"/>
      <c r="L1239" s="53"/>
      <c r="M1239" s="54"/>
    </row>
    <row r="1240">
      <c r="A1240" s="23"/>
      <c r="B1240" s="52"/>
      <c r="C1240" s="53"/>
      <c r="D1240" s="23"/>
      <c r="E1240" s="53"/>
      <c r="F1240" s="54"/>
      <c r="G1240" s="54"/>
      <c r="H1240" s="54"/>
      <c r="I1240" s="53"/>
      <c r="J1240" s="53"/>
      <c r="K1240" s="23"/>
      <c r="L1240" s="53"/>
      <c r="M1240" s="54"/>
    </row>
    <row r="1241">
      <c r="A1241" s="23"/>
      <c r="B1241" s="52"/>
      <c r="C1241" s="53"/>
      <c r="D1241" s="23"/>
      <c r="E1241" s="53"/>
      <c r="F1241" s="54"/>
      <c r="G1241" s="54"/>
      <c r="H1241" s="54"/>
      <c r="I1241" s="53"/>
      <c r="J1241" s="53"/>
      <c r="K1241" s="23"/>
      <c r="L1241" s="53"/>
      <c r="M1241" s="54"/>
    </row>
    <row r="1242">
      <c r="A1242" s="23"/>
      <c r="B1242" s="52"/>
      <c r="C1242" s="53"/>
      <c r="D1242" s="23"/>
      <c r="E1242" s="53"/>
      <c r="F1242" s="54"/>
      <c r="G1242" s="54"/>
      <c r="H1242" s="54"/>
      <c r="I1242" s="53"/>
      <c r="J1242" s="53"/>
      <c r="K1242" s="23"/>
      <c r="L1242" s="53"/>
      <c r="M1242" s="54"/>
    </row>
    <row r="1243">
      <c r="A1243" s="23"/>
      <c r="B1243" s="52"/>
      <c r="C1243" s="53"/>
      <c r="D1243" s="23"/>
      <c r="E1243" s="53"/>
      <c r="F1243" s="54"/>
      <c r="G1243" s="54"/>
      <c r="H1243" s="54"/>
      <c r="I1243" s="53"/>
      <c r="J1243" s="53"/>
      <c r="K1243" s="23"/>
      <c r="L1243" s="53"/>
      <c r="M1243" s="54"/>
    </row>
    <row r="1244">
      <c r="A1244" s="23"/>
      <c r="B1244" s="52"/>
      <c r="C1244" s="53"/>
      <c r="D1244" s="23"/>
      <c r="E1244" s="53"/>
      <c r="F1244" s="54"/>
      <c r="G1244" s="54"/>
      <c r="H1244" s="54"/>
      <c r="I1244" s="53"/>
      <c r="J1244" s="53"/>
      <c r="K1244" s="23"/>
      <c r="L1244" s="53"/>
      <c r="M1244" s="54"/>
    </row>
    <row r="1245">
      <c r="A1245" s="23"/>
      <c r="B1245" s="52"/>
      <c r="C1245" s="53"/>
      <c r="D1245" s="23"/>
      <c r="E1245" s="53"/>
      <c r="F1245" s="54"/>
      <c r="G1245" s="54"/>
      <c r="H1245" s="54"/>
      <c r="I1245" s="53"/>
      <c r="J1245" s="53"/>
      <c r="K1245" s="23"/>
      <c r="L1245" s="53"/>
      <c r="M1245" s="54"/>
    </row>
    <row r="1246">
      <c r="A1246" s="23"/>
      <c r="B1246" s="52"/>
      <c r="C1246" s="53"/>
      <c r="D1246" s="23"/>
      <c r="E1246" s="53"/>
      <c r="F1246" s="54"/>
      <c r="G1246" s="54"/>
      <c r="H1246" s="54"/>
      <c r="I1246" s="53"/>
      <c r="J1246" s="53"/>
      <c r="K1246" s="23"/>
      <c r="L1246" s="53"/>
      <c r="M1246" s="54"/>
    </row>
    <row r="1247">
      <c r="A1247" s="23"/>
      <c r="B1247" s="52"/>
      <c r="C1247" s="53"/>
      <c r="D1247" s="23"/>
      <c r="E1247" s="53"/>
      <c r="F1247" s="54"/>
      <c r="G1247" s="54"/>
      <c r="H1247" s="54"/>
      <c r="I1247" s="53"/>
      <c r="J1247" s="23"/>
      <c r="K1247" s="23"/>
      <c r="L1247" s="53"/>
      <c r="M1247" s="54"/>
    </row>
    <row r="1248">
      <c r="A1248" s="23"/>
      <c r="B1248" s="52"/>
      <c r="C1248" s="53"/>
      <c r="D1248" s="23"/>
      <c r="E1248" s="53"/>
      <c r="F1248" s="54"/>
      <c r="G1248" s="54"/>
      <c r="H1248" s="54"/>
      <c r="I1248" s="53"/>
      <c r="J1248" s="53"/>
      <c r="K1248" s="23"/>
      <c r="L1248" s="53"/>
      <c r="M1248" s="54"/>
    </row>
    <row r="1249">
      <c r="A1249" s="23"/>
      <c r="B1249" s="52"/>
      <c r="C1249" s="53"/>
      <c r="D1249" s="23"/>
      <c r="E1249" s="53"/>
      <c r="F1249" s="54"/>
      <c r="G1249" s="54"/>
      <c r="H1249" s="54"/>
      <c r="I1249" s="53"/>
      <c r="J1249" s="53"/>
      <c r="K1249" s="23"/>
      <c r="L1249" s="53"/>
      <c r="M1249" s="54"/>
    </row>
    <row r="1250">
      <c r="A1250" s="23"/>
      <c r="B1250" s="52"/>
      <c r="C1250" s="53"/>
      <c r="D1250" s="23"/>
      <c r="E1250" s="53"/>
      <c r="F1250" s="54"/>
      <c r="G1250" s="54"/>
      <c r="H1250" s="54"/>
      <c r="I1250" s="53"/>
      <c r="J1250" s="53"/>
      <c r="K1250" s="23"/>
      <c r="L1250" s="53"/>
      <c r="M1250" s="54"/>
    </row>
    <row r="1251">
      <c r="A1251" s="23"/>
      <c r="B1251" s="52"/>
      <c r="C1251" s="53"/>
      <c r="D1251" s="23"/>
      <c r="E1251" s="53"/>
      <c r="F1251" s="54"/>
      <c r="G1251" s="54"/>
      <c r="H1251" s="54"/>
      <c r="I1251" s="53"/>
      <c r="J1251" s="53"/>
      <c r="K1251" s="23"/>
      <c r="L1251" s="53"/>
      <c r="M1251" s="54"/>
    </row>
    <row r="1252">
      <c r="A1252" s="23"/>
      <c r="B1252" s="52"/>
      <c r="C1252" s="53"/>
      <c r="D1252" s="23"/>
      <c r="E1252" s="53"/>
      <c r="F1252" s="54"/>
      <c r="G1252" s="54"/>
      <c r="H1252" s="54"/>
      <c r="I1252" s="53"/>
      <c r="J1252" s="53"/>
      <c r="K1252" s="23"/>
      <c r="L1252" s="53"/>
      <c r="M1252" s="54"/>
    </row>
    <row r="1253">
      <c r="A1253" s="23"/>
      <c r="B1253" s="52"/>
      <c r="C1253" s="53"/>
      <c r="D1253" s="23"/>
      <c r="E1253" s="53"/>
      <c r="F1253" s="54"/>
      <c r="G1253" s="54"/>
      <c r="H1253" s="54"/>
      <c r="I1253" s="53"/>
      <c r="J1253" s="53"/>
      <c r="K1253" s="23"/>
      <c r="L1253" s="53"/>
      <c r="M1253" s="54"/>
    </row>
    <row r="1254">
      <c r="A1254" s="23"/>
      <c r="B1254" s="52"/>
      <c r="C1254" s="53"/>
      <c r="D1254" s="23"/>
      <c r="E1254" s="53"/>
      <c r="F1254" s="54"/>
      <c r="G1254" s="54"/>
      <c r="H1254" s="54"/>
      <c r="I1254" s="53"/>
      <c r="J1254" s="53"/>
      <c r="K1254" s="23"/>
      <c r="L1254" s="53"/>
      <c r="M1254" s="54"/>
    </row>
    <row r="1255">
      <c r="A1255" s="23"/>
      <c r="B1255" s="52"/>
      <c r="C1255" s="53"/>
      <c r="D1255" s="23"/>
      <c r="E1255" s="53"/>
      <c r="F1255" s="54"/>
      <c r="G1255" s="54"/>
      <c r="H1255" s="54"/>
      <c r="I1255" s="53"/>
      <c r="J1255" s="53"/>
      <c r="K1255" s="23"/>
      <c r="L1255" s="53"/>
      <c r="M1255" s="54"/>
    </row>
    <row r="1256">
      <c r="A1256" s="23"/>
      <c r="B1256" s="52"/>
      <c r="C1256" s="53"/>
      <c r="D1256" s="23"/>
      <c r="E1256" s="53"/>
      <c r="F1256" s="54"/>
      <c r="G1256" s="54"/>
      <c r="H1256" s="54"/>
      <c r="I1256" s="53"/>
      <c r="J1256" s="53"/>
      <c r="K1256" s="23"/>
      <c r="L1256" s="53"/>
      <c r="M1256" s="54"/>
    </row>
    <row r="1257">
      <c r="A1257" s="23"/>
      <c r="B1257" s="52"/>
      <c r="C1257" s="53"/>
      <c r="D1257" s="23"/>
      <c r="E1257" s="53"/>
      <c r="F1257" s="54"/>
      <c r="G1257" s="54"/>
      <c r="H1257" s="54"/>
      <c r="I1257" s="53"/>
      <c r="J1257" s="53"/>
      <c r="K1257" s="23"/>
      <c r="L1257" s="53"/>
      <c r="M1257" s="54"/>
    </row>
    <row r="1258">
      <c r="A1258" s="23"/>
      <c r="B1258" s="52"/>
      <c r="C1258" s="53"/>
      <c r="D1258" s="23"/>
      <c r="E1258" s="53"/>
      <c r="F1258" s="54"/>
      <c r="G1258" s="54"/>
      <c r="H1258" s="54"/>
      <c r="I1258" s="53"/>
      <c r="J1258" s="53"/>
      <c r="K1258" s="23"/>
      <c r="L1258" s="53"/>
      <c r="M1258" s="54"/>
    </row>
    <row r="1259">
      <c r="A1259" s="23"/>
      <c r="B1259" s="52"/>
      <c r="C1259" s="53"/>
      <c r="D1259" s="23"/>
      <c r="E1259" s="53"/>
      <c r="F1259" s="54"/>
      <c r="G1259" s="54"/>
      <c r="H1259" s="54"/>
      <c r="I1259" s="53"/>
      <c r="J1259" s="53"/>
      <c r="K1259" s="23"/>
      <c r="L1259" s="53"/>
      <c r="M1259" s="54"/>
    </row>
    <row r="1260">
      <c r="A1260" s="23"/>
      <c r="B1260" s="52"/>
      <c r="C1260" s="53"/>
      <c r="D1260" s="23"/>
      <c r="E1260" s="53"/>
      <c r="F1260" s="54"/>
      <c r="G1260" s="54"/>
      <c r="H1260" s="54"/>
      <c r="I1260" s="53"/>
      <c r="J1260" s="53"/>
      <c r="K1260" s="23"/>
      <c r="L1260" s="53"/>
      <c r="M1260" s="54"/>
    </row>
    <row r="1261">
      <c r="A1261" s="23"/>
      <c r="B1261" s="52"/>
      <c r="C1261" s="53"/>
      <c r="D1261" s="23"/>
      <c r="E1261" s="53"/>
      <c r="F1261" s="54"/>
      <c r="G1261" s="54"/>
      <c r="H1261" s="54"/>
      <c r="I1261" s="53"/>
      <c r="J1261" s="53"/>
      <c r="K1261" s="23"/>
      <c r="L1261" s="53"/>
      <c r="M1261" s="54"/>
    </row>
    <row r="1262">
      <c r="A1262" s="23"/>
      <c r="B1262" s="52"/>
      <c r="C1262" s="53"/>
      <c r="D1262" s="23"/>
      <c r="E1262" s="53"/>
      <c r="F1262" s="54"/>
      <c r="G1262" s="54"/>
      <c r="H1262" s="54"/>
      <c r="I1262" s="53"/>
      <c r="J1262" s="53"/>
      <c r="K1262" s="23"/>
      <c r="L1262" s="53"/>
      <c r="M1262" s="54"/>
    </row>
    <row r="1263">
      <c r="A1263" s="23"/>
      <c r="B1263" s="52"/>
      <c r="C1263" s="53"/>
      <c r="D1263" s="23"/>
      <c r="E1263" s="53"/>
      <c r="F1263" s="54"/>
      <c r="G1263" s="54"/>
      <c r="H1263" s="54"/>
      <c r="I1263" s="53"/>
      <c r="J1263" s="53"/>
      <c r="K1263" s="23"/>
      <c r="L1263" s="53"/>
      <c r="M1263" s="54"/>
    </row>
    <row r="1264">
      <c r="A1264" s="23"/>
      <c r="B1264" s="52"/>
      <c r="C1264" s="53"/>
      <c r="D1264" s="23"/>
      <c r="E1264" s="53"/>
      <c r="F1264" s="54"/>
      <c r="G1264" s="54"/>
      <c r="H1264" s="54"/>
      <c r="I1264" s="53"/>
      <c r="J1264" s="53"/>
      <c r="K1264" s="23"/>
      <c r="L1264" s="53"/>
      <c r="M1264" s="54"/>
    </row>
    <row r="1265">
      <c r="A1265" s="23"/>
      <c r="B1265" s="52"/>
      <c r="C1265" s="53"/>
      <c r="D1265" s="23"/>
      <c r="E1265" s="53"/>
      <c r="F1265" s="54"/>
      <c r="G1265" s="54"/>
      <c r="H1265" s="54"/>
      <c r="I1265" s="53"/>
      <c r="J1265" s="53"/>
      <c r="K1265" s="23"/>
      <c r="L1265" s="53"/>
      <c r="M1265" s="54"/>
    </row>
    <row r="1266">
      <c r="A1266" s="23"/>
      <c r="B1266" s="52"/>
      <c r="C1266" s="53"/>
      <c r="D1266" s="23"/>
      <c r="E1266" s="53"/>
      <c r="F1266" s="54"/>
      <c r="G1266" s="54"/>
      <c r="H1266" s="54"/>
      <c r="I1266" s="53"/>
      <c r="J1266" s="53"/>
      <c r="K1266" s="23"/>
      <c r="L1266" s="53"/>
      <c r="M1266" s="54"/>
    </row>
    <row r="1267">
      <c r="A1267" s="23"/>
      <c r="B1267" s="52"/>
      <c r="C1267" s="53"/>
      <c r="D1267" s="23"/>
      <c r="E1267" s="53"/>
      <c r="F1267" s="54"/>
      <c r="G1267" s="54"/>
      <c r="H1267" s="54"/>
      <c r="I1267" s="53"/>
      <c r="J1267" s="53"/>
      <c r="K1267" s="23"/>
      <c r="L1267" s="53"/>
      <c r="M1267" s="54"/>
    </row>
    <row r="1268">
      <c r="A1268" s="23"/>
      <c r="B1268" s="52"/>
      <c r="C1268" s="53"/>
      <c r="D1268" s="23"/>
      <c r="E1268" s="53"/>
      <c r="F1268" s="54"/>
      <c r="G1268" s="54"/>
      <c r="H1268" s="54"/>
      <c r="I1268" s="53"/>
      <c r="J1268" s="53"/>
      <c r="K1268" s="23"/>
      <c r="L1268" s="53"/>
      <c r="M1268" s="54"/>
    </row>
    <row r="1269">
      <c r="A1269" s="23"/>
      <c r="B1269" s="52"/>
      <c r="C1269" s="53"/>
      <c r="D1269" s="23"/>
      <c r="E1269" s="53"/>
      <c r="F1269" s="54"/>
      <c r="G1269" s="54"/>
      <c r="H1269" s="54"/>
      <c r="I1269" s="53"/>
      <c r="J1269" s="53"/>
      <c r="K1269" s="23"/>
      <c r="L1269" s="53"/>
      <c r="M1269" s="54"/>
    </row>
    <row r="1270">
      <c r="A1270" s="23"/>
      <c r="B1270" s="52"/>
      <c r="C1270" s="53"/>
      <c r="D1270" s="23"/>
      <c r="E1270" s="53"/>
      <c r="F1270" s="54"/>
      <c r="G1270" s="54"/>
      <c r="H1270" s="54"/>
      <c r="I1270" s="53"/>
      <c r="J1270" s="53"/>
      <c r="K1270" s="23"/>
      <c r="L1270" s="53"/>
      <c r="M1270" s="54"/>
    </row>
    <row r="1271">
      <c r="A1271" s="23"/>
      <c r="B1271" s="52"/>
      <c r="C1271" s="53"/>
      <c r="D1271" s="23"/>
      <c r="E1271" s="53"/>
      <c r="F1271" s="54"/>
      <c r="G1271" s="54"/>
      <c r="H1271" s="54"/>
      <c r="I1271" s="53"/>
      <c r="J1271" s="53"/>
      <c r="K1271" s="23"/>
      <c r="L1271" s="53"/>
      <c r="M1271" s="54"/>
    </row>
    <row r="1272">
      <c r="A1272" s="23"/>
      <c r="B1272" s="52"/>
      <c r="C1272" s="53"/>
      <c r="D1272" s="23"/>
      <c r="E1272" s="53"/>
      <c r="F1272" s="54"/>
      <c r="G1272" s="54"/>
      <c r="H1272" s="54"/>
      <c r="I1272" s="53"/>
      <c r="J1272" s="53"/>
      <c r="K1272" s="23"/>
      <c r="L1272" s="53"/>
      <c r="M1272" s="54"/>
    </row>
    <row r="1273">
      <c r="A1273" s="23"/>
      <c r="B1273" s="52"/>
      <c r="C1273" s="53"/>
      <c r="D1273" s="23"/>
      <c r="E1273" s="53"/>
      <c r="F1273" s="54"/>
      <c r="G1273" s="54"/>
      <c r="H1273" s="54"/>
      <c r="I1273" s="53"/>
      <c r="J1273" s="53"/>
      <c r="K1273" s="23"/>
      <c r="L1273" s="53"/>
      <c r="M1273" s="54"/>
    </row>
    <row r="1274">
      <c r="A1274" s="23"/>
      <c r="B1274" s="52"/>
      <c r="C1274" s="53"/>
      <c r="D1274" s="23"/>
      <c r="E1274" s="53"/>
      <c r="F1274" s="54"/>
      <c r="G1274" s="54"/>
      <c r="H1274" s="54"/>
      <c r="I1274" s="53"/>
      <c r="J1274" s="53"/>
      <c r="K1274" s="23"/>
      <c r="L1274" s="53"/>
      <c r="M1274" s="54"/>
    </row>
    <row r="1275">
      <c r="A1275" s="23"/>
      <c r="B1275" s="52"/>
      <c r="C1275" s="53"/>
      <c r="D1275" s="23"/>
      <c r="E1275" s="53"/>
      <c r="F1275" s="54"/>
      <c r="G1275" s="54"/>
      <c r="H1275" s="54"/>
      <c r="I1275" s="53"/>
      <c r="J1275" s="53"/>
      <c r="K1275" s="23"/>
      <c r="L1275" s="53"/>
      <c r="M1275" s="54"/>
    </row>
    <row r="1276">
      <c r="A1276" s="23"/>
      <c r="B1276" s="52"/>
      <c r="C1276" s="53"/>
      <c r="D1276" s="23"/>
      <c r="E1276" s="53"/>
      <c r="F1276" s="54"/>
      <c r="G1276" s="54"/>
      <c r="H1276" s="54"/>
      <c r="I1276" s="53"/>
      <c r="J1276" s="53"/>
      <c r="K1276" s="23"/>
      <c r="L1276" s="53"/>
      <c r="M1276" s="54"/>
    </row>
    <row r="1277">
      <c r="A1277" s="23"/>
      <c r="B1277" s="52"/>
      <c r="C1277" s="53"/>
      <c r="D1277" s="23"/>
      <c r="E1277" s="53"/>
      <c r="F1277" s="54"/>
      <c r="G1277" s="54"/>
      <c r="H1277" s="54"/>
      <c r="I1277" s="53"/>
      <c r="J1277" s="53"/>
      <c r="K1277" s="23"/>
      <c r="L1277" s="53"/>
      <c r="M1277" s="54"/>
    </row>
    <row r="1278">
      <c r="A1278" s="23"/>
      <c r="B1278" s="52"/>
      <c r="C1278" s="53"/>
      <c r="D1278" s="23"/>
      <c r="E1278" s="53"/>
      <c r="F1278" s="54"/>
      <c r="G1278" s="54"/>
      <c r="H1278" s="54"/>
      <c r="I1278" s="53"/>
      <c r="J1278" s="53"/>
      <c r="K1278" s="23"/>
      <c r="L1278" s="53"/>
      <c r="M1278" s="54"/>
    </row>
    <row r="1279">
      <c r="A1279" s="23"/>
      <c r="B1279" s="52"/>
      <c r="C1279" s="53"/>
      <c r="D1279" s="23"/>
      <c r="E1279" s="53"/>
      <c r="F1279" s="54"/>
      <c r="G1279" s="54"/>
      <c r="H1279" s="54"/>
      <c r="I1279" s="53"/>
      <c r="J1279" s="53"/>
      <c r="K1279" s="23"/>
      <c r="L1279" s="53"/>
      <c r="M1279" s="54"/>
    </row>
    <row r="1280">
      <c r="A1280" s="23"/>
      <c r="B1280" s="52"/>
      <c r="C1280" s="53"/>
      <c r="D1280" s="23"/>
      <c r="E1280" s="53"/>
      <c r="F1280" s="54"/>
      <c r="G1280" s="54"/>
      <c r="H1280" s="54"/>
      <c r="I1280" s="53"/>
      <c r="J1280" s="53"/>
      <c r="K1280" s="23"/>
      <c r="L1280" s="53"/>
      <c r="M1280" s="54"/>
    </row>
    <row r="1281">
      <c r="A1281" s="23"/>
      <c r="B1281" s="52"/>
      <c r="C1281" s="53"/>
      <c r="D1281" s="23"/>
      <c r="E1281" s="53"/>
      <c r="F1281" s="54"/>
      <c r="G1281" s="54"/>
      <c r="H1281" s="54"/>
      <c r="I1281" s="53"/>
      <c r="J1281" s="53"/>
      <c r="K1281" s="23"/>
      <c r="L1281" s="53"/>
      <c r="M1281" s="54"/>
    </row>
    <row r="1282">
      <c r="A1282" s="23"/>
      <c r="B1282" s="52"/>
      <c r="C1282" s="53"/>
      <c r="D1282" s="23"/>
      <c r="E1282" s="53"/>
      <c r="F1282" s="54"/>
      <c r="G1282" s="54"/>
      <c r="H1282" s="54"/>
      <c r="I1282" s="53"/>
      <c r="J1282" s="53"/>
      <c r="K1282" s="23"/>
      <c r="L1282" s="53"/>
      <c r="M1282" s="54"/>
    </row>
    <row r="1283">
      <c r="A1283" s="23"/>
      <c r="B1283" s="52"/>
      <c r="C1283" s="53"/>
      <c r="D1283" s="23"/>
      <c r="E1283" s="53"/>
      <c r="F1283" s="54"/>
      <c r="G1283" s="54"/>
      <c r="H1283" s="54"/>
      <c r="I1283" s="53"/>
      <c r="J1283" s="53"/>
      <c r="K1283" s="23"/>
      <c r="L1283" s="53"/>
      <c r="M1283" s="54"/>
    </row>
    <row r="1284">
      <c r="A1284" s="23"/>
      <c r="B1284" s="52"/>
      <c r="C1284" s="53"/>
      <c r="D1284" s="23"/>
      <c r="E1284" s="53"/>
      <c r="F1284" s="54"/>
      <c r="G1284" s="54"/>
      <c r="H1284" s="54"/>
      <c r="I1284" s="53"/>
      <c r="J1284" s="53"/>
      <c r="K1284" s="23"/>
      <c r="L1284" s="53"/>
      <c r="M1284" s="54"/>
    </row>
    <row r="1285">
      <c r="A1285" s="23"/>
      <c r="B1285" s="52"/>
      <c r="C1285" s="53"/>
      <c r="D1285" s="23"/>
      <c r="E1285" s="53"/>
      <c r="F1285" s="54"/>
      <c r="G1285" s="54"/>
      <c r="H1285" s="54"/>
      <c r="I1285" s="53"/>
      <c r="J1285" s="53"/>
      <c r="K1285" s="23"/>
      <c r="L1285" s="53"/>
      <c r="M1285" s="54"/>
    </row>
    <row r="1286">
      <c r="A1286" s="23"/>
      <c r="B1286" s="52"/>
      <c r="C1286" s="53"/>
      <c r="D1286" s="23"/>
      <c r="E1286" s="53"/>
      <c r="F1286" s="54"/>
      <c r="G1286" s="54"/>
      <c r="H1286" s="54"/>
      <c r="I1286" s="53"/>
      <c r="J1286" s="53"/>
      <c r="K1286" s="23"/>
      <c r="L1286" s="53"/>
      <c r="M1286" s="54"/>
    </row>
    <row r="1287">
      <c r="A1287" s="23"/>
      <c r="B1287" s="52"/>
      <c r="C1287" s="53"/>
      <c r="D1287" s="23"/>
      <c r="E1287" s="53"/>
      <c r="F1287" s="54"/>
      <c r="G1287" s="54"/>
      <c r="H1287" s="54"/>
      <c r="I1287" s="53"/>
      <c r="J1287" s="53"/>
      <c r="K1287" s="23"/>
      <c r="L1287" s="53"/>
      <c r="M1287" s="54"/>
    </row>
    <row r="1288">
      <c r="A1288" s="23"/>
      <c r="B1288" s="52"/>
      <c r="C1288" s="53"/>
      <c r="D1288" s="23"/>
      <c r="E1288" s="53"/>
      <c r="F1288" s="54"/>
      <c r="G1288" s="54"/>
      <c r="H1288" s="54"/>
      <c r="I1288" s="53"/>
      <c r="J1288" s="53"/>
      <c r="K1288" s="23"/>
      <c r="L1288" s="53"/>
      <c r="M1288" s="54"/>
    </row>
    <row r="1289">
      <c r="A1289" s="23"/>
      <c r="B1289" s="52"/>
      <c r="C1289" s="53"/>
      <c r="D1289" s="23"/>
      <c r="E1289" s="53"/>
      <c r="F1289" s="54"/>
      <c r="G1289" s="54"/>
      <c r="H1289" s="54"/>
      <c r="I1289" s="53"/>
      <c r="J1289" s="53"/>
      <c r="K1289" s="23"/>
      <c r="L1289" s="53"/>
      <c r="M1289" s="54"/>
    </row>
    <row r="1290">
      <c r="A1290" s="23"/>
      <c r="B1290" s="52"/>
      <c r="C1290" s="53"/>
      <c r="D1290" s="23"/>
      <c r="E1290" s="53"/>
      <c r="F1290" s="54"/>
      <c r="G1290" s="54"/>
      <c r="H1290" s="54"/>
      <c r="I1290" s="53"/>
      <c r="J1290" s="53"/>
      <c r="K1290" s="23"/>
      <c r="L1290" s="53"/>
      <c r="M1290" s="54"/>
    </row>
    <row r="1291">
      <c r="A1291" s="23"/>
      <c r="B1291" s="52"/>
      <c r="C1291" s="53"/>
      <c r="D1291" s="23"/>
      <c r="E1291" s="53"/>
      <c r="F1291" s="54"/>
      <c r="G1291" s="54"/>
      <c r="H1291" s="54"/>
      <c r="I1291" s="53"/>
      <c r="J1291" s="53"/>
      <c r="K1291" s="23"/>
      <c r="L1291" s="53"/>
      <c r="M1291" s="54"/>
    </row>
    <row r="1292">
      <c r="A1292" s="23"/>
      <c r="B1292" s="52"/>
      <c r="C1292" s="53"/>
      <c r="D1292" s="23"/>
      <c r="E1292" s="53"/>
      <c r="F1292" s="54"/>
      <c r="G1292" s="54"/>
      <c r="H1292" s="54"/>
      <c r="I1292" s="53"/>
      <c r="J1292" s="53"/>
      <c r="K1292" s="23"/>
      <c r="L1292" s="53"/>
      <c r="M1292" s="54"/>
    </row>
    <row r="1293">
      <c r="A1293" s="23"/>
      <c r="B1293" s="52"/>
      <c r="C1293" s="53"/>
      <c r="D1293" s="23"/>
      <c r="E1293" s="53"/>
      <c r="F1293" s="54"/>
      <c r="G1293" s="54"/>
      <c r="H1293" s="54"/>
      <c r="I1293" s="53"/>
      <c r="J1293" s="53"/>
      <c r="K1293" s="23"/>
      <c r="L1293" s="53"/>
      <c r="M1293" s="54"/>
    </row>
    <row r="1294">
      <c r="A1294" s="23"/>
      <c r="B1294" s="52"/>
      <c r="C1294" s="53"/>
      <c r="D1294" s="23"/>
      <c r="E1294" s="53"/>
      <c r="F1294" s="54"/>
      <c r="G1294" s="54"/>
      <c r="H1294" s="54"/>
      <c r="I1294" s="53"/>
      <c r="J1294" s="53"/>
      <c r="K1294" s="23"/>
      <c r="L1294" s="53"/>
      <c r="M1294" s="54"/>
    </row>
    <row r="1295">
      <c r="A1295" s="23"/>
      <c r="B1295" s="52"/>
      <c r="C1295" s="53"/>
      <c r="D1295" s="23"/>
      <c r="E1295" s="53"/>
      <c r="F1295" s="54"/>
      <c r="G1295" s="54"/>
      <c r="H1295" s="54"/>
      <c r="I1295" s="53"/>
      <c r="J1295" s="53"/>
      <c r="K1295" s="23"/>
      <c r="L1295" s="53"/>
      <c r="M1295" s="54"/>
    </row>
    <row r="1296">
      <c r="A1296" s="23"/>
      <c r="B1296" s="52"/>
      <c r="C1296" s="53"/>
      <c r="D1296" s="23"/>
      <c r="E1296" s="53"/>
      <c r="F1296" s="54"/>
      <c r="G1296" s="54"/>
      <c r="H1296" s="54"/>
      <c r="I1296" s="53"/>
      <c r="J1296" s="53"/>
      <c r="K1296" s="23"/>
      <c r="L1296" s="53"/>
      <c r="M1296" s="54"/>
    </row>
    <row r="1297">
      <c r="A1297" s="23"/>
      <c r="B1297" s="52"/>
      <c r="C1297" s="53"/>
      <c r="D1297" s="23"/>
      <c r="E1297" s="53"/>
      <c r="F1297" s="54"/>
      <c r="G1297" s="54"/>
      <c r="H1297" s="54"/>
      <c r="I1297" s="53"/>
      <c r="J1297" s="53"/>
      <c r="K1297" s="23"/>
      <c r="L1297" s="53"/>
      <c r="M1297" s="54"/>
    </row>
    <row r="1298">
      <c r="A1298" s="23"/>
      <c r="B1298" s="52"/>
      <c r="C1298" s="53"/>
      <c r="D1298" s="23"/>
      <c r="E1298" s="53"/>
      <c r="F1298" s="54"/>
      <c r="G1298" s="54"/>
      <c r="H1298" s="54"/>
      <c r="I1298" s="53"/>
      <c r="J1298" s="53"/>
      <c r="K1298" s="23"/>
      <c r="L1298" s="53"/>
      <c r="M1298" s="54"/>
    </row>
    <row r="1299">
      <c r="A1299" s="23"/>
      <c r="B1299" s="52"/>
      <c r="C1299" s="53"/>
      <c r="D1299" s="23"/>
      <c r="E1299" s="53"/>
      <c r="F1299" s="54"/>
      <c r="G1299" s="54"/>
      <c r="H1299" s="54"/>
      <c r="I1299" s="53"/>
      <c r="J1299" s="53"/>
      <c r="K1299" s="23"/>
      <c r="L1299" s="53"/>
      <c r="M1299" s="54"/>
    </row>
    <row r="1300">
      <c r="A1300" s="23"/>
      <c r="B1300" s="52"/>
      <c r="C1300" s="53"/>
      <c r="D1300" s="23"/>
      <c r="E1300" s="53"/>
      <c r="F1300" s="54"/>
      <c r="G1300" s="54"/>
      <c r="H1300" s="54"/>
      <c r="I1300" s="53"/>
      <c r="J1300" s="53"/>
      <c r="K1300" s="23"/>
      <c r="L1300" s="53"/>
      <c r="M1300" s="54"/>
    </row>
    <row r="1301">
      <c r="A1301" s="23"/>
      <c r="B1301" s="52"/>
      <c r="C1301" s="53"/>
      <c r="D1301" s="23"/>
      <c r="E1301" s="53"/>
      <c r="F1301" s="54"/>
      <c r="G1301" s="54"/>
      <c r="H1301" s="54"/>
      <c r="I1301" s="53"/>
      <c r="J1301" s="53"/>
      <c r="K1301" s="23"/>
      <c r="L1301" s="53"/>
      <c r="M1301" s="54"/>
    </row>
    <row r="1302">
      <c r="A1302" s="23"/>
      <c r="B1302" s="52"/>
      <c r="C1302" s="53"/>
      <c r="D1302" s="23"/>
      <c r="E1302" s="53"/>
      <c r="F1302" s="54"/>
      <c r="G1302" s="54"/>
      <c r="H1302" s="54"/>
      <c r="I1302" s="53"/>
      <c r="J1302" s="53"/>
      <c r="K1302" s="23"/>
      <c r="L1302" s="53"/>
      <c r="M1302" s="54"/>
    </row>
    <row r="1303">
      <c r="A1303" s="23"/>
      <c r="B1303" s="52"/>
      <c r="C1303" s="53"/>
      <c r="D1303" s="23"/>
      <c r="E1303" s="53"/>
      <c r="F1303" s="54"/>
      <c r="G1303" s="54"/>
      <c r="H1303" s="54"/>
      <c r="I1303" s="53"/>
      <c r="J1303" s="53"/>
      <c r="K1303" s="23"/>
      <c r="L1303" s="53"/>
      <c r="M1303" s="54"/>
    </row>
    <row r="1304">
      <c r="A1304" s="23"/>
      <c r="B1304" s="52"/>
      <c r="C1304" s="53"/>
      <c r="D1304" s="23"/>
      <c r="E1304" s="53"/>
      <c r="F1304" s="54"/>
      <c r="G1304" s="54"/>
      <c r="H1304" s="54"/>
      <c r="I1304" s="53"/>
      <c r="J1304" s="53"/>
      <c r="K1304" s="23"/>
      <c r="L1304" s="53"/>
      <c r="M1304" s="54"/>
    </row>
    <row r="1305">
      <c r="A1305" s="23"/>
      <c r="B1305" s="52"/>
      <c r="C1305" s="53"/>
      <c r="D1305" s="23"/>
      <c r="E1305" s="53"/>
      <c r="F1305" s="54"/>
      <c r="G1305" s="54"/>
      <c r="H1305" s="54"/>
      <c r="I1305" s="53"/>
      <c r="J1305" s="53"/>
      <c r="K1305" s="23"/>
      <c r="L1305" s="53"/>
      <c r="M1305" s="54"/>
    </row>
    <row r="1306">
      <c r="A1306" s="23"/>
      <c r="B1306" s="52"/>
      <c r="C1306" s="53"/>
      <c r="D1306" s="23"/>
      <c r="E1306" s="53"/>
      <c r="F1306" s="54"/>
      <c r="G1306" s="54"/>
      <c r="H1306" s="54"/>
      <c r="I1306" s="53"/>
      <c r="J1306" s="53"/>
      <c r="K1306" s="23"/>
      <c r="L1306" s="53"/>
      <c r="M1306" s="54"/>
    </row>
    <row r="1307">
      <c r="A1307" s="23"/>
      <c r="B1307" s="52"/>
      <c r="C1307" s="53"/>
      <c r="D1307" s="23"/>
      <c r="E1307" s="53"/>
      <c r="F1307" s="54"/>
      <c r="G1307" s="54"/>
      <c r="H1307" s="54"/>
      <c r="I1307" s="53"/>
      <c r="J1307" s="53"/>
      <c r="K1307" s="23"/>
      <c r="L1307" s="53"/>
      <c r="M1307" s="54"/>
    </row>
    <row r="1308">
      <c r="A1308" s="23"/>
      <c r="B1308" s="52"/>
      <c r="C1308" s="53"/>
      <c r="D1308" s="23"/>
      <c r="E1308" s="53"/>
      <c r="F1308" s="54"/>
      <c r="G1308" s="54"/>
      <c r="H1308" s="54"/>
      <c r="I1308" s="53"/>
      <c r="J1308" s="53"/>
      <c r="K1308" s="23"/>
      <c r="L1308" s="53"/>
      <c r="M1308" s="54"/>
    </row>
    <row r="1309">
      <c r="A1309" s="23"/>
      <c r="B1309" s="52"/>
      <c r="C1309" s="53"/>
      <c r="D1309" s="23"/>
      <c r="E1309" s="53"/>
      <c r="F1309" s="54"/>
      <c r="G1309" s="54"/>
      <c r="H1309" s="54"/>
      <c r="I1309" s="53"/>
      <c r="J1309" s="53"/>
      <c r="K1309" s="23"/>
      <c r="L1309" s="53"/>
      <c r="M1309" s="54"/>
    </row>
    <row r="1310">
      <c r="A1310" s="23"/>
      <c r="B1310" s="52"/>
      <c r="C1310" s="53"/>
      <c r="D1310" s="23"/>
      <c r="E1310" s="53"/>
      <c r="F1310" s="54"/>
      <c r="G1310" s="54"/>
      <c r="H1310" s="54"/>
      <c r="I1310" s="53"/>
      <c r="J1310" s="53"/>
      <c r="K1310" s="23"/>
      <c r="L1310" s="53"/>
      <c r="M1310" s="54"/>
    </row>
    <row r="1311">
      <c r="A1311" s="23"/>
      <c r="B1311" s="52"/>
      <c r="C1311" s="53"/>
      <c r="D1311" s="23"/>
      <c r="E1311" s="53"/>
      <c r="F1311" s="54"/>
      <c r="G1311" s="54"/>
      <c r="H1311" s="54"/>
      <c r="I1311" s="53"/>
      <c r="J1311" s="53"/>
      <c r="K1311" s="23"/>
      <c r="L1311" s="53"/>
      <c r="M1311" s="54"/>
    </row>
    <row r="1312">
      <c r="A1312" s="23"/>
      <c r="B1312" s="52"/>
      <c r="C1312" s="53"/>
      <c r="D1312" s="23"/>
      <c r="E1312" s="53"/>
      <c r="F1312" s="54"/>
      <c r="G1312" s="54"/>
      <c r="H1312" s="54"/>
      <c r="I1312" s="53"/>
      <c r="J1312" s="53"/>
      <c r="K1312" s="23"/>
      <c r="L1312" s="53"/>
      <c r="M1312" s="54"/>
    </row>
    <row r="1313">
      <c r="A1313" s="23"/>
      <c r="B1313" s="52"/>
      <c r="C1313" s="53"/>
      <c r="D1313" s="23"/>
      <c r="E1313" s="53"/>
      <c r="F1313" s="54"/>
      <c r="G1313" s="54"/>
      <c r="H1313" s="54"/>
      <c r="I1313" s="53"/>
      <c r="J1313" s="53"/>
      <c r="K1313" s="23"/>
      <c r="L1313" s="53"/>
      <c r="M1313" s="54"/>
    </row>
    <row r="1314">
      <c r="A1314" s="23"/>
      <c r="B1314" s="52"/>
      <c r="C1314" s="53"/>
      <c r="D1314" s="23"/>
      <c r="E1314" s="53"/>
      <c r="F1314" s="54"/>
      <c r="G1314" s="54"/>
      <c r="H1314" s="54"/>
      <c r="I1314" s="53"/>
      <c r="J1314" s="53"/>
      <c r="K1314" s="23"/>
      <c r="L1314" s="53"/>
      <c r="M1314" s="54"/>
    </row>
    <row r="1315">
      <c r="A1315" s="23"/>
      <c r="B1315" s="52"/>
      <c r="C1315" s="53"/>
      <c r="D1315" s="23"/>
      <c r="E1315" s="53"/>
      <c r="F1315" s="54"/>
      <c r="G1315" s="54"/>
      <c r="H1315" s="54"/>
      <c r="I1315" s="53"/>
      <c r="J1315" s="53"/>
      <c r="K1315" s="23"/>
      <c r="L1315" s="53"/>
      <c r="M1315" s="54"/>
    </row>
    <row r="1316">
      <c r="A1316" s="23"/>
      <c r="B1316" s="52"/>
      <c r="C1316" s="53"/>
      <c r="D1316" s="23"/>
      <c r="E1316" s="53"/>
      <c r="F1316" s="54"/>
      <c r="G1316" s="54"/>
      <c r="H1316" s="54"/>
      <c r="I1316" s="53"/>
      <c r="J1316" s="53"/>
      <c r="K1316" s="23"/>
      <c r="L1316" s="53"/>
      <c r="M1316" s="54"/>
    </row>
    <row r="1317">
      <c r="A1317" s="23"/>
      <c r="B1317" s="52"/>
      <c r="C1317" s="53"/>
      <c r="D1317" s="23"/>
      <c r="E1317" s="53"/>
      <c r="F1317" s="54"/>
      <c r="G1317" s="54"/>
      <c r="H1317" s="54"/>
      <c r="I1317" s="53"/>
      <c r="J1317" s="53"/>
      <c r="K1317" s="23"/>
      <c r="L1317" s="53"/>
      <c r="M1317" s="54"/>
    </row>
    <row r="1318">
      <c r="A1318" s="23"/>
      <c r="B1318" s="52"/>
      <c r="C1318" s="53"/>
      <c r="D1318" s="23"/>
      <c r="E1318" s="53"/>
      <c r="F1318" s="54"/>
      <c r="G1318" s="54"/>
      <c r="H1318" s="54"/>
      <c r="I1318" s="53"/>
      <c r="J1318" s="53"/>
      <c r="K1318" s="23"/>
      <c r="L1318" s="53"/>
      <c r="M1318" s="54"/>
    </row>
    <row r="1319">
      <c r="A1319" s="23"/>
      <c r="B1319" s="52"/>
      <c r="C1319" s="53"/>
      <c r="D1319" s="23"/>
      <c r="E1319" s="53"/>
      <c r="F1319" s="54"/>
      <c r="G1319" s="54"/>
      <c r="H1319" s="54"/>
      <c r="I1319" s="53"/>
      <c r="J1319" s="53"/>
      <c r="K1319" s="23"/>
      <c r="L1319" s="53"/>
      <c r="M1319" s="54"/>
    </row>
    <row r="1320">
      <c r="A1320" s="23"/>
      <c r="B1320" s="52"/>
      <c r="C1320" s="53"/>
      <c r="D1320" s="23"/>
      <c r="E1320" s="53"/>
      <c r="F1320" s="54"/>
      <c r="G1320" s="54"/>
      <c r="H1320" s="54"/>
      <c r="I1320" s="53"/>
      <c r="J1320" s="53"/>
      <c r="K1320" s="23"/>
      <c r="L1320" s="53"/>
      <c r="M1320" s="54"/>
    </row>
    <row r="1321">
      <c r="A1321" s="23"/>
      <c r="B1321" s="52"/>
      <c r="C1321" s="53"/>
      <c r="D1321" s="23"/>
      <c r="E1321" s="53"/>
      <c r="F1321" s="54"/>
      <c r="G1321" s="54"/>
      <c r="H1321" s="54"/>
      <c r="I1321" s="53"/>
      <c r="J1321" s="53"/>
      <c r="K1321" s="23"/>
      <c r="L1321" s="53"/>
      <c r="M1321" s="54"/>
    </row>
    <row r="1322">
      <c r="A1322" s="23"/>
      <c r="B1322" s="52"/>
      <c r="C1322" s="53"/>
      <c r="D1322" s="23"/>
      <c r="E1322" s="53"/>
      <c r="F1322" s="54"/>
      <c r="G1322" s="54"/>
      <c r="H1322" s="54"/>
      <c r="I1322" s="53"/>
      <c r="J1322" s="53"/>
      <c r="K1322" s="23"/>
      <c r="L1322" s="53"/>
      <c r="M1322" s="54"/>
    </row>
    <row r="1323">
      <c r="A1323" s="23"/>
      <c r="B1323" s="52"/>
      <c r="C1323" s="53"/>
      <c r="D1323" s="23"/>
      <c r="E1323" s="53"/>
      <c r="F1323" s="54"/>
      <c r="G1323" s="54"/>
      <c r="H1323" s="54"/>
      <c r="I1323" s="53"/>
      <c r="J1323" s="53"/>
      <c r="K1323" s="23"/>
      <c r="L1323" s="53"/>
      <c r="M1323" s="54"/>
    </row>
    <row r="1324">
      <c r="A1324" s="23"/>
      <c r="B1324" s="52"/>
      <c r="C1324" s="53"/>
      <c r="D1324" s="23"/>
      <c r="E1324" s="53"/>
      <c r="F1324" s="54"/>
      <c r="G1324" s="54"/>
      <c r="H1324" s="54"/>
      <c r="I1324" s="53"/>
      <c r="J1324" s="53"/>
      <c r="K1324" s="23"/>
      <c r="L1324" s="53"/>
      <c r="M1324" s="54"/>
    </row>
    <row r="1325">
      <c r="A1325" s="23"/>
      <c r="B1325" s="52"/>
      <c r="C1325" s="53"/>
      <c r="D1325" s="23"/>
      <c r="E1325" s="53"/>
      <c r="F1325" s="54"/>
      <c r="G1325" s="54"/>
      <c r="H1325" s="54"/>
      <c r="I1325" s="53"/>
      <c r="J1325" s="53"/>
      <c r="K1325" s="23"/>
      <c r="L1325" s="53"/>
      <c r="M1325" s="54"/>
    </row>
    <row r="1326">
      <c r="A1326" s="23"/>
      <c r="B1326" s="52"/>
      <c r="C1326" s="53"/>
      <c r="D1326" s="23"/>
      <c r="E1326" s="53"/>
      <c r="F1326" s="54"/>
      <c r="G1326" s="54"/>
      <c r="H1326" s="54"/>
      <c r="I1326" s="53"/>
      <c r="J1326" s="53"/>
      <c r="K1326" s="23"/>
      <c r="L1326" s="53"/>
      <c r="M1326" s="54"/>
    </row>
    <row r="1327">
      <c r="A1327" s="23"/>
      <c r="B1327" s="52"/>
      <c r="C1327" s="53"/>
      <c r="D1327" s="23"/>
      <c r="E1327" s="53"/>
      <c r="F1327" s="54"/>
      <c r="G1327" s="54"/>
      <c r="H1327" s="54"/>
      <c r="I1327" s="53"/>
      <c r="J1327" s="53"/>
      <c r="K1327" s="23"/>
      <c r="L1327" s="53"/>
      <c r="M1327" s="54"/>
    </row>
    <row r="1328">
      <c r="A1328" s="23"/>
      <c r="B1328" s="52"/>
      <c r="C1328" s="53"/>
      <c r="D1328" s="23"/>
      <c r="E1328" s="53"/>
      <c r="F1328" s="54"/>
      <c r="G1328" s="54"/>
      <c r="H1328" s="54"/>
      <c r="I1328" s="53"/>
      <c r="J1328" s="53"/>
      <c r="K1328" s="23"/>
      <c r="L1328" s="53"/>
      <c r="M1328" s="54"/>
    </row>
    <row r="1329">
      <c r="A1329" s="23"/>
      <c r="B1329" s="52"/>
      <c r="C1329" s="53"/>
      <c r="D1329" s="23"/>
      <c r="E1329" s="53"/>
      <c r="F1329" s="54"/>
      <c r="G1329" s="54"/>
      <c r="H1329" s="54"/>
      <c r="I1329" s="53"/>
      <c r="J1329" s="53"/>
      <c r="K1329" s="23"/>
      <c r="L1329" s="53"/>
      <c r="M1329" s="54"/>
    </row>
    <row r="1330">
      <c r="A1330" s="23"/>
      <c r="B1330" s="52"/>
      <c r="C1330" s="53"/>
      <c r="D1330" s="23"/>
      <c r="E1330" s="53"/>
      <c r="F1330" s="54"/>
      <c r="G1330" s="54"/>
      <c r="H1330" s="54"/>
      <c r="I1330" s="53"/>
      <c r="J1330" s="53"/>
      <c r="K1330" s="23"/>
      <c r="L1330" s="53"/>
      <c r="M1330" s="54"/>
    </row>
    <row r="1331">
      <c r="A1331" s="23"/>
      <c r="B1331" s="52"/>
      <c r="C1331" s="53"/>
      <c r="D1331" s="23"/>
      <c r="E1331" s="53"/>
      <c r="F1331" s="54"/>
      <c r="G1331" s="54"/>
      <c r="H1331" s="54"/>
      <c r="I1331" s="53"/>
      <c r="J1331" s="53"/>
      <c r="K1331" s="23"/>
      <c r="L1331" s="53"/>
      <c r="M1331" s="54"/>
    </row>
    <row r="1332">
      <c r="A1332" s="23"/>
      <c r="B1332" s="52"/>
      <c r="C1332" s="53"/>
      <c r="D1332" s="23"/>
      <c r="E1332" s="53"/>
      <c r="F1332" s="54"/>
      <c r="G1332" s="54"/>
      <c r="H1332" s="54"/>
      <c r="I1332" s="53"/>
      <c r="J1332" s="53"/>
      <c r="K1332" s="23"/>
      <c r="L1332" s="53"/>
      <c r="M1332" s="54"/>
    </row>
    <row r="1333">
      <c r="A1333" s="23"/>
      <c r="B1333" s="52"/>
      <c r="C1333" s="53"/>
      <c r="D1333" s="23"/>
      <c r="E1333" s="53"/>
      <c r="F1333" s="54"/>
      <c r="G1333" s="54"/>
      <c r="H1333" s="54"/>
      <c r="I1333" s="53"/>
      <c r="J1333" s="53"/>
      <c r="K1333" s="23"/>
      <c r="L1333" s="53"/>
      <c r="M1333" s="54"/>
    </row>
    <row r="1334">
      <c r="A1334" s="23"/>
      <c r="B1334" s="52"/>
      <c r="C1334" s="53"/>
      <c r="D1334" s="23"/>
      <c r="E1334" s="53"/>
      <c r="F1334" s="54"/>
      <c r="G1334" s="54"/>
      <c r="H1334" s="54"/>
      <c r="I1334" s="53"/>
      <c r="J1334" s="53"/>
      <c r="K1334" s="23"/>
      <c r="L1334" s="53"/>
      <c r="M1334" s="54"/>
    </row>
    <row r="1335">
      <c r="A1335" s="23"/>
      <c r="B1335" s="52"/>
      <c r="C1335" s="53"/>
      <c r="D1335" s="23"/>
      <c r="E1335" s="53"/>
      <c r="F1335" s="54"/>
      <c r="G1335" s="54"/>
      <c r="H1335" s="54"/>
      <c r="I1335" s="53"/>
      <c r="J1335" s="53"/>
      <c r="K1335" s="23"/>
      <c r="L1335" s="53"/>
      <c r="M1335" s="54"/>
    </row>
    <row r="1336">
      <c r="A1336" s="23"/>
      <c r="B1336" s="52"/>
      <c r="C1336" s="53"/>
      <c r="D1336" s="23"/>
      <c r="E1336" s="53"/>
      <c r="F1336" s="54"/>
      <c r="G1336" s="54"/>
      <c r="H1336" s="54"/>
      <c r="I1336" s="53"/>
      <c r="J1336" s="53"/>
      <c r="K1336" s="23"/>
      <c r="L1336" s="53"/>
      <c r="M1336" s="54"/>
    </row>
    <row r="1337">
      <c r="A1337" s="23"/>
      <c r="B1337" s="52"/>
      <c r="C1337" s="53"/>
      <c r="D1337" s="23"/>
      <c r="E1337" s="53"/>
      <c r="F1337" s="54"/>
      <c r="G1337" s="54"/>
      <c r="H1337" s="54"/>
      <c r="I1337" s="53"/>
      <c r="J1337" s="53"/>
      <c r="K1337" s="23"/>
      <c r="L1337" s="53"/>
      <c r="M1337" s="54"/>
    </row>
    <row r="1338">
      <c r="A1338" s="23"/>
      <c r="B1338" s="52"/>
      <c r="C1338" s="53"/>
      <c r="D1338" s="23"/>
      <c r="E1338" s="53"/>
      <c r="F1338" s="54"/>
      <c r="G1338" s="54"/>
      <c r="H1338" s="54"/>
      <c r="I1338" s="53"/>
      <c r="J1338" s="53"/>
      <c r="K1338" s="23"/>
      <c r="L1338" s="53"/>
      <c r="M1338" s="54"/>
    </row>
    <row r="1339">
      <c r="A1339" s="23"/>
      <c r="B1339" s="52"/>
      <c r="C1339" s="53"/>
      <c r="D1339" s="23"/>
      <c r="E1339" s="53"/>
      <c r="F1339" s="54"/>
      <c r="G1339" s="54"/>
      <c r="H1339" s="54"/>
      <c r="I1339" s="53"/>
      <c r="J1339" s="53"/>
      <c r="K1339" s="23"/>
      <c r="L1339" s="53"/>
      <c r="M1339" s="54"/>
    </row>
    <row r="1340">
      <c r="A1340" s="23"/>
      <c r="B1340" s="52"/>
      <c r="C1340" s="53"/>
      <c r="D1340" s="23"/>
      <c r="E1340" s="53"/>
      <c r="F1340" s="54"/>
      <c r="G1340" s="54"/>
      <c r="H1340" s="54"/>
      <c r="I1340" s="53"/>
      <c r="J1340" s="53"/>
      <c r="K1340" s="23"/>
      <c r="L1340" s="53"/>
      <c r="M1340" s="54"/>
    </row>
    <row r="1341">
      <c r="A1341" s="23"/>
      <c r="B1341" s="52"/>
      <c r="C1341" s="53"/>
      <c r="D1341" s="23"/>
      <c r="E1341" s="53"/>
      <c r="F1341" s="54"/>
      <c r="G1341" s="54"/>
      <c r="H1341" s="54"/>
      <c r="I1341" s="53"/>
      <c r="J1341" s="53"/>
      <c r="K1341" s="23"/>
      <c r="L1341" s="53"/>
      <c r="M1341" s="54"/>
    </row>
    <row r="1342">
      <c r="A1342" s="23"/>
      <c r="B1342" s="52"/>
      <c r="C1342" s="53"/>
      <c r="D1342" s="23"/>
      <c r="E1342" s="53"/>
      <c r="F1342" s="54"/>
      <c r="G1342" s="54"/>
      <c r="H1342" s="54"/>
      <c r="I1342" s="53"/>
      <c r="J1342" s="53"/>
      <c r="K1342" s="23"/>
      <c r="L1342" s="53"/>
      <c r="M1342" s="54"/>
    </row>
    <row r="1343">
      <c r="A1343" s="23"/>
      <c r="B1343" s="52"/>
      <c r="C1343" s="53"/>
      <c r="D1343" s="23"/>
      <c r="E1343" s="53"/>
      <c r="F1343" s="54"/>
      <c r="G1343" s="54"/>
      <c r="H1343" s="54"/>
      <c r="I1343" s="53"/>
      <c r="J1343" s="53"/>
      <c r="K1343" s="23"/>
      <c r="L1343" s="53"/>
      <c r="M1343" s="54"/>
    </row>
    <row r="1344">
      <c r="A1344" s="23"/>
      <c r="B1344" s="52"/>
      <c r="C1344" s="53"/>
      <c r="D1344" s="23"/>
      <c r="E1344" s="53"/>
      <c r="F1344" s="54"/>
      <c r="G1344" s="54"/>
      <c r="H1344" s="54"/>
      <c r="I1344" s="53"/>
      <c r="J1344" s="53"/>
      <c r="K1344" s="23"/>
      <c r="L1344" s="53"/>
      <c r="M1344" s="54"/>
    </row>
    <row r="1345">
      <c r="A1345" s="23"/>
      <c r="B1345" s="52"/>
      <c r="C1345" s="53"/>
      <c r="D1345" s="23"/>
      <c r="E1345" s="53"/>
      <c r="F1345" s="54"/>
      <c r="G1345" s="54"/>
      <c r="H1345" s="54"/>
      <c r="I1345" s="53"/>
      <c r="J1345" s="53"/>
      <c r="K1345" s="23"/>
      <c r="L1345" s="53"/>
      <c r="M1345" s="54"/>
    </row>
    <row r="1346">
      <c r="A1346" s="23"/>
      <c r="B1346" s="52"/>
      <c r="C1346" s="53"/>
      <c r="D1346" s="23"/>
      <c r="E1346" s="53"/>
      <c r="F1346" s="54"/>
      <c r="G1346" s="54"/>
      <c r="H1346" s="54"/>
      <c r="I1346" s="53"/>
      <c r="J1346" s="53"/>
      <c r="K1346" s="23"/>
      <c r="L1346" s="53"/>
      <c r="M1346" s="54"/>
    </row>
    <row r="1347">
      <c r="A1347" s="23"/>
      <c r="B1347" s="52"/>
      <c r="C1347" s="53"/>
      <c r="D1347" s="23"/>
      <c r="E1347" s="53"/>
      <c r="F1347" s="54"/>
      <c r="G1347" s="54"/>
      <c r="H1347" s="54"/>
      <c r="I1347" s="53"/>
      <c r="J1347" s="53"/>
      <c r="K1347" s="23"/>
      <c r="L1347" s="53"/>
      <c r="M1347" s="54"/>
    </row>
    <row r="1348">
      <c r="A1348" s="23"/>
      <c r="B1348" s="52"/>
      <c r="C1348" s="53"/>
      <c r="D1348" s="23"/>
      <c r="E1348" s="53"/>
      <c r="F1348" s="54"/>
      <c r="G1348" s="54"/>
      <c r="H1348" s="54"/>
      <c r="I1348" s="53"/>
      <c r="J1348" s="53"/>
      <c r="K1348" s="23"/>
      <c r="L1348" s="53"/>
      <c r="M1348" s="54"/>
    </row>
    <row r="1349">
      <c r="A1349" s="23"/>
      <c r="B1349" s="52"/>
      <c r="C1349" s="53"/>
      <c r="D1349" s="23"/>
      <c r="E1349" s="53"/>
      <c r="F1349" s="54"/>
      <c r="G1349" s="54"/>
      <c r="H1349" s="54"/>
      <c r="I1349" s="53"/>
      <c r="J1349" s="53"/>
      <c r="K1349" s="23"/>
      <c r="L1349" s="53"/>
      <c r="M1349" s="54"/>
    </row>
    <row r="1350">
      <c r="A1350" s="23"/>
      <c r="B1350" s="52"/>
      <c r="C1350" s="53"/>
      <c r="D1350" s="23"/>
      <c r="E1350" s="53"/>
      <c r="F1350" s="54"/>
      <c r="G1350" s="54"/>
      <c r="H1350" s="54"/>
      <c r="I1350" s="53"/>
      <c r="J1350" s="53"/>
      <c r="K1350" s="23"/>
      <c r="L1350" s="53"/>
      <c r="M1350" s="54"/>
    </row>
    <row r="1351">
      <c r="A1351" s="23"/>
      <c r="B1351" s="52"/>
      <c r="C1351" s="53"/>
      <c r="D1351" s="23"/>
      <c r="E1351" s="53"/>
      <c r="F1351" s="54"/>
      <c r="G1351" s="54"/>
      <c r="H1351" s="54"/>
      <c r="I1351" s="53"/>
      <c r="J1351" s="53"/>
      <c r="K1351" s="23"/>
      <c r="L1351" s="53"/>
      <c r="M1351" s="54"/>
    </row>
    <row r="1352">
      <c r="A1352" s="23"/>
      <c r="B1352" s="52"/>
      <c r="C1352" s="53"/>
      <c r="D1352" s="23"/>
      <c r="E1352" s="53"/>
      <c r="F1352" s="54"/>
      <c r="G1352" s="54"/>
      <c r="H1352" s="54"/>
      <c r="I1352" s="53"/>
      <c r="J1352" s="53"/>
      <c r="K1352" s="23"/>
      <c r="L1352" s="53"/>
      <c r="M1352" s="54"/>
    </row>
    <row r="1353">
      <c r="A1353" s="23"/>
      <c r="B1353" s="52"/>
      <c r="C1353" s="53"/>
      <c r="D1353" s="23"/>
      <c r="E1353" s="53"/>
      <c r="F1353" s="54"/>
      <c r="G1353" s="54"/>
      <c r="H1353" s="54"/>
      <c r="I1353" s="53"/>
      <c r="J1353" s="53"/>
      <c r="K1353" s="23"/>
      <c r="L1353" s="53"/>
      <c r="M1353" s="54"/>
    </row>
    <row r="1354">
      <c r="A1354" s="23"/>
      <c r="B1354" s="52"/>
      <c r="C1354" s="53"/>
      <c r="D1354" s="23"/>
      <c r="E1354" s="53"/>
      <c r="F1354" s="54"/>
      <c r="G1354" s="54"/>
      <c r="H1354" s="54"/>
      <c r="I1354" s="53"/>
      <c r="J1354" s="53"/>
      <c r="K1354" s="23"/>
      <c r="L1354" s="53"/>
      <c r="M1354" s="54"/>
    </row>
    <row r="1355">
      <c r="A1355" s="23"/>
      <c r="B1355" s="52"/>
      <c r="C1355" s="53"/>
      <c r="D1355" s="23"/>
      <c r="E1355" s="53"/>
      <c r="F1355" s="54"/>
      <c r="G1355" s="54"/>
      <c r="H1355" s="54"/>
      <c r="I1355" s="53"/>
      <c r="J1355" s="53"/>
      <c r="K1355" s="23"/>
      <c r="L1355" s="53"/>
      <c r="M1355" s="54"/>
    </row>
    <row r="1356">
      <c r="A1356" s="23"/>
      <c r="B1356" s="52"/>
      <c r="C1356" s="53"/>
      <c r="D1356" s="23"/>
      <c r="E1356" s="53"/>
      <c r="F1356" s="54"/>
      <c r="G1356" s="54"/>
      <c r="H1356" s="54"/>
      <c r="I1356" s="53"/>
      <c r="J1356" s="53"/>
      <c r="K1356" s="23"/>
      <c r="L1356" s="53"/>
      <c r="M1356" s="54"/>
    </row>
    <row r="1357">
      <c r="A1357" s="23"/>
      <c r="B1357" s="52"/>
      <c r="C1357" s="53"/>
      <c r="D1357" s="23"/>
      <c r="E1357" s="53"/>
      <c r="F1357" s="54"/>
      <c r="G1357" s="54"/>
      <c r="H1357" s="54"/>
      <c r="I1357" s="53"/>
      <c r="J1357" s="53"/>
      <c r="K1357" s="23"/>
      <c r="L1357" s="53"/>
      <c r="M1357" s="54"/>
    </row>
    <row r="1358">
      <c r="A1358" s="23"/>
      <c r="B1358" s="52"/>
      <c r="C1358" s="53"/>
      <c r="D1358" s="23"/>
      <c r="E1358" s="53"/>
      <c r="F1358" s="54"/>
      <c r="G1358" s="54"/>
      <c r="H1358" s="54"/>
      <c r="I1358" s="53"/>
      <c r="J1358" s="53"/>
      <c r="K1358" s="23"/>
      <c r="L1358" s="53"/>
      <c r="M1358" s="54"/>
    </row>
    <row r="1359">
      <c r="A1359" s="23"/>
      <c r="B1359" s="52"/>
      <c r="C1359" s="53"/>
      <c r="D1359" s="23"/>
      <c r="E1359" s="53"/>
      <c r="F1359" s="54"/>
      <c r="G1359" s="54"/>
      <c r="H1359" s="54"/>
      <c r="I1359" s="53"/>
      <c r="J1359" s="53"/>
      <c r="K1359" s="23"/>
      <c r="L1359" s="53"/>
      <c r="M1359" s="54"/>
    </row>
    <row r="1360">
      <c r="A1360" s="23"/>
      <c r="B1360" s="52"/>
      <c r="C1360" s="53"/>
      <c r="D1360" s="23"/>
      <c r="E1360" s="53"/>
      <c r="F1360" s="54"/>
      <c r="G1360" s="54"/>
      <c r="H1360" s="54"/>
      <c r="I1360" s="53"/>
      <c r="J1360" s="53"/>
      <c r="K1360" s="23"/>
      <c r="L1360" s="53"/>
      <c r="M1360" s="54"/>
    </row>
    <row r="1361">
      <c r="A1361" s="23"/>
      <c r="B1361" s="52"/>
      <c r="C1361" s="53"/>
      <c r="D1361" s="23"/>
      <c r="E1361" s="53"/>
      <c r="F1361" s="54"/>
      <c r="G1361" s="54"/>
      <c r="H1361" s="54"/>
      <c r="I1361" s="53"/>
      <c r="J1361" s="53"/>
      <c r="K1361" s="23"/>
      <c r="L1361" s="53"/>
      <c r="M1361" s="54"/>
    </row>
    <row r="1362">
      <c r="A1362" s="23"/>
      <c r="B1362" s="52"/>
      <c r="C1362" s="53"/>
      <c r="D1362" s="23"/>
      <c r="E1362" s="53"/>
      <c r="F1362" s="54"/>
      <c r="G1362" s="54"/>
      <c r="H1362" s="54"/>
      <c r="I1362" s="53"/>
      <c r="J1362" s="53"/>
      <c r="K1362" s="23"/>
      <c r="L1362" s="53"/>
      <c r="M1362" s="54"/>
    </row>
    <row r="1363">
      <c r="A1363" s="23"/>
      <c r="B1363" s="52"/>
      <c r="C1363" s="53"/>
      <c r="D1363" s="23"/>
      <c r="E1363" s="53"/>
      <c r="F1363" s="54"/>
      <c r="G1363" s="54"/>
      <c r="H1363" s="54"/>
      <c r="I1363" s="53"/>
      <c r="J1363" s="53"/>
      <c r="K1363" s="23"/>
      <c r="L1363" s="53"/>
      <c r="M1363" s="54"/>
    </row>
    <row r="1364">
      <c r="A1364" s="23"/>
      <c r="B1364" s="52"/>
      <c r="C1364" s="53"/>
      <c r="D1364" s="23"/>
      <c r="E1364" s="53"/>
      <c r="F1364" s="54"/>
      <c r="G1364" s="54"/>
      <c r="H1364" s="54"/>
      <c r="I1364" s="53"/>
      <c r="J1364" s="53"/>
      <c r="K1364" s="23"/>
      <c r="L1364" s="53"/>
      <c r="M1364" s="54"/>
    </row>
    <row r="1365">
      <c r="A1365" s="23"/>
      <c r="B1365" s="52"/>
      <c r="C1365" s="53"/>
      <c r="D1365" s="23"/>
      <c r="E1365" s="53"/>
      <c r="F1365" s="54"/>
      <c r="G1365" s="54"/>
      <c r="H1365" s="54"/>
      <c r="I1365" s="53"/>
      <c r="J1365" s="53"/>
      <c r="K1365" s="23"/>
      <c r="L1365" s="53"/>
      <c r="M1365" s="54"/>
    </row>
    <row r="1366">
      <c r="A1366" s="23"/>
      <c r="B1366" s="52"/>
      <c r="C1366" s="53"/>
      <c r="D1366" s="23"/>
      <c r="E1366" s="53"/>
      <c r="F1366" s="54"/>
      <c r="G1366" s="54"/>
      <c r="H1366" s="54"/>
      <c r="I1366" s="53"/>
      <c r="J1366" s="53"/>
      <c r="K1366" s="23"/>
      <c r="L1366" s="53"/>
      <c r="M1366" s="54"/>
    </row>
    <row r="1367">
      <c r="A1367" s="23"/>
      <c r="B1367" s="52"/>
      <c r="C1367" s="53"/>
      <c r="D1367" s="23"/>
      <c r="E1367" s="53"/>
      <c r="F1367" s="54"/>
      <c r="G1367" s="54"/>
      <c r="H1367" s="54"/>
      <c r="I1367" s="53"/>
      <c r="J1367" s="53"/>
      <c r="K1367" s="23"/>
      <c r="L1367" s="53"/>
      <c r="M1367" s="54"/>
    </row>
    <row r="1368">
      <c r="A1368" s="23"/>
      <c r="B1368" s="52"/>
      <c r="C1368" s="53"/>
      <c r="D1368" s="23"/>
      <c r="E1368" s="53"/>
      <c r="F1368" s="54"/>
      <c r="G1368" s="54"/>
      <c r="H1368" s="54"/>
      <c r="I1368" s="53"/>
      <c r="J1368" s="53"/>
      <c r="K1368" s="23"/>
      <c r="L1368" s="53"/>
      <c r="M1368" s="54"/>
    </row>
    <row r="1369">
      <c r="A1369" s="23"/>
      <c r="B1369" s="52"/>
      <c r="C1369" s="53"/>
      <c r="D1369" s="23"/>
      <c r="E1369" s="53"/>
      <c r="F1369" s="54"/>
      <c r="G1369" s="54"/>
      <c r="H1369" s="54"/>
      <c r="I1369" s="53"/>
      <c r="J1369" s="53"/>
      <c r="K1369" s="23"/>
      <c r="L1369" s="53"/>
      <c r="M1369" s="54"/>
    </row>
    <row r="1370">
      <c r="A1370" s="23"/>
      <c r="B1370" s="52"/>
      <c r="C1370" s="53"/>
      <c r="D1370" s="23"/>
      <c r="E1370" s="53"/>
      <c r="F1370" s="54"/>
      <c r="G1370" s="54"/>
      <c r="H1370" s="54"/>
      <c r="I1370" s="53"/>
      <c r="J1370" s="53"/>
      <c r="K1370" s="23"/>
      <c r="L1370" s="53"/>
      <c r="M1370" s="54"/>
    </row>
    <row r="1371">
      <c r="A1371" s="23"/>
      <c r="B1371" s="52"/>
      <c r="C1371" s="53"/>
      <c r="D1371" s="23"/>
      <c r="E1371" s="53"/>
      <c r="F1371" s="54"/>
      <c r="G1371" s="54"/>
      <c r="H1371" s="54"/>
      <c r="I1371" s="53"/>
      <c r="J1371" s="53"/>
      <c r="K1371" s="23"/>
      <c r="L1371" s="53"/>
      <c r="M1371" s="54"/>
    </row>
    <row r="1372">
      <c r="A1372" s="23"/>
      <c r="B1372" s="52"/>
      <c r="C1372" s="53"/>
      <c r="D1372" s="23"/>
      <c r="E1372" s="53"/>
      <c r="F1372" s="54"/>
      <c r="G1372" s="54"/>
      <c r="H1372" s="54"/>
      <c r="I1372" s="53"/>
      <c r="J1372" s="53"/>
      <c r="K1372" s="23"/>
      <c r="L1372" s="53"/>
      <c r="M1372" s="54"/>
    </row>
    <row r="1373">
      <c r="A1373" s="23"/>
      <c r="B1373" s="52"/>
      <c r="C1373" s="53"/>
      <c r="D1373" s="23"/>
      <c r="E1373" s="53"/>
      <c r="F1373" s="54"/>
      <c r="G1373" s="54"/>
      <c r="H1373" s="54"/>
      <c r="I1373" s="53"/>
      <c r="J1373" s="53"/>
      <c r="K1373" s="23"/>
      <c r="L1373" s="53"/>
      <c r="M1373" s="54"/>
    </row>
    <row r="1374">
      <c r="A1374" s="23"/>
      <c r="B1374" s="52"/>
      <c r="C1374" s="53"/>
      <c r="D1374" s="23"/>
      <c r="E1374" s="53"/>
      <c r="F1374" s="54"/>
      <c r="G1374" s="54"/>
      <c r="H1374" s="54"/>
      <c r="I1374" s="53"/>
      <c r="J1374" s="53"/>
      <c r="K1374" s="23"/>
      <c r="L1374" s="53"/>
      <c r="M1374" s="54"/>
    </row>
    <row r="1375">
      <c r="A1375" s="23"/>
      <c r="B1375" s="52"/>
      <c r="C1375" s="53"/>
      <c r="D1375" s="23"/>
      <c r="E1375" s="53"/>
      <c r="F1375" s="54"/>
      <c r="G1375" s="54"/>
      <c r="H1375" s="54"/>
      <c r="I1375" s="53"/>
      <c r="J1375" s="53"/>
      <c r="K1375" s="23"/>
      <c r="L1375" s="53"/>
      <c r="M1375" s="54"/>
    </row>
    <row r="1376">
      <c r="A1376" s="23"/>
      <c r="B1376" s="52"/>
      <c r="C1376" s="53"/>
      <c r="D1376" s="23"/>
      <c r="E1376" s="53"/>
      <c r="F1376" s="54"/>
      <c r="G1376" s="54"/>
      <c r="H1376" s="54"/>
      <c r="I1376" s="53"/>
      <c r="J1376" s="53"/>
      <c r="K1376" s="23"/>
      <c r="L1376" s="53"/>
      <c r="M1376" s="54"/>
    </row>
    <row r="1377">
      <c r="A1377" s="23"/>
      <c r="B1377" s="52"/>
      <c r="C1377" s="53"/>
      <c r="D1377" s="23"/>
      <c r="E1377" s="53"/>
      <c r="F1377" s="54"/>
      <c r="G1377" s="54"/>
      <c r="H1377" s="54"/>
      <c r="I1377" s="53"/>
      <c r="J1377" s="53"/>
      <c r="K1377" s="23"/>
      <c r="L1377" s="53"/>
      <c r="M1377" s="54"/>
    </row>
    <row r="1378">
      <c r="A1378" s="23"/>
      <c r="B1378" s="52"/>
      <c r="C1378" s="53"/>
      <c r="D1378" s="23"/>
      <c r="E1378" s="53"/>
      <c r="F1378" s="54"/>
      <c r="G1378" s="54"/>
      <c r="H1378" s="54"/>
      <c r="I1378" s="53"/>
      <c r="J1378" s="53"/>
      <c r="K1378" s="23"/>
      <c r="L1378" s="53"/>
      <c r="M1378" s="54"/>
    </row>
    <row r="1379">
      <c r="A1379" s="23"/>
      <c r="B1379" s="52"/>
      <c r="C1379" s="53"/>
      <c r="D1379" s="23"/>
      <c r="E1379" s="53"/>
      <c r="F1379" s="54"/>
      <c r="G1379" s="54"/>
      <c r="H1379" s="54"/>
      <c r="I1379" s="53"/>
      <c r="J1379" s="53"/>
      <c r="K1379" s="23"/>
      <c r="L1379" s="53"/>
      <c r="M1379" s="54"/>
    </row>
    <row r="1380">
      <c r="A1380" s="23"/>
      <c r="B1380" s="52"/>
      <c r="C1380" s="53"/>
      <c r="D1380" s="23"/>
      <c r="E1380" s="53"/>
      <c r="F1380" s="54"/>
      <c r="G1380" s="54"/>
      <c r="H1380" s="54"/>
      <c r="I1380" s="53"/>
      <c r="J1380" s="53"/>
      <c r="K1380" s="23"/>
      <c r="L1380" s="53"/>
      <c r="M1380" s="54"/>
    </row>
    <row r="1381">
      <c r="A1381" s="23"/>
      <c r="B1381" s="52"/>
      <c r="C1381" s="53"/>
      <c r="D1381" s="23"/>
      <c r="E1381" s="53"/>
      <c r="F1381" s="54"/>
      <c r="G1381" s="54"/>
      <c r="H1381" s="54"/>
      <c r="I1381" s="53"/>
      <c r="J1381" s="53"/>
      <c r="K1381" s="23"/>
      <c r="L1381" s="53"/>
      <c r="M1381" s="54"/>
    </row>
    <row r="1382">
      <c r="A1382" s="23"/>
      <c r="B1382" s="52"/>
      <c r="C1382" s="53"/>
      <c r="D1382" s="23"/>
      <c r="E1382" s="53"/>
      <c r="F1382" s="54"/>
      <c r="G1382" s="54"/>
      <c r="H1382" s="54"/>
      <c r="I1382" s="53"/>
      <c r="J1382" s="53"/>
      <c r="K1382" s="23"/>
      <c r="L1382" s="53"/>
      <c r="M1382" s="54"/>
    </row>
    <row r="1383">
      <c r="A1383" s="23"/>
      <c r="B1383" s="52"/>
      <c r="C1383" s="53"/>
      <c r="D1383" s="23"/>
      <c r="E1383" s="53"/>
      <c r="F1383" s="54"/>
      <c r="G1383" s="54"/>
      <c r="H1383" s="54"/>
      <c r="I1383" s="53"/>
      <c r="J1383" s="53"/>
      <c r="K1383" s="23"/>
      <c r="L1383" s="53"/>
      <c r="M1383" s="54"/>
    </row>
    <row r="1384">
      <c r="A1384" s="23"/>
      <c r="B1384" s="52"/>
      <c r="C1384" s="53"/>
      <c r="D1384" s="23"/>
      <c r="E1384" s="53"/>
      <c r="F1384" s="54"/>
      <c r="G1384" s="54"/>
      <c r="H1384" s="54"/>
      <c r="I1384" s="53"/>
      <c r="J1384" s="53"/>
      <c r="K1384" s="23"/>
      <c r="L1384" s="53"/>
      <c r="M1384" s="54"/>
    </row>
    <row r="1385">
      <c r="A1385" s="23"/>
      <c r="B1385" s="52"/>
      <c r="C1385" s="53"/>
      <c r="D1385" s="23"/>
      <c r="E1385" s="53"/>
      <c r="F1385" s="54"/>
      <c r="G1385" s="54"/>
      <c r="H1385" s="54"/>
      <c r="I1385" s="53"/>
      <c r="J1385" s="53"/>
      <c r="K1385" s="23"/>
      <c r="L1385" s="53"/>
      <c r="M1385" s="54"/>
    </row>
    <row r="1386">
      <c r="A1386" s="23"/>
      <c r="B1386" s="52"/>
      <c r="C1386" s="53"/>
      <c r="D1386" s="23"/>
      <c r="E1386" s="53"/>
      <c r="F1386" s="54"/>
      <c r="G1386" s="54"/>
      <c r="H1386" s="54"/>
      <c r="I1386" s="53"/>
      <c r="J1386" s="53"/>
      <c r="K1386" s="23"/>
      <c r="L1386" s="53"/>
      <c r="M1386" s="54"/>
    </row>
    <row r="1387">
      <c r="A1387" s="23"/>
      <c r="B1387" s="52"/>
      <c r="C1387" s="53"/>
      <c r="D1387" s="23"/>
      <c r="E1387" s="53"/>
      <c r="F1387" s="54"/>
      <c r="G1387" s="54"/>
      <c r="H1387" s="54"/>
      <c r="I1387" s="53"/>
      <c r="J1387" s="53"/>
      <c r="K1387" s="23"/>
      <c r="L1387" s="53"/>
      <c r="M1387" s="54"/>
    </row>
    <row r="1388">
      <c r="A1388" s="23"/>
      <c r="B1388" s="52"/>
      <c r="C1388" s="53"/>
      <c r="D1388" s="23"/>
      <c r="E1388" s="53"/>
      <c r="F1388" s="54"/>
      <c r="G1388" s="54"/>
      <c r="H1388" s="54"/>
      <c r="I1388" s="53"/>
      <c r="J1388" s="53"/>
      <c r="K1388" s="23"/>
      <c r="L1388" s="53"/>
      <c r="M1388" s="54"/>
    </row>
    <row r="1389">
      <c r="A1389" s="23"/>
      <c r="B1389" s="52"/>
      <c r="C1389" s="53"/>
      <c r="D1389" s="23"/>
      <c r="E1389" s="53"/>
      <c r="F1389" s="54"/>
      <c r="G1389" s="54"/>
      <c r="H1389" s="54"/>
      <c r="I1389" s="53"/>
      <c r="J1389" s="53"/>
      <c r="K1389" s="23"/>
      <c r="L1389" s="53"/>
      <c r="M1389" s="54"/>
    </row>
    <row r="1390">
      <c r="A1390" s="23"/>
      <c r="B1390" s="52"/>
      <c r="C1390" s="53"/>
      <c r="D1390" s="23"/>
      <c r="E1390" s="53"/>
      <c r="F1390" s="54"/>
      <c r="G1390" s="54"/>
      <c r="H1390" s="54"/>
      <c r="I1390" s="53"/>
      <c r="J1390" s="53"/>
      <c r="K1390" s="23"/>
      <c r="L1390" s="53"/>
      <c r="M1390" s="54"/>
    </row>
    <row r="1391">
      <c r="A1391" s="23"/>
      <c r="B1391" s="52"/>
      <c r="C1391" s="53"/>
      <c r="D1391" s="23"/>
      <c r="E1391" s="53"/>
      <c r="F1391" s="54"/>
      <c r="G1391" s="54"/>
      <c r="H1391" s="54"/>
      <c r="I1391" s="53"/>
      <c r="J1391" s="53"/>
      <c r="K1391" s="23"/>
      <c r="L1391" s="53"/>
      <c r="M1391" s="54"/>
    </row>
    <row r="1392">
      <c r="A1392" s="23"/>
      <c r="B1392" s="52"/>
      <c r="C1392" s="53"/>
      <c r="D1392" s="23"/>
      <c r="E1392" s="53"/>
      <c r="F1392" s="54"/>
      <c r="G1392" s="54"/>
      <c r="H1392" s="54"/>
      <c r="I1392" s="53"/>
      <c r="J1392" s="53"/>
      <c r="K1392" s="23"/>
      <c r="L1392" s="53"/>
      <c r="M1392" s="54"/>
    </row>
    <row r="1393">
      <c r="A1393" s="23"/>
      <c r="B1393" s="52"/>
      <c r="C1393" s="53"/>
      <c r="D1393" s="23"/>
      <c r="E1393" s="53"/>
      <c r="F1393" s="54"/>
      <c r="G1393" s="54"/>
      <c r="H1393" s="54"/>
      <c r="I1393" s="53"/>
      <c r="J1393" s="53"/>
      <c r="K1393" s="23"/>
      <c r="L1393" s="53"/>
      <c r="M1393" s="54"/>
    </row>
    <row r="1394">
      <c r="A1394" s="23"/>
      <c r="B1394" s="52"/>
      <c r="C1394" s="53"/>
      <c r="D1394" s="23"/>
      <c r="E1394" s="53"/>
      <c r="F1394" s="54"/>
      <c r="G1394" s="54"/>
      <c r="H1394" s="54"/>
      <c r="I1394" s="53"/>
      <c r="J1394" s="53"/>
      <c r="K1394" s="23"/>
      <c r="L1394" s="53"/>
      <c r="M1394" s="54"/>
    </row>
    <row r="1395">
      <c r="A1395" s="23"/>
      <c r="B1395" s="52"/>
      <c r="C1395" s="53"/>
      <c r="D1395" s="23"/>
      <c r="E1395" s="53"/>
      <c r="F1395" s="54"/>
      <c r="G1395" s="54"/>
      <c r="H1395" s="54"/>
      <c r="I1395" s="53"/>
      <c r="J1395" s="53"/>
      <c r="K1395" s="23"/>
      <c r="L1395" s="53"/>
      <c r="M1395" s="54"/>
    </row>
    <row r="1396">
      <c r="A1396" s="23"/>
      <c r="B1396" s="52"/>
      <c r="C1396" s="53"/>
      <c r="D1396" s="23"/>
      <c r="E1396" s="53"/>
      <c r="F1396" s="54"/>
      <c r="G1396" s="54"/>
      <c r="H1396" s="54"/>
      <c r="I1396" s="53"/>
      <c r="J1396" s="53"/>
      <c r="K1396" s="23"/>
      <c r="L1396" s="53"/>
      <c r="M1396" s="54"/>
    </row>
    <row r="1397">
      <c r="A1397" s="23"/>
      <c r="B1397" s="52"/>
      <c r="C1397" s="53"/>
      <c r="D1397" s="23"/>
      <c r="E1397" s="53"/>
      <c r="F1397" s="54"/>
      <c r="G1397" s="54"/>
      <c r="H1397" s="54"/>
      <c r="I1397" s="53"/>
      <c r="J1397" s="53"/>
      <c r="K1397" s="23"/>
      <c r="L1397" s="53"/>
      <c r="M1397" s="54"/>
    </row>
    <row r="1398">
      <c r="A1398" s="23"/>
      <c r="B1398" s="52"/>
      <c r="C1398" s="53"/>
      <c r="D1398" s="23"/>
      <c r="E1398" s="53"/>
      <c r="F1398" s="54"/>
      <c r="G1398" s="54"/>
      <c r="H1398" s="54"/>
      <c r="I1398" s="53"/>
      <c r="J1398" s="53"/>
      <c r="K1398" s="23"/>
      <c r="L1398" s="53"/>
      <c r="M1398" s="54"/>
    </row>
    <row r="1399">
      <c r="A1399" s="23"/>
      <c r="B1399" s="52"/>
      <c r="C1399" s="53"/>
      <c r="D1399" s="23"/>
      <c r="E1399" s="53"/>
      <c r="F1399" s="54"/>
      <c r="G1399" s="54"/>
      <c r="H1399" s="54"/>
      <c r="I1399" s="53"/>
      <c r="J1399" s="53"/>
      <c r="K1399" s="23"/>
      <c r="L1399" s="53"/>
      <c r="M1399" s="54"/>
    </row>
    <row r="1400">
      <c r="A1400" s="23"/>
      <c r="B1400" s="52"/>
      <c r="C1400" s="53"/>
      <c r="D1400" s="23"/>
      <c r="E1400" s="53"/>
      <c r="F1400" s="54"/>
      <c r="G1400" s="54"/>
      <c r="H1400" s="54"/>
      <c r="I1400" s="53"/>
      <c r="J1400" s="53"/>
      <c r="K1400" s="23"/>
      <c r="L1400" s="53"/>
      <c r="M1400" s="54"/>
    </row>
    <row r="1401">
      <c r="A1401" s="23"/>
      <c r="B1401" s="52"/>
      <c r="C1401" s="53"/>
      <c r="D1401" s="23"/>
      <c r="E1401" s="53"/>
      <c r="F1401" s="54"/>
      <c r="G1401" s="54"/>
      <c r="H1401" s="54"/>
      <c r="I1401" s="53"/>
      <c r="J1401" s="53"/>
      <c r="K1401" s="23"/>
      <c r="L1401" s="53"/>
      <c r="M1401" s="54"/>
    </row>
    <row r="1402">
      <c r="A1402" s="23"/>
      <c r="B1402" s="52"/>
      <c r="C1402" s="53"/>
      <c r="D1402" s="23"/>
      <c r="E1402" s="53"/>
      <c r="F1402" s="54"/>
      <c r="G1402" s="54"/>
      <c r="H1402" s="54"/>
      <c r="I1402" s="53"/>
      <c r="J1402" s="53"/>
      <c r="K1402" s="23"/>
      <c r="L1402" s="53"/>
      <c r="M1402" s="54"/>
    </row>
    <row r="1403">
      <c r="A1403" s="23"/>
      <c r="B1403" s="52"/>
      <c r="C1403" s="53"/>
      <c r="D1403" s="23"/>
      <c r="E1403" s="53"/>
      <c r="F1403" s="54"/>
      <c r="G1403" s="54"/>
      <c r="H1403" s="54"/>
      <c r="I1403" s="53"/>
      <c r="J1403" s="53"/>
      <c r="K1403" s="23"/>
      <c r="L1403" s="53"/>
      <c r="M1403" s="54"/>
    </row>
    <row r="1404">
      <c r="A1404" s="23"/>
      <c r="B1404" s="52"/>
      <c r="C1404" s="53"/>
      <c r="D1404" s="23"/>
      <c r="E1404" s="53"/>
      <c r="F1404" s="54"/>
      <c r="G1404" s="54"/>
      <c r="H1404" s="54"/>
      <c r="I1404" s="53"/>
      <c r="J1404" s="53"/>
      <c r="K1404" s="23"/>
      <c r="L1404" s="53"/>
      <c r="M1404" s="54"/>
    </row>
    <row r="1405">
      <c r="A1405" s="23"/>
      <c r="B1405" s="52"/>
      <c r="C1405" s="53"/>
      <c r="D1405" s="23"/>
      <c r="E1405" s="53"/>
      <c r="F1405" s="54"/>
      <c r="G1405" s="54"/>
      <c r="H1405" s="54"/>
      <c r="I1405" s="53"/>
      <c r="J1405" s="53"/>
      <c r="K1405" s="23"/>
      <c r="L1405" s="53"/>
      <c r="M1405" s="54"/>
    </row>
    <row r="1406">
      <c r="A1406" s="23"/>
      <c r="B1406" s="52"/>
      <c r="C1406" s="53"/>
      <c r="D1406" s="23"/>
      <c r="E1406" s="53"/>
      <c r="F1406" s="54"/>
      <c r="G1406" s="54"/>
      <c r="H1406" s="54"/>
      <c r="I1406" s="53"/>
      <c r="J1406" s="53"/>
      <c r="K1406" s="23"/>
      <c r="L1406" s="53"/>
      <c r="M1406" s="54"/>
    </row>
    <row r="1407">
      <c r="A1407" s="23"/>
      <c r="B1407" s="52"/>
      <c r="C1407" s="53"/>
      <c r="D1407" s="23"/>
      <c r="E1407" s="53"/>
      <c r="F1407" s="54"/>
      <c r="G1407" s="54"/>
      <c r="H1407" s="54"/>
      <c r="I1407" s="53"/>
      <c r="J1407" s="53"/>
      <c r="K1407" s="23"/>
      <c r="L1407" s="53"/>
      <c r="M1407" s="54"/>
    </row>
    <row r="1408">
      <c r="A1408" s="23"/>
      <c r="B1408" s="52"/>
      <c r="C1408" s="53"/>
      <c r="D1408" s="23"/>
      <c r="E1408" s="53"/>
      <c r="F1408" s="54"/>
      <c r="G1408" s="54"/>
      <c r="H1408" s="54"/>
      <c r="I1408" s="53"/>
      <c r="J1408" s="53"/>
      <c r="K1408" s="23"/>
      <c r="L1408" s="53"/>
      <c r="M1408" s="54"/>
    </row>
    <row r="1409">
      <c r="A1409" s="23"/>
      <c r="B1409" s="52"/>
      <c r="C1409" s="53"/>
      <c r="D1409" s="23"/>
      <c r="E1409" s="53"/>
      <c r="F1409" s="54"/>
      <c r="G1409" s="54"/>
      <c r="H1409" s="54"/>
      <c r="I1409" s="53"/>
      <c r="J1409" s="53"/>
      <c r="K1409" s="23"/>
      <c r="L1409" s="53"/>
      <c r="M1409" s="54"/>
    </row>
    <row r="1410">
      <c r="A1410" s="23"/>
      <c r="B1410" s="52"/>
      <c r="C1410" s="53"/>
      <c r="D1410" s="23"/>
      <c r="E1410" s="53"/>
      <c r="F1410" s="54"/>
      <c r="G1410" s="54"/>
      <c r="H1410" s="54"/>
      <c r="I1410" s="53"/>
      <c r="J1410" s="53"/>
      <c r="K1410" s="23"/>
      <c r="L1410" s="53"/>
      <c r="M1410" s="54"/>
    </row>
    <row r="1411">
      <c r="A1411" s="23"/>
      <c r="B1411" s="52"/>
      <c r="C1411" s="53"/>
      <c r="D1411" s="23"/>
      <c r="E1411" s="53"/>
      <c r="F1411" s="54"/>
      <c r="G1411" s="54"/>
      <c r="H1411" s="54"/>
      <c r="I1411" s="53"/>
      <c r="J1411" s="53"/>
      <c r="K1411" s="23"/>
      <c r="L1411" s="53"/>
      <c r="M1411" s="54"/>
    </row>
    <row r="1412">
      <c r="A1412" s="23"/>
      <c r="B1412" s="52"/>
      <c r="C1412" s="53"/>
      <c r="D1412" s="23"/>
      <c r="E1412" s="53"/>
      <c r="F1412" s="54"/>
      <c r="G1412" s="54"/>
      <c r="H1412" s="54"/>
      <c r="I1412" s="53"/>
      <c r="J1412" s="53"/>
      <c r="K1412" s="23"/>
      <c r="L1412" s="53"/>
      <c r="M1412" s="54"/>
    </row>
    <row r="1413">
      <c r="A1413" s="23"/>
      <c r="B1413" s="52"/>
      <c r="C1413" s="53"/>
      <c r="D1413" s="23"/>
      <c r="E1413" s="53"/>
      <c r="F1413" s="54"/>
      <c r="G1413" s="54"/>
      <c r="H1413" s="54"/>
      <c r="I1413" s="53"/>
      <c r="J1413" s="53"/>
      <c r="K1413" s="23"/>
      <c r="L1413" s="53"/>
      <c r="M1413" s="54"/>
    </row>
    <row r="1414">
      <c r="A1414" s="23"/>
      <c r="B1414" s="52"/>
      <c r="C1414" s="53"/>
      <c r="D1414" s="23"/>
      <c r="E1414" s="53"/>
      <c r="F1414" s="54"/>
      <c r="G1414" s="54"/>
      <c r="H1414" s="54"/>
      <c r="I1414" s="53"/>
      <c r="J1414" s="53"/>
      <c r="K1414" s="23"/>
      <c r="L1414" s="53"/>
      <c r="M1414" s="54"/>
    </row>
    <row r="1415">
      <c r="A1415" s="23"/>
      <c r="B1415" s="52"/>
      <c r="C1415" s="53"/>
      <c r="D1415" s="23"/>
      <c r="E1415" s="53"/>
      <c r="F1415" s="54"/>
      <c r="G1415" s="54"/>
      <c r="H1415" s="54"/>
      <c r="I1415" s="53"/>
      <c r="J1415" s="53"/>
      <c r="K1415" s="23"/>
      <c r="L1415" s="53"/>
      <c r="M1415" s="54"/>
    </row>
    <row r="1416">
      <c r="A1416" s="23"/>
      <c r="B1416" s="52"/>
      <c r="C1416" s="53"/>
      <c r="D1416" s="23"/>
      <c r="E1416" s="53"/>
      <c r="F1416" s="54"/>
      <c r="G1416" s="54"/>
      <c r="H1416" s="54"/>
      <c r="I1416" s="53"/>
      <c r="J1416" s="53"/>
      <c r="K1416" s="23"/>
      <c r="L1416" s="53"/>
      <c r="M1416" s="54"/>
    </row>
    <row r="1417">
      <c r="A1417" s="23"/>
      <c r="B1417" s="52"/>
      <c r="C1417" s="53"/>
      <c r="D1417" s="23"/>
      <c r="E1417" s="53"/>
      <c r="F1417" s="54"/>
      <c r="G1417" s="54"/>
      <c r="H1417" s="54"/>
      <c r="I1417" s="53"/>
      <c r="J1417" s="53"/>
      <c r="K1417" s="23"/>
      <c r="L1417" s="53"/>
      <c r="M1417" s="54"/>
    </row>
    <row r="1418">
      <c r="A1418" s="23"/>
      <c r="B1418" s="52"/>
      <c r="C1418" s="53"/>
      <c r="D1418" s="23"/>
      <c r="E1418" s="53"/>
      <c r="F1418" s="54"/>
      <c r="G1418" s="54"/>
      <c r="H1418" s="54"/>
      <c r="I1418" s="53"/>
      <c r="J1418" s="53"/>
      <c r="K1418" s="23"/>
      <c r="L1418" s="53"/>
      <c r="M1418" s="54"/>
    </row>
    <row r="1419">
      <c r="A1419" s="23"/>
      <c r="B1419" s="52"/>
      <c r="C1419" s="53"/>
      <c r="D1419" s="23"/>
      <c r="E1419" s="53"/>
      <c r="F1419" s="54"/>
      <c r="G1419" s="54"/>
      <c r="H1419" s="54"/>
      <c r="I1419" s="53"/>
      <c r="J1419" s="53"/>
      <c r="K1419" s="23"/>
      <c r="L1419" s="53"/>
      <c r="M1419" s="54"/>
    </row>
    <row r="1420">
      <c r="A1420" s="23"/>
      <c r="B1420" s="52"/>
      <c r="C1420" s="53"/>
      <c r="D1420" s="23"/>
      <c r="E1420" s="53"/>
      <c r="F1420" s="54"/>
      <c r="G1420" s="54"/>
      <c r="H1420" s="54"/>
      <c r="I1420" s="53"/>
      <c r="J1420" s="53"/>
      <c r="K1420" s="23"/>
      <c r="L1420" s="53"/>
      <c r="M1420" s="54"/>
    </row>
    <row r="1421">
      <c r="A1421" s="23"/>
      <c r="B1421" s="52"/>
      <c r="C1421" s="53"/>
      <c r="D1421" s="23"/>
      <c r="E1421" s="53"/>
      <c r="F1421" s="54"/>
      <c r="G1421" s="54"/>
      <c r="H1421" s="54"/>
      <c r="I1421" s="53"/>
      <c r="J1421" s="53"/>
      <c r="K1421" s="23"/>
      <c r="L1421" s="53"/>
      <c r="M1421" s="54"/>
    </row>
    <row r="1422">
      <c r="A1422" s="23"/>
      <c r="B1422" s="52"/>
      <c r="C1422" s="53"/>
      <c r="D1422" s="23"/>
      <c r="E1422" s="53"/>
      <c r="F1422" s="54"/>
      <c r="G1422" s="54"/>
      <c r="H1422" s="54"/>
      <c r="I1422" s="53"/>
      <c r="J1422" s="53"/>
      <c r="K1422" s="23"/>
      <c r="L1422" s="53"/>
      <c r="M1422" s="54"/>
    </row>
    <row r="1423">
      <c r="A1423" s="23"/>
      <c r="B1423" s="52"/>
      <c r="C1423" s="53"/>
      <c r="D1423" s="23"/>
      <c r="E1423" s="53"/>
      <c r="F1423" s="54"/>
      <c r="G1423" s="54"/>
      <c r="H1423" s="54"/>
      <c r="I1423" s="53"/>
      <c r="J1423" s="53"/>
      <c r="K1423" s="23"/>
      <c r="L1423" s="53"/>
      <c r="M1423" s="54"/>
    </row>
    <row r="1424">
      <c r="A1424" s="23"/>
      <c r="B1424" s="52"/>
      <c r="C1424" s="53"/>
      <c r="D1424" s="23"/>
      <c r="E1424" s="53"/>
      <c r="F1424" s="54"/>
      <c r="G1424" s="54"/>
      <c r="H1424" s="54"/>
      <c r="I1424" s="53"/>
      <c r="J1424" s="53"/>
      <c r="K1424" s="23"/>
      <c r="L1424" s="53"/>
      <c r="M1424" s="54"/>
    </row>
    <row r="1425">
      <c r="A1425" s="23"/>
      <c r="B1425" s="52"/>
      <c r="C1425" s="53"/>
      <c r="D1425" s="23"/>
      <c r="E1425" s="53"/>
      <c r="F1425" s="54"/>
      <c r="G1425" s="54"/>
      <c r="H1425" s="54"/>
      <c r="I1425" s="53"/>
      <c r="J1425" s="53"/>
      <c r="K1425" s="23"/>
      <c r="L1425" s="53"/>
      <c r="M1425" s="54"/>
    </row>
    <row r="1426">
      <c r="A1426" s="23"/>
      <c r="B1426" s="52"/>
      <c r="C1426" s="53"/>
      <c r="D1426" s="23"/>
      <c r="E1426" s="53"/>
      <c r="F1426" s="54"/>
      <c r="G1426" s="54"/>
      <c r="H1426" s="54"/>
      <c r="I1426" s="53"/>
      <c r="J1426" s="53"/>
      <c r="K1426" s="23"/>
      <c r="L1426" s="53"/>
      <c r="M1426" s="54"/>
    </row>
    <row r="1427">
      <c r="A1427" s="23"/>
      <c r="B1427" s="52"/>
      <c r="C1427" s="53"/>
      <c r="D1427" s="23"/>
      <c r="E1427" s="53"/>
      <c r="F1427" s="54"/>
      <c r="G1427" s="54"/>
      <c r="H1427" s="54"/>
      <c r="I1427" s="53"/>
      <c r="J1427" s="53"/>
      <c r="K1427" s="23"/>
      <c r="L1427" s="53"/>
      <c r="M1427" s="54"/>
    </row>
    <row r="1428">
      <c r="A1428" s="23"/>
      <c r="B1428" s="52"/>
      <c r="C1428" s="53"/>
      <c r="D1428" s="23"/>
      <c r="E1428" s="53"/>
      <c r="F1428" s="54"/>
      <c r="G1428" s="54"/>
      <c r="H1428" s="54"/>
      <c r="I1428" s="53"/>
      <c r="J1428" s="53"/>
      <c r="K1428" s="23"/>
      <c r="L1428" s="53"/>
      <c r="M1428" s="54"/>
    </row>
    <row r="1429">
      <c r="A1429" s="23"/>
      <c r="B1429" s="52"/>
      <c r="C1429" s="53"/>
      <c r="D1429" s="23"/>
      <c r="E1429" s="53"/>
      <c r="F1429" s="54"/>
      <c r="G1429" s="54"/>
      <c r="H1429" s="54"/>
      <c r="I1429" s="53"/>
      <c r="J1429" s="53"/>
      <c r="K1429" s="23"/>
      <c r="L1429" s="53"/>
      <c r="M1429" s="54"/>
    </row>
    <row r="1430">
      <c r="A1430" s="23"/>
      <c r="B1430" s="52"/>
      <c r="C1430" s="53"/>
      <c r="D1430" s="23"/>
      <c r="E1430" s="53"/>
      <c r="F1430" s="54"/>
      <c r="G1430" s="54"/>
      <c r="H1430" s="54"/>
      <c r="I1430" s="53"/>
      <c r="J1430" s="53"/>
      <c r="K1430" s="23"/>
      <c r="L1430" s="53"/>
      <c r="M1430" s="54"/>
    </row>
    <row r="1431">
      <c r="A1431" s="23"/>
      <c r="B1431" s="52"/>
      <c r="C1431" s="53"/>
      <c r="D1431" s="23"/>
      <c r="E1431" s="53"/>
      <c r="F1431" s="54"/>
      <c r="G1431" s="54"/>
      <c r="H1431" s="54"/>
      <c r="I1431" s="53"/>
      <c r="J1431" s="53"/>
      <c r="K1431" s="23"/>
      <c r="L1431" s="53"/>
      <c r="M1431" s="54"/>
    </row>
    <row r="1432">
      <c r="A1432" s="23"/>
      <c r="B1432" s="52"/>
      <c r="C1432" s="53"/>
      <c r="D1432" s="23"/>
      <c r="E1432" s="53"/>
      <c r="F1432" s="54"/>
      <c r="G1432" s="54"/>
      <c r="H1432" s="54"/>
      <c r="I1432" s="53"/>
      <c r="J1432" s="53"/>
      <c r="K1432" s="23"/>
      <c r="L1432" s="53"/>
      <c r="M1432" s="54"/>
    </row>
    <row r="1433">
      <c r="A1433" s="23"/>
      <c r="B1433" s="52"/>
      <c r="C1433" s="53"/>
      <c r="D1433" s="23"/>
      <c r="E1433" s="53"/>
      <c r="F1433" s="54"/>
      <c r="G1433" s="54"/>
      <c r="H1433" s="54"/>
      <c r="I1433" s="53"/>
      <c r="J1433" s="53"/>
      <c r="K1433" s="23"/>
      <c r="L1433" s="53"/>
      <c r="M1433" s="54"/>
    </row>
    <row r="1434">
      <c r="A1434" s="23"/>
      <c r="B1434" s="52"/>
      <c r="C1434" s="53"/>
      <c r="D1434" s="23"/>
      <c r="E1434" s="53"/>
      <c r="F1434" s="54"/>
      <c r="G1434" s="54"/>
      <c r="H1434" s="54"/>
      <c r="I1434" s="53"/>
      <c r="J1434" s="53"/>
      <c r="K1434" s="23"/>
      <c r="L1434" s="53"/>
      <c r="M1434" s="54"/>
    </row>
    <row r="1435">
      <c r="A1435" s="23"/>
      <c r="B1435" s="52"/>
      <c r="C1435" s="53"/>
      <c r="D1435" s="23"/>
      <c r="E1435" s="53"/>
      <c r="F1435" s="54"/>
      <c r="G1435" s="54"/>
      <c r="H1435" s="54"/>
      <c r="I1435" s="53"/>
      <c r="J1435" s="53"/>
      <c r="K1435" s="23"/>
      <c r="L1435" s="53"/>
      <c r="M1435" s="54"/>
    </row>
    <row r="1436">
      <c r="A1436" s="23"/>
      <c r="B1436" s="52"/>
      <c r="C1436" s="53"/>
      <c r="D1436" s="23"/>
      <c r="E1436" s="53"/>
      <c r="F1436" s="54"/>
      <c r="G1436" s="54"/>
      <c r="H1436" s="54"/>
      <c r="I1436" s="53"/>
      <c r="J1436" s="53"/>
      <c r="K1436" s="23"/>
      <c r="L1436" s="53"/>
      <c r="M1436" s="54"/>
    </row>
    <row r="1437">
      <c r="A1437" s="23"/>
      <c r="B1437" s="52"/>
      <c r="C1437" s="53"/>
      <c r="D1437" s="23"/>
      <c r="E1437" s="53"/>
      <c r="F1437" s="54"/>
      <c r="G1437" s="54"/>
      <c r="H1437" s="54"/>
      <c r="I1437" s="53"/>
      <c r="J1437" s="53"/>
      <c r="K1437" s="23"/>
      <c r="L1437" s="53"/>
      <c r="M1437" s="54"/>
    </row>
    <row r="1438">
      <c r="A1438" s="23"/>
      <c r="B1438" s="52"/>
      <c r="C1438" s="53"/>
      <c r="D1438" s="23"/>
      <c r="E1438" s="53"/>
      <c r="F1438" s="54"/>
      <c r="G1438" s="54"/>
      <c r="H1438" s="54"/>
      <c r="I1438" s="53"/>
      <c r="J1438" s="53"/>
      <c r="K1438" s="23"/>
      <c r="L1438" s="53"/>
      <c r="M1438" s="54"/>
    </row>
    <row r="1439">
      <c r="A1439" s="23"/>
      <c r="B1439" s="52"/>
      <c r="C1439" s="53"/>
      <c r="D1439" s="23"/>
      <c r="E1439" s="53"/>
      <c r="F1439" s="54"/>
      <c r="G1439" s="54"/>
      <c r="H1439" s="54"/>
      <c r="I1439" s="53"/>
      <c r="J1439" s="53"/>
      <c r="K1439" s="23"/>
      <c r="L1439" s="53"/>
      <c r="M1439" s="54"/>
    </row>
    <row r="1440">
      <c r="A1440" s="23"/>
      <c r="B1440" s="52"/>
      <c r="C1440" s="53"/>
      <c r="D1440" s="23"/>
      <c r="E1440" s="53"/>
      <c r="F1440" s="54"/>
      <c r="G1440" s="54"/>
      <c r="H1440" s="54"/>
      <c r="I1440" s="53"/>
      <c r="J1440" s="53"/>
      <c r="K1440" s="23"/>
      <c r="L1440" s="53"/>
      <c r="M1440" s="54"/>
    </row>
    <row r="1441">
      <c r="A1441" s="23"/>
      <c r="B1441" s="52"/>
      <c r="C1441" s="53"/>
      <c r="D1441" s="23"/>
      <c r="E1441" s="53"/>
      <c r="F1441" s="54"/>
      <c r="G1441" s="54"/>
      <c r="H1441" s="54"/>
      <c r="I1441" s="53"/>
      <c r="J1441" s="53"/>
      <c r="K1441" s="23"/>
      <c r="L1441" s="53"/>
      <c r="M1441" s="54"/>
    </row>
    <row r="1442">
      <c r="A1442" s="23"/>
      <c r="B1442" s="52"/>
      <c r="C1442" s="53"/>
      <c r="D1442" s="23"/>
      <c r="E1442" s="53"/>
      <c r="F1442" s="54"/>
      <c r="G1442" s="54"/>
      <c r="H1442" s="54"/>
      <c r="I1442" s="53"/>
      <c r="J1442" s="53"/>
      <c r="K1442" s="23"/>
      <c r="L1442" s="53"/>
      <c r="M1442" s="54"/>
    </row>
    <row r="1443">
      <c r="A1443" s="23"/>
      <c r="B1443" s="52"/>
      <c r="C1443" s="53"/>
      <c r="D1443" s="23"/>
      <c r="E1443" s="53"/>
      <c r="F1443" s="54"/>
      <c r="G1443" s="54"/>
      <c r="H1443" s="54"/>
      <c r="I1443" s="53"/>
      <c r="J1443" s="53"/>
      <c r="K1443" s="23"/>
      <c r="L1443" s="53"/>
      <c r="M1443" s="54"/>
    </row>
    <row r="1444">
      <c r="A1444" s="23"/>
      <c r="B1444" s="52"/>
      <c r="C1444" s="53"/>
      <c r="D1444" s="23"/>
      <c r="E1444" s="53"/>
      <c r="F1444" s="54"/>
      <c r="G1444" s="54"/>
      <c r="H1444" s="54"/>
      <c r="I1444" s="53"/>
      <c r="J1444" s="53"/>
      <c r="K1444" s="23"/>
      <c r="L1444" s="53"/>
      <c r="M1444" s="54"/>
    </row>
    <row r="1445">
      <c r="A1445" s="23"/>
      <c r="B1445" s="52"/>
      <c r="C1445" s="53"/>
      <c r="D1445" s="23"/>
      <c r="E1445" s="53"/>
      <c r="F1445" s="54"/>
      <c r="G1445" s="54"/>
      <c r="H1445" s="54"/>
      <c r="I1445" s="53"/>
      <c r="J1445" s="53"/>
      <c r="K1445" s="23"/>
      <c r="L1445" s="53"/>
      <c r="M1445" s="54"/>
    </row>
    <row r="1446">
      <c r="A1446" s="23"/>
      <c r="B1446" s="52"/>
      <c r="C1446" s="53"/>
      <c r="D1446" s="23"/>
      <c r="E1446" s="53"/>
      <c r="F1446" s="54"/>
      <c r="G1446" s="54"/>
      <c r="H1446" s="54"/>
      <c r="I1446" s="53"/>
      <c r="J1446" s="53"/>
      <c r="K1446" s="23"/>
      <c r="L1446" s="53"/>
      <c r="M1446" s="54"/>
    </row>
    <row r="1447">
      <c r="A1447" s="23"/>
      <c r="B1447" s="52"/>
      <c r="C1447" s="53"/>
      <c r="D1447" s="23"/>
      <c r="E1447" s="53"/>
      <c r="F1447" s="54"/>
      <c r="G1447" s="54"/>
      <c r="H1447" s="54"/>
      <c r="I1447" s="53"/>
      <c r="J1447" s="53"/>
      <c r="K1447" s="23"/>
      <c r="L1447" s="53"/>
      <c r="M1447" s="54"/>
    </row>
    <row r="1448">
      <c r="A1448" s="23"/>
      <c r="B1448" s="52"/>
      <c r="C1448" s="53"/>
      <c r="D1448" s="23"/>
      <c r="E1448" s="53"/>
      <c r="F1448" s="54"/>
      <c r="G1448" s="54"/>
      <c r="H1448" s="54"/>
      <c r="I1448" s="53"/>
      <c r="J1448" s="53"/>
      <c r="K1448" s="23"/>
      <c r="L1448" s="53"/>
      <c r="M1448" s="54"/>
    </row>
    <row r="1449">
      <c r="A1449" s="23"/>
      <c r="B1449" s="52"/>
      <c r="C1449" s="53"/>
      <c r="D1449" s="23"/>
      <c r="E1449" s="53"/>
      <c r="F1449" s="54"/>
      <c r="G1449" s="54"/>
      <c r="H1449" s="54"/>
      <c r="I1449" s="53"/>
      <c r="J1449" s="53"/>
      <c r="K1449" s="23"/>
      <c r="L1449" s="53"/>
      <c r="M1449" s="54"/>
    </row>
    <row r="1450">
      <c r="A1450" s="23"/>
      <c r="B1450" s="52"/>
      <c r="C1450" s="53"/>
      <c r="D1450" s="23"/>
      <c r="E1450" s="53"/>
      <c r="F1450" s="54"/>
      <c r="G1450" s="54"/>
      <c r="H1450" s="54"/>
      <c r="I1450" s="53"/>
      <c r="J1450" s="53"/>
      <c r="K1450" s="23"/>
      <c r="L1450" s="53"/>
      <c r="M1450" s="54"/>
    </row>
    <row r="1451">
      <c r="A1451" s="23"/>
      <c r="B1451" s="52"/>
      <c r="C1451" s="53"/>
      <c r="D1451" s="23"/>
      <c r="E1451" s="53"/>
      <c r="F1451" s="54"/>
      <c r="G1451" s="54"/>
      <c r="H1451" s="54"/>
      <c r="I1451" s="53"/>
      <c r="J1451" s="53"/>
      <c r="K1451" s="23"/>
      <c r="L1451" s="53"/>
      <c r="M1451" s="54"/>
    </row>
    <row r="1452">
      <c r="A1452" s="23"/>
      <c r="B1452" s="52"/>
      <c r="C1452" s="53"/>
      <c r="D1452" s="23"/>
      <c r="E1452" s="53"/>
      <c r="F1452" s="54"/>
      <c r="G1452" s="54"/>
      <c r="H1452" s="54"/>
      <c r="I1452" s="53"/>
      <c r="J1452" s="53"/>
      <c r="K1452" s="23"/>
      <c r="L1452" s="53"/>
      <c r="M1452" s="54"/>
    </row>
    <row r="1453">
      <c r="A1453" s="23"/>
      <c r="B1453" s="52"/>
      <c r="C1453" s="53"/>
      <c r="D1453" s="23"/>
      <c r="E1453" s="53"/>
      <c r="F1453" s="54"/>
      <c r="G1453" s="54"/>
      <c r="H1453" s="54"/>
      <c r="I1453" s="53"/>
      <c r="J1453" s="53"/>
      <c r="K1453" s="23"/>
      <c r="L1453" s="53"/>
      <c r="M1453" s="54"/>
    </row>
    <row r="1454">
      <c r="A1454" s="23"/>
      <c r="B1454" s="52"/>
      <c r="C1454" s="53"/>
      <c r="D1454" s="23"/>
      <c r="E1454" s="53"/>
      <c r="F1454" s="54"/>
      <c r="G1454" s="54"/>
      <c r="H1454" s="54"/>
      <c r="I1454" s="53"/>
      <c r="J1454" s="53"/>
      <c r="K1454" s="23"/>
      <c r="L1454" s="53"/>
      <c r="M1454" s="54"/>
    </row>
    <row r="1455">
      <c r="A1455" s="23"/>
      <c r="B1455" s="52"/>
      <c r="C1455" s="53"/>
      <c r="D1455" s="23"/>
      <c r="E1455" s="53"/>
      <c r="F1455" s="54"/>
      <c r="G1455" s="54"/>
      <c r="H1455" s="54"/>
      <c r="I1455" s="53"/>
      <c r="J1455" s="53"/>
      <c r="K1455" s="23"/>
      <c r="L1455" s="53"/>
      <c r="M1455" s="54"/>
    </row>
    <row r="1456">
      <c r="A1456" s="23"/>
      <c r="B1456" s="52"/>
      <c r="C1456" s="53"/>
      <c r="D1456" s="23"/>
      <c r="E1456" s="53"/>
      <c r="F1456" s="54"/>
      <c r="G1456" s="54"/>
      <c r="H1456" s="54"/>
      <c r="I1456" s="53"/>
      <c r="J1456" s="53"/>
      <c r="K1456" s="23"/>
      <c r="L1456" s="53"/>
      <c r="M1456" s="54"/>
    </row>
    <row r="1457">
      <c r="A1457" s="23"/>
      <c r="B1457" s="52"/>
      <c r="C1457" s="53"/>
      <c r="D1457" s="23"/>
      <c r="E1457" s="53"/>
      <c r="F1457" s="54"/>
      <c r="G1457" s="54"/>
      <c r="H1457" s="54"/>
      <c r="I1457" s="53"/>
      <c r="J1457" s="53"/>
      <c r="K1457" s="23"/>
      <c r="L1457" s="53"/>
      <c r="M1457" s="54"/>
    </row>
    <row r="1458">
      <c r="A1458" s="23"/>
      <c r="B1458" s="52"/>
      <c r="C1458" s="53"/>
      <c r="D1458" s="23"/>
      <c r="E1458" s="53"/>
      <c r="F1458" s="54"/>
      <c r="G1458" s="54"/>
      <c r="H1458" s="54"/>
      <c r="I1458" s="53"/>
      <c r="J1458" s="53"/>
      <c r="K1458" s="23"/>
      <c r="L1458" s="53"/>
      <c r="M1458" s="54"/>
    </row>
    <row r="1459">
      <c r="A1459" s="23"/>
      <c r="B1459" s="52"/>
      <c r="C1459" s="53"/>
      <c r="D1459" s="23"/>
      <c r="E1459" s="53"/>
      <c r="F1459" s="54"/>
      <c r="G1459" s="54"/>
      <c r="H1459" s="54"/>
      <c r="I1459" s="53"/>
      <c r="J1459" s="53"/>
      <c r="K1459" s="23"/>
      <c r="L1459" s="53"/>
      <c r="M1459" s="54"/>
    </row>
    <row r="1460">
      <c r="A1460" s="23"/>
      <c r="B1460" s="52"/>
      <c r="C1460" s="53"/>
      <c r="D1460" s="23"/>
      <c r="E1460" s="53"/>
      <c r="F1460" s="54"/>
      <c r="G1460" s="54"/>
      <c r="H1460" s="54"/>
      <c r="I1460" s="53"/>
      <c r="J1460" s="53"/>
      <c r="K1460" s="23"/>
      <c r="L1460" s="53"/>
      <c r="M1460" s="54"/>
    </row>
    <row r="1461">
      <c r="A1461" s="23"/>
      <c r="B1461" s="52"/>
      <c r="C1461" s="53"/>
      <c r="D1461" s="23"/>
      <c r="E1461" s="53"/>
      <c r="F1461" s="54"/>
      <c r="G1461" s="54"/>
      <c r="H1461" s="54"/>
      <c r="I1461" s="53"/>
      <c r="J1461" s="53"/>
      <c r="K1461" s="23"/>
      <c r="L1461" s="53"/>
      <c r="M1461" s="54"/>
    </row>
    <row r="1462">
      <c r="A1462" s="23"/>
      <c r="B1462" s="52"/>
      <c r="C1462" s="53"/>
      <c r="D1462" s="23"/>
      <c r="E1462" s="53"/>
      <c r="F1462" s="54"/>
      <c r="G1462" s="54"/>
      <c r="H1462" s="54"/>
      <c r="I1462" s="53"/>
      <c r="J1462" s="53"/>
      <c r="K1462" s="23"/>
      <c r="L1462" s="53"/>
      <c r="M1462" s="54"/>
    </row>
    <row r="1463">
      <c r="A1463" s="23"/>
      <c r="B1463" s="52"/>
      <c r="C1463" s="53"/>
      <c r="D1463" s="23"/>
      <c r="E1463" s="53"/>
      <c r="F1463" s="54"/>
      <c r="G1463" s="54"/>
      <c r="H1463" s="54"/>
      <c r="I1463" s="53"/>
      <c r="J1463" s="53"/>
      <c r="K1463" s="23"/>
      <c r="L1463" s="53"/>
      <c r="M1463" s="54"/>
    </row>
    <row r="1464">
      <c r="A1464" s="23"/>
      <c r="B1464" s="52"/>
      <c r="C1464" s="53"/>
      <c r="D1464" s="23"/>
      <c r="E1464" s="53"/>
      <c r="F1464" s="54"/>
      <c r="G1464" s="54"/>
      <c r="H1464" s="54"/>
      <c r="I1464" s="53"/>
      <c r="J1464" s="53"/>
      <c r="K1464" s="23"/>
      <c r="L1464" s="53"/>
      <c r="M1464" s="54"/>
    </row>
    <row r="1465">
      <c r="A1465" s="23"/>
      <c r="B1465" s="52"/>
      <c r="C1465" s="53"/>
      <c r="D1465" s="23"/>
      <c r="E1465" s="53"/>
      <c r="F1465" s="54"/>
      <c r="G1465" s="54"/>
      <c r="H1465" s="54"/>
      <c r="I1465" s="53"/>
      <c r="J1465" s="53"/>
      <c r="K1465" s="23"/>
      <c r="L1465" s="53"/>
      <c r="M1465" s="54"/>
    </row>
    <row r="1466">
      <c r="A1466" s="23"/>
      <c r="B1466" s="52"/>
      <c r="C1466" s="53"/>
      <c r="D1466" s="23"/>
      <c r="E1466" s="53"/>
      <c r="F1466" s="54"/>
      <c r="G1466" s="54"/>
      <c r="H1466" s="54"/>
      <c r="I1466" s="53"/>
      <c r="J1466" s="53"/>
      <c r="K1466" s="23"/>
      <c r="L1466" s="53"/>
      <c r="M1466" s="54"/>
    </row>
    <row r="1467">
      <c r="A1467" s="23"/>
      <c r="B1467" s="52"/>
      <c r="C1467" s="53"/>
      <c r="D1467" s="23"/>
      <c r="E1467" s="53"/>
      <c r="F1467" s="54"/>
      <c r="G1467" s="54"/>
      <c r="H1467" s="54"/>
      <c r="I1467" s="53"/>
      <c r="J1467" s="53"/>
      <c r="K1467" s="23"/>
      <c r="L1467" s="53"/>
      <c r="M1467" s="54"/>
    </row>
    <row r="1468">
      <c r="A1468" s="23"/>
      <c r="B1468" s="52"/>
      <c r="C1468" s="53"/>
      <c r="D1468" s="23"/>
      <c r="E1468" s="53"/>
      <c r="F1468" s="54"/>
      <c r="G1468" s="54"/>
      <c r="H1468" s="54"/>
      <c r="I1468" s="53"/>
      <c r="J1468" s="53"/>
      <c r="K1468" s="23"/>
      <c r="L1468" s="53"/>
      <c r="M1468" s="54"/>
    </row>
    <row r="1469">
      <c r="A1469" s="23"/>
      <c r="B1469" s="52"/>
      <c r="C1469" s="53"/>
      <c r="D1469" s="23"/>
      <c r="E1469" s="53"/>
      <c r="F1469" s="54"/>
      <c r="G1469" s="54"/>
      <c r="H1469" s="54"/>
      <c r="I1469" s="53"/>
      <c r="J1469" s="53"/>
      <c r="K1469" s="23"/>
      <c r="L1469" s="53"/>
      <c r="M1469" s="54"/>
    </row>
    <row r="1470">
      <c r="A1470" s="23"/>
      <c r="B1470" s="52"/>
      <c r="C1470" s="53"/>
      <c r="D1470" s="23"/>
      <c r="E1470" s="53"/>
      <c r="F1470" s="54"/>
      <c r="G1470" s="54"/>
      <c r="H1470" s="54"/>
      <c r="I1470" s="53"/>
      <c r="J1470" s="53"/>
      <c r="K1470" s="23"/>
      <c r="L1470" s="53"/>
      <c r="M1470" s="54"/>
    </row>
    <row r="1471">
      <c r="A1471" s="23"/>
      <c r="B1471" s="52"/>
      <c r="C1471" s="53"/>
      <c r="D1471" s="23"/>
      <c r="E1471" s="53"/>
      <c r="F1471" s="54"/>
      <c r="G1471" s="54"/>
      <c r="H1471" s="54"/>
      <c r="I1471" s="53"/>
      <c r="J1471" s="53"/>
      <c r="K1471" s="23"/>
      <c r="L1471" s="53"/>
      <c r="M1471" s="54"/>
    </row>
    <row r="1472">
      <c r="A1472" s="23"/>
      <c r="B1472" s="52"/>
      <c r="C1472" s="53"/>
      <c r="D1472" s="23"/>
      <c r="E1472" s="53"/>
      <c r="F1472" s="54"/>
      <c r="G1472" s="54"/>
      <c r="H1472" s="54"/>
      <c r="I1472" s="53"/>
      <c r="J1472" s="53"/>
      <c r="K1472" s="23"/>
      <c r="L1472" s="53"/>
      <c r="M1472" s="54"/>
    </row>
    <row r="1473">
      <c r="A1473" s="23"/>
      <c r="B1473" s="52"/>
      <c r="C1473" s="53"/>
      <c r="D1473" s="23"/>
      <c r="E1473" s="53"/>
      <c r="F1473" s="54"/>
      <c r="G1473" s="54"/>
      <c r="H1473" s="54"/>
      <c r="I1473" s="53"/>
      <c r="J1473" s="53"/>
      <c r="K1473" s="23"/>
      <c r="L1473" s="53"/>
      <c r="M1473" s="54"/>
    </row>
    <row r="1474">
      <c r="A1474" s="23"/>
      <c r="B1474" s="52"/>
      <c r="C1474" s="53"/>
      <c r="D1474" s="23"/>
      <c r="E1474" s="53"/>
      <c r="F1474" s="54"/>
      <c r="G1474" s="54"/>
      <c r="H1474" s="54"/>
      <c r="I1474" s="53"/>
      <c r="J1474" s="53"/>
      <c r="K1474" s="23"/>
      <c r="L1474" s="53"/>
      <c r="M1474" s="54"/>
    </row>
    <row r="1475">
      <c r="A1475" s="23"/>
      <c r="B1475" s="52"/>
      <c r="C1475" s="53"/>
      <c r="D1475" s="23"/>
      <c r="E1475" s="53"/>
      <c r="F1475" s="54"/>
      <c r="G1475" s="54"/>
      <c r="H1475" s="54"/>
      <c r="I1475" s="53"/>
      <c r="J1475" s="53"/>
      <c r="K1475" s="23"/>
      <c r="L1475" s="53"/>
      <c r="M1475" s="54"/>
    </row>
    <row r="1476">
      <c r="A1476" s="23"/>
      <c r="B1476" s="52"/>
      <c r="C1476" s="53"/>
      <c r="D1476" s="23"/>
      <c r="E1476" s="53"/>
      <c r="F1476" s="54"/>
      <c r="G1476" s="54"/>
      <c r="H1476" s="54"/>
      <c r="I1476" s="53"/>
      <c r="J1476" s="53"/>
      <c r="K1476" s="23"/>
      <c r="L1476" s="53"/>
      <c r="M1476" s="54"/>
    </row>
    <row r="1477">
      <c r="A1477" s="23"/>
      <c r="B1477" s="52"/>
      <c r="C1477" s="53"/>
      <c r="D1477" s="23"/>
      <c r="E1477" s="53"/>
      <c r="F1477" s="54"/>
      <c r="G1477" s="54"/>
      <c r="H1477" s="54"/>
      <c r="I1477" s="53"/>
      <c r="J1477" s="53"/>
      <c r="K1477" s="23"/>
      <c r="L1477" s="53"/>
      <c r="M1477" s="54"/>
    </row>
    <row r="1478">
      <c r="A1478" s="23"/>
      <c r="B1478" s="52"/>
      <c r="C1478" s="53"/>
      <c r="D1478" s="23"/>
      <c r="E1478" s="53"/>
      <c r="F1478" s="54"/>
      <c r="G1478" s="54"/>
      <c r="H1478" s="54"/>
      <c r="I1478" s="53"/>
      <c r="J1478" s="53"/>
      <c r="K1478" s="23"/>
      <c r="L1478" s="53"/>
      <c r="M1478" s="54"/>
    </row>
    <row r="1479">
      <c r="A1479" s="23"/>
      <c r="B1479" s="52"/>
      <c r="C1479" s="53"/>
      <c r="D1479" s="23"/>
      <c r="E1479" s="53"/>
      <c r="F1479" s="54"/>
      <c r="G1479" s="54"/>
      <c r="H1479" s="54"/>
      <c r="I1479" s="53"/>
      <c r="J1479" s="53"/>
      <c r="K1479" s="23"/>
      <c r="L1479" s="53"/>
      <c r="M1479" s="54"/>
    </row>
    <row r="1480">
      <c r="A1480" s="23"/>
      <c r="B1480" s="52"/>
      <c r="C1480" s="53"/>
      <c r="D1480" s="23"/>
      <c r="E1480" s="53"/>
      <c r="F1480" s="54"/>
      <c r="G1480" s="54"/>
      <c r="H1480" s="54"/>
      <c r="I1480" s="53"/>
      <c r="J1480" s="53"/>
      <c r="K1480" s="23"/>
      <c r="L1480" s="53"/>
      <c r="M1480" s="54"/>
    </row>
    <row r="1481">
      <c r="A1481" s="23"/>
      <c r="B1481" s="52"/>
      <c r="C1481" s="53"/>
      <c r="D1481" s="23"/>
      <c r="E1481" s="53"/>
      <c r="F1481" s="54"/>
      <c r="G1481" s="54"/>
      <c r="H1481" s="54"/>
      <c r="I1481" s="53"/>
      <c r="J1481" s="53"/>
      <c r="K1481" s="23"/>
      <c r="L1481" s="53"/>
      <c r="M1481" s="54"/>
    </row>
    <row r="1482">
      <c r="A1482" s="23"/>
      <c r="B1482" s="52"/>
      <c r="C1482" s="53"/>
      <c r="D1482" s="23"/>
      <c r="E1482" s="53"/>
      <c r="F1482" s="54"/>
      <c r="G1482" s="54"/>
      <c r="H1482" s="54"/>
      <c r="I1482" s="53"/>
      <c r="J1482" s="53"/>
      <c r="K1482" s="23"/>
      <c r="L1482" s="53"/>
      <c r="M1482" s="54"/>
    </row>
    <row r="1483">
      <c r="A1483" s="23"/>
      <c r="B1483" s="52"/>
      <c r="C1483" s="53"/>
      <c r="D1483" s="23"/>
      <c r="E1483" s="53"/>
      <c r="F1483" s="54"/>
      <c r="G1483" s="54"/>
      <c r="H1483" s="54"/>
      <c r="I1483" s="53"/>
      <c r="J1483" s="53"/>
      <c r="K1483" s="23"/>
      <c r="L1483" s="53"/>
      <c r="M1483" s="54"/>
    </row>
    <row r="1484">
      <c r="A1484" s="23"/>
      <c r="B1484" s="52"/>
      <c r="C1484" s="53"/>
      <c r="D1484" s="23"/>
      <c r="E1484" s="53"/>
      <c r="F1484" s="54"/>
      <c r="G1484" s="54"/>
      <c r="H1484" s="54"/>
      <c r="I1484" s="53"/>
      <c r="J1484" s="53"/>
      <c r="K1484" s="23"/>
      <c r="L1484" s="53"/>
      <c r="M1484" s="54"/>
    </row>
    <row r="1485">
      <c r="A1485" s="23"/>
      <c r="B1485" s="52"/>
      <c r="C1485" s="53"/>
      <c r="D1485" s="23"/>
      <c r="E1485" s="53"/>
      <c r="F1485" s="54"/>
      <c r="G1485" s="54"/>
      <c r="H1485" s="54"/>
      <c r="I1485" s="53"/>
      <c r="J1485" s="53"/>
      <c r="K1485" s="23"/>
      <c r="L1485" s="53"/>
      <c r="M1485" s="54"/>
    </row>
    <row r="1486">
      <c r="A1486" s="23"/>
      <c r="B1486" s="52"/>
      <c r="C1486" s="53"/>
      <c r="D1486" s="23"/>
      <c r="E1486" s="53"/>
      <c r="F1486" s="54"/>
      <c r="G1486" s="54"/>
      <c r="H1486" s="54"/>
      <c r="I1486" s="53"/>
      <c r="J1486" s="53"/>
      <c r="K1486" s="23"/>
      <c r="L1486" s="53"/>
      <c r="M1486" s="54"/>
    </row>
    <row r="1487">
      <c r="A1487" s="23"/>
      <c r="B1487" s="52"/>
      <c r="C1487" s="53"/>
      <c r="D1487" s="23"/>
      <c r="E1487" s="53"/>
      <c r="F1487" s="54"/>
      <c r="G1487" s="54"/>
      <c r="H1487" s="54"/>
      <c r="I1487" s="53"/>
      <c r="J1487" s="53"/>
      <c r="K1487" s="23"/>
      <c r="L1487" s="53"/>
      <c r="M1487" s="54"/>
    </row>
    <row r="1488">
      <c r="A1488" s="23"/>
      <c r="B1488" s="52"/>
      <c r="C1488" s="53"/>
      <c r="D1488" s="23"/>
      <c r="E1488" s="53"/>
      <c r="F1488" s="54"/>
      <c r="G1488" s="54"/>
      <c r="H1488" s="54"/>
      <c r="I1488" s="53"/>
      <c r="J1488" s="53"/>
      <c r="K1488" s="23"/>
      <c r="L1488" s="53"/>
      <c r="M1488" s="54"/>
    </row>
    <row r="1489">
      <c r="A1489" s="23"/>
      <c r="B1489" s="52"/>
      <c r="C1489" s="53"/>
      <c r="D1489" s="23"/>
      <c r="E1489" s="53"/>
      <c r="F1489" s="54"/>
      <c r="G1489" s="54"/>
      <c r="H1489" s="54"/>
      <c r="I1489" s="53"/>
      <c r="J1489" s="53"/>
      <c r="K1489" s="23"/>
      <c r="L1489" s="53"/>
      <c r="M1489" s="54"/>
    </row>
    <row r="1490">
      <c r="A1490" s="23"/>
      <c r="B1490" s="52"/>
      <c r="C1490" s="53"/>
      <c r="D1490" s="23"/>
      <c r="E1490" s="53"/>
      <c r="F1490" s="54"/>
      <c r="G1490" s="54"/>
      <c r="H1490" s="54"/>
      <c r="I1490" s="53"/>
      <c r="J1490" s="53"/>
      <c r="K1490" s="23"/>
      <c r="L1490" s="53"/>
      <c r="M1490" s="54"/>
    </row>
    <row r="1491">
      <c r="A1491" s="23"/>
      <c r="B1491" s="52"/>
      <c r="C1491" s="53"/>
      <c r="D1491" s="23"/>
      <c r="E1491" s="53"/>
      <c r="F1491" s="54"/>
      <c r="G1491" s="54"/>
      <c r="H1491" s="54"/>
      <c r="I1491" s="53"/>
      <c r="J1491" s="53"/>
      <c r="K1491" s="23"/>
      <c r="L1491" s="53"/>
      <c r="M1491" s="54"/>
    </row>
    <row r="1492">
      <c r="A1492" s="23"/>
      <c r="B1492" s="52"/>
      <c r="C1492" s="53"/>
      <c r="D1492" s="23"/>
      <c r="E1492" s="53"/>
      <c r="F1492" s="54"/>
      <c r="G1492" s="54"/>
      <c r="H1492" s="54"/>
      <c r="I1492" s="53"/>
      <c r="J1492" s="53"/>
      <c r="K1492" s="23"/>
      <c r="L1492" s="53"/>
      <c r="M1492" s="54"/>
    </row>
    <row r="1493">
      <c r="A1493" s="23"/>
      <c r="B1493" s="52"/>
      <c r="C1493" s="53"/>
      <c r="D1493" s="23"/>
      <c r="E1493" s="53"/>
      <c r="F1493" s="54"/>
      <c r="G1493" s="54"/>
      <c r="H1493" s="54"/>
      <c r="I1493" s="53"/>
      <c r="J1493" s="53"/>
      <c r="K1493" s="23"/>
      <c r="L1493" s="53"/>
      <c r="M1493" s="54"/>
    </row>
    <row r="1494">
      <c r="A1494" s="23"/>
      <c r="B1494" s="52"/>
      <c r="C1494" s="53"/>
      <c r="D1494" s="23"/>
      <c r="E1494" s="53"/>
      <c r="F1494" s="54"/>
      <c r="G1494" s="54"/>
      <c r="H1494" s="54"/>
      <c r="I1494" s="53"/>
      <c r="J1494" s="53"/>
      <c r="K1494" s="23"/>
      <c r="L1494" s="53"/>
      <c r="M1494" s="54"/>
    </row>
    <row r="1495">
      <c r="A1495" s="23"/>
      <c r="B1495" s="52"/>
      <c r="C1495" s="53"/>
      <c r="D1495" s="23"/>
      <c r="E1495" s="53"/>
      <c r="F1495" s="54"/>
      <c r="G1495" s="54"/>
      <c r="H1495" s="54"/>
      <c r="I1495" s="53"/>
      <c r="J1495" s="53"/>
      <c r="K1495" s="23"/>
      <c r="L1495" s="53"/>
      <c r="M1495" s="54"/>
    </row>
    <row r="1496">
      <c r="A1496" s="23"/>
      <c r="B1496" s="52"/>
      <c r="C1496" s="53"/>
      <c r="D1496" s="23"/>
      <c r="E1496" s="53"/>
      <c r="F1496" s="54"/>
      <c r="G1496" s="54"/>
      <c r="H1496" s="54"/>
      <c r="I1496" s="53"/>
      <c r="J1496" s="53"/>
      <c r="K1496" s="23"/>
      <c r="L1496" s="53"/>
      <c r="M1496" s="54"/>
    </row>
    <row r="1497">
      <c r="A1497" s="23"/>
      <c r="B1497" s="52"/>
      <c r="C1497" s="53"/>
      <c r="D1497" s="23"/>
      <c r="E1497" s="53"/>
      <c r="F1497" s="54"/>
      <c r="G1497" s="54"/>
      <c r="H1497" s="54"/>
      <c r="I1497" s="53"/>
      <c r="J1497" s="53"/>
      <c r="K1497" s="23"/>
      <c r="L1497" s="53"/>
      <c r="M1497" s="54"/>
    </row>
    <row r="1498">
      <c r="A1498" s="23"/>
      <c r="B1498" s="52"/>
      <c r="C1498" s="53"/>
      <c r="D1498" s="23"/>
      <c r="E1498" s="53"/>
      <c r="F1498" s="54"/>
      <c r="G1498" s="54"/>
      <c r="H1498" s="54"/>
      <c r="I1498" s="53"/>
      <c r="J1498" s="53"/>
      <c r="K1498" s="23"/>
      <c r="L1498" s="53"/>
      <c r="M1498" s="54"/>
    </row>
    <row r="1499">
      <c r="A1499" s="23"/>
      <c r="B1499" s="52"/>
      <c r="C1499" s="53"/>
      <c r="D1499" s="23"/>
      <c r="E1499" s="53"/>
      <c r="F1499" s="54"/>
      <c r="G1499" s="54"/>
      <c r="H1499" s="54"/>
      <c r="I1499" s="53"/>
      <c r="J1499" s="53"/>
      <c r="K1499" s="23"/>
      <c r="L1499" s="53"/>
      <c r="M1499" s="54"/>
    </row>
    <row r="1500">
      <c r="A1500" s="23"/>
      <c r="B1500" s="52"/>
      <c r="C1500" s="53"/>
      <c r="D1500" s="23"/>
      <c r="E1500" s="53"/>
      <c r="F1500" s="54"/>
      <c r="G1500" s="54"/>
      <c r="H1500" s="54"/>
      <c r="I1500" s="53"/>
      <c r="J1500" s="53"/>
      <c r="K1500" s="23"/>
      <c r="L1500" s="53"/>
      <c r="M1500" s="54"/>
    </row>
    <row r="1501">
      <c r="A1501" s="23"/>
      <c r="B1501" s="52"/>
      <c r="C1501" s="53"/>
      <c r="D1501" s="23"/>
      <c r="E1501" s="53"/>
      <c r="F1501" s="54"/>
      <c r="G1501" s="54"/>
      <c r="H1501" s="54"/>
      <c r="I1501" s="53"/>
      <c r="J1501" s="53"/>
      <c r="K1501" s="23"/>
      <c r="L1501" s="53"/>
      <c r="M1501" s="54"/>
    </row>
    <row r="1502">
      <c r="A1502" s="23"/>
      <c r="B1502" s="52"/>
      <c r="C1502" s="53"/>
      <c r="D1502" s="23"/>
      <c r="E1502" s="53"/>
      <c r="F1502" s="54"/>
      <c r="G1502" s="54"/>
      <c r="H1502" s="54"/>
      <c r="I1502" s="53"/>
      <c r="J1502" s="53"/>
      <c r="K1502" s="23"/>
      <c r="L1502" s="53"/>
      <c r="M1502" s="54"/>
    </row>
    <row r="1503">
      <c r="A1503" s="23"/>
      <c r="B1503" s="52"/>
      <c r="C1503" s="53"/>
      <c r="D1503" s="23"/>
      <c r="E1503" s="53"/>
      <c r="F1503" s="54"/>
      <c r="G1503" s="54"/>
      <c r="H1503" s="54"/>
      <c r="I1503" s="53"/>
      <c r="J1503" s="53"/>
      <c r="K1503" s="23"/>
      <c r="L1503" s="53"/>
      <c r="M1503" s="54"/>
    </row>
    <row r="1504">
      <c r="A1504" s="23"/>
      <c r="B1504" s="52"/>
      <c r="C1504" s="53"/>
      <c r="D1504" s="23"/>
      <c r="E1504" s="53"/>
      <c r="F1504" s="54"/>
      <c r="G1504" s="54"/>
      <c r="H1504" s="54"/>
      <c r="I1504" s="53"/>
      <c r="J1504" s="53"/>
      <c r="K1504" s="23"/>
      <c r="L1504" s="53"/>
      <c r="M1504" s="54"/>
    </row>
    <row r="1505">
      <c r="A1505" s="23"/>
      <c r="B1505" s="52"/>
      <c r="C1505" s="53"/>
      <c r="D1505" s="23"/>
      <c r="E1505" s="53"/>
      <c r="F1505" s="54"/>
      <c r="G1505" s="54"/>
      <c r="H1505" s="54"/>
      <c r="I1505" s="53"/>
      <c r="J1505" s="53"/>
      <c r="K1505" s="23"/>
      <c r="L1505" s="53"/>
      <c r="M1505" s="54"/>
    </row>
    <row r="1506">
      <c r="A1506" s="23"/>
      <c r="B1506" s="52"/>
      <c r="C1506" s="53"/>
      <c r="D1506" s="23"/>
      <c r="E1506" s="53"/>
      <c r="F1506" s="54"/>
      <c r="G1506" s="54"/>
      <c r="H1506" s="54"/>
      <c r="I1506" s="53"/>
      <c r="J1506" s="53"/>
      <c r="K1506" s="53"/>
      <c r="L1506" s="53"/>
      <c r="M1506" s="54"/>
    </row>
    <row r="1507">
      <c r="A1507" s="23"/>
      <c r="B1507" s="52"/>
      <c r="C1507" s="53"/>
      <c r="D1507" s="23"/>
      <c r="E1507" s="53"/>
      <c r="F1507" s="54"/>
      <c r="G1507" s="54"/>
      <c r="H1507" s="54"/>
      <c r="I1507" s="53"/>
      <c r="J1507" s="53"/>
      <c r="K1507" s="23"/>
      <c r="L1507" s="53"/>
      <c r="M1507" s="54"/>
    </row>
    <row r="1508">
      <c r="A1508" s="23"/>
      <c r="B1508" s="52"/>
      <c r="C1508" s="53"/>
      <c r="D1508" s="23"/>
      <c r="E1508" s="53"/>
      <c r="F1508" s="54"/>
      <c r="G1508" s="54"/>
      <c r="H1508" s="54"/>
      <c r="I1508" s="53"/>
      <c r="J1508" s="53"/>
      <c r="K1508" s="23"/>
      <c r="L1508" s="53"/>
      <c r="M1508" s="54"/>
    </row>
    <row r="1509">
      <c r="A1509" s="23"/>
      <c r="B1509" s="52"/>
      <c r="C1509" s="53"/>
      <c r="D1509" s="23"/>
      <c r="E1509" s="53"/>
      <c r="F1509" s="54"/>
      <c r="G1509" s="54"/>
      <c r="H1509" s="54"/>
      <c r="I1509" s="53"/>
      <c r="J1509" s="53"/>
      <c r="K1509" s="23"/>
      <c r="L1509" s="53"/>
      <c r="M1509" s="54"/>
    </row>
    <row r="1510">
      <c r="A1510" s="23"/>
      <c r="B1510" s="52"/>
      <c r="C1510" s="53"/>
      <c r="D1510" s="23"/>
      <c r="E1510" s="53"/>
      <c r="F1510" s="54"/>
      <c r="G1510" s="54"/>
      <c r="H1510" s="54"/>
      <c r="I1510" s="53"/>
      <c r="J1510" s="53"/>
      <c r="K1510" s="23"/>
      <c r="L1510" s="53"/>
      <c r="M1510" s="54"/>
    </row>
    <row r="1511">
      <c r="A1511" s="23"/>
      <c r="B1511" s="52"/>
      <c r="C1511" s="53"/>
      <c r="D1511" s="23"/>
      <c r="E1511" s="53"/>
      <c r="F1511" s="54"/>
      <c r="G1511" s="54"/>
      <c r="H1511" s="54"/>
      <c r="I1511" s="53"/>
      <c r="J1511" s="53"/>
      <c r="K1511" s="23"/>
      <c r="L1511" s="53"/>
      <c r="M1511" s="54"/>
    </row>
    <row r="1512">
      <c r="A1512" s="23"/>
      <c r="B1512" s="52"/>
      <c r="C1512" s="53"/>
      <c r="D1512" s="23"/>
      <c r="E1512" s="53"/>
      <c r="F1512" s="54"/>
      <c r="G1512" s="54"/>
      <c r="H1512" s="54"/>
      <c r="I1512" s="53"/>
      <c r="J1512" s="53"/>
      <c r="K1512" s="23"/>
      <c r="L1512" s="53"/>
      <c r="M1512" s="54"/>
    </row>
    <row r="1513">
      <c r="A1513" s="23"/>
      <c r="B1513" s="52"/>
      <c r="C1513" s="53"/>
      <c r="D1513" s="23"/>
      <c r="E1513" s="53"/>
      <c r="F1513" s="54"/>
      <c r="G1513" s="54"/>
      <c r="H1513" s="54"/>
      <c r="I1513" s="53"/>
      <c r="J1513" s="53"/>
      <c r="K1513" s="23"/>
      <c r="L1513" s="53"/>
      <c r="M1513" s="54"/>
    </row>
    <row r="1514">
      <c r="A1514" s="23"/>
      <c r="B1514" s="52"/>
      <c r="C1514" s="53"/>
      <c r="D1514" s="23"/>
      <c r="E1514" s="53"/>
      <c r="F1514" s="54"/>
      <c r="G1514" s="54"/>
      <c r="H1514" s="54"/>
      <c r="I1514" s="53"/>
      <c r="J1514" s="53"/>
      <c r="K1514" s="23"/>
      <c r="L1514" s="53"/>
      <c r="M1514" s="54"/>
    </row>
    <row r="1515">
      <c r="A1515" s="23"/>
      <c r="B1515" s="52"/>
      <c r="C1515" s="53"/>
      <c r="D1515" s="23"/>
      <c r="E1515" s="53"/>
      <c r="F1515" s="54"/>
      <c r="G1515" s="54"/>
      <c r="H1515" s="54"/>
      <c r="I1515" s="53"/>
      <c r="J1515" s="53"/>
      <c r="K1515" s="23"/>
      <c r="L1515" s="53"/>
      <c r="M1515" s="54"/>
    </row>
    <row r="1516">
      <c r="A1516" s="23"/>
      <c r="B1516" s="52"/>
      <c r="C1516" s="53"/>
      <c r="D1516" s="23"/>
      <c r="E1516" s="53"/>
      <c r="F1516" s="54"/>
      <c r="G1516" s="54"/>
      <c r="H1516" s="54"/>
      <c r="I1516" s="53"/>
      <c r="J1516" s="53"/>
      <c r="K1516" s="23"/>
      <c r="L1516" s="53"/>
      <c r="M1516" s="54"/>
    </row>
    <row r="1517">
      <c r="A1517" s="23"/>
      <c r="B1517" s="52"/>
      <c r="C1517" s="53"/>
      <c r="D1517" s="23"/>
      <c r="E1517" s="53"/>
      <c r="F1517" s="54"/>
      <c r="G1517" s="54"/>
      <c r="H1517" s="54"/>
      <c r="I1517" s="53"/>
      <c r="J1517" s="53"/>
      <c r="K1517" s="23"/>
      <c r="L1517" s="53"/>
      <c r="M1517" s="54"/>
    </row>
    <row r="1518">
      <c r="A1518" s="23"/>
      <c r="B1518" s="52"/>
      <c r="C1518" s="53"/>
      <c r="D1518" s="23"/>
      <c r="E1518" s="53"/>
      <c r="F1518" s="54"/>
      <c r="G1518" s="54"/>
      <c r="H1518" s="54"/>
      <c r="I1518" s="53"/>
      <c r="J1518" s="53"/>
      <c r="K1518" s="23"/>
      <c r="L1518" s="53"/>
      <c r="M1518" s="54"/>
    </row>
    <row r="1519">
      <c r="A1519" s="23"/>
      <c r="B1519" s="52"/>
      <c r="C1519" s="53"/>
      <c r="D1519" s="23"/>
      <c r="E1519" s="53"/>
      <c r="F1519" s="54"/>
      <c r="G1519" s="54"/>
      <c r="H1519" s="54"/>
      <c r="I1519" s="53"/>
      <c r="J1519" s="53"/>
      <c r="K1519" s="23"/>
      <c r="L1519" s="53"/>
      <c r="M1519" s="54"/>
    </row>
    <row r="1520">
      <c r="A1520" s="23"/>
      <c r="B1520" s="52"/>
      <c r="C1520" s="53"/>
      <c r="D1520" s="23"/>
      <c r="E1520" s="53"/>
      <c r="F1520" s="54"/>
      <c r="G1520" s="54"/>
      <c r="H1520" s="54"/>
      <c r="I1520" s="53"/>
      <c r="J1520" s="53"/>
      <c r="K1520" s="23"/>
      <c r="L1520" s="53"/>
      <c r="M1520" s="54"/>
    </row>
    <row r="1521">
      <c r="A1521" s="23"/>
      <c r="B1521" s="52"/>
      <c r="C1521" s="53"/>
      <c r="D1521" s="23"/>
      <c r="E1521" s="53"/>
      <c r="F1521" s="54"/>
      <c r="G1521" s="54"/>
      <c r="H1521" s="54"/>
      <c r="I1521" s="53"/>
      <c r="J1521" s="53"/>
      <c r="K1521" s="23"/>
      <c r="L1521" s="53"/>
      <c r="M1521" s="54"/>
    </row>
    <row r="1522">
      <c r="A1522" s="23"/>
      <c r="B1522" s="52"/>
      <c r="C1522" s="53"/>
      <c r="D1522" s="23"/>
      <c r="E1522" s="53"/>
      <c r="F1522" s="54"/>
      <c r="G1522" s="54"/>
      <c r="H1522" s="54"/>
      <c r="I1522" s="53"/>
      <c r="J1522" s="53"/>
      <c r="K1522" s="23"/>
      <c r="L1522" s="53"/>
      <c r="M1522" s="54"/>
    </row>
    <row r="1523">
      <c r="A1523" s="23"/>
      <c r="B1523" s="52"/>
      <c r="C1523" s="53"/>
      <c r="D1523" s="23"/>
      <c r="E1523" s="53"/>
      <c r="F1523" s="54"/>
      <c r="G1523" s="54"/>
      <c r="H1523" s="54"/>
      <c r="I1523" s="53"/>
      <c r="J1523" s="53"/>
      <c r="K1523" s="23"/>
      <c r="L1523" s="53"/>
      <c r="M1523" s="54"/>
    </row>
    <row r="1524">
      <c r="A1524" s="23"/>
      <c r="B1524" s="52"/>
      <c r="C1524" s="53"/>
      <c r="D1524" s="23"/>
      <c r="E1524" s="53"/>
      <c r="F1524" s="54"/>
      <c r="G1524" s="54"/>
      <c r="H1524" s="54"/>
      <c r="I1524" s="53"/>
      <c r="J1524" s="53"/>
      <c r="K1524" s="23"/>
      <c r="L1524" s="53"/>
      <c r="M1524" s="54"/>
    </row>
    <row r="1525">
      <c r="A1525" s="23"/>
      <c r="B1525" s="52"/>
      <c r="C1525" s="53"/>
      <c r="D1525" s="23"/>
      <c r="E1525" s="53"/>
      <c r="F1525" s="54"/>
      <c r="G1525" s="54"/>
      <c r="H1525" s="54"/>
      <c r="I1525" s="53"/>
      <c r="J1525" s="53"/>
      <c r="K1525" s="23"/>
      <c r="L1525" s="53"/>
      <c r="M1525" s="54"/>
    </row>
    <row r="1526">
      <c r="A1526" s="23"/>
      <c r="B1526" s="52"/>
      <c r="C1526" s="53"/>
      <c r="D1526" s="23"/>
      <c r="E1526" s="53"/>
      <c r="F1526" s="54"/>
      <c r="G1526" s="54"/>
      <c r="H1526" s="54"/>
      <c r="I1526" s="53"/>
      <c r="J1526" s="53"/>
      <c r="K1526" s="23"/>
      <c r="L1526" s="53"/>
      <c r="M1526" s="54"/>
    </row>
    <row r="1527">
      <c r="A1527" s="23"/>
      <c r="B1527" s="52"/>
      <c r="C1527" s="53"/>
      <c r="D1527" s="23"/>
      <c r="E1527" s="53"/>
      <c r="F1527" s="54"/>
      <c r="G1527" s="54"/>
      <c r="H1527" s="54"/>
      <c r="I1527" s="53"/>
      <c r="J1527" s="53"/>
      <c r="K1527" s="23"/>
      <c r="L1527" s="53"/>
      <c r="M1527" s="54"/>
    </row>
    <row r="1528">
      <c r="A1528" s="23"/>
      <c r="B1528" s="52"/>
      <c r="C1528" s="53"/>
      <c r="D1528" s="23"/>
      <c r="E1528" s="53"/>
      <c r="F1528" s="54"/>
      <c r="G1528" s="54"/>
      <c r="H1528" s="54"/>
      <c r="I1528" s="53"/>
      <c r="J1528" s="53"/>
      <c r="K1528" s="23"/>
      <c r="L1528" s="53"/>
      <c r="M1528" s="54"/>
    </row>
    <row r="1529">
      <c r="A1529" s="23"/>
      <c r="B1529" s="52"/>
      <c r="C1529" s="53"/>
      <c r="D1529" s="23"/>
      <c r="E1529" s="53"/>
      <c r="F1529" s="54"/>
      <c r="G1529" s="54"/>
      <c r="H1529" s="54"/>
      <c r="I1529" s="53"/>
      <c r="J1529" s="53"/>
      <c r="K1529" s="23"/>
      <c r="L1529" s="53"/>
      <c r="M1529" s="54"/>
    </row>
    <row r="1530">
      <c r="A1530" s="23"/>
      <c r="B1530" s="52"/>
      <c r="C1530" s="53"/>
      <c r="D1530" s="23"/>
      <c r="E1530" s="53"/>
      <c r="F1530" s="54"/>
      <c r="G1530" s="54"/>
      <c r="H1530" s="54"/>
      <c r="I1530" s="53"/>
      <c r="J1530" s="53"/>
      <c r="K1530" s="23"/>
      <c r="L1530" s="53"/>
      <c r="M1530" s="54"/>
    </row>
    <row r="1531">
      <c r="A1531" s="23"/>
      <c r="B1531" s="52"/>
      <c r="C1531" s="53"/>
      <c r="D1531" s="23"/>
      <c r="E1531" s="53"/>
      <c r="F1531" s="54"/>
      <c r="G1531" s="54"/>
      <c r="H1531" s="54"/>
      <c r="I1531" s="53"/>
      <c r="J1531" s="53"/>
      <c r="K1531" s="23"/>
      <c r="L1531" s="53"/>
      <c r="M1531" s="54"/>
    </row>
    <row r="1532">
      <c r="A1532" s="23"/>
      <c r="B1532" s="52"/>
      <c r="C1532" s="53"/>
      <c r="D1532" s="23"/>
      <c r="E1532" s="53"/>
      <c r="F1532" s="54"/>
      <c r="G1532" s="54"/>
      <c r="H1532" s="54"/>
      <c r="I1532" s="53"/>
      <c r="J1532" s="53"/>
      <c r="K1532" s="23"/>
      <c r="L1532" s="53"/>
      <c r="M1532" s="54"/>
    </row>
    <row r="1533">
      <c r="A1533" s="23"/>
      <c r="B1533" s="52"/>
      <c r="C1533" s="53"/>
      <c r="D1533" s="23"/>
      <c r="E1533" s="53"/>
      <c r="F1533" s="54"/>
      <c r="G1533" s="54"/>
      <c r="H1533" s="54"/>
      <c r="I1533" s="53"/>
      <c r="J1533" s="53"/>
      <c r="K1533" s="23"/>
      <c r="L1533" s="53"/>
      <c r="M1533" s="54"/>
    </row>
    <row r="1534">
      <c r="A1534" s="23"/>
      <c r="B1534" s="52"/>
      <c r="C1534" s="53"/>
      <c r="D1534" s="23"/>
      <c r="E1534" s="53"/>
      <c r="F1534" s="54"/>
      <c r="G1534" s="54"/>
      <c r="H1534" s="54"/>
      <c r="I1534" s="53"/>
      <c r="J1534" s="53"/>
      <c r="K1534" s="23"/>
      <c r="L1534" s="53"/>
      <c r="M1534" s="54"/>
    </row>
    <row r="1535">
      <c r="A1535" s="23"/>
      <c r="B1535" s="52"/>
      <c r="C1535" s="53"/>
      <c r="D1535" s="23"/>
      <c r="E1535" s="53"/>
      <c r="F1535" s="54"/>
      <c r="G1535" s="54"/>
      <c r="H1535" s="54"/>
      <c r="I1535" s="53"/>
      <c r="J1535" s="53"/>
      <c r="K1535" s="23"/>
      <c r="L1535" s="53"/>
      <c r="M1535" s="54"/>
    </row>
    <row r="1536">
      <c r="A1536" s="23"/>
      <c r="B1536" s="52"/>
      <c r="C1536" s="53"/>
      <c r="D1536" s="23"/>
      <c r="E1536" s="53"/>
      <c r="F1536" s="54"/>
      <c r="G1536" s="54"/>
      <c r="H1536" s="54"/>
      <c r="I1536" s="53"/>
      <c r="J1536" s="53"/>
      <c r="K1536" s="23"/>
      <c r="L1536" s="53"/>
      <c r="M1536" s="54"/>
    </row>
    <row r="1537">
      <c r="A1537" s="23"/>
      <c r="B1537" s="52"/>
      <c r="C1537" s="53"/>
      <c r="D1537" s="23"/>
      <c r="E1537" s="53"/>
      <c r="F1537" s="54"/>
      <c r="G1537" s="54"/>
      <c r="H1537" s="54"/>
      <c r="I1537" s="53"/>
      <c r="J1537" s="53"/>
      <c r="K1537" s="23"/>
      <c r="L1537" s="53"/>
      <c r="M1537" s="54"/>
    </row>
    <row r="1538">
      <c r="A1538" s="23"/>
      <c r="B1538" s="52"/>
      <c r="C1538" s="53"/>
      <c r="D1538" s="23"/>
      <c r="E1538" s="53"/>
      <c r="F1538" s="54"/>
      <c r="G1538" s="54"/>
      <c r="H1538" s="54"/>
      <c r="I1538" s="53"/>
      <c r="J1538" s="53"/>
      <c r="K1538" s="23"/>
      <c r="L1538" s="53"/>
      <c r="M1538" s="54"/>
    </row>
    <row r="1539">
      <c r="A1539" s="23"/>
      <c r="B1539" s="52"/>
      <c r="C1539" s="53"/>
      <c r="D1539" s="23"/>
      <c r="E1539" s="53"/>
      <c r="F1539" s="54"/>
      <c r="G1539" s="54"/>
      <c r="H1539" s="54"/>
      <c r="I1539" s="53"/>
      <c r="J1539" s="53"/>
      <c r="K1539" s="23"/>
      <c r="L1539" s="53"/>
      <c r="M1539" s="54"/>
    </row>
    <row r="1540">
      <c r="A1540" s="23"/>
      <c r="B1540" s="52"/>
      <c r="C1540" s="53"/>
      <c r="D1540" s="23"/>
      <c r="E1540" s="53"/>
      <c r="F1540" s="54"/>
      <c r="G1540" s="54"/>
      <c r="H1540" s="54"/>
      <c r="I1540" s="53"/>
      <c r="J1540" s="53"/>
      <c r="K1540" s="23"/>
      <c r="L1540" s="53"/>
      <c r="M1540" s="54"/>
    </row>
    <row r="1541">
      <c r="A1541" s="23"/>
      <c r="B1541" s="52"/>
      <c r="C1541" s="53"/>
      <c r="D1541" s="23"/>
      <c r="E1541" s="53"/>
      <c r="F1541" s="54"/>
      <c r="G1541" s="54"/>
      <c r="H1541" s="54"/>
      <c r="I1541" s="53"/>
      <c r="J1541" s="53"/>
      <c r="K1541" s="23"/>
      <c r="L1541" s="53"/>
      <c r="M1541" s="54"/>
    </row>
    <row r="1542">
      <c r="A1542" s="23"/>
      <c r="B1542" s="52"/>
      <c r="C1542" s="53"/>
      <c r="D1542" s="23"/>
      <c r="E1542" s="53"/>
      <c r="F1542" s="54"/>
      <c r="G1542" s="54"/>
      <c r="H1542" s="54"/>
      <c r="I1542" s="53"/>
      <c r="J1542" s="53"/>
      <c r="K1542" s="23"/>
      <c r="L1542" s="53"/>
      <c r="M1542" s="54"/>
    </row>
    <row r="1543">
      <c r="A1543" s="23"/>
      <c r="B1543" s="52"/>
      <c r="C1543" s="53"/>
      <c r="D1543" s="23"/>
      <c r="E1543" s="53"/>
      <c r="F1543" s="54"/>
      <c r="G1543" s="54"/>
      <c r="H1543" s="54"/>
      <c r="I1543" s="53"/>
      <c r="J1543" s="53"/>
      <c r="K1543" s="23"/>
      <c r="L1543" s="53"/>
      <c r="M1543" s="54"/>
    </row>
    <row r="1544">
      <c r="A1544" s="23"/>
      <c r="B1544" s="52"/>
      <c r="C1544" s="53"/>
      <c r="D1544" s="23"/>
      <c r="E1544" s="53"/>
      <c r="F1544" s="54"/>
      <c r="G1544" s="54"/>
      <c r="H1544" s="54"/>
      <c r="I1544" s="53"/>
      <c r="J1544" s="53"/>
      <c r="K1544" s="23"/>
      <c r="L1544" s="53"/>
      <c r="M1544" s="54"/>
    </row>
    <row r="1545">
      <c r="A1545" s="23"/>
      <c r="B1545" s="52"/>
      <c r="C1545" s="53"/>
      <c r="D1545" s="23"/>
      <c r="E1545" s="53"/>
      <c r="F1545" s="54"/>
      <c r="G1545" s="54"/>
      <c r="H1545" s="54"/>
      <c r="I1545" s="53"/>
      <c r="J1545" s="53"/>
      <c r="K1545" s="23"/>
      <c r="L1545" s="53"/>
      <c r="M1545" s="54"/>
    </row>
    <row r="1546">
      <c r="A1546" s="23"/>
      <c r="B1546" s="52"/>
      <c r="C1546" s="53"/>
      <c r="D1546" s="23"/>
      <c r="E1546" s="53"/>
      <c r="F1546" s="54"/>
      <c r="G1546" s="54"/>
      <c r="H1546" s="54"/>
      <c r="I1546" s="53"/>
      <c r="J1546" s="53"/>
      <c r="K1546" s="23"/>
      <c r="L1546" s="53"/>
      <c r="M1546" s="54"/>
    </row>
    <row r="1547">
      <c r="A1547" s="23"/>
      <c r="B1547" s="52"/>
      <c r="C1547" s="53"/>
      <c r="D1547" s="23"/>
      <c r="E1547" s="53"/>
      <c r="F1547" s="54"/>
      <c r="G1547" s="54"/>
      <c r="H1547" s="54"/>
      <c r="I1547" s="53"/>
      <c r="J1547" s="53"/>
      <c r="K1547" s="23"/>
      <c r="L1547" s="53"/>
      <c r="M1547" s="54"/>
    </row>
    <row r="1548">
      <c r="A1548" s="23"/>
      <c r="B1548" s="52"/>
      <c r="C1548" s="53"/>
      <c r="D1548" s="23"/>
      <c r="E1548" s="53"/>
      <c r="F1548" s="54"/>
      <c r="G1548" s="54"/>
      <c r="H1548" s="54"/>
      <c r="I1548" s="53"/>
      <c r="J1548" s="53"/>
      <c r="K1548" s="23"/>
      <c r="L1548" s="53"/>
      <c r="M1548" s="54"/>
    </row>
    <row r="1549">
      <c r="A1549" s="23"/>
      <c r="B1549" s="52"/>
      <c r="C1549" s="53"/>
      <c r="D1549" s="23"/>
      <c r="E1549" s="53"/>
      <c r="F1549" s="54"/>
      <c r="G1549" s="54"/>
      <c r="H1549" s="54"/>
      <c r="I1549" s="53"/>
      <c r="J1549" s="53"/>
      <c r="K1549" s="23"/>
      <c r="L1549" s="53"/>
      <c r="M1549" s="54"/>
    </row>
    <row r="1550">
      <c r="A1550" s="23"/>
      <c r="B1550" s="52"/>
      <c r="C1550" s="53"/>
      <c r="D1550" s="23"/>
      <c r="E1550" s="53"/>
      <c r="F1550" s="54"/>
      <c r="G1550" s="54"/>
      <c r="H1550" s="54"/>
      <c r="I1550" s="53"/>
      <c r="J1550" s="53"/>
      <c r="K1550" s="23"/>
      <c r="L1550" s="53"/>
      <c r="M1550" s="54"/>
    </row>
    <row r="1551">
      <c r="A1551" s="23"/>
      <c r="B1551" s="52"/>
      <c r="C1551" s="53"/>
      <c r="D1551" s="23"/>
      <c r="E1551" s="53"/>
      <c r="F1551" s="54"/>
      <c r="G1551" s="54"/>
      <c r="H1551" s="54"/>
      <c r="I1551" s="53"/>
      <c r="J1551" s="53"/>
      <c r="K1551" s="23"/>
      <c r="L1551" s="53"/>
      <c r="M1551" s="54"/>
    </row>
    <row r="1552">
      <c r="A1552" s="23"/>
      <c r="B1552" s="52"/>
      <c r="C1552" s="53"/>
      <c r="D1552" s="23"/>
      <c r="E1552" s="53"/>
      <c r="F1552" s="54"/>
      <c r="G1552" s="54"/>
      <c r="H1552" s="54"/>
      <c r="I1552" s="53"/>
      <c r="J1552" s="53"/>
      <c r="K1552" s="23"/>
      <c r="L1552" s="53"/>
      <c r="M1552" s="54"/>
    </row>
    <row r="1553">
      <c r="A1553" s="23"/>
      <c r="B1553" s="52"/>
      <c r="C1553" s="53"/>
      <c r="D1553" s="23"/>
      <c r="E1553" s="53"/>
      <c r="F1553" s="54"/>
      <c r="G1553" s="54"/>
      <c r="H1553" s="54"/>
      <c r="I1553" s="53"/>
      <c r="J1553" s="53"/>
      <c r="K1553" s="23"/>
      <c r="L1553" s="53"/>
      <c r="M1553" s="54"/>
    </row>
    <row r="1554">
      <c r="A1554" s="23"/>
      <c r="B1554" s="52"/>
      <c r="C1554" s="53"/>
      <c r="D1554" s="23"/>
      <c r="E1554" s="53"/>
      <c r="F1554" s="54"/>
      <c r="G1554" s="54"/>
      <c r="H1554" s="54"/>
      <c r="I1554" s="53"/>
      <c r="J1554" s="53"/>
      <c r="K1554" s="23"/>
      <c r="L1554" s="53"/>
      <c r="M1554" s="54"/>
    </row>
    <row r="1555">
      <c r="A1555" s="23"/>
      <c r="B1555" s="52"/>
      <c r="C1555" s="53"/>
      <c r="D1555" s="23"/>
      <c r="E1555" s="53"/>
      <c r="F1555" s="54"/>
      <c r="G1555" s="54"/>
      <c r="H1555" s="54"/>
      <c r="I1555" s="53"/>
      <c r="J1555" s="53"/>
      <c r="K1555" s="23"/>
      <c r="L1555" s="53"/>
      <c r="M1555" s="54"/>
    </row>
    <row r="1556">
      <c r="A1556" s="23"/>
      <c r="B1556" s="52"/>
      <c r="C1556" s="53"/>
      <c r="D1556" s="23"/>
      <c r="E1556" s="53"/>
      <c r="F1556" s="54"/>
      <c r="G1556" s="54"/>
      <c r="H1556" s="54"/>
      <c r="I1556" s="53"/>
      <c r="J1556" s="53"/>
      <c r="K1556" s="23"/>
      <c r="L1556" s="53"/>
      <c r="M1556" s="54"/>
    </row>
    <row r="1557">
      <c r="A1557" s="23"/>
      <c r="B1557" s="52"/>
      <c r="C1557" s="53"/>
      <c r="D1557" s="23"/>
      <c r="E1557" s="53"/>
      <c r="F1557" s="54"/>
      <c r="G1557" s="54"/>
      <c r="H1557" s="54"/>
      <c r="I1557" s="53"/>
      <c r="J1557" s="53"/>
      <c r="K1557" s="23"/>
      <c r="L1557" s="53"/>
      <c r="M1557" s="54"/>
    </row>
    <row r="1558">
      <c r="A1558" s="23"/>
      <c r="B1558" s="52"/>
      <c r="C1558" s="53"/>
      <c r="D1558" s="23"/>
      <c r="E1558" s="53"/>
      <c r="F1558" s="54"/>
      <c r="G1558" s="54"/>
      <c r="H1558" s="54"/>
      <c r="I1558" s="53"/>
      <c r="J1558" s="53"/>
      <c r="K1558" s="23"/>
      <c r="L1558" s="53"/>
      <c r="M1558" s="54"/>
    </row>
    <row r="1559">
      <c r="A1559" s="23"/>
      <c r="B1559" s="52"/>
      <c r="C1559" s="53"/>
      <c r="D1559" s="23"/>
      <c r="E1559" s="53"/>
      <c r="F1559" s="54"/>
      <c r="G1559" s="54"/>
      <c r="H1559" s="54"/>
      <c r="I1559" s="53"/>
      <c r="J1559" s="53"/>
      <c r="K1559" s="23"/>
      <c r="L1559" s="53"/>
      <c r="M1559" s="54"/>
    </row>
    <row r="1560">
      <c r="A1560" s="23"/>
      <c r="B1560" s="52"/>
      <c r="C1560" s="53"/>
      <c r="D1560" s="23"/>
      <c r="E1560" s="53"/>
      <c r="F1560" s="54"/>
      <c r="G1560" s="54"/>
      <c r="H1560" s="54"/>
      <c r="I1560" s="53"/>
      <c r="J1560" s="53"/>
      <c r="K1560" s="23"/>
      <c r="L1560" s="53"/>
      <c r="M1560" s="54"/>
    </row>
    <row r="1561">
      <c r="A1561" s="23"/>
      <c r="B1561" s="52"/>
      <c r="C1561" s="53"/>
      <c r="D1561" s="23"/>
      <c r="E1561" s="53"/>
      <c r="F1561" s="54"/>
      <c r="G1561" s="54"/>
      <c r="H1561" s="54"/>
      <c r="I1561" s="53"/>
      <c r="J1561" s="53"/>
      <c r="K1561" s="23"/>
      <c r="L1561" s="53"/>
      <c r="M1561" s="54"/>
    </row>
    <row r="1562">
      <c r="A1562" s="23"/>
      <c r="B1562" s="52"/>
      <c r="C1562" s="53"/>
      <c r="D1562" s="23"/>
      <c r="E1562" s="53"/>
      <c r="F1562" s="54"/>
      <c r="G1562" s="54"/>
      <c r="H1562" s="54"/>
      <c r="I1562" s="53"/>
      <c r="J1562" s="53"/>
      <c r="K1562" s="23"/>
      <c r="L1562" s="53"/>
      <c r="M1562" s="54"/>
    </row>
    <row r="1563">
      <c r="A1563" s="23"/>
      <c r="B1563" s="52"/>
      <c r="C1563" s="53"/>
      <c r="D1563" s="23"/>
      <c r="E1563" s="53"/>
      <c r="F1563" s="54"/>
      <c r="G1563" s="54"/>
      <c r="H1563" s="54"/>
      <c r="I1563" s="53"/>
      <c r="J1563" s="53"/>
      <c r="K1563" s="23"/>
      <c r="L1563" s="53"/>
      <c r="M1563" s="54"/>
    </row>
    <row r="1564">
      <c r="A1564" s="23"/>
      <c r="B1564" s="52"/>
      <c r="C1564" s="53"/>
      <c r="D1564" s="23"/>
      <c r="E1564" s="53"/>
      <c r="F1564" s="54"/>
      <c r="G1564" s="54"/>
      <c r="H1564" s="54"/>
      <c r="I1564" s="53"/>
      <c r="J1564" s="53"/>
      <c r="K1564" s="23"/>
      <c r="L1564" s="53"/>
      <c r="M1564" s="54"/>
    </row>
    <row r="1565">
      <c r="A1565" s="23"/>
      <c r="B1565" s="52"/>
      <c r="C1565" s="53"/>
      <c r="D1565" s="23"/>
      <c r="E1565" s="53"/>
      <c r="F1565" s="54"/>
      <c r="G1565" s="54"/>
      <c r="H1565" s="54"/>
      <c r="I1565" s="53"/>
      <c r="J1565" s="53"/>
      <c r="K1565" s="23"/>
      <c r="L1565" s="53"/>
      <c r="M1565" s="54"/>
    </row>
    <row r="1566">
      <c r="A1566" s="23"/>
      <c r="B1566" s="52"/>
      <c r="C1566" s="53"/>
      <c r="D1566" s="23"/>
      <c r="E1566" s="53"/>
      <c r="F1566" s="54"/>
      <c r="G1566" s="54"/>
      <c r="H1566" s="54"/>
      <c r="I1566" s="53"/>
      <c r="J1566" s="53"/>
      <c r="K1566" s="23"/>
      <c r="L1566" s="53"/>
      <c r="M1566" s="54"/>
    </row>
    <row r="1567">
      <c r="A1567" s="23"/>
      <c r="B1567" s="52"/>
      <c r="C1567" s="53"/>
      <c r="D1567" s="23"/>
      <c r="E1567" s="53"/>
      <c r="F1567" s="54"/>
      <c r="G1567" s="54"/>
      <c r="H1567" s="54"/>
      <c r="I1567" s="53"/>
      <c r="J1567" s="53"/>
      <c r="K1567" s="23"/>
      <c r="L1567" s="53"/>
      <c r="M1567" s="54"/>
    </row>
    <row r="1568">
      <c r="A1568" s="23"/>
      <c r="B1568" s="52"/>
      <c r="C1568" s="53"/>
      <c r="D1568" s="23"/>
      <c r="E1568" s="53"/>
      <c r="F1568" s="54"/>
      <c r="G1568" s="54"/>
      <c r="H1568" s="54"/>
      <c r="I1568" s="53"/>
      <c r="J1568" s="53"/>
      <c r="K1568" s="23"/>
      <c r="L1568" s="53"/>
      <c r="M1568" s="54"/>
    </row>
    <row r="1569">
      <c r="A1569" s="23"/>
      <c r="B1569" s="52"/>
      <c r="C1569" s="53"/>
      <c r="D1569" s="23"/>
      <c r="E1569" s="53"/>
      <c r="F1569" s="54"/>
      <c r="G1569" s="54"/>
      <c r="H1569" s="54"/>
      <c r="I1569" s="53"/>
      <c r="J1569" s="53"/>
      <c r="K1569" s="23"/>
      <c r="L1569" s="53"/>
      <c r="M1569" s="54"/>
    </row>
    <row r="1570">
      <c r="A1570" s="23"/>
      <c r="B1570" s="52"/>
      <c r="C1570" s="53"/>
      <c r="D1570" s="23"/>
      <c r="E1570" s="53"/>
      <c r="F1570" s="54"/>
      <c r="G1570" s="54"/>
      <c r="H1570" s="54"/>
      <c r="I1570" s="53"/>
      <c r="J1570" s="53"/>
      <c r="K1570" s="23"/>
      <c r="L1570" s="53"/>
      <c r="M1570" s="54"/>
    </row>
    <row r="1571">
      <c r="A1571" s="23"/>
      <c r="B1571" s="52"/>
      <c r="C1571" s="53"/>
      <c r="D1571" s="23"/>
      <c r="E1571" s="53"/>
      <c r="F1571" s="54"/>
      <c r="G1571" s="54"/>
      <c r="H1571" s="54"/>
      <c r="I1571" s="53"/>
      <c r="J1571" s="53"/>
      <c r="K1571" s="23"/>
      <c r="L1571" s="53"/>
      <c r="M1571" s="54"/>
    </row>
    <row r="1572">
      <c r="A1572" s="23"/>
      <c r="B1572" s="52"/>
      <c r="C1572" s="53"/>
      <c r="D1572" s="23"/>
      <c r="E1572" s="53"/>
      <c r="F1572" s="54"/>
      <c r="G1572" s="54"/>
      <c r="H1572" s="54"/>
      <c r="I1572" s="53"/>
      <c r="J1572" s="53"/>
      <c r="K1572" s="23"/>
      <c r="L1572" s="53"/>
      <c r="M1572" s="54"/>
    </row>
    <row r="1573">
      <c r="A1573" s="23"/>
      <c r="B1573" s="52"/>
      <c r="C1573" s="53"/>
      <c r="D1573" s="23"/>
      <c r="E1573" s="53"/>
      <c r="F1573" s="54"/>
      <c r="G1573" s="54"/>
      <c r="H1573" s="54"/>
      <c r="I1573" s="53"/>
      <c r="J1573" s="53"/>
      <c r="K1573" s="23"/>
      <c r="L1573" s="53"/>
      <c r="M1573" s="54"/>
    </row>
    <row r="1574">
      <c r="A1574" s="23"/>
      <c r="B1574" s="52"/>
      <c r="C1574" s="53"/>
      <c r="D1574" s="23"/>
      <c r="E1574" s="53"/>
      <c r="F1574" s="54"/>
      <c r="G1574" s="54"/>
      <c r="H1574" s="54"/>
      <c r="I1574" s="53"/>
      <c r="J1574" s="53"/>
      <c r="K1574" s="23"/>
      <c r="L1574" s="53"/>
      <c r="M1574" s="54"/>
    </row>
    <row r="1575">
      <c r="A1575" s="23"/>
      <c r="B1575" s="52"/>
      <c r="C1575" s="53"/>
      <c r="D1575" s="23"/>
      <c r="E1575" s="53"/>
      <c r="F1575" s="54"/>
      <c r="G1575" s="54"/>
      <c r="H1575" s="54"/>
      <c r="I1575" s="53"/>
      <c r="J1575" s="53"/>
      <c r="K1575" s="23"/>
      <c r="L1575" s="53"/>
      <c r="M1575" s="54"/>
    </row>
    <row r="1576">
      <c r="A1576" s="23"/>
      <c r="B1576" s="52"/>
      <c r="C1576" s="53"/>
      <c r="D1576" s="23"/>
      <c r="E1576" s="53"/>
      <c r="F1576" s="54"/>
      <c r="G1576" s="54"/>
      <c r="H1576" s="54"/>
      <c r="I1576" s="53"/>
      <c r="J1576" s="53"/>
      <c r="K1576" s="23"/>
      <c r="L1576" s="53"/>
      <c r="M1576" s="54"/>
    </row>
    <row r="1577">
      <c r="A1577" s="23"/>
      <c r="B1577" s="52"/>
      <c r="C1577" s="53"/>
      <c r="D1577" s="23"/>
      <c r="E1577" s="53"/>
      <c r="F1577" s="54"/>
      <c r="G1577" s="54"/>
      <c r="H1577" s="54"/>
      <c r="I1577" s="53"/>
      <c r="J1577" s="53"/>
      <c r="K1577" s="23"/>
      <c r="L1577" s="53"/>
      <c r="M1577" s="54"/>
    </row>
    <row r="1578">
      <c r="A1578" s="23"/>
      <c r="B1578" s="52"/>
      <c r="C1578" s="53"/>
      <c r="D1578" s="23"/>
      <c r="E1578" s="53"/>
      <c r="F1578" s="54"/>
      <c r="G1578" s="54"/>
      <c r="H1578" s="54"/>
      <c r="I1578" s="53"/>
      <c r="J1578" s="53"/>
      <c r="K1578" s="23"/>
      <c r="L1578" s="53"/>
      <c r="M1578" s="54"/>
    </row>
    <row r="1579">
      <c r="A1579" s="23"/>
      <c r="B1579" s="52"/>
      <c r="C1579" s="53"/>
      <c r="D1579" s="23"/>
      <c r="E1579" s="53"/>
      <c r="F1579" s="54"/>
      <c r="G1579" s="54"/>
      <c r="H1579" s="54"/>
      <c r="I1579" s="53"/>
      <c r="J1579" s="53"/>
      <c r="K1579" s="23"/>
      <c r="L1579" s="53"/>
      <c r="M1579" s="54"/>
    </row>
    <row r="1580">
      <c r="A1580" s="23"/>
      <c r="B1580" s="52"/>
      <c r="C1580" s="53"/>
      <c r="D1580" s="23"/>
      <c r="E1580" s="53"/>
      <c r="F1580" s="54"/>
      <c r="G1580" s="54"/>
      <c r="H1580" s="54"/>
      <c r="I1580" s="53"/>
      <c r="J1580" s="53"/>
      <c r="K1580" s="23"/>
      <c r="L1580" s="53"/>
      <c r="M1580" s="54"/>
    </row>
    <row r="1581">
      <c r="A1581" s="23"/>
      <c r="B1581" s="52"/>
      <c r="C1581" s="53"/>
      <c r="D1581" s="23"/>
      <c r="E1581" s="53"/>
      <c r="F1581" s="54"/>
      <c r="G1581" s="54"/>
      <c r="H1581" s="54"/>
      <c r="I1581" s="53"/>
      <c r="J1581" s="53"/>
      <c r="K1581" s="23"/>
      <c r="L1581" s="53"/>
      <c r="M1581" s="54"/>
    </row>
    <row r="1582">
      <c r="A1582" s="23"/>
      <c r="B1582" s="52"/>
      <c r="C1582" s="53"/>
      <c r="D1582" s="23"/>
      <c r="E1582" s="53"/>
      <c r="F1582" s="54"/>
      <c r="G1582" s="54"/>
      <c r="H1582" s="54"/>
      <c r="I1582" s="53"/>
      <c r="J1582" s="53"/>
      <c r="K1582" s="23"/>
      <c r="L1582" s="53"/>
      <c r="M1582" s="54"/>
    </row>
    <row r="1583">
      <c r="A1583" s="23"/>
      <c r="B1583" s="52"/>
      <c r="C1583" s="53"/>
      <c r="D1583" s="23"/>
      <c r="E1583" s="53"/>
      <c r="F1583" s="54"/>
      <c r="G1583" s="54"/>
      <c r="H1583" s="54"/>
      <c r="I1583" s="53"/>
      <c r="J1583" s="53"/>
      <c r="K1583" s="23"/>
      <c r="L1583" s="53"/>
      <c r="M1583" s="54"/>
    </row>
    <row r="1584">
      <c r="A1584" s="23"/>
      <c r="B1584" s="52"/>
      <c r="C1584" s="53"/>
      <c r="D1584" s="23"/>
      <c r="E1584" s="53"/>
      <c r="F1584" s="54"/>
      <c r="G1584" s="54"/>
      <c r="H1584" s="54"/>
      <c r="I1584" s="53"/>
      <c r="J1584" s="53"/>
      <c r="K1584" s="23"/>
      <c r="L1584" s="53"/>
      <c r="M1584" s="54"/>
    </row>
    <row r="1585">
      <c r="A1585" s="23"/>
      <c r="B1585" s="52"/>
      <c r="C1585" s="53"/>
      <c r="D1585" s="23"/>
      <c r="E1585" s="53"/>
      <c r="F1585" s="54"/>
      <c r="G1585" s="54"/>
      <c r="H1585" s="54"/>
      <c r="I1585" s="53"/>
      <c r="J1585" s="53"/>
      <c r="K1585" s="23"/>
      <c r="L1585" s="53"/>
      <c r="M1585" s="54"/>
    </row>
    <row r="1586">
      <c r="A1586" s="23"/>
      <c r="B1586" s="52"/>
      <c r="C1586" s="53"/>
      <c r="D1586" s="23"/>
      <c r="E1586" s="53"/>
      <c r="F1586" s="54"/>
      <c r="G1586" s="54"/>
      <c r="H1586" s="54"/>
      <c r="I1586" s="53"/>
      <c r="J1586" s="53"/>
      <c r="K1586" s="23"/>
      <c r="L1586" s="53"/>
      <c r="M1586" s="54"/>
    </row>
    <row r="1587">
      <c r="A1587" s="23"/>
      <c r="B1587" s="52"/>
      <c r="C1587" s="53"/>
      <c r="D1587" s="23"/>
      <c r="E1587" s="53"/>
      <c r="F1587" s="54"/>
      <c r="G1587" s="54"/>
      <c r="H1587" s="54"/>
      <c r="I1587" s="53"/>
      <c r="J1587" s="53"/>
      <c r="K1587" s="23"/>
      <c r="L1587" s="53"/>
      <c r="M1587" s="54"/>
    </row>
    <row r="1588">
      <c r="A1588" s="23"/>
      <c r="B1588" s="52"/>
      <c r="C1588" s="53"/>
      <c r="D1588" s="23"/>
      <c r="E1588" s="53"/>
      <c r="F1588" s="54"/>
      <c r="G1588" s="54"/>
      <c r="H1588" s="54"/>
      <c r="I1588" s="53"/>
      <c r="J1588" s="53"/>
      <c r="K1588" s="23"/>
      <c r="L1588" s="53"/>
      <c r="M1588" s="54"/>
    </row>
    <row r="1589">
      <c r="A1589" s="23"/>
      <c r="B1589" s="52"/>
      <c r="C1589" s="53"/>
      <c r="D1589" s="23"/>
      <c r="E1589" s="53"/>
      <c r="F1589" s="54"/>
      <c r="G1589" s="54"/>
      <c r="H1589" s="54"/>
      <c r="I1589" s="53"/>
      <c r="J1589" s="53"/>
      <c r="K1589" s="23"/>
      <c r="L1589" s="53"/>
      <c r="M1589" s="54"/>
    </row>
    <row r="1590">
      <c r="A1590" s="23"/>
      <c r="B1590" s="52"/>
      <c r="C1590" s="53"/>
      <c r="D1590" s="23"/>
      <c r="E1590" s="53"/>
      <c r="F1590" s="54"/>
      <c r="G1590" s="54"/>
      <c r="H1590" s="54"/>
      <c r="I1590" s="53"/>
      <c r="J1590" s="53"/>
      <c r="K1590" s="23"/>
      <c r="L1590" s="53"/>
      <c r="M1590" s="54"/>
    </row>
    <row r="1591">
      <c r="A1591" s="23"/>
      <c r="B1591" s="52"/>
      <c r="C1591" s="53"/>
      <c r="D1591" s="23"/>
      <c r="E1591" s="53"/>
      <c r="F1591" s="54"/>
      <c r="G1591" s="54"/>
      <c r="H1591" s="54"/>
      <c r="I1591" s="53"/>
      <c r="J1591" s="53"/>
      <c r="K1591" s="23"/>
      <c r="L1591" s="53"/>
      <c r="M1591" s="54"/>
    </row>
    <row r="1592">
      <c r="A1592" s="23"/>
      <c r="B1592" s="52"/>
      <c r="C1592" s="53"/>
      <c r="D1592" s="23"/>
      <c r="E1592" s="53"/>
      <c r="F1592" s="54"/>
      <c r="G1592" s="54"/>
      <c r="H1592" s="54"/>
      <c r="I1592" s="53"/>
      <c r="J1592" s="53"/>
      <c r="K1592" s="23"/>
      <c r="L1592" s="53"/>
      <c r="M1592" s="54"/>
    </row>
    <row r="1593">
      <c r="A1593" s="23"/>
      <c r="B1593" s="52"/>
      <c r="C1593" s="53"/>
      <c r="D1593" s="23"/>
      <c r="E1593" s="53"/>
      <c r="F1593" s="54"/>
      <c r="G1593" s="54"/>
      <c r="H1593" s="54"/>
      <c r="I1593" s="53"/>
      <c r="J1593" s="53"/>
      <c r="K1593" s="23"/>
      <c r="L1593" s="53"/>
      <c r="M1593" s="54"/>
    </row>
    <row r="1594">
      <c r="A1594" s="23"/>
      <c r="B1594" s="52"/>
      <c r="C1594" s="53"/>
      <c r="D1594" s="23"/>
      <c r="E1594" s="53"/>
      <c r="F1594" s="54"/>
      <c r="G1594" s="54"/>
      <c r="H1594" s="54"/>
      <c r="I1594" s="53"/>
      <c r="J1594" s="53"/>
      <c r="K1594" s="23"/>
      <c r="L1594" s="53"/>
      <c r="M1594" s="54"/>
    </row>
    <row r="1595">
      <c r="A1595" s="23"/>
      <c r="B1595" s="52"/>
      <c r="C1595" s="53"/>
      <c r="D1595" s="23"/>
      <c r="E1595" s="53"/>
      <c r="F1595" s="54"/>
      <c r="G1595" s="54"/>
      <c r="H1595" s="54"/>
      <c r="I1595" s="53"/>
      <c r="J1595" s="53"/>
      <c r="K1595" s="23"/>
      <c r="L1595" s="53"/>
      <c r="M1595" s="54"/>
    </row>
    <row r="1596">
      <c r="A1596" s="23"/>
      <c r="B1596" s="52"/>
      <c r="C1596" s="53"/>
      <c r="D1596" s="23"/>
      <c r="E1596" s="53"/>
      <c r="F1596" s="54"/>
      <c r="G1596" s="54"/>
      <c r="H1596" s="54"/>
      <c r="I1596" s="53"/>
      <c r="J1596" s="53"/>
      <c r="K1596" s="23"/>
      <c r="L1596" s="53"/>
      <c r="M1596" s="54"/>
    </row>
    <row r="1597">
      <c r="A1597" s="23"/>
      <c r="B1597" s="52"/>
      <c r="C1597" s="53"/>
      <c r="D1597" s="23"/>
      <c r="E1597" s="53"/>
      <c r="F1597" s="54"/>
      <c r="G1597" s="54"/>
      <c r="H1597" s="54"/>
      <c r="I1597" s="53"/>
      <c r="J1597" s="53"/>
      <c r="K1597" s="23"/>
      <c r="L1597" s="53"/>
      <c r="M1597" s="54"/>
    </row>
    <row r="1598">
      <c r="A1598" s="23"/>
      <c r="B1598" s="52"/>
      <c r="C1598" s="53"/>
      <c r="D1598" s="23"/>
      <c r="E1598" s="53"/>
      <c r="F1598" s="54"/>
      <c r="G1598" s="54"/>
      <c r="H1598" s="54"/>
      <c r="I1598" s="53"/>
      <c r="J1598" s="53"/>
      <c r="K1598" s="23"/>
      <c r="L1598" s="53"/>
      <c r="M1598" s="54"/>
    </row>
    <row r="1599">
      <c r="A1599" s="23"/>
      <c r="B1599" s="52"/>
      <c r="C1599" s="53"/>
      <c r="D1599" s="23"/>
      <c r="E1599" s="53"/>
      <c r="F1599" s="54"/>
      <c r="G1599" s="54"/>
      <c r="H1599" s="54"/>
      <c r="I1599" s="53"/>
      <c r="J1599" s="53"/>
      <c r="K1599" s="23"/>
      <c r="L1599" s="53"/>
      <c r="M1599" s="54"/>
    </row>
    <row r="1600">
      <c r="A1600" s="23"/>
      <c r="B1600" s="52"/>
      <c r="C1600" s="53"/>
      <c r="D1600" s="23"/>
      <c r="E1600" s="53"/>
      <c r="F1600" s="54"/>
      <c r="G1600" s="54"/>
      <c r="H1600" s="54"/>
      <c r="I1600" s="53"/>
      <c r="J1600" s="53"/>
      <c r="K1600" s="23"/>
      <c r="L1600" s="53"/>
      <c r="M1600" s="54"/>
    </row>
    <row r="1601">
      <c r="A1601" s="23"/>
      <c r="B1601" s="52"/>
      <c r="C1601" s="53"/>
      <c r="D1601" s="23"/>
      <c r="E1601" s="53"/>
      <c r="F1601" s="54"/>
      <c r="G1601" s="54"/>
      <c r="H1601" s="54"/>
      <c r="I1601" s="53"/>
      <c r="J1601" s="53"/>
      <c r="K1601" s="23"/>
      <c r="L1601" s="53"/>
      <c r="M1601" s="54"/>
    </row>
    <row r="1602">
      <c r="A1602" s="23"/>
      <c r="B1602" s="52"/>
      <c r="C1602" s="53"/>
      <c r="D1602" s="23"/>
      <c r="E1602" s="53"/>
      <c r="F1602" s="54"/>
      <c r="G1602" s="54"/>
      <c r="H1602" s="54"/>
      <c r="I1602" s="53"/>
      <c r="J1602" s="53"/>
      <c r="K1602" s="23"/>
      <c r="L1602" s="53"/>
      <c r="M1602" s="54"/>
    </row>
    <row r="1603">
      <c r="A1603" s="23"/>
      <c r="B1603" s="52"/>
      <c r="C1603" s="53"/>
      <c r="D1603" s="23"/>
      <c r="E1603" s="53"/>
      <c r="F1603" s="54"/>
      <c r="G1603" s="54"/>
      <c r="H1603" s="54"/>
      <c r="I1603" s="53"/>
      <c r="J1603" s="53"/>
      <c r="K1603" s="23"/>
      <c r="L1603" s="53"/>
      <c r="M1603" s="54"/>
    </row>
    <row r="1604">
      <c r="A1604" s="23"/>
      <c r="B1604" s="52"/>
      <c r="C1604" s="53"/>
      <c r="D1604" s="23"/>
      <c r="E1604" s="53"/>
      <c r="F1604" s="54"/>
      <c r="G1604" s="54"/>
      <c r="H1604" s="54"/>
      <c r="I1604" s="53"/>
      <c r="J1604" s="53"/>
      <c r="K1604" s="23"/>
      <c r="L1604" s="53"/>
      <c r="M1604" s="54"/>
    </row>
    <row r="1605">
      <c r="A1605" s="23"/>
      <c r="B1605" s="52"/>
      <c r="C1605" s="53"/>
      <c r="D1605" s="23"/>
      <c r="E1605" s="53"/>
      <c r="F1605" s="54"/>
      <c r="G1605" s="54"/>
      <c r="H1605" s="54"/>
      <c r="I1605" s="53"/>
      <c r="J1605" s="53"/>
      <c r="K1605" s="23"/>
      <c r="L1605" s="53"/>
      <c r="M1605" s="54"/>
    </row>
    <row r="1606">
      <c r="A1606" s="23"/>
      <c r="B1606" s="52"/>
      <c r="C1606" s="53"/>
      <c r="D1606" s="23"/>
      <c r="E1606" s="53"/>
      <c r="F1606" s="54"/>
      <c r="G1606" s="54"/>
      <c r="H1606" s="54"/>
      <c r="I1606" s="53"/>
      <c r="J1606" s="53"/>
      <c r="K1606" s="23"/>
      <c r="L1606" s="53"/>
      <c r="M1606" s="54"/>
    </row>
    <row r="1607">
      <c r="A1607" s="23"/>
      <c r="B1607" s="52"/>
      <c r="C1607" s="53"/>
      <c r="D1607" s="23"/>
      <c r="E1607" s="53"/>
      <c r="F1607" s="54"/>
      <c r="G1607" s="54"/>
      <c r="H1607" s="54"/>
      <c r="I1607" s="53"/>
      <c r="J1607" s="53"/>
      <c r="K1607" s="23"/>
      <c r="L1607" s="53"/>
      <c r="M1607" s="54"/>
    </row>
    <row r="1608">
      <c r="A1608" s="23"/>
      <c r="B1608" s="52"/>
      <c r="C1608" s="53"/>
      <c r="D1608" s="23"/>
      <c r="E1608" s="53"/>
      <c r="F1608" s="54"/>
      <c r="G1608" s="54"/>
      <c r="H1608" s="54"/>
      <c r="I1608" s="53"/>
      <c r="J1608" s="53"/>
      <c r="K1608" s="23"/>
      <c r="L1608" s="53"/>
      <c r="M1608" s="54"/>
    </row>
    <row r="1609">
      <c r="A1609" s="23"/>
      <c r="B1609" s="52"/>
      <c r="C1609" s="53"/>
      <c r="D1609" s="23"/>
      <c r="E1609" s="53"/>
      <c r="F1609" s="54"/>
      <c r="G1609" s="54"/>
      <c r="H1609" s="54"/>
      <c r="I1609" s="53"/>
      <c r="J1609" s="53"/>
      <c r="K1609" s="23"/>
      <c r="L1609" s="53"/>
      <c r="M1609" s="54"/>
    </row>
    <row r="1610">
      <c r="A1610" s="23"/>
      <c r="B1610" s="52"/>
      <c r="C1610" s="53"/>
      <c r="D1610" s="23"/>
      <c r="E1610" s="53"/>
      <c r="F1610" s="54"/>
      <c r="G1610" s="54"/>
      <c r="H1610" s="54"/>
      <c r="I1610" s="53"/>
      <c r="J1610" s="53"/>
      <c r="K1610" s="23"/>
      <c r="L1610" s="53"/>
      <c r="M1610" s="54"/>
    </row>
    <row r="1611">
      <c r="A1611" s="23"/>
      <c r="B1611" s="52"/>
      <c r="C1611" s="53"/>
      <c r="D1611" s="23"/>
      <c r="E1611" s="53"/>
      <c r="F1611" s="54"/>
      <c r="G1611" s="54"/>
      <c r="H1611" s="54"/>
      <c r="I1611" s="53"/>
      <c r="J1611" s="53"/>
      <c r="K1611" s="23"/>
      <c r="L1611" s="53"/>
      <c r="M1611" s="54"/>
    </row>
    <row r="1612">
      <c r="A1612" s="23"/>
      <c r="B1612" s="52"/>
      <c r="C1612" s="53"/>
      <c r="D1612" s="23"/>
      <c r="E1612" s="53"/>
      <c r="F1612" s="54"/>
      <c r="G1612" s="54"/>
      <c r="H1612" s="54"/>
      <c r="I1612" s="53"/>
      <c r="J1612" s="53"/>
      <c r="K1612" s="23"/>
      <c r="L1612" s="53"/>
      <c r="M1612" s="54"/>
    </row>
    <row r="1613">
      <c r="A1613" s="23"/>
      <c r="B1613" s="52"/>
      <c r="C1613" s="53"/>
      <c r="D1613" s="23"/>
      <c r="E1613" s="53"/>
      <c r="F1613" s="54"/>
      <c r="G1613" s="54"/>
      <c r="H1613" s="54"/>
      <c r="I1613" s="53"/>
      <c r="J1613" s="53"/>
      <c r="K1613" s="23"/>
      <c r="L1613" s="53"/>
      <c r="M1613" s="54"/>
    </row>
    <row r="1614">
      <c r="A1614" s="23"/>
      <c r="B1614" s="52"/>
      <c r="C1614" s="53"/>
      <c r="D1614" s="23"/>
      <c r="E1614" s="53"/>
      <c r="F1614" s="54"/>
      <c r="G1614" s="54"/>
      <c r="H1614" s="54"/>
      <c r="I1614" s="53"/>
      <c r="J1614" s="53"/>
      <c r="K1614" s="23"/>
      <c r="L1614" s="53"/>
      <c r="M1614" s="54"/>
    </row>
    <row r="1615">
      <c r="A1615" s="23"/>
      <c r="B1615" s="52"/>
      <c r="C1615" s="53"/>
      <c r="D1615" s="23"/>
      <c r="E1615" s="53"/>
      <c r="F1615" s="54"/>
      <c r="G1615" s="54"/>
      <c r="H1615" s="54"/>
      <c r="I1615" s="53"/>
      <c r="J1615" s="53"/>
      <c r="K1615" s="23"/>
      <c r="L1615" s="53"/>
      <c r="M1615" s="54"/>
    </row>
    <row r="1616">
      <c r="A1616" s="23"/>
      <c r="B1616" s="52"/>
      <c r="C1616" s="53"/>
      <c r="D1616" s="23"/>
      <c r="E1616" s="53"/>
      <c r="F1616" s="54"/>
      <c r="G1616" s="54"/>
      <c r="H1616" s="54"/>
      <c r="I1616" s="53"/>
      <c r="J1616" s="53"/>
      <c r="K1616" s="23"/>
      <c r="L1616" s="53"/>
      <c r="M1616" s="54"/>
    </row>
    <row r="1617">
      <c r="A1617" s="23"/>
      <c r="B1617" s="52"/>
      <c r="C1617" s="53"/>
      <c r="D1617" s="23"/>
      <c r="E1617" s="53"/>
      <c r="F1617" s="54"/>
      <c r="G1617" s="54"/>
      <c r="H1617" s="54"/>
      <c r="I1617" s="53"/>
      <c r="J1617" s="53"/>
      <c r="K1617" s="23"/>
      <c r="L1617" s="53"/>
      <c r="M1617" s="54"/>
    </row>
    <row r="1618">
      <c r="A1618" s="23"/>
      <c r="B1618" s="52"/>
      <c r="C1618" s="53"/>
      <c r="D1618" s="23"/>
      <c r="E1618" s="53"/>
      <c r="F1618" s="54"/>
      <c r="G1618" s="54"/>
      <c r="H1618" s="54"/>
      <c r="I1618" s="53"/>
      <c r="J1618" s="53"/>
      <c r="K1618" s="23"/>
      <c r="L1618" s="53"/>
      <c r="M1618" s="54"/>
    </row>
    <row r="1619">
      <c r="A1619" s="23"/>
      <c r="B1619" s="52"/>
      <c r="C1619" s="53"/>
      <c r="D1619" s="23"/>
      <c r="E1619" s="53"/>
      <c r="F1619" s="54"/>
      <c r="G1619" s="54"/>
      <c r="H1619" s="54"/>
      <c r="I1619" s="53"/>
      <c r="J1619" s="53"/>
      <c r="K1619" s="23"/>
      <c r="L1619" s="53"/>
      <c r="M1619" s="54"/>
    </row>
    <row r="1620">
      <c r="A1620" s="23"/>
      <c r="B1620" s="52"/>
      <c r="C1620" s="53"/>
      <c r="D1620" s="23"/>
      <c r="E1620" s="53"/>
      <c r="F1620" s="54"/>
      <c r="G1620" s="54"/>
      <c r="H1620" s="54"/>
      <c r="I1620" s="53"/>
      <c r="J1620" s="53"/>
      <c r="K1620" s="23"/>
      <c r="L1620" s="53"/>
      <c r="M1620" s="54"/>
    </row>
    <row r="1621">
      <c r="A1621" s="23"/>
      <c r="B1621" s="52"/>
      <c r="C1621" s="53"/>
      <c r="D1621" s="23"/>
      <c r="E1621" s="53"/>
      <c r="F1621" s="54"/>
      <c r="G1621" s="54"/>
      <c r="H1621" s="54"/>
      <c r="I1621" s="53"/>
      <c r="J1621" s="53"/>
      <c r="K1621" s="23"/>
      <c r="L1621" s="53"/>
      <c r="M1621" s="54"/>
    </row>
    <row r="1622">
      <c r="A1622" s="23"/>
      <c r="B1622" s="52"/>
      <c r="C1622" s="53"/>
      <c r="D1622" s="23"/>
      <c r="E1622" s="53"/>
      <c r="F1622" s="54"/>
      <c r="G1622" s="54"/>
      <c r="H1622" s="54"/>
      <c r="I1622" s="53"/>
      <c r="J1622" s="53"/>
      <c r="K1622" s="23"/>
      <c r="L1622" s="53"/>
      <c r="M1622" s="54"/>
    </row>
    <row r="1623">
      <c r="A1623" s="23"/>
      <c r="B1623" s="52"/>
      <c r="C1623" s="53"/>
      <c r="D1623" s="23"/>
      <c r="E1623" s="53"/>
      <c r="F1623" s="54"/>
      <c r="G1623" s="54"/>
      <c r="H1623" s="54"/>
      <c r="I1623" s="53"/>
      <c r="J1623" s="53"/>
      <c r="K1623" s="23"/>
      <c r="L1623" s="53"/>
      <c r="M1623" s="54"/>
    </row>
    <row r="1624">
      <c r="A1624" s="23"/>
      <c r="B1624" s="52"/>
      <c r="C1624" s="53"/>
      <c r="D1624" s="23"/>
      <c r="E1624" s="53"/>
      <c r="F1624" s="54"/>
      <c r="G1624" s="54"/>
      <c r="H1624" s="54"/>
      <c r="I1624" s="53"/>
      <c r="J1624" s="53"/>
      <c r="K1624" s="23"/>
      <c r="L1624" s="53"/>
      <c r="M1624" s="54"/>
    </row>
    <row r="1625">
      <c r="A1625" s="23"/>
      <c r="B1625" s="52"/>
      <c r="C1625" s="53"/>
      <c r="D1625" s="23"/>
      <c r="E1625" s="53"/>
      <c r="F1625" s="54"/>
      <c r="G1625" s="54"/>
      <c r="H1625" s="54"/>
      <c r="I1625" s="53"/>
      <c r="J1625" s="53"/>
      <c r="K1625" s="23"/>
      <c r="L1625" s="53"/>
      <c r="M1625" s="54"/>
    </row>
    <row r="1626">
      <c r="A1626" s="23"/>
      <c r="B1626" s="52"/>
      <c r="C1626" s="53"/>
      <c r="D1626" s="23"/>
      <c r="E1626" s="53"/>
      <c r="F1626" s="54"/>
      <c r="G1626" s="54"/>
      <c r="H1626" s="54"/>
      <c r="I1626" s="53"/>
      <c r="J1626" s="53"/>
      <c r="K1626" s="23"/>
      <c r="L1626" s="53"/>
      <c r="M1626" s="54"/>
    </row>
    <row r="1627">
      <c r="A1627" s="23"/>
      <c r="B1627" s="52"/>
      <c r="C1627" s="53"/>
      <c r="D1627" s="23"/>
      <c r="E1627" s="53"/>
      <c r="F1627" s="54"/>
      <c r="G1627" s="54"/>
      <c r="H1627" s="54"/>
      <c r="I1627" s="53"/>
      <c r="J1627" s="53"/>
      <c r="K1627" s="23"/>
      <c r="L1627" s="53"/>
      <c r="M1627" s="54"/>
    </row>
    <row r="1628">
      <c r="A1628" s="23"/>
      <c r="B1628" s="52"/>
      <c r="C1628" s="53"/>
      <c r="D1628" s="23"/>
      <c r="E1628" s="53"/>
      <c r="F1628" s="54"/>
      <c r="G1628" s="54"/>
      <c r="H1628" s="54"/>
      <c r="I1628" s="53"/>
      <c r="J1628" s="53"/>
      <c r="K1628" s="23"/>
      <c r="L1628" s="53"/>
      <c r="M1628" s="54"/>
    </row>
    <row r="1629">
      <c r="A1629" s="23"/>
      <c r="B1629" s="52"/>
      <c r="C1629" s="53"/>
      <c r="D1629" s="23"/>
      <c r="E1629" s="53"/>
      <c r="F1629" s="54"/>
      <c r="G1629" s="54"/>
      <c r="H1629" s="54"/>
      <c r="I1629" s="53"/>
      <c r="J1629" s="53"/>
      <c r="K1629" s="23"/>
      <c r="L1629" s="53"/>
      <c r="M1629" s="54"/>
    </row>
    <row r="1630">
      <c r="A1630" s="23"/>
      <c r="B1630" s="52"/>
      <c r="C1630" s="53"/>
      <c r="D1630" s="23"/>
      <c r="E1630" s="53"/>
      <c r="F1630" s="54"/>
      <c r="G1630" s="54"/>
      <c r="H1630" s="54"/>
      <c r="I1630" s="53"/>
      <c r="J1630" s="53"/>
      <c r="K1630" s="23"/>
      <c r="L1630" s="53"/>
      <c r="M1630" s="54"/>
    </row>
    <row r="1631">
      <c r="A1631" s="23"/>
      <c r="B1631" s="52"/>
      <c r="C1631" s="53"/>
      <c r="D1631" s="23"/>
      <c r="E1631" s="53"/>
      <c r="F1631" s="54"/>
      <c r="G1631" s="54"/>
      <c r="H1631" s="54"/>
      <c r="I1631" s="53"/>
      <c r="J1631" s="53"/>
      <c r="K1631" s="23"/>
      <c r="L1631" s="53"/>
      <c r="M1631" s="54"/>
    </row>
    <row r="1632">
      <c r="A1632" s="23"/>
      <c r="B1632" s="52"/>
      <c r="C1632" s="53"/>
      <c r="D1632" s="23"/>
      <c r="E1632" s="53"/>
      <c r="F1632" s="54"/>
      <c r="G1632" s="54"/>
      <c r="H1632" s="54"/>
      <c r="I1632" s="53"/>
      <c r="J1632" s="53"/>
      <c r="K1632" s="23"/>
      <c r="L1632" s="53"/>
      <c r="M1632" s="54"/>
    </row>
    <row r="1633">
      <c r="A1633" s="23"/>
      <c r="B1633" s="52"/>
      <c r="C1633" s="53"/>
      <c r="D1633" s="23"/>
      <c r="E1633" s="53"/>
      <c r="F1633" s="54"/>
      <c r="G1633" s="54"/>
      <c r="H1633" s="54"/>
      <c r="I1633" s="53"/>
      <c r="J1633" s="53"/>
      <c r="K1633" s="23"/>
      <c r="L1633" s="53"/>
      <c r="M1633" s="54"/>
    </row>
    <row r="1634">
      <c r="A1634" s="23"/>
      <c r="B1634" s="52"/>
      <c r="C1634" s="53"/>
      <c r="D1634" s="23"/>
      <c r="E1634" s="53"/>
      <c r="F1634" s="54"/>
      <c r="G1634" s="54"/>
      <c r="H1634" s="54"/>
      <c r="I1634" s="53"/>
      <c r="J1634" s="53"/>
      <c r="K1634" s="23"/>
      <c r="L1634" s="53"/>
      <c r="M1634" s="54"/>
    </row>
    <row r="1635">
      <c r="A1635" s="23"/>
      <c r="B1635" s="52"/>
      <c r="C1635" s="53"/>
      <c r="D1635" s="23"/>
      <c r="E1635" s="53"/>
      <c r="F1635" s="54"/>
      <c r="G1635" s="54"/>
      <c r="H1635" s="54"/>
      <c r="I1635" s="53"/>
      <c r="J1635" s="53"/>
      <c r="K1635" s="23"/>
      <c r="L1635" s="53"/>
      <c r="M1635" s="54"/>
    </row>
    <row r="1636">
      <c r="A1636" s="23"/>
      <c r="B1636" s="52"/>
      <c r="C1636" s="53"/>
      <c r="D1636" s="23"/>
      <c r="E1636" s="53"/>
      <c r="F1636" s="54"/>
      <c r="G1636" s="54"/>
      <c r="H1636" s="54"/>
      <c r="I1636" s="53"/>
      <c r="J1636" s="53"/>
      <c r="K1636" s="23"/>
      <c r="L1636" s="53"/>
      <c r="M1636" s="54"/>
    </row>
    <row r="1637">
      <c r="A1637" s="23"/>
      <c r="B1637" s="52"/>
      <c r="C1637" s="53"/>
      <c r="D1637" s="23"/>
      <c r="E1637" s="53"/>
      <c r="F1637" s="54"/>
      <c r="G1637" s="54"/>
      <c r="H1637" s="54"/>
      <c r="I1637" s="53"/>
      <c r="J1637" s="53"/>
      <c r="K1637" s="23"/>
      <c r="L1637" s="53"/>
      <c r="M1637" s="54"/>
    </row>
    <row r="1638">
      <c r="A1638" s="23"/>
      <c r="B1638" s="52"/>
      <c r="C1638" s="53"/>
      <c r="D1638" s="23"/>
      <c r="E1638" s="53"/>
      <c r="F1638" s="54"/>
      <c r="G1638" s="54"/>
      <c r="H1638" s="54"/>
      <c r="I1638" s="53"/>
      <c r="J1638" s="53"/>
      <c r="K1638" s="23"/>
      <c r="L1638" s="53"/>
      <c r="M1638" s="54"/>
    </row>
    <row r="1639">
      <c r="A1639" s="23"/>
      <c r="B1639" s="52"/>
      <c r="C1639" s="53"/>
      <c r="D1639" s="23"/>
      <c r="E1639" s="53"/>
      <c r="F1639" s="54"/>
      <c r="G1639" s="54"/>
      <c r="H1639" s="54"/>
      <c r="I1639" s="53"/>
      <c r="J1639" s="53"/>
      <c r="K1639" s="23"/>
      <c r="L1639" s="53"/>
      <c r="M1639" s="54"/>
    </row>
    <row r="1640">
      <c r="A1640" s="23"/>
      <c r="B1640" s="52"/>
      <c r="C1640" s="53"/>
      <c r="D1640" s="23"/>
      <c r="E1640" s="53"/>
      <c r="F1640" s="54"/>
      <c r="G1640" s="54"/>
      <c r="H1640" s="54"/>
      <c r="I1640" s="53"/>
      <c r="J1640" s="53"/>
      <c r="K1640" s="23"/>
      <c r="L1640" s="53"/>
      <c r="M1640" s="54"/>
    </row>
    <row r="1641">
      <c r="A1641" s="23"/>
      <c r="B1641" s="52"/>
      <c r="C1641" s="53"/>
      <c r="D1641" s="23"/>
      <c r="E1641" s="53"/>
      <c r="F1641" s="54"/>
      <c r="G1641" s="54"/>
      <c r="H1641" s="54"/>
      <c r="I1641" s="53"/>
      <c r="J1641" s="53"/>
      <c r="K1641" s="23"/>
      <c r="L1641" s="53"/>
      <c r="M1641" s="54"/>
    </row>
    <row r="1642">
      <c r="A1642" s="23"/>
      <c r="B1642" s="52"/>
      <c r="C1642" s="53"/>
      <c r="D1642" s="23"/>
      <c r="E1642" s="53"/>
      <c r="F1642" s="54"/>
      <c r="G1642" s="54"/>
      <c r="H1642" s="54"/>
      <c r="I1642" s="53"/>
      <c r="J1642" s="53"/>
      <c r="K1642" s="23"/>
      <c r="L1642" s="53"/>
      <c r="M1642" s="54"/>
    </row>
    <row r="1643">
      <c r="A1643" s="23"/>
      <c r="B1643" s="52"/>
      <c r="C1643" s="53"/>
      <c r="D1643" s="23"/>
      <c r="E1643" s="53"/>
      <c r="F1643" s="54"/>
      <c r="G1643" s="54"/>
      <c r="H1643" s="54"/>
      <c r="I1643" s="53"/>
      <c r="J1643" s="53"/>
      <c r="K1643" s="23"/>
      <c r="L1643" s="53"/>
      <c r="M1643" s="54"/>
    </row>
    <row r="1644">
      <c r="A1644" s="23"/>
      <c r="B1644" s="52"/>
      <c r="C1644" s="53"/>
      <c r="D1644" s="23"/>
      <c r="E1644" s="53"/>
      <c r="F1644" s="54"/>
      <c r="G1644" s="54"/>
      <c r="H1644" s="54"/>
      <c r="I1644" s="53"/>
      <c r="J1644" s="53"/>
      <c r="K1644" s="23"/>
      <c r="L1644" s="53"/>
      <c r="M1644" s="54"/>
    </row>
    <row r="1645">
      <c r="A1645" s="23"/>
      <c r="B1645" s="52"/>
      <c r="C1645" s="53"/>
      <c r="D1645" s="23"/>
      <c r="E1645" s="53"/>
      <c r="F1645" s="54"/>
      <c r="G1645" s="54"/>
      <c r="H1645" s="54"/>
      <c r="I1645" s="53"/>
      <c r="J1645" s="53"/>
      <c r="K1645" s="23"/>
      <c r="L1645" s="53"/>
      <c r="M1645" s="54"/>
    </row>
    <row r="1646">
      <c r="A1646" s="23"/>
      <c r="B1646" s="52"/>
      <c r="C1646" s="53"/>
      <c r="D1646" s="23"/>
      <c r="E1646" s="53"/>
      <c r="F1646" s="54"/>
      <c r="G1646" s="54"/>
      <c r="H1646" s="54"/>
      <c r="I1646" s="53"/>
      <c r="J1646" s="53"/>
      <c r="K1646" s="23"/>
      <c r="L1646" s="53"/>
      <c r="M1646" s="54"/>
    </row>
    <row r="1647">
      <c r="A1647" s="23"/>
      <c r="B1647" s="52"/>
      <c r="C1647" s="53"/>
      <c r="D1647" s="23"/>
      <c r="E1647" s="53"/>
      <c r="F1647" s="54"/>
      <c r="G1647" s="54"/>
      <c r="H1647" s="54"/>
      <c r="I1647" s="53"/>
      <c r="J1647" s="53"/>
      <c r="K1647" s="23"/>
      <c r="L1647" s="53"/>
      <c r="M1647" s="54"/>
    </row>
    <row r="1648">
      <c r="A1648" s="23"/>
      <c r="B1648" s="52"/>
      <c r="C1648" s="53"/>
      <c r="D1648" s="23"/>
      <c r="E1648" s="53"/>
      <c r="F1648" s="54"/>
      <c r="G1648" s="54"/>
      <c r="H1648" s="54"/>
      <c r="I1648" s="53"/>
      <c r="J1648" s="53"/>
      <c r="K1648" s="23"/>
      <c r="L1648" s="53"/>
      <c r="M1648" s="54"/>
    </row>
    <row r="1649">
      <c r="A1649" s="23"/>
      <c r="B1649" s="52"/>
      <c r="C1649" s="53"/>
      <c r="D1649" s="23"/>
      <c r="E1649" s="53"/>
      <c r="F1649" s="54"/>
      <c r="G1649" s="54"/>
      <c r="H1649" s="54"/>
      <c r="I1649" s="53"/>
      <c r="J1649" s="53"/>
      <c r="K1649" s="23"/>
      <c r="L1649" s="53"/>
      <c r="M1649" s="54"/>
    </row>
    <row r="1650">
      <c r="A1650" s="23"/>
      <c r="B1650" s="52"/>
      <c r="C1650" s="53"/>
      <c r="D1650" s="23"/>
      <c r="E1650" s="53"/>
      <c r="F1650" s="54"/>
      <c r="G1650" s="54"/>
      <c r="H1650" s="54"/>
      <c r="I1650" s="53"/>
      <c r="J1650" s="53"/>
      <c r="K1650" s="23"/>
      <c r="L1650" s="53"/>
      <c r="M1650" s="54"/>
    </row>
    <row r="1651">
      <c r="A1651" s="23"/>
      <c r="B1651" s="52"/>
      <c r="C1651" s="53"/>
      <c r="D1651" s="23"/>
      <c r="E1651" s="53"/>
      <c r="F1651" s="54"/>
      <c r="G1651" s="54"/>
      <c r="H1651" s="54"/>
      <c r="I1651" s="53"/>
      <c r="J1651" s="53"/>
      <c r="K1651" s="23"/>
      <c r="L1651" s="53"/>
      <c r="M1651" s="54"/>
    </row>
    <row r="1652">
      <c r="A1652" s="23"/>
      <c r="B1652" s="52"/>
      <c r="C1652" s="53"/>
      <c r="D1652" s="23"/>
      <c r="E1652" s="53"/>
      <c r="F1652" s="54"/>
      <c r="G1652" s="54"/>
      <c r="H1652" s="54"/>
      <c r="I1652" s="53"/>
      <c r="J1652" s="53"/>
      <c r="K1652" s="23"/>
      <c r="L1652" s="53"/>
      <c r="M1652" s="54"/>
    </row>
    <row r="1653">
      <c r="A1653" s="23"/>
      <c r="B1653" s="52"/>
      <c r="C1653" s="53"/>
      <c r="D1653" s="23"/>
      <c r="E1653" s="53"/>
      <c r="F1653" s="54"/>
      <c r="G1653" s="54"/>
      <c r="H1653" s="54"/>
      <c r="I1653" s="53"/>
      <c r="J1653" s="53"/>
      <c r="K1653" s="23"/>
      <c r="L1653" s="53"/>
      <c r="M1653" s="54"/>
    </row>
    <row r="1654">
      <c r="A1654" s="23"/>
      <c r="B1654" s="52"/>
      <c r="C1654" s="53"/>
      <c r="D1654" s="23"/>
      <c r="E1654" s="53"/>
      <c r="F1654" s="54"/>
      <c r="G1654" s="54"/>
      <c r="H1654" s="54"/>
      <c r="I1654" s="53"/>
      <c r="J1654" s="53"/>
      <c r="K1654" s="23"/>
      <c r="L1654" s="53"/>
      <c r="M1654" s="54"/>
    </row>
    <row r="1655">
      <c r="A1655" s="23"/>
      <c r="B1655" s="52"/>
      <c r="C1655" s="53"/>
      <c r="D1655" s="23"/>
      <c r="E1655" s="53"/>
      <c r="F1655" s="54"/>
      <c r="G1655" s="54"/>
      <c r="H1655" s="54"/>
      <c r="I1655" s="53"/>
      <c r="J1655" s="53"/>
      <c r="K1655" s="23"/>
      <c r="L1655" s="53"/>
      <c r="M1655" s="54"/>
    </row>
    <row r="1656">
      <c r="A1656" s="23"/>
      <c r="B1656" s="52"/>
      <c r="C1656" s="53"/>
      <c r="D1656" s="23"/>
      <c r="E1656" s="53"/>
      <c r="F1656" s="54"/>
      <c r="G1656" s="54"/>
      <c r="H1656" s="54"/>
      <c r="I1656" s="53"/>
      <c r="J1656" s="53"/>
      <c r="K1656" s="23"/>
      <c r="L1656" s="53"/>
      <c r="M1656" s="54"/>
    </row>
    <row r="1657">
      <c r="A1657" s="23"/>
      <c r="B1657" s="52"/>
      <c r="C1657" s="53"/>
      <c r="D1657" s="23"/>
      <c r="E1657" s="53"/>
      <c r="F1657" s="54"/>
      <c r="G1657" s="54"/>
      <c r="H1657" s="54"/>
      <c r="I1657" s="53"/>
      <c r="J1657" s="53"/>
      <c r="K1657" s="23"/>
      <c r="L1657" s="53"/>
      <c r="M1657" s="54"/>
    </row>
    <row r="1658">
      <c r="A1658" s="23"/>
      <c r="B1658" s="52"/>
      <c r="C1658" s="53"/>
      <c r="D1658" s="23"/>
      <c r="E1658" s="53"/>
      <c r="F1658" s="54"/>
      <c r="G1658" s="54"/>
      <c r="H1658" s="54"/>
      <c r="I1658" s="53"/>
      <c r="J1658" s="53"/>
      <c r="K1658" s="23"/>
      <c r="L1658" s="53"/>
      <c r="M1658" s="54"/>
    </row>
    <row r="1659">
      <c r="A1659" s="23"/>
      <c r="B1659" s="52"/>
      <c r="C1659" s="53"/>
      <c r="D1659" s="23"/>
      <c r="E1659" s="53"/>
      <c r="F1659" s="54"/>
      <c r="G1659" s="54"/>
      <c r="H1659" s="54"/>
      <c r="I1659" s="53"/>
      <c r="J1659" s="53"/>
      <c r="K1659" s="23"/>
      <c r="L1659" s="53"/>
      <c r="M1659" s="54"/>
    </row>
    <row r="1660">
      <c r="A1660" s="23"/>
      <c r="B1660" s="52"/>
      <c r="C1660" s="53"/>
      <c r="D1660" s="23"/>
      <c r="E1660" s="53"/>
      <c r="F1660" s="54"/>
      <c r="G1660" s="54"/>
      <c r="H1660" s="54"/>
      <c r="I1660" s="53"/>
      <c r="J1660" s="53"/>
      <c r="K1660" s="23"/>
      <c r="L1660" s="53"/>
      <c r="M1660" s="54"/>
    </row>
    <row r="1661">
      <c r="A1661" s="23"/>
      <c r="B1661" s="52"/>
      <c r="C1661" s="53"/>
      <c r="D1661" s="23"/>
      <c r="E1661" s="53"/>
      <c r="F1661" s="54"/>
      <c r="G1661" s="54"/>
      <c r="H1661" s="54"/>
      <c r="I1661" s="53"/>
      <c r="J1661" s="53"/>
      <c r="K1661" s="23"/>
      <c r="L1661" s="53"/>
      <c r="M1661" s="54"/>
    </row>
    <row r="1662">
      <c r="A1662" s="23"/>
      <c r="B1662" s="52"/>
      <c r="C1662" s="53"/>
      <c r="D1662" s="23"/>
      <c r="E1662" s="53"/>
      <c r="F1662" s="54"/>
      <c r="G1662" s="54"/>
      <c r="H1662" s="54"/>
      <c r="I1662" s="53"/>
      <c r="J1662" s="53"/>
      <c r="K1662" s="23"/>
      <c r="L1662" s="53"/>
      <c r="M1662" s="54"/>
    </row>
    <row r="1663">
      <c r="A1663" s="23"/>
      <c r="B1663" s="52"/>
      <c r="C1663" s="53"/>
      <c r="D1663" s="23"/>
      <c r="E1663" s="53"/>
      <c r="F1663" s="54"/>
      <c r="G1663" s="54"/>
      <c r="H1663" s="54"/>
      <c r="I1663" s="53"/>
      <c r="J1663" s="53"/>
      <c r="K1663" s="23"/>
      <c r="L1663" s="53"/>
      <c r="M1663" s="54"/>
    </row>
    <row r="1664">
      <c r="A1664" s="23"/>
      <c r="B1664" s="52"/>
      <c r="C1664" s="53"/>
      <c r="D1664" s="23"/>
      <c r="E1664" s="53"/>
      <c r="F1664" s="54"/>
      <c r="G1664" s="54"/>
      <c r="H1664" s="54"/>
      <c r="I1664" s="53"/>
      <c r="J1664" s="53"/>
      <c r="K1664" s="23"/>
      <c r="L1664" s="53"/>
      <c r="M1664" s="54"/>
    </row>
    <row r="1665">
      <c r="A1665" s="23"/>
      <c r="B1665" s="52"/>
      <c r="C1665" s="53"/>
      <c r="D1665" s="23"/>
      <c r="E1665" s="53"/>
      <c r="F1665" s="54"/>
      <c r="G1665" s="54"/>
      <c r="H1665" s="54"/>
      <c r="I1665" s="53"/>
      <c r="J1665" s="53"/>
      <c r="K1665" s="23"/>
      <c r="L1665" s="53"/>
      <c r="M1665" s="54"/>
    </row>
    <row r="1666">
      <c r="A1666" s="23"/>
      <c r="B1666" s="52"/>
      <c r="C1666" s="53"/>
      <c r="D1666" s="23"/>
      <c r="E1666" s="53"/>
      <c r="F1666" s="54"/>
      <c r="G1666" s="54"/>
      <c r="H1666" s="54"/>
      <c r="I1666" s="53"/>
      <c r="J1666" s="53"/>
      <c r="K1666" s="23"/>
      <c r="L1666" s="53"/>
      <c r="M1666" s="54"/>
    </row>
    <row r="1667">
      <c r="A1667" s="23"/>
      <c r="B1667" s="52"/>
      <c r="C1667" s="53"/>
      <c r="D1667" s="23"/>
      <c r="E1667" s="53"/>
      <c r="F1667" s="54"/>
      <c r="G1667" s="54"/>
      <c r="H1667" s="54"/>
      <c r="I1667" s="53"/>
      <c r="J1667" s="53"/>
      <c r="K1667" s="23"/>
      <c r="L1667" s="53"/>
      <c r="M1667" s="54"/>
    </row>
    <row r="1668">
      <c r="A1668" s="23"/>
      <c r="B1668" s="52"/>
      <c r="C1668" s="53"/>
      <c r="D1668" s="23"/>
      <c r="E1668" s="53"/>
      <c r="F1668" s="54"/>
      <c r="G1668" s="54"/>
      <c r="H1668" s="54"/>
      <c r="I1668" s="53"/>
      <c r="J1668" s="53"/>
      <c r="K1668" s="23"/>
      <c r="L1668" s="53"/>
      <c r="M1668" s="54"/>
    </row>
    <row r="1669">
      <c r="A1669" s="23"/>
      <c r="B1669" s="52"/>
      <c r="C1669" s="53"/>
      <c r="D1669" s="23"/>
      <c r="E1669" s="53"/>
      <c r="F1669" s="54"/>
      <c r="G1669" s="54"/>
      <c r="H1669" s="54"/>
      <c r="I1669" s="53"/>
      <c r="J1669" s="53"/>
      <c r="K1669" s="23"/>
      <c r="L1669" s="53"/>
      <c r="M1669" s="54"/>
    </row>
    <row r="1670">
      <c r="A1670" s="23"/>
      <c r="B1670" s="52"/>
      <c r="C1670" s="53"/>
      <c r="D1670" s="23"/>
      <c r="E1670" s="53"/>
      <c r="F1670" s="54"/>
      <c r="G1670" s="54"/>
      <c r="H1670" s="54"/>
      <c r="I1670" s="53"/>
      <c r="J1670" s="53"/>
      <c r="K1670" s="23"/>
      <c r="L1670" s="53"/>
      <c r="M1670" s="54"/>
    </row>
    <row r="1671">
      <c r="A1671" s="23"/>
      <c r="B1671" s="52"/>
      <c r="C1671" s="53"/>
      <c r="D1671" s="23"/>
      <c r="E1671" s="53"/>
      <c r="F1671" s="54"/>
      <c r="G1671" s="54"/>
      <c r="H1671" s="54"/>
      <c r="I1671" s="53"/>
      <c r="J1671" s="53"/>
      <c r="K1671" s="23"/>
      <c r="L1671" s="53"/>
      <c r="M1671" s="54"/>
    </row>
    <row r="1672">
      <c r="A1672" s="23"/>
      <c r="B1672" s="52"/>
      <c r="C1672" s="53"/>
      <c r="D1672" s="23"/>
      <c r="E1672" s="53"/>
      <c r="F1672" s="54"/>
      <c r="G1672" s="54"/>
      <c r="H1672" s="54"/>
      <c r="I1672" s="53"/>
      <c r="J1672" s="53"/>
      <c r="K1672" s="23"/>
      <c r="L1672" s="53"/>
      <c r="M1672" s="54"/>
    </row>
    <row r="1673">
      <c r="A1673" s="23"/>
      <c r="B1673" s="52"/>
      <c r="C1673" s="53"/>
      <c r="D1673" s="23"/>
      <c r="E1673" s="53"/>
      <c r="F1673" s="54"/>
      <c r="G1673" s="54"/>
      <c r="H1673" s="54"/>
      <c r="I1673" s="53"/>
      <c r="J1673" s="53"/>
      <c r="K1673" s="23"/>
      <c r="L1673" s="53"/>
      <c r="M1673" s="54"/>
    </row>
    <row r="1674">
      <c r="A1674" s="23"/>
      <c r="B1674" s="52"/>
      <c r="C1674" s="53"/>
      <c r="D1674" s="23"/>
      <c r="E1674" s="53"/>
      <c r="F1674" s="54"/>
      <c r="G1674" s="54"/>
      <c r="H1674" s="54"/>
      <c r="I1674" s="53"/>
      <c r="J1674" s="53"/>
      <c r="K1674" s="23"/>
      <c r="L1674" s="53"/>
      <c r="M1674" s="54"/>
    </row>
    <row r="1675">
      <c r="A1675" s="23"/>
      <c r="B1675" s="52"/>
      <c r="C1675" s="53"/>
      <c r="D1675" s="23"/>
      <c r="E1675" s="53"/>
      <c r="F1675" s="54"/>
      <c r="G1675" s="54"/>
      <c r="H1675" s="54"/>
      <c r="I1675" s="53"/>
      <c r="J1675" s="53"/>
      <c r="K1675" s="23"/>
      <c r="L1675" s="53"/>
      <c r="M1675" s="54"/>
    </row>
    <row r="1676">
      <c r="A1676" s="23"/>
      <c r="B1676" s="52"/>
      <c r="C1676" s="53"/>
      <c r="D1676" s="23"/>
      <c r="E1676" s="53"/>
      <c r="F1676" s="54"/>
      <c r="G1676" s="54"/>
      <c r="H1676" s="54"/>
      <c r="I1676" s="53"/>
      <c r="J1676" s="53"/>
      <c r="K1676" s="23"/>
      <c r="L1676" s="53"/>
      <c r="M1676" s="54"/>
    </row>
    <row r="1677">
      <c r="A1677" s="23"/>
      <c r="B1677" s="52"/>
      <c r="C1677" s="53"/>
      <c r="D1677" s="23"/>
      <c r="E1677" s="53"/>
      <c r="F1677" s="54"/>
      <c r="G1677" s="54"/>
      <c r="H1677" s="54"/>
      <c r="I1677" s="53"/>
      <c r="J1677" s="53"/>
      <c r="K1677" s="23"/>
      <c r="L1677" s="53"/>
      <c r="M1677" s="54"/>
    </row>
    <row r="1678">
      <c r="A1678" s="23"/>
      <c r="B1678" s="52"/>
      <c r="C1678" s="53"/>
      <c r="D1678" s="23"/>
      <c r="E1678" s="53"/>
      <c r="F1678" s="54"/>
      <c r="G1678" s="54"/>
      <c r="H1678" s="54"/>
      <c r="I1678" s="53"/>
      <c r="J1678" s="53"/>
      <c r="K1678" s="23"/>
      <c r="L1678" s="53"/>
      <c r="M1678" s="54"/>
    </row>
    <row r="1679">
      <c r="A1679" s="23"/>
      <c r="B1679" s="52"/>
      <c r="C1679" s="53"/>
      <c r="D1679" s="23"/>
      <c r="E1679" s="53"/>
      <c r="F1679" s="54"/>
      <c r="G1679" s="54"/>
      <c r="H1679" s="54"/>
      <c r="I1679" s="53"/>
      <c r="J1679" s="53"/>
      <c r="K1679" s="23"/>
      <c r="L1679" s="53"/>
      <c r="M1679" s="54"/>
    </row>
    <row r="1680">
      <c r="A1680" s="23"/>
      <c r="B1680" s="52"/>
      <c r="C1680" s="53"/>
      <c r="D1680" s="23"/>
      <c r="E1680" s="53"/>
      <c r="F1680" s="54"/>
      <c r="G1680" s="54"/>
      <c r="H1680" s="54"/>
      <c r="I1680" s="53"/>
      <c r="J1680" s="53"/>
      <c r="K1680" s="23"/>
      <c r="L1680" s="53"/>
      <c r="M1680" s="54"/>
    </row>
    <row r="1681">
      <c r="A1681" s="23"/>
      <c r="B1681" s="52"/>
      <c r="C1681" s="53"/>
      <c r="D1681" s="23"/>
      <c r="E1681" s="53"/>
      <c r="F1681" s="54"/>
      <c r="G1681" s="54"/>
      <c r="H1681" s="54"/>
      <c r="I1681" s="53"/>
      <c r="J1681" s="53"/>
      <c r="K1681" s="23"/>
      <c r="L1681" s="53"/>
      <c r="M1681" s="54"/>
    </row>
    <row r="1682">
      <c r="A1682" s="23"/>
      <c r="B1682" s="52"/>
      <c r="C1682" s="53"/>
      <c r="D1682" s="23"/>
      <c r="E1682" s="53"/>
      <c r="F1682" s="54"/>
      <c r="G1682" s="54"/>
      <c r="H1682" s="54"/>
      <c r="I1682" s="53"/>
      <c r="J1682" s="53"/>
      <c r="K1682" s="23"/>
      <c r="L1682" s="53"/>
      <c r="M1682" s="54"/>
    </row>
    <row r="1683">
      <c r="A1683" s="23"/>
      <c r="B1683" s="52"/>
      <c r="C1683" s="53"/>
      <c r="D1683" s="23"/>
      <c r="E1683" s="53"/>
      <c r="F1683" s="54"/>
      <c r="G1683" s="54"/>
      <c r="H1683" s="54"/>
      <c r="I1683" s="53"/>
      <c r="J1683" s="53"/>
      <c r="K1683" s="23"/>
      <c r="L1683" s="53"/>
      <c r="M1683" s="54"/>
    </row>
    <row r="1684">
      <c r="A1684" s="23"/>
      <c r="B1684" s="52"/>
      <c r="C1684" s="53"/>
      <c r="D1684" s="23"/>
      <c r="E1684" s="53"/>
      <c r="F1684" s="54"/>
      <c r="G1684" s="54"/>
      <c r="H1684" s="54"/>
      <c r="I1684" s="53"/>
      <c r="J1684" s="53"/>
      <c r="K1684" s="23"/>
      <c r="L1684" s="53"/>
      <c r="M1684" s="54"/>
    </row>
    <row r="1685">
      <c r="A1685" s="23"/>
      <c r="B1685" s="52"/>
      <c r="C1685" s="53"/>
      <c r="D1685" s="23"/>
      <c r="E1685" s="53"/>
      <c r="F1685" s="54"/>
      <c r="G1685" s="54"/>
      <c r="H1685" s="54"/>
      <c r="I1685" s="53"/>
      <c r="J1685" s="53"/>
      <c r="K1685" s="23"/>
      <c r="L1685" s="53"/>
      <c r="M1685" s="54"/>
    </row>
    <row r="1686">
      <c r="A1686" s="23"/>
      <c r="B1686" s="52"/>
      <c r="C1686" s="53"/>
      <c r="D1686" s="23"/>
      <c r="E1686" s="53"/>
      <c r="F1686" s="54"/>
      <c r="G1686" s="54"/>
      <c r="H1686" s="54"/>
      <c r="I1686" s="53"/>
      <c r="J1686" s="53"/>
      <c r="K1686" s="23"/>
      <c r="L1686" s="53"/>
      <c r="M1686" s="54"/>
    </row>
    <row r="1687">
      <c r="A1687" s="23"/>
      <c r="B1687" s="52"/>
      <c r="C1687" s="53"/>
      <c r="D1687" s="23"/>
      <c r="E1687" s="53"/>
      <c r="F1687" s="54"/>
      <c r="G1687" s="54"/>
      <c r="H1687" s="54"/>
      <c r="I1687" s="53"/>
      <c r="J1687" s="53"/>
      <c r="K1687" s="23"/>
      <c r="L1687" s="53"/>
      <c r="M1687" s="54"/>
    </row>
    <row r="1688">
      <c r="A1688" s="23"/>
      <c r="B1688" s="52"/>
      <c r="C1688" s="53"/>
      <c r="D1688" s="23"/>
      <c r="E1688" s="53"/>
      <c r="F1688" s="54"/>
      <c r="G1688" s="54"/>
      <c r="H1688" s="54"/>
      <c r="I1688" s="53"/>
      <c r="J1688" s="53"/>
      <c r="K1688" s="23"/>
      <c r="L1688" s="53"/>
      <c r="M1688" s="54"/>
    </row>
    <row r="1689">
      <c r="A1689" s="23"/>
      <c r="B1689" s="52"/>
      <c r="C1689" s="53"/>
      <c r="D1689" s="23"/>
      <c r="E1689" s="53"/>
      <c r="F1689" s="54"/>
      <c r="G1689" s="54"/>
      <c r="H1689" s="54"/>
      <c r="I1689" s="53"/>
      <c r="J1689" s="53"/>
      <c r="K1689" s="23"/>
      <c r="L1689" s="53"/>
      <c r="M1689" s="54"/>
    </row>
    <row r="1690">
      <c r="A1690" s="23"/>
      <c r="B1690" s="52"/>
      <c r="C1690" s="53"/>
      <c r="D1690" s="23"/>
      <c r="E1690" s="53"/>
      <c r="F1690" s="54"/>
      <c r="G1690" s="54"/>
      <c r="H1690" s="54"/>
      <c r="I1690" s="53"/>
      <c r="J1690" s="53"/>
      <c r="K1690" s="23"/>
      <c r="L1690" s="53"/>
      <c r="M1690" s="54"/>
    </row>
    <row r="1691">
      <c r="A1691" s="23"/>
      <c r="B1691" s="52"/>
      <c r="C1691" s="53"/>
      <c r="D1691" s="23"/>
      <c r="E1691" s="53"/>
      <c r="F1691" s="54"/>
      <c r="G1691" s="54"/>
      <c r="H1691" s="54"/>
      <c r="I1691" s="53"/>
      <c r="J1691" s="53"/>
      <c r="K1691" s="23"/>
      <c r="L1691" s="53"/>
      <c r="M1691" s="54"/>
    </row>
    <row r="1692">
      <c r="A1692" s="23"/>
      <c r="B1692" s="52"/>
      <c r="C1692" s="53"/>
      <c r="D1692" s="23"/>
      <c r="E1692" s="53"/>
      <c r="F1692" s="54"/>
      <c r="G1692" s="54"/>
      <c r="H1692" s="54"/>
      <c r="I1692" s="53"/>
      <c r="J1692" s="53"/>
      <c r="K1692" s="23"/>
      <c r="L1692" s="53"/>
      <c r="M1692" s="54"/>
    </row>
    <row r="1693">
      <c r="A1693" s="23"/>
      <c r="B1693" s="52"/>
      <c r="C1693" s="53"/>
      <c r="D1693" s="23"/>
      <c r="E1693" s="53"/>
      <c r="F1693" s="54"/>
      <c r="G1693" s="54"/>
      <c r="H1693" s="54"/>
      <c r="I1693" s="53"/>
      <c r="J1693" s="53"/>
      <c r="K1693" s="23"/>
      <c r="L1693" s="53"/>
      <c r="M1693" s="54"/>
    </row>
    <row r="1694">
      <c r="A1694" s="23"/>
      <c r="B1694" s="52"/>
      <c r="C1694" s="53"/>
      <c r="D1694" s="23"/>
      <c r="E1694" s="53"/>
      <c r="F1694" s="54"/>
      <c r="G1694" s="54"/>
      <c r="H1694" s="54"/>
      <c r="I1694" s="53"/>
      <c r="J1694" s="53"/>
      <c r="K1694" s="23"/>
      <c r="L1694" s="53"/>
      <c r="M1694" s="54"/>
    </row>
    <row r="1695">
      <c r="A1695" s="23"/>
      <c r="B1695" s="52"/>
      <c r="C1695" s="53"/>
      <c r="D1695" s="23"/>
      <c r="E1695" s="53"/>
      <c r="F1695" s="54"/>
      <c r="G1695" s="54"/>
      <c r="H1695" s="54"/>
      <c r="I1695" s="53"/>
      <c r="J1695" s="53"/>
      <c r="K1695" s="23"/>
      <c r="L1695" s="53"/>
      <c r="M1695" s="54"/>
    </row>
    <row r="1696">
      <c r="A1696" s="23"/>
      <c r="B1696" s="52"/>
      <c r="C1696" s="53"/>
      <c r="D1696" s="23"/>
      <c r="E1696" s="53"/>
      <c r="F1696" s="54"/>
      <c r="G1696" s="54"/>
      <c r="H1696" s="54"/>
      <c r="I1696" s="53"/>
      <c r="J1696" s="53"/>
      <c r="K1696" s="23"/>
      <c r="L1696" s="53"/>
      <c r="M1696" s="54"/>
    </row>
    <row r="1697">
      <c r="A1697" s="23"/>
      <c r="B1697" s="52"/>
      <c r="C1697" s="53"/>
      <c r="D1697" s="23"/>
      <c r="E1697" s="53"/>
      <c r="F1697" s="54"/>
      <c r="G1697" s="54"/>
      <c r="H1697" s="54"/>
      <c r="I1697" s="53"/>
      <c r="J1697" s="53"/>
      <c r="K1697" s="23"/>
      <c r="L1697" s="53"/>
      <c r="M1697" s="54"/>
    </row>
    <row r="1698">
      <c r="A1698" s="23"/>
      <c r="B1698" s="52"/>
      <c r="C1698" s="53"/>
      <c r="D1698" s="23"/>
      <c r="E1698" s="53"/>
      <c r="F1698" s="54"/>
      <c r="G1698" s="54"/>
      <c r="H1698" s="54"/>
      <c r="I1698" s="53"/>
      <c r="J1698" s="53"/>
      <c r="K1698" s="23"/>
      <c r="L1698" s="53"/>
      <c r="M1698" s="54"/>
    </row>
    <row r="1699">
      <c r="A1699" s="23"/>
      <c r="B1699" s="52"/>
      <c r="C1699" s="53"/>
      <c r="D1699" s="23"/>
      <c r="E1699" s="53"/>
      <c r="F1699" s="54"/>
      <c r="G1699" s="54"/>
      <c r="H1699" s="54"/>
      <c r="I1699" s="53"/>
      <c r="J1699" s="53"/>
      <c r="K1699" s="23"/>
      <c r="L1699" s="53"/>
      <c r="M1699" s="54"/>
    </row>
    <row r="1700">
      <c r="A1700" s="23"/>
      <c r="B1700" s="52"/>
      <c r="C1700" s="53"/>
      <c r="D1700" s="23"/>
      <c r="E1700" s="53"/>
      <c r="F1700" s="54"/>
      <c r="G1700" s="54"/>
      <c r="H1700" s="54"/>
      <c r="I1700" s="53"/>
      <c r="J1700" s="53"/>
      <c r="K1700" s="23"/>
      <c r="L1700" s="53"/>
      <c r="M1700" s="54"/>
    </row>
    <row r="1701">
      <c r="A1701" s="23"/>
      <c r="B1701" s="52"/>
      <c r="C1701" s="53"/>
      <c r="D1701" s="23"/>
      <c r="E1701" s="53"/>
      <c r="F1701" s="54"/>
      <c r="G1701" s="54"/>
      <c r="H1701" s="54"/>
      <c r="I1701" s="53"/>
      <c r="J1701" s="53"/>
      <c r="K1701" s="23"/>
      <c r="L1701" s="53"/>
      <c r="M1701" s="54"/>
    </row>
    <row r="1702">
      <c r="A1702" s="23"/>
      <c r="B1702" s="52"/>
      <c r="C1702" s="53"/>
      <c r="D1702" s="23"/>
      <c r="E1702" s="53"/>
      <c r="F1702" s="54"/>
      <c r="G1702" s="54"/>
      <c r="H1702" s="54"/>
      <c r="I1702" s="53"/>
      <c r="J1702" s="53"/>
      <c r="K1702" s="23"/>
      <c r="L1702" s="53"/>
      <c r="M1702" s="54"/>
    </row>
    <row r="1703">
      <c r="A1703" s="23"/>
      <c r="B1703" s="52"/>
      <c r="C1703" s="53"/>
      <c r="D1703" s="23"/>
      <c r="E1703" s="53"/>
      <c r="F1703" s="54"/>
      <c r="G1703" s="54"/>
      <c r="H1703" s="54"/>
      <c r="I1703" s="53"/>
      <c r="J1703" s="53"/>
      <c r="K1703" s="23"/>
      <c r="L1703" s="53"/>
      <c r="M1703" s="54"/>
    </row>
    <row r="1704">
      <c r="A1704" s="23"/>
      <c r="B1704" s="52"/>
      <c r="C1704" s="53"/>
      <c r="D1704" s="23"/>
      <c r="E1704" s="53"/>
      <c r="F1704" s="54"/>
      <c r="G1704" s="54"/>
      <c r="H1704" s="54"/>
      <c r="I1704" s="53"/>
      <c r="J1704" s="53"/>
      <c r="K1704" s="23"/>
      <c r="L1704" s="53"/>
      <c r="M1704" s="54"/>
    </row>
    <row r="1705">
      <c r="A1705" s="23"/>
      <c r="B1705" s="52"/>
      <c r="C1705" s="53"/>
      <c r="D1705" s="23"/>
      <c r="E1705" s="53"/>
      <c r="F1705" s="54"/>
      <c r="G1705" s="54"/>
      <c r="H1705" s="54"/>
      <c r="I1705" s="53"/>
      <c r="J1705" s="53"/>
      <c r="K1705" s="23"/>
      <c r="L1705" s="53"/>
      <c r="M1705" s="54"/>
    </row>
    <row r="1706">
      <c r="A1706" s="23"/>
      <c r="B1706" s="52"/>
      <c r="C1706" s="53"/>
      <c r="D1706" s="23"/>
      <c r="E1706" s="53"/>
      <c r="F1706" s="54"/>
      <c r="G1706" s="54"/>
      <c r="H1706" s="54"/>
      <c r="I1706" s="53"/>
      <c r="J1706" s="53"/>
      <c r="K1706" s="23"/>
      <c r="L1706" s="53"/>
      <c r="M1706" s="54"/>
    </row>
    <row r="1707">
      <c r="A1707" s="23"/>
      <c r="B1707" s="52"/>
      <c r="C1707" s="53"/>
      <c r="D1707" s="23"/>
      <c r="E1707" s="53"/>
      <c r="F1707" s="54"/>
      <c r="G1707" s="54"/>
      <c r="H1707" s="54"/>
      <c r="I1707" s="53"/>
      <c r="J1707" s="53"/>
      <c r="K1707" s="23"/>
      <c r="L1707" s="53"/>
      <c r="M1707" s="54"/>
    </row>
    <row r="1708">
      <c r="A1708" s="23"/>
      <c r="B1708" s="52"/>
      <c r="C1708" s="53"/>
      <c r="D1708" s="23"/>
      <c r="E1708" s="53"/>
      <c r="F1708" s="54"/>
      <c r="G1708" s="54"/>
      <c r="H1708" s="54"/>
      <c r="I1708" s="53"/>
      <c r="J1708" s="53"/>
      <c r="K1708" s="23"/>
      <c r="L1708" s="53"/>
      <c r="M1708" s="54"/>
    </row>
    <row r="1709">
      <c r="A1709" s="23"/>
      <c r="B1709" s="52"/>
      <c r="C1709" s="53"/>
      <c r="D1709" s="23"/>
      <c r="E1709" s="53"/>
      <c r="F1709" s="54"/>
      <c r="G1709" s="54"/>
      <c r="H1709" s="54"/>
      <c r="I1709" s="53"/>
      <c r="J1709" s="53"/>
      <c r="K1709" s="23"/>
      <c r="L1709" s="53"/>
      <c r="M1709" s="54"/>
    </row>
    <row r="1710">
      <c r="A1710" s="23"/>
      <c r="B1710" s="52"/>
      <c r="C1710" s="53"/>
      <c r="D1710" s="23"/>
      <c r="E1710" s="53"/>
      <c r="F1710" s="54"/>
      <c r="G1710" s="54"/>
      <c r="H1710" s="54"/>
      <c r="I1710" s="53"/>
      <c r="J1710" s="53"/>
      <c r="K1710" s="23"/>
      <c r="L1710" s="53"/>
      <c r="M1710" s="54"/>
    </row>
    <row r="1711">
      <c r="A1711" s="23"/>
      <c r="B1711" s="52"/>
      <c r="C1711" s="53"/>
      <c r="D1711" s="23"/>
      <c r="E1711" s="53"/>
      <c r="F1711" s="54"/>
      <c r="G1711" s="54"/>
      <c r="H1711" s="54"/>
      <c r="I1711" s="53"/>
      <c r="J1711" s="53"/>
      <c r="K1711" s="23"/>
      <c r="L1711" s="53"/>
      <c r="M1711" s="54"/>
    </row>
    <row r="1712">
      <c r="A1712" s="23"/>
      <c r="B1712" s="52"/>
      <c r="C1712" s="53"/>
      <c r="D1712" s="23"/>
      <c r="E1712" s="53"/>
      <c r="F1712" s="54"/>
      <c r="G1712" s="54"/>
      <c r="H1712" s="54"/>
      <c r="I1712" s="53"/>
      <c r="J1712" s="53"/>
      <c r="K1712" s="23"/>
      <c r="L1712" s="53"/>
      <c r="M1712" s="54"/>
    </row>
    <row r="1713">
      <c r="A1713" s="23"/>
      <c r="B1713" s="52"/>
      <c r="C1713" s="53"/>
      <c r="D1713" s="23"/>
      <c r="E1713" s="53"/>
      <c r="F1713" s="54"/>
      <c r="G1713" s="54"/>
      <c r="H1713" s="54"/>
      <c r="I1713" s="53"/>
      <c r="J1713" s="53"/>
      <c r="K1713" s="23"/>
      <c r="L1713" s="53"/>
      <c r="M1713" s="54"/>
    </row>
    <row r="1714">
      <c r="A1714" s="23"/>
      <c r="B1714" s="52"/>
      <c r="C1714" s="53"/>
      <c r="D1714" s="23"/>
      <c r="E1714" s="53"/>
      <c r="F1714" s="54"/>
      <c r="G1714" s="54"/>
      <c r="H1714" s="54"/>
      <c r="I1714" s="53"/>
      <c r="J1714" s="53"/>
      <c r="K1714" s="23"/>
      <c r="L1714" s="53"/>
      <c r="M1714" s="54"/>
    </row>
    <row r="1715">
      <c r="A1715" s="23"/>
      <c r="B1715" s="52"/>
      <c r="C1715" s="53"/>
      <c r="D1715" s="23"/>
      <c r="E1715" s="53"/>
      <c r="F1715" s="54"/>
      <c r="G1715" s="54"/>
      <c r="H1715" s="54"/>
      <c r="I1715" s="53"/>
      <c r="J1715" s="53"/>
      <c r="K1715" s="23"/>
      <c r="L1715" s="53"/>
      <c r="M1715" s="54"/>
    </row>
    <row r="1716">
      <c r="A1716" s="23"/>
      <c r="B1716" s="52"/>
      <c r="C1716" s="53"/>
      <c r="D1716" s="23"/>
      <c r="E1716" s="53"/>
      <c r="F1716" s="54"/>
      <c r="G1716" s="54"/>
      <c r="H1716" s="54"/>
      <c r="I1716" s="53"/>
      <c r="J1716" s="53"/>
      <c r="K1716" s="23"/>
      <c r="L1716" s="53"/>
      <c r="M1716" s="54"/>
    </row>
    <row r="1717">
      <c r="A1717" s="23"/>
      <c r="B1717" s="52"/>
      <c r="C1717" s="53"/>
      <c r="D1717" s="23"/>
      <c r="E1717" s="53"/>
      <c r="F1717" s="54"/>
      <c r="G1717" s="54"/>
      <c r="H1717" s="54"/>
      <c r="I1717" s="53"/>
      <c r="J1717" s="53"/>
      <c r="K1717" s="23"/>
      <c r="L1717" s="53"/>
      <c r="M1717" s="54"/>
    </row>
    <row r="1718">
      <c r="A1718" s="23"/>
      <c r="B1718" s="52"/>
      <c r="C1718" s="53"/>
      <c r="D1718" s="23"/>
      <c r="E1718" s="53"/>
      <c r="F1718" s="54"/>
      <c r="G1718" s="54"/>
      <c r="H1718" s="54"/>
      <c r="I1718" s="53"/>
      <c r="J1718" s="53"/>
      <c r="K1718" s="23"/>
      <c r="L1718" s="53"/>
      <c r="M1718" s="54"/>
    </row>
    <row r="1719">
      <c r="A1719" s="23"/>
      <c r="B1719" s="52"/>
      <c r="C1719" s="53"/>
      <c r="D1719" s="23"/>
      <c r="E1719" s="53"/>
      <c r="F1719" s="54"/>
      <c r="G1719" s="54"/>
      <c r="H1719" s="54"/>
      <c r="I1719" s="53"/>
      <c r="J1719" s="53"/>
      <c r="K1719" s="23"/>
      <c r="L1719" s="53"/>
      <c r="M1719" s="54"/>
    </row>
    <row r="1720">
      <c r="A1720" s="23"/>
      <c r="B1720" s="52"/>
      <c r="C1720" s="53"/>
      <c r="D1720" s="23"/>
      <c r="E1720" s="53"/>
      <c r="F1720" s="54"/>
      <c r="G1720" s="54"/>
      <c r="H1720" s="54"/>
      <c r="I1720" s="53"/>
      <c r="J1720" s="53"/>
      <c r="K1720" s="23"/>
      <c r="L1720" s="53"/>
      <c r="M1720" s="54"/>
    </row>
    <row r="1721">
      <c r="A1721" s="23"/>
      <c r="B1721" s="52"/>
      <c r="C1721" s="53"/>
      <c r="D1721" s="23"/>
      <c r="E1721" s="53"/>
      <c r="F1721" s="54"/>
      <c r="G1721" s="54"/>
      <c r="H1721" s="54"/>
      <c r="I1721" s="53"/>
      <c r="J1721" s="53"/>
      <c r="K1721" s="23"/>
      <c r="L1721" s="53"/>
      <c r="M1721" s="54"/>
    </row>
    <row r="1722">
      <c r="A1722" s="23"/>
      <c r="B1722" s="52"/>
      <c r="C1722" s="53"/>
      <c r="D1722" s="23"/>
      <c r="E1722" s="53"/>
      <c r="F1722" s="54"/>
      <c r="G1722" s="54"/>
      <c r="H1722" s="54"/>
      <c r="I1722" s="53"/>
      <c r="J1722" s="53"/>
      <c r="K1722" s="23"/>
      <c r="L1722" s="53"/>
      <c r="M1722" s="54"/>
    </row>
    <row r="1723">
      <c r="A1723" s="23"/>
      <c r="B1723" s="52"/>
      <c r="C1723" s="53"/>
      <c r="D1723" s="23"/>
      <c r="E1723" s="53"/>
      <c r="F1723" s="54"/>
      <c r="G1723" s="54"/>
      <c r="H1723" s="54"/>
      <c r="I1723" s="53"/>
      <c r="J1723" s="53"/>
      <c r="K1723" s="23"/>
      <c r="L1723" s="53"/>
      <c r="M1723" s="54"/>
    </row>
    <row r="1724">
      <c r="A1724" s="23"/>
      <c r="B1724" s="52"/>
      <c r="C1724" s="53"/>
      <c r="D1724" s="23"/>
      <c r="E1724" s="53"/>
      <c r="F1724" s="54"/>
      <c r="G1724" s="54"/>
      <c r="H1724" s="54"/>
      <c r="I1724" s="53"/>
      <c r="J1724" s="53"/>
      <c r="K1724" s="23"/>
      <c r="L1724" s="53"/>
      <c r="M1724" s="54"/>
    </row>
    <row r="1725">
      <c r="A1725" s="23"/>
      <c r="B1725" s="52"/>
      <c r="C1725" s="53"/>
      <c r="D1725" s="23"/>
      <c r="E1725" s="53"/>
      <c r="F1725" s="54"/>
      <c r="G1725" s="54"/>
      <c r="H1725" s="54"/>
      <c r="I1725" s="53"/>
      <c r="J1725" s="53"/>
      <c r="K1725" s="23"/>
      <c r="L1725" s="53"/>
      <c r="M1725" s="54"/>
    </row>
    <row r="1726">
      <c r="A1726" s="23"/>
      <c r="B1726" s="52"/>
      <c r="C1726" s="56"/>
      <c r="D1726" s="23"/>
      <c r="E1726" s="53"/>
      <c r="F1726" s="54"/>
      <c r="G1726" s="54"/>
      <c r="H1726" s="54"/>
      <c r="I1726" s="53"/>
      <c r="J1726" s="53"/>
      <c r="K1726" s="23"/>
      <c r="L1726" s="53"/>
      <c r="M1726" s="54"/>
    </row>
    <row r="1727">
      <c r="A1727" s="23"/>
      <c r="B1727" s="52"/>
      <c r="C1727" s="53"/>
      <c r="D1727" s="23"/>
      <c r="E1727" s="53"/>
      <c r="F1727" s="54"/>
      <c r="G1727" s="54"/>
      <c r="H1727" s="54"/>
      <c r="I1727" s="53"/>
      <c r="J1727" s="53"/>
      <c r="K1727" s="23"/>
      <c r="L1727" s="53"/>
      <c r="M1727" s="54"/>
    </row>
    <row r="1728">
      <c r="A1728" s="23"/>
      <c r="B1728" s="52"/>
      <c r="C1728" s="53"/>
      <c r="D1728" s="23"/>
      <c r="E1728" s="53"/>
      <c r="F1728" s="54"/>
      <c r="G1728" s="54"/>
      <c r="H1728" s="54"/>
      <c r="I1728" s="53"/>
      <c r="J1728" s="53"/>
      <c r="K1728" s="23"/>
      <c r="L1728" s="53"/>
      <c r="M1728" s="54"/>
    </row>
    <row r="1729">
      <c r="A1729" s="23"/>
      <c r="B1729" s="52"/>
      <c r="C1729" s="53"/>
      <c r="D1729" s="23"/>
      <c r="E1729" s="53"/>
      <c r="F1729" s="54"/>
      <c r="G1729" s="54"/>
      <c r="H1729" s="54"/>
      <c r="I1729" s="53"/>
      <c r="J1729" s="53"/>
      <c r="K1729" s="23"/>
      <c r="L1729" s="53"/>
      <c r="M1729" s="54"/>
    </row>
    <row r="1730">
      <c r="A1730" s="23"/>
      <c r="B1730" s="52"/>
      <c r="C1730" s="53"/>
      <c r="D1730" s="23"/>
      <c r="E1730" s="53"/>
      <c r="F1730" s="54"/>
      <c r="G1730" s="54"/>
      <c r="H1730" s="54"/>
      <c r="I1730" s="53"/>
      <c r="J1730" s="53"/>
      <c r="K1730" s="23"/>
      <c r="L1730" s="53"/>
      <c r="M1730" s="54"/>
    </row>
    <row r="1731">
      <c r="A1731" s="23"/>
      <c r="B1731" s="52"/>
      <c r="C1731" s="53"/>
      <c r="D1731" s="23"/>
      <c r="E1731" s="53"/>
      <c r="F1731" s="54"/>
      <c r="G1731" s="54"/>
      <c r="H1731" s="54"/>
      <c r="I1731" s="53"/>
      <c r="J1731" s="53"/>
      <c r="K1731" s="23"/>
      <c r="L1731" s="53"/>
      <c r="M1731" s="54"/>
    </row>
    <row r="1732">
      <c r="A1732" s="23"/>
      <c r="B1732" s="52"/>
      <c r="C1732" s="53"/>
      <c r="D1732" s="23"/>
      <c r="E1732" s="53"/>
      <c r="F1732" s="54"/>
      <c r="G1732" s="54"/>
      <c r="H1732" s="54"/>
      <c r="I1732" s="53"/>
      <c r="J1732" s="53"/>
      <c r="K1732" s="23"/>
      <c r="L1732" s="53"/>
      <c r="M1732" s="54"/>
    </row>
    <row r="1733">
      <c r="A1733" s="23"/>
      <c r="B1733" s="52"/>
      <c r="C1733" s="53"/>
      <c r="D1733" s="23"/>
      <c r="E1733" s="53"/>
      <c r="F1733" s="54"/>
      <c r="G1733" s="54"/>
      <c r="H1733" s="54"/>
      <c r="I1733" s="53"/>
      <c r="J1733" s="53"/>
      <c r="K1733" s="23"/>
      <c r="L1733" s="53"/>
      <c r="M1733" s="54"/>
    </row>
    <row r="1734">
      <c r="A1734" s="23"/>
      <c r="B1734" s="52"/>
      <c r="C1734" s="53"/>
      <c r="D1734" s="23"/>
      <c r="E1734" s="53"/>
      <c r="F1734" s="54"/>
      <c r="G1734" s="54"/>
      <c r="H1734" s="54"/>
      <c r="I1734" s="53"/>
      <c r="J1734" s="53"/>
      <c r="K1734" s="23"/>
      <c r="L1734" s="53"/>
      <c r="M1734" s="54"/>
    </row>
    <row r="1735">
      <c r="A1735" s="23"/>
      <c r="B1735" s="52"/>
      <c r="C1735" s="53"/>
      <c r="D1735" s="23"/>
      <c r="E1735" s="53"/>
      <c r="F1735" s="54"/>
      <c r="G1735" s="54"/>
      <c r="H1735" s="54"/>
      <c r="I1735" s="53"/>
      <c r="J1735" s="53"/>
      <c r="K1735" s="23"/>
      <c r="L1735" s="53"/>
      <c r="M1735" s="54"/>
    </row>
    <row r="1736">
      <c r="A1736" s="23"/>
      <c r="B1736" s="52"/>
      <c r="C1736" s="53"/>
      <c r="D1736" s="23"/>
      <c r="E1736" s="53"/>
      <c r="F1736" s="54"/>
      <c r="G1736" s="54"/>
      <c r="H1736" s="54"/>
      <c r="I1736" s="53"/>
      <c r="J1736" s="53"/>
      <c r="K1736" s="23"/>
      <c r="L1736" s="53"/>
      <c r="M1736" s="54"/>
    </row>
    <row r="1737">
      <c r="A1737" s="23"/>
      <c r="B1737" s="52"/>
      <c r="C1737" s="53"/>
      <c r="D1737" s="23"/>
      <c r="E1737" s="53"/>
      <c r="F1737" s="54"/>
      <c r="G1737" s="54"/>
      <c r="H1737" s="54"/>
      <c r="I1737" s="53"/>
      <c r="J1737" s="53"/>
      <c r="K1737" s="23"/>
      <c r="L1737" s="53"/>
      <c r="M1737" s="54"/>
    </row>
    <row r="1738">
      <c r="A1738" s="23"/>
      <c r="B1738" s="52"/>
      <c r="C1738" s="53"/>
      <c r="D1738" s="23"/>
      <c r="E1738" s="53"/>
      <c r="F1738" s="54"/>
      <c r="G1738" s="54"/>
      <c r="H1738" s="54"/>
      <c r="I1738" s="53"/>
      <c r="J1738" s="53"/>
      <c r="K1738" s="23"/>
      <c r="L1738" s="53"/>
      <c r="M1738" s="54"/>
    </row>
    <row r="1739">
      <c r="A1739" s="23"/>
      <c r="B1739" s="52"/>
      <c r="C1739" s="53"/>
      <c r="D1739" s="23"/>
      <c r="E1739" s="53"/>
      <c r="F1739" s="54"/>
      <c r="G1739" s="54"/>
      <c r="H1739" s="54"/>
      <c r="I1739" s="53"/>
      <c r="J1739" s="53"/>
      <c r="K1739" s="23"/>
      <c r="L1739" s="53"/>
      <c r="M1739" s="54"/>
    </row>
    <row r="1740">
      <c r="A1740" s="23"/>
      <c r="B1740" s="52"/>
      <c r="C1740" s="53"/>
      <c r="D1740" s="23"/>
      <c r="E1740" s="53"/>
      <c r="F1740" s="54"/>
      <c r="G1740" s="54"/>
      <c r="H1740" s="54"/>
      <c r="I1740" s="53"/>
      <c r="J1740" s="53"/>
      <c r="K1740" s="23"/>
      <c r="L1740" s="53"/>
      <c r="M1740" s="54"/>
    </row>
    <row r="1741">
      <c r="A1741" s="23"/>
      <c r="B1741" s="52"/>
      <c r="C1741" s="53"/>
      <c r="D1741" s="23"/>
      <c r="E1741" s="53"/>
      <c r="F1741" s="54"/>
      <c r="G1741" s="54"/>
      <c r="H1741" s="54"/>
      <c r="I1741" s="53"/>
      <c r="J1741" s="53"/>
      <c r="K1741" s="23"/>
      <c r="L1741" s="53"/>
      <c r="M1741" s="54"/>
    </row>
    <row r="1742">
      <c r="A1742" s="23"/>
      <c r="B1742" s="52"/>
      <c r="C1742" s="53"/>
      <c r="D1742" s="23"/>
      <c r="E1742" s="53"/>
      <c r="F1742" s="54"/>
      <c r="G1742" s="54"/>
      <c r="H1742" s="54"/>
      <c r="I1742" s="53"/>
      <c r="J1742" s="53"/>
      <c r="K1742" s="23"/>
      <c r="L1742" s="53"/>
      <c r="M1742" s="54"/>
    </row>
    <row r="1743">
      <c r="A1743" s="23"/>
      <c r="B1743" s="52"/>
      <c r="C1743" s="53"/>
      <c r="D1743" s="23"/>
      <c r="E1743" s="53"/>
      <c r="F1743" s="54"/>
      <c r="G1743" s="54"/>
      <c r="H1743" s="54"/>
      <c r="I1743" s="53"/>
      <c r="J1743" s="53"/>
      <c r="K1743" s="23"/>
      <c r="L1743" s="53"/>
      <c r="M1743" s="54"/>
    </row>
    <row r="1744">
      <c r="A1744" s="23"/>
      <c r="B1744" s="52"/>
      <c r="C1744" s="53"/>
      <c r="D1744" s="23"/>
      <c r="E1744" s="53"/>
      <c r="F1744" s="54"/>
      <c r="G1744" s="54"/>
      <c r="H1744" s="54"/>
      <c r="I1744" s="53"/>
      <c r="J1744" s="53"/>
      <c r="K1744" s="23"/>
      <c r="L1744" s="53"/>
      <c r="M1744" s="54"/>
    </row>
    <row r="1745">
      <c r="A1745" s="23"/>
      <c r="B1745" s="52"/>
      <c r="C1745" s="53"/>
      <c r="D1745" s="23"/>
      <c r="E1745" s="53"/>
      <c r="F1745" s="54"/>
      <c r="G1745" s="54"/>
      <c r="H1745" s="54"/>
      <c r="I1745" s="53"/>
      <c r="J1745" s="53"/>
      <c r="K1745" s="23"/>
      <c r="L1745" s="53"/>
      <c r="M1745" s="54"/>
    </row>
    <row r="1746">
      <c r="A1746" s="23"/>
      <c r="B1746" s="52"/>
      <c r="C1746" s="53"/>
      <c r="D1746" s="23"/>
      <c r="E1746" s="53"/>
      <c r="F1746" s="54"/>
      <c r="G1746" s="54"/>
      <c r="H1746" s="54"/>
      <c r="I1746" s="53"/>
      <c r="J1746" s="53"/>
      <c r="K1746" s="23"/>
      <c r="L1746" s="53"/>
      <c r="M1746" s="54"/>
    </row>
    <row r="1747">
      <c r="A1747" s="23"/>
      <c r="B1747" s="52"/>
      <c r="C1747" s="53"/>
      <c r="D1747" s="23"/>
      <c r="E1747" s="53"/>
      <c r="F1747" s="54"/>
      <c r="G1747" s="54"/>
      <c r="H1747" s="54"/>
      <c r="I1747" s="53"/>
      <c r="J1747" s="53"/>
      <c r="K1747" s="23"/>
      <c r="L1747" s="53"/>
      <c r="M1747" s="54"/>
    </row>
    <row r="1748">
      <c r="A1748" s="23"/>
      <c r="B1748" s="52"/>
      <c r="C1748" s="53"/>
      <c r="D1748" s="23"/>
      <c r="E1748" s="53"/>
      <c r="F1748" s="54"/>
      <c r="G1748" s="54"/>
      <c r="H1748" s="54"/>
      <c r="I1748" s="53"/>
      <c r="J1748" s="53"/>
      <c r="K1748" s="23"/>
      <c r="L1748" s="53"/>
      <c r="M1748" s="54"/>
    </row>
    <row r="1749">
      <c r="A1749" s="23"/>
      <c r="B1749" s="52"/>
      <c r="C1749" s="53"/>
      <c r="D1749" s="23"/>
      <c r="E1749" s="53"/>
      <c r="F1749" s="54"/>
      <c r="G1749" s="54"/>
      <c r="H1749" s="54"/>
      <c r="I1749" s="53"/>
      <c r="J1749" s="53"/>
      <c r="K1749" s="23"/>
      <c r="L1749" s="53"/>
      <c r="M1749" s="54"/>
    </row>
    <row r="1750">
      <c r="A1750" s="23"/>
      <c r="B1750" s="52"/>
      <c r="C1750" s="53"/>
      <c r="D1750" s="23"/>
      <c r="E1750" s="53"/>
      <c r="F1750" s="54"/>
      <c r="G1750" s="54"/>
      <c r="H1750" s="54"/>
      <c r="I1750" s="53"/>
      <c r="J1750" s="53"/>
      <c r="K1750" s="23"/>
      <c r="L1750" s="53"/>
      <c r="M1750" s="54"/>
    </row>
    <row r="1751">
      <c r="A1751" s="23"/>
      <c r="B1751" s="52"/>
      <c r="C1751" s="53"/>
      <c r="D1751" s="23"/>
      <c r="E1751" s="53"/>
      <c r="F1751" s="54"/>
      <c r="G1751" s="54"/>
      <c r="H1751" s="54"/>
      <c r="I1751" s="53"/>
      <c r="J1751" s="53"/>
      <c r="K1751" s="23"/>
      <c r="L1751" s="53"/>
      <c r="M1751" s="54"/>
    </row>
    <row r="1752">
      <c r="A1752" s="23"/>
      <c r="B1752" s="52"/>
      <c r="C1752" s="53"/>
      <c r="D1752" s="23"/>
      <c r="E1752" s="53"/>
      <c r="F1752" s="54"/>
      <c r="G1752" s="54"/>
      <c r="H1752" s="54"/>
      <c r="I1752" s="53"/>
      <c r="J1752" s="53"/>
      <c r="K1752" s="23"/>
      <c r="L1752" s="53"/>
      <c r="M1752" s="54"/>
    </row>
    <row r="1753">
      <c r="A1753" s="23"/>
      <c r="B1753" s="52"/>
      <c r="C1753" s="53"/>
      <c r="D1753" s="23"/>
      <c r="E1753" s="53"/>
      <c r="F1753" s="54"/>
      <c r="G1753" s="54"/>
      <c r="H1753" s="54"/>
      <c r="I1753" s="53"/>
      <c r="J1753" s="53"/>
      <c r="K1753" s="23"/>
      <c r="L1753" s="53"/>
      <c r="M1753" s="54"/>
    </row>
    <row r="1754">
      <c r="A1754" s="23"/>
      <c r="B1754" s="52"/>
      <c r="C1754" s="53"/>
      <c r="D1754" s="23"/>
      <c r="E1754" s="53"/>
      <c r="F1754" s="54"/>
      <c r="G1754" s="54"/>
      <c r="H1754" s="54"/>
      <c r="I1754" s="53"/>
      <c r="J1754" s="53"/>
      <c r="K1754" s="23"/>
      <c r="L1754" s="53"/>
      <c r="M1754" s="54"/>
    </row>
    <row r="1755">
      <c r="A1755" s="23"/>
      <c r="B1755" s="52"/>
      <c r="C1755" s="53"/>
      <c r="D1755" s="23"/>
      <c r="E1755" s="53"/>
      <c r="F1755" s="54"/>
      <c r="G1755" s="54"/>
      <c r="H1755" s="54"/>
      <c r="I1755" s="53"/>
      <c r="J1755" s="53"/>
      <c r="K1755" s="23"/>
      <c r="L1755" s="53"/>
      <c r="M1755" s="54"/>
    </row>
    <row r="1756">
      <c r="A1756" s="23"/>
      <c r="B1756" s="52"/>
      <c r="C1756" s="53"/>
      <c r="D1756" s="23"/>
      <c r="E1756" s="53"/>
      <c r="F1756" s="54"/>
      <c r="G1756" s="54"/>
      <c r="H1756" s="54"/>
      <c r="I1756" s="53"/>
      <c r="J1756" s="53"/>
      <c r="K1756" s="23"/>
      <c r="L1756" s="53"/>
      <c r="M1756" s="54"/>
    </row>
    <row r="1757">
      <c r="A1757" s="23"/>
      <c r="B1757" s="52"/>
      <c r="C1757" s="53"/>
      <c r="D1757" s="23"/>
      <c r="E1757" s="53"/>
      <c r="F1757" s="54"/>
      <c r="G1757" s="54"/>
      <c r="H1757" s="54"/>
      <c r="I1757" s="53"/>
      <c r="J1757" s="53"/>
      <c r="K1757" s="23"/>
      <c r="L1757" s="53"/>
      <c r="M1757" s="54"/>
    </row>
    <row r="1758">
      <c r="A1758" s="23"/>
      <c r="B1758" s="52"/>
      <c r="C1758" s="53"/>
      <c r="D1758" s="23"/>
      <c r="E1758" s="53"/>
      <c r="F1758" s="54"/>
      <c r="G1758" s="54"/>
      <c r="H1758" s="54"/>
      <c r="I1758" s="53"/>
      <c r="J1758" s="53"/>
      <c r="K1758" s="23"/>
      <c r="L1758" s="53"/>
      <c r="M1758" s="54"/>
    </row>
    <row r="1759">
      <c r="A1759" s="23"/>
      <c r="B1759" s="52"/>
      <c r="C1759" s="53"/>
      <c r="D1759" s="23"/>
      <c r="E1759" s="53"/>
      <c r="F1759" s="54"/>
      <c r="G1759" s="54"/>
      <c r="H1759" s="54"/>
      <c r="I1759" s="53"/>
      <c r="J1759" s="53"/>
      <c r="K1759" s="23"/>
      <c r="L1759" s="53"/>
      <c r="M1759" s="54"/>
    </row>
    <row r="1760">
      <c r="A1760" s="23"/>
      <c r="B1760" s="52"/>
      <c r="C1760" s="53"/>
      <c r="D1760" s="23"/>
      <c r="E1760" s="53"/>
      <c r="F1760" s="54"/>
      <c r="G1760" s="54"/>
      <c r="H1760" s="54"/>
      <c r="I1760" s="53"/>
      <c r="J1760" s="53"/>
      <c r="K1760" s="23"/>
      <c r="L1760" s="53"/>
      <c r="M1760" s="54"/>
    </row>
    <row r="1761">
      <c r="A1761" s="23"/>
      <c r="B1761" s="52"/>
      <c r="C1761" s="53"/>
      <c r="D1761" s="23"/>
      <c r="E1761" s="53"/>
      <c r="F1761" s="54"/>
      <c r="G1761" s="54"/>
      <c r="H1761" s="54"/>
      <c r="I1761" s="53"/>
      <c r="J1761" s="53"/>
      <c r="K1761" s="23"/>
      <c r="L1761" s="53"/>
      <c r="M1761" s="54"/>
    </row>
    <row r="1762">
      <c r="A1762" s="23"/>
      <c r="B1762" s="52"/>
      <c r="C1762" s="53"/>
      <c r="D1762" s="23"/>
      <c r="E1762" s="53"/>
      <c r="F1762" s="54"/>
      <c r="G1762" s="54"/>
      <c r="H1762" s="54"/>
      <c r="I1762" s="53"/>
      <c r="J1762" s="53"/>
      <c r="K1762" s="23"/>
      <c r="L1762" s="53"/>
      <c r="M1762" s="54"/>
    </row>
    <row r="1763">
      <c r="A1763" s="23"/>
      <c r="B1763" s="52"/>
      <c r="C1763" s="53"/>
      <c r="D1763" s="23"/>
      <c r="E1763" s="53"/>
      <c r="F1763" s="54"/>
      <c r="G1763" s="54"/>
      <c r="H1763" s="54"/>
      <c r="I1763" s="53"/>
      <c r="J1763" s="53"/>
      <c r="K1763" s="23"/>
      <c r="L1763" s="53"/>
      <c r="M1763" s="54"/>
    </row>
    <row r="1764">
      <c r="A1764" s="23"/>
      <c r="B1764" s="52"/>
      <c r="C1764" s="53"/>
      <c r="D1764" s="23"/>
      <c r="E1764" s="53"/>
      <c r="F1764" s="54"/>
      <c r="G1764" s="54"/>
      <c r="H1764" s="54"/>
      <c r="I1764" s="53"/>
      <c r="J1764" s="53"/>
      <c r="K1764" s="23"/>
      <c r="L1764" s="53"/>
      <c r="M1764" s="54"/>
    </row>
    <row r="1765">
      <c r="A1765" s="23"/>
      <c r="B1765" s="52"/>
      <c r="C1765" s="53"/>
      <c r="D1765" s="23"/>
      <c r="E1765" s="53"/>
      <c r="F1765" s="54"/>
      <c r="G1765" s="54"/>
      <c r="H1765" s="54"/>
      <c r="I1765" s="53"/>
      <c r="J1765" s="53"/>
      <c r="K1765" s="23"/>
      <c r="L1765" s="53"/>
      <c r="M1765" s="54"/>
    </row>
    <row r="1766">
      <c r="A1766" s="23"/>
      <c r="B1766" s="52"/>
      <c r="C1766" s="53"/>
      <c r="D1766" s="23"/>
      <c r="E1766" s="53"/>
      <c r="F1766" s="54"/>
      <c r="G1766" s="54"/>
      <c r="H1766" s="54"/>
      <c r="I1766" s="53"/>
      <c r="J1766" s="53"/>
      <c r="K1766" s="23"/>
      <c r="L1766" s="53"/>
      <c r="M1766" s="54"/>
    </row>
    <row r="1767">
      <c r="A1767" s="23"/>
      <c r="B1767" s="52"/>
      <c r="C1767" s="53"/>
      <c r="D1767" s="23"/>
      <c r="E1767" s="53"/>
      <c r="F1767" s="54"/>
      <c r="G1767" s="54"/>
      <c r="H1767" s="54"/>
      <c r="I1767" s="53"/>
      <c r="J1767" s="53"/>
      <c r="K1767" s="23"/>
      <c r="L1767" s="53"/>
      <c r="M1767" s="54"/>
    </row>
    <row r="1768">
      <c r="A1768" s="23"/>
      <c r="B1768" s="52"/>
      <c r="C1768" s="53"/>
      <c r="D1768" s="23"/>
      <c r="E1768" s="53"/>
      <c r="F1768" s="54"/>
      <c r="G1768" s="54"/>
      <c r="H1768" s="54"/>
      <c r="I1768" s="53"/>
      <c r="J1768" s="53"/>
      <c r="K1768" s="23"/>
      <c r="L1768" s="53"/>
      <c r="M1768" s="54"/>
    </row>
    <row r="1769">
      <c r="A1769" s="23"/>
      <c r="B1769" s="52"/>
      <c r="C1769" s="53"/>
      <c r="D1769" s="23"/>
      <c r="E1769" s="53"/>
      <c r="F1769" s="54"/>
      <c r="G1769" s="54"/>
      <c r="H1769" s="54"/>
      <c r="I1769" s="53"/>
      <c r="J1769" s="53"/>
      <c r="K1769" s="23"/>
      <c r="L1769" s="53"/>
      <c r="M1769" s="54"/>
    </row>
    <row r="1770">
      <c r="A1770" s="23"/>
      <c r="B1770" s="52"/>
      <c r="C1770" s="53"/>
      <c r="D1770" s="23"/>
      <c r="E1770" s="53"/>
      <c r="F1770" s="54"/>
      <c r="G1770" s="54"/>
      <c r="H1770" s="54"/>
      <c r="I1770" s="53"/>
      <c r="J1770" s="53"/>
      <c r="K1770" s="23"/>
      <c r="L1770" s="53"/>
      <c r="M1770" s="54"/>
    </row>
    <row r="1771">
      <c r="A1771" s="23"/>
      <c r="B1771" s="52"/>
      <c r="C1771" s="53"/>
      <c r="D1771" s="23"/>
      <c r="E1771" s="53"/>
      <c r="F1771" s="54"/>
      <c r="G1771" s="54"/>
      <c r="H1771" s="54"/>
      <c r="I1771" s="53"/>
      <c r="J1771" s="53"/>
      <c r="K1771" s="23"/>
      <c r="L1771" s="53"/>
      <c r="M1771" s="54"/>
    </row>
    <row r="1772">
      <c r="A1772" s="23"/>
      <c r="B1772" s="52"/>
      <c r="C1772" s="53"/>
      <c r="D1772" s="23"/>
      <c r="E1772" s="53"/>
      <c r="F1772" s="54"/>
      <c r="G1772" s="54"/>
      <c r="H1772" s="54"/>
      <c r="I1772" s="53"/>
      <c r="J1772" s="53"/>
      <c r="K1772" s="23"/>
      <c r="L1772" s="53"/>
      <c r="M1772" s="54"/>
    </row>
    <row r="1773">
      <c r="A1773" s="23"/>
      <c r="B1773" s="52"/>
      <c r="C1773" s="53"/>
      <c r="D1773" s="23"/>
      <c r="E1773" s="53"/>
      <c r="F1773" s="54"/>
      <c r="G1773" s="54"/>
      <c r="H1773" s="54"/>
      <c r="I1773" s="53"/>
      <c r="J1773" s="53"/>
      <c r="K1773" s="23"/>
      <c r="L1773" s="53"/>
      <c r="M1773" s="54"/>
    </row>
    <row r="1774">
      <c r="A1774" s="23"/>
      <c r="B1774" s="52"/>
      <c r="C1774" s="53"/>
      <c r="D1774" s="23"/>
      <c r="E1774" s="53"/>
      <c r="F1774" s="54"/>
      <c r="G1774" s="54"/>
      <c r="H1774" s="54"/>
      <c r="I1774" s="53"/>
      <c r="J1774" s="53"/>
      <c r="K1774" s="23"/>
      <c r="L1774" s="53"/>
      <c r="M1774" s="54"/>
    </row>
    <row r="1775">
      <c r="A1775" s="23"/>
      <c r="B1775" s="52"/>
      <c r="C1775" s="53"/>
      <c r="D1775" s="23"/>
      <c r="E1775" s="53"/>
      <c r="F1775" s="54"/>
      <c r="G1775" s="54"/>
      <c r="H1775" s="54"/>
      <c r="I1775" s="53"/>
      <c r="J1775" s="53"/>
      <c r="K1775" s="23"/>
      <c r="L1775" s="53"/>
      <c r="M1775" s="54"/>
    </row>
    <row r="1776">
      <c r="A1776" s="23"/>
      <c r="B1776" s="52"/>
      <c r="C1776" s="53"/>
      <c r="D1776" s="23"/>
      <c r="E1776" s="53"/>
      <c r="F1776" s="54"/>
      <c r="G1776" s="54"/>
      <c r="H1776" s="54"/>
      <c r="I1776" s="53"/>
      <c r="J1776" s="53"/>
      <c r="K1776" s="23"/>
      <c r="L1776" s="53"/>
      <c r="M1776" s="54"/>
    </row>
    <row r="1777">
      <c r="A1777" s="23"/>
      <c r="B1777" s="52"/>
      <c r="C1777" s="53"/>
      <c r="D1777" s="23"/>
      <c r="E1777" s="53"/>
      <c r="F1777" s="54"/>
      <c r="G1777" s="54"/>
      <c r="H1777" s="54"/>
      <c r="I1777" s="53"/>
      <c r="J1777" s="53"/>
      <c r="K1777" s="23"/>
      <c r="L1777" s="53"/>
      <c r="M1777" s="54"/>
    </row>
    <row r="1778">
      <c r="A1778" s="23"/>
      <c r="B1778" s="52"/>
      <c r="C1778" s="53"/>
      <c r="D1778" s="23"/>
      <c r="E1778" s="53"/>
      <c r="F1778" s="54"/>
      <c r="G1778" s="54"/>
      <c r="H1778" s="54"/>
      <c r="I1778" s="53"/>
      <c r="J1778" s="53"/>
      <c r="K1778" s="23"/>
      <c r="L1778" s="53"/>
      <c r="M1778" s="54"/>
    </row>
    <row r="1779">
      <c r="A1779" s="23"/>
      <c r="B1779" s="52"/>
      <c r="C1779" s="53"/>
      <c r="D1779" s="23"/>
      <c r="E1779" s="53"/>
      <c r="F1779" s="54"/>
      <c r="G1779" s="54"/>
      <c r="H1779" s="54"/>
      <c r="I1779" s="53"/>
      <c r="J1779" s="53"/>
      <c r="K1779" s="23"/>
      <c r="L1779" s="53"/>
      <c r="M1779" s="54"/>
    </row>
    <row r="1780">
      <c r="A1780" s="23"/>
      <c r="B1780" s="52"/>
      <c r="C1780" s="53"/>
      <c r="D1780" s="23"/>
      <c r="E1780" s="53"/>
      <c r="F1780" s="54"/>
      <c r="G1780" s="54"/>
      <c r="H1780" s="54"/>
      <c r="I1780" s="53"/>
      <c r="J1780" s="53"/>
      <c r="K1780" s="23"/>
      <c r="L1780" s="53"/>
      <c r="M1780" s="54"/>
    </row>
    <row r="1781">
      <c r="A1781" s="23"/>
      <c r="B1781" s="52"/>
      <c r="C1781" s="53"/>
      <c r="D1781" s="23"/>
      <c r="E1781" s="53"/>
      <c r="F1781" s="54"/>
      <c r="G1781" s="54"/>
      <c r="H1781" s="54"/>
      <c r="I1781" s="53"/>
      <c r="J1781" s="53"/>
      <c r="K1781" s="23"/>
      <c r="L1781" s="53"/>
      <c r="M1781" s="54"/>
    </row>
    <row r="1782">
      <c r="A1782" s="23"/>
      <c r="B1782" s="52"/>
      <c r="C1782" s="53"/>
      <c r="D1782" s="23"/>
      <c r="E1782" s="53"/>
      <c r="F1782" s="54"/>
      <c r="G1782" s="54"/>
      <c r="H1782" s="54"/>
      <c r="I1782" s="53"/>
      <c r="J1782" s="53"/>
      <c r="K1782" s="23"/>
      <c r="L1782" s="53"/>
      <c r="M1782" s="54"/>
    </row>
    <row r="1783">
      <c r="A1783" s="23"/>
      <c r="B1783" s="52"/>
      <c r="C1783" s="53"/>
      <c r="D1783" s="23"/>
      <c r="E1783" s="53"/>
      <c r="F1783" s="54"/>
      <c r="G1783" s="54"/>
      <c r="H1783" s="54"/>
      <c r="I1783" s="53"/>
      <c r="J1783" s="53"/>
      <c r="K1783" s="23"/>
      <c r="L1783" s="53"/>
      <c r="M1783" s="54"/>
    </row>
    <row r="1784">
      <c r="A1784" s="23"/>
      <c r="B1784" s="52"/>
      <c r="C1784" s="53"/>
      <c r="D1784" s="23"/>
      <c r="E1784" s="53"/>
      <c r="F1784" s="54"/>
      <c r="G1784" s="54"/>
      <c r="H1784" s="54"/>
      <c r="I1784" s="53"/>
      <c r="J1784" s="53"/>
      <c r="K1784" s="23"/>
      <c r="L1784" s="53"/>
      <c r="M1784" s="54"/>
    </row>
    <row r="1785">
      <c r="A1785" s="23"/>
      <c r="B1785" s="52"/>
      <c r="C1785" s="53"/>
      <c r="D1785" s="23"/>
      <c r="E1785" s="53"/>
      <c r="F1785" s="54"/>
      <c r="G1785" s="54"/>
      <c r="H1785" s="54"/>
      <c r="I1785" s="53"/>
      <c r="J1785" s="53"/>
      <c r="K1785" s="23"/>
      <c r="L1785" s="53"/>
      <c r="M1785" s="54"/>
    </row>
    <row r="1786">
      <c r="A1786" s="23"/>
      <c r="B1786" s="52"/>
      <c r="C1786" s="53"/>
      <c r="D1786" s="23"/>
      <c r="E1786" s="53"/>
      <c r="F1786" s="54"/>
      <c r="G1786" s="54"/>
      <c r="H1786" s="54"/>
      <c r="I1786" s="53"/>
      <c r="J1786" s="53"/>
      <c r="K1786" s="23"/>
      <c r="L1786" s="53"/>
      <c r="M1786" s="54"/>
    </row>
    <row r="1787">
      <c r="A1787" s="23"/>
      <c r="B1787" s="52"/>
      <c r="C1787" s="53"/>
      <c r="D1787" s="23"/>
      <c r="E1787" s="53"/>
      <c r="F1787" s="54"/>
      <c r="G1787" s="54"/>
      <c r="H1787" s="54"/>
      <c r="I1787" s="53"/>
      <c r="J1787" s="53"/>
      <c r="K1787" s="23"/>
      <c r="L1787" s="53"/>
      <c r="M1787" s="54"/>
    </row>
    <row r="1788">
      <c r="A1788" s="23"/>
      <c r="B1788" s="52"/>
      <c r="C1788" s="53"/>
      <c r="D1788" s="23"/>
      <c r="E1788" s="53"/>
      <c r="F1788" s="54"/>
      <c r="G1788" s="54"/>
      <c r="H1788" s="54"/>
      <c r="I1788" s="53"/>
      <c r="J1788" s="53"/>
      <c r="K1788" s="23"/>
      <c r="L1788" s="53"/>
      <c r="M1788" s="54"/>
    </row>
    <row r="1789">
      <c r="A1789" s="23"/>
      <c r="B1789" s="52"/>
      <c r="C1789" s="53"/>
      <c r="D1789" s="23"/>
      <c r="E1789" s="53"/>
      <c r="F1789" s="54"/>
      <c r="G1789" s="54"/>
      <c r="H1789" s="54"/>
      <c r="I1789" s="53"/>
      <c r="J1789" s="53"/>
      <c r="K1789" s="23"/>
      <c r="L1789" s="53"/>
      <c r="M1789" s="54"/>
    </row>
    <row r="1790">
      <c r="A1790" s="23"/>
      <c r="B1790" s="52"/>
      <c r="C1790" s="53"/>
      <c r="D1790" s="23"/>
      <c r="E1790" s="53"/>
      <c r="F1790" s="54"/>
      <c r="G1790" s="54"/>
      <c r="H1790" s="54"/>
      <c r="I1790" s="53"/>
      <c r="J1790" s="53"/>
      <c r="K1790" s="23"/>
      <c r="L1790" s="53"/>
      <c r="M1790" s="54"/>
    </row>
    <row r="1791">
      <c r="A1791" s="23"/>
      <c r="B1791" s="52"/>
      <c r="C1791" s="53"/>
      <c r="D1791" s="23"/>
      <c r="E1791" s="53"/>
      <c r="F1791" s="54"/>
      <c r="G1791" s="54"/>
      <c r="H1791" s="54"/>
      <c r="I1791" s="53"/>
      <c r="J1791" s="53"/>
      <c r="K1791" s="23"/>
      <c r="L1791" s="53"/>
      <c r="M1791" s="54"/>
    </row>
    <row r="1792">
      <c r="A1792" s="23"/>
      <c r="B1792" s="52"/>
      <c r="C1792" s="53"/>
      <c r="D1792" s="23"/>
      <c r="E1792" s="53"/>
      <c r="F1792" s="54"/>
      <c r="G1792" s="54"/>
      <c r="H1792" s="54"/>
      <c r="I1792" s="53"/>
      <c r="J1792" s="53"/>
      <c r="K1792" s="23"/>
      <c r="L1792" s="53"/>
      <c r="M1792" s="54"/>
    </row>
    <row r="1793">
      <c r="A1793" s="23"/>
      <c r="B1793" s="52"/>
      <c r="C1793" s="53"/>
      <c r="D1793" s="23"/>
      <c r="E1793" s="53"/>
      <c r="F1793" s="54"/>
      <c r="G1793" s="54"/>
      <c r="H1793" s="54"/>
      <c r="I1793" s="53"/>
      <c r="J1793" s="53"/>
      <c r="K1793" s="23"/>
      <c r="L1793" s="53"/>
      <c r="M1793" s="54"/>
    </row>
    <row r="1794">
      <c r="A1794" s="23"/>
      <c r="B1794" s="52"/>
      <c r="C1794" s="53"/>
      <c r="D1794" s="23"/>
      <c r="E1794" s="53"/>
      <c r="F1794" s="54"/>
      <c r="G1794" s="54"/>
      <c r="H1794" s="54"/>
      <c r="I1794" s="53"/>
      <c r="J1794" s="53"/>
      <c r="K1794" s="23"/>
      <c r="L1794" s="53"/>
      <c r="M1794" s="54"/>
    </row>
    <row r="1795">
      <c r="A1795" s="23"/>
      <c r="B1795" s="52"/>
      <c r="C1795" s="53"/>
      <c r="D1795" s="23"/>
      <c r="E1795" s="53"/>
      <c r="F1795" s="54"/>
      <c r="G1795" s="54"/>
      <c r="H1795" s="54"/>
      <c r="I1795" s="53"/>
      <c r="J1795" s="53"/>
      <c r="K1795" s="23"/>
      <c r="L1795" s="53"/>
      <c r="M1795" s="54"/>
    </row>
    <row r="1796">
      <c r="A1796" s="23"/>
      <c r="B1796" s="52"/>
      <c r="C1796" s="53"/>
      <c r="D1796" s="23"/>
      <c r="E1796" s="53"/>
      <c r="F1796" s="54"/>
      <c r="G1796" s="54"/>
      <c r="H1796" s="54"/>
      <c r="I1796" s="53"/>
      <c r="J1796" s="53"/>
      <c r="K1796" s="23"/>
      <c r="L1796" s="53"/>
      <c r="M1796" s="54"/>
    </row>
    <row r="1797">
      <c r="A1797" s="23"/>
      <c r="B1797" s="52"/>
      <c r="C1797" s="53"/>
      <c r="D1797" s="23"/>
      <c r="E1797" s="53"/>
      <c r="F1797" s="54"/>
      <c r="G1797" s="54"/>
      <c r="H1797" s="54"/>
      <c r="I1797" s="53"/>
      <c r="J1797" s="53"/>
      <c r="K1797" s="23"/>
      <c r="L1797" s="53"/>
      <c r="M1797" s="54"/>
    </row>
    <row r="1798">
      <c r="A1798" s="23"/>
      <c r="B1798" s="52"/>
      <c r="C1798" s="53"/>
      <c r="D1798" s="23"/>
      <c r="E1798" s="53"/>
      <c r="F1798" s="54"/>
      <c r="G1798" s="54"/>
      <c r="H1798" s="54"/>
      <c r="I1798" s="53"/>
      <c r="J1798" s="53"/>
      <c r="K1798" s="23"/>
      <c r="L1798" s="53"/>
      <c r="M1798" s="54"/>
    </row>
    <row r="1799">
      <c r="A1799" s="23"/>
      <c r="B1799" s="52"/>
      <c r="C1799" s="53"/>
      <c r="D1799" s="23"/>
      <c r="E1799" s="56"/>
      <c r="F1799" s="54"/>
      <c r="G1799" s="54"/>
      <c r="H1799" s="54"/>
      <c r="I1799" s="53"/>
      <c r="J1799" s="53"/>
      <c r="K1799" s="23"/>
      <c r="L1799" s="53"/>
      <c r="M1799" s="54"/>
    </row>
    <row r="1800">
      <c r="A1800" s="23"/>
      <c r="B1800" s="52"/>
      <c r="C1800" s="53"/>
      <c r="D1800" s="23"/>
      <c r="E1800" s="53"/>
      <c r="F1800" s="54"/>
      <c r="G1800" s="54"/>
      <c r="H1800" s="54"/>
      <c r="I1800" s="53"/>
      <c r="J1800" s="53"/>
      <c r="K1800" s="23"/>
      <c r="L1800" s="53"/>
      <c r="M1800" s="54"/>
    </row>
    <row r="1801">
      <c r="A1801" s="23"/>
      <c r="B1801" s="52"/>
      <c r="C1801" s="53"/>
      <c r="D1801" s="23"/>
      <c r="E1801" s="53"/>
      <c r="F1801" s="54"/>
      <c r="G1801" s="54"/>
      <c r="H1801" s="54"/>
      <c r="I1801" s="53"/>
      <c r="J1801" s="53"/>
      <c r="K1801" s="23"/>
      <c r="L1801" s="53"/>
      <c r="M1801" s="54"/>
    </row>
    <row r="1802">
      <c r="A1802" s="23"/>
      <c r="B1802" s="52"/>
      <c r="C1802" s="53"/>
      <c r="D1802" s="23"/>
      <c r="E1802" s="53"/>
      <c r="F1802" s="54"/>
      <c r="G1802" s="54"/>
      <c r="H1802" s="54"/>
      <c r="I1802" s="53"/>
      <c r="J1802" s="53"/>
      <c r="K1802" s="23"/>
      <c r="L1802" s="53"/>
      <c r="M1802" s="54"/>
    </row>
    <row r="1803">
      <c r="A1803" s="23"/>
      <c r="B1803" s="52"/>
      <c r="C1803" s="53"/>
      <c r="D1803" s="23"/>
      <c r="E1803" s="53"/>
      <c r="F1803" s="54"/>
      <c r="G1803" s="54"/>
      <c r="H1803" s="54"/>
      <c r="I1803" s="53"/>
      <c r="J1803" s="53"/>
      <c r="K1803" s="23"/>
      <c r="L1803" s="53"/>
      <c r="M1803" s="54"/>
    </row>
    <row r="1804">
      <c r="A1804" s="23"/>
      <c r="B1804" s="52"/>
      <c r="C1804" s="53"/>
      <c r="D1804" s="23"/>
      <c r="E1804" s="53"/>
      <c r="F1804" s="54"/>
      <c r="G1804" s="54"/>
      <c r="H1804" s="54"/>
      <c r="I1804" s="53"/>
      <c r="J1804" s="53"/>
      <c r="K1804" s="23"/>
      <c r="L1804" s="53"/>
      <c r="M1804" s="54"/>
    </row>
    <row r="1805">
      <c r="A1805" s="23"/>
      <c r="B1805" s="52"/>
      <c r="C1805" s="53"/>
      <c r="D1805" s="23"/>
      <c r="E1805" s="53"/>
      <c r="F1805" s="54"/>
      <c r="G1805" s="23"/>
      <c r="H1805" s="54"/>
      <c r="I1805" s="53"/>
      <c r="J1805" s="53"/>
      <c r="K1805" s="23"/>
      <c r="L1805" s="53"/>
      <c r="M1805" s="54"/>
    </row>
    <row r="1806">
      <c r="A1806" s="23"/>
      <c r="B1806" s="52"/>
      <c r="C1806" s="53"/>
      <c r="D1806" s="23"/>
      <c r="E1806" s="53"/>
      <c r="F1806" s="54"/>
      <c r="G1806" s="54"/>
      <c r="H1806" s="54"/>
      <c r="I1806" s="53"/>
      <c r="J1806" s="53"/>
      <c r="K1806" s="23"/>
      <c r="L1806" s="53"/>
      <c r="M1806" s="54"/>
    </row>
    <row r="1807">
      <c r="A1807" s="23"/>
      <c r="B1807" s="52"/>
      <c r="C1807" s="53"/>
      <c r="D1807" s="23"/>
      <c r="E1807" s="53"/>
      <c r="F1807" s="54"/>
      <c r="G1807" s="54"/>
      <c r="H1807" s="54"/>
      <c r="I1807" s="53"/>
      <c r="J1807" s="53"/>
      <c r="K1807" s="23"/>
      <c r="L1807" s="53"/>
      <c r="M1807" s="54"/>
    </row>
    <row r="1808">
      <c r="A1808" s="23"/>
      <c r="B1808" s="52"/>
      <c r="C1808" s="53"/>
      <c r="D1808" s="23"/>
      <c r="E1808" s="53"/>
      <c r="F1808" s="54"/>
      <c r="G1808" s="54"/>
      <c r="H1808" s="54"/>
      <c r="I1808" s="53"/>
      <c r="J1808" s="53"/>
      <c r="K1808" s="23"/>
      <c r="L1808" s="53"/>
      <c r="M1808" s="54"/>
    </row>
    <row r="1809">
      <c r="A1809" s="23"/>
      <c r="B1809" s="52"/>
      <c r="C1809" s="53"/>
      <c r="D1809" s="23"/>
      <c r="E1809" s="53"/>
      <c r="F1809" s="54"/>
      <c r="G1809" s="54"/>
      <c r="H1809" s="54"/>
      <c r="I1809" s="53"/>
      <c r="J1809" s="53"/>
      <c r="K1809" s="23"/>
      <c r="L1809" s="53"/>
      <c r="M1809" s="54"/>
    </row>
    <row r="1810">
      <c r="A1810" s="23"/>
      <c r="B1810" s="52"/>
      <c r="C1810" s="53"/>
      <c r="D1810" s="23"/>
      <c r="E1810" s="53"/>
      <c r="F1810" s="54"/>
      <c r="G1810" s="54"/>
      <c r="H1810" s="54"/>
      <c r="I1810" s="53"/>
      <c r="J1810" s="53"/>
      <c r="K1810" s="23"/>
      <c r="L1810" s="53"/>
      <c r="M1810" s="54"/>
    </row>
    <row r="1811">
      <c r="A1811" s="23"/>
      <c r="B1811" s="52"/>
      <c r="C1811" s="53"/>
      <c r="D1811" s="23"/>
      <c r="E1811" s="53"/>
      <c r="F1811" s="54"/>
      <c r="G1811" s="54"/>
      <c r="H1811" s="54"/>
      <c r="I1811" s="53"/>
      <c r="J1811" s="53"/>
      <c r="K1811" s="23"/>
      <c r="L1811" s="53"/>
      <c r="M1811" s="54"/>
    </row>
    <row r="1812">
      <c r="A1812" s="23"/>
      <c r="B1812" s="52"/>
      <c r="C1812" s="53"/>
      <c r="D1812" s="23"/>
      <c r="E1812" s="53"/>
      <c r="F1812" s="54"/>
      <c r="G1812" s="54"/>
      <c r="H1812" s="54"/>
      <c r="I1812" s="53"/>
      <c r="J1812" s="53"/>
      <c r="K1812" s="23"/>
      <c r="L1812" s="53"/>
      <c r="M1812" s="54"/>
    </row>
    <row r="1813">
      <c r="A1813" s="23"/>
      <c r="B1813" s="52"/>
      <c r="C1813" s="53"/>
      <c r="D1813" s="23"/>
      <c r="E1813" s="53"/>
      <c r="F1813" s="54"/>
      <c r="G1813" s="54"/>
      <c r="H1813" s="54"/>
      <c r="I1813" s="53"/>
      <c r="J1813" s="53"/>
      <c r="K1813" s="23"/>
      <c r="L1813" s="53"/>
      <c r="M1813" s="54"/>
    </row>
    <row r="1814">
      <c r="A1814" s="23"/>
      <c r="B1814" s="52"/>
      <c r="C1814" s="53"/>
      <c r="D1814" s="23"/>
      <c r="E1814" s="53"/>
      <c r="F1814" s="54"/>
      <c r="G1814" s="54"/>
      <c r="H1814" s="54"/>
      <c r="I1814" s="53"/>
      <c r="J1814" s="53"/>
      <c r="K1814" s="23"/>
      <c r="L1814" s="53"/>
      <c r="M1814" s="54"/>
    </row>
    <row r="1815">
      <c r="A1815" s="23"/>
      <c r="B1815" s="52"/>
      <c r="C1815" s="53"/>
      <c r="D1815" s="23"/>
      <c r="E1815" s="53"/>
      <c r="F1815" s="54"/>
      <c r="G1815" s="54"/>
      <c r="H1815" s="54"/>
      <c r="I1815" s="53"/>
      <c r="J1815" s="53"/>
      <c r="K1815" s="23"/>
      <c r="L1815" s="53"/>
      <c r="M1815" s="54"/>
    </row>
    <row r="1816">
      <c r="A1816" s="23"/>
      <c r="B1816" s="52"/>
      <c r="C1816" s="53"/>
      <c r="D1816" s="23"/>
      <c r="E1816" s="53"/>
      <c r="F1816" s="54"/>
      <c r="G1816" s="54"/>
      <c r="H1816" s="54"/>
      <c r="I1816" s="53"/>
      <c r="J1816" s="53"/>
      <c r="K1816" s="23"/>
      <c r="L1816" s="53"/>
      <c r="M1816" s="54"/>
    </row>
    <row r="1817">
      <c r="A1817" s="23"/>
      <c r="B1817" s="52"/>
      <c r="C1817" s="53"/>
      <c r="D1817" s="23"/>
      <c r="E1817" s="53"/>
      <c r="F1817" s="54"/>
      <c r="G1817" s="54"/>
      <c r="H1817" s="54"/>
      <c r="I1817" s="53"/>
      <c r="J1817" s="53"/>
      <c r="K1817" s="23"/>
      <c r="L1817" s="53"/>
      <c r="M1817" s="54"/>
    </row>
    <row r="1818">
      <c r="A1818" s="23"/>
      <c r="B1818" s="52"/>
      <c r="C1818" s="53"/>
      <c r="D1818" s="23"/>
      <c r="E1818" s="53"/>
      <c r="F1818" s="54"/>
      <c r="G1818" s="54"/>
      <c r="H1818" s="54"/>
      <c r="I1818" s="53"/>
      <c r="J1818" s="53"/>
      <c r="K1818" s="23"/>
      <c r="L1818" s="53"/>
      <c r="M1818" s="54"/>
    </row>
    <row r="1819">
      <c r="A1819" s="23"/>
      <c r="B1819" s="52"/>
      <c r="C1819" s="53"/>
      <c r="D1819" s="23"/>
      <c r="E1819" s="53"/>
      <c r="F1819" s="54"/>
      <c r="G1819" s="54"/>
      <c r="H1819" s="54"/>
      <c r="I1819" s="53"/>
      <c r="J1819" s="53"/>
      <c r="K1819" s="23"/>
      <c r="L1819" s="53"/>
      <c r="M1819" s="54"/>
    </row>
    <row r="1820">
      <c r="A1820" s="23"/>
      <c r="B1820" s="52"/>
      <c r="C1820" s="53"/>
      <c r="D1820" s="23"/>
      <c r="E1820" s="53"/>
      <c r="F1820" s="54"/>
      <c r="G1820" s="54"/>
      <c r="H1820" s="54"/>
      <c r="I1820" s="53"/>
      <c r="J1820" s="53"/>
      <c r="K1820" s="23"/>
      <c r="L1820" s="53"/>
      <c r="M1820" s="54"/>
    </row>
    <row r="1821">
      <c r="A1821" s="23"/>
      <c r="B1821" s="52"/>
      <c r="C1821" s="53"/>
      <c r="D1821" s="23"/>
      <c r="E1821" s="53"/>
      <c r="F1821" s="54"/>
      <c r="G1821" s="54"/>
      <c r="H1821" s="54"/>
      <c r="I1821" s="53"/>
      <c r="J1821" s="53"/>
      <c r="K1821" s="23"/>
      <c r="L1821" s="53"/>
      <c r="M1821" s="54"/>
    </row>
    <row r="1822">
      <c r="A1822" s="23"/>
      <c r="B1822" s="52"/>
      <c r="C1822" s="53"/>
      <c r="D1822" s="23"/>
      <c r="E1822" s="53"/>
      <c r="F1822" s="54"/>
      <c r="G1822" s="54"/>
      <c r="H1822" s="54"/>
      <c r="I1822" s="53"/>
      <c r="J1822" s="53"/>
      <c r="K1822" s="23"/>
      <c r="L1822" s="53"/>
      <c r="M1822" s="54"/>
    </row>
    <row r="1823">
      <c r="A1823" s="23"/>
      <c r="B1823" s="52"/>
      <c r="C1823" s="53"/>
      <c r="D1823" s="23"/>
      <c r="E1823" s="53"/>
      <c r="F1823" s="54"/>
      <c r="G1823" s="54"/>
      <c r="H1823" s="54"/>
      <c r="I1823" s="53"/>
      <c r="J1823" s="53"/>
      <c r="K1823" s="23"/>
      <c r="L1823" s="53"/>
      <c r="M1823" s="54"/>
    </row>
    <row r="1824">
      <c r="A1824" s="23"/>
      <c r="B1824" s="52"/>
      <c r="C1824" s="53"/>
      <c r="D1824" s="23"/>
      <c r="E1824" s="53"/>
      <c r="F1824" s="54"/>
      <c r="G1824" s="54"/>
      <c r="H1824" s="54"/>
      <c r="I1824" s="53"/>
      <c r="J1824" s="53"/>
      <c r="K1824" s="23"/>
      <c r="L1824" s="53"/>
      <c r="M1824" s="54"/>
    </row>
    <row r="1825">
      <c r="A1825" s="23"/>
      <c r="B1825" s="52"/>
      <c r="C1825" s="53"/>
      <c r="D1825" s="23"/>
      <c r="E1825" s="53"/>
      <c r="F1825" s="54"/>
      <c r="G1825" s="54"/>
      <c r="H1825" s="54"/>
      <c r="I1825" s="53"/>
      <c r="J1825" s="53"/>
      <c r="K1825" s="23"/>
      <c r="L1825" s="53"/>
      <c r="M1825" s="54"/>
    </row>
    <row r="1826">
      <c r="A1826" s="23"/>
      <c r="B1826" s="52"/>
      <c r="C1826" s="53"/>
      <c r="D1826" s="23"/>
      <c r="E1826" s="53"/>
      <c r="F1826" s="54"/>
      <c r="G1826" s="54"/>
      <c r="H1826" s="54"/>
      <c r="I1826" s="53"/>
      <c r="J1826" s="53"/>
      <c r="K1826" s="23"/>
      <c r="L1826" s="53"/>
      <c r="M1826" s="54"/>
    </row>
    <row r="1827">
      <c r="A1827" s="23"/>
      <c r="B1827" s="52"/>
      <c r="C1827" s="53"/>
      <c r="D1827" s="23"/>
      <c r="E1827" s="53"/>
      <c r="F1827" s="54"/>
      <c r="G1827" s="54"/>
      <c r="H1827" s="54"/>
      <c r="I1827" s="53"/>
      <c r="J1827" s="53"/>
      <c r="K1827" s="23"/>
      <c r="L1827" s="53"/>
      <c r="M1827" s="54"/>
    </row>
    <row r="1828">
      <c r="A1828" s="23"/>
      <c r="B1828" s="52"/>
      <c r="C1828" s="53"/>
      <c r="D1828" s="23"/>
      <c r="E1828" s="53"/>
      <c r="F1828" s="54"/>
      <c r="G1828" s="54"/>
      <c r="H1828" s="54"/>
      <c r="I1828" s="53"/>
      <c r="J1828" s="53"/>
      <c r="K1828" s="23"/>
      <c r="L1828" s="53"/>
      <c r="M1828" s="54"/>
    </row>
    <row r="1829">
      <c r="A1829" s="23"/>
      <c r="B1829" s="52"/>
      <c r="C1829" s="53"/>
      <c r="D1829" s="23"/>
      <c r="E1829" s="53"/>
      <c r="F1829" s="54"/>
      <c r="G1829" s="54"/>
      <c r="H1829" s="54"/>
      <c r="I1829" s="53"/>
      <c r="J1829" s="53"/>
      <c r="K1829" s="23"/>
      <c r="L1829" s="53"/>
      <c r="M1829" s="54"/>
    </row>
    <row r="1830">
      <c r="A1830" s="23"/>
      <c r="B1830" s="52"/>
      <c r="C1830" s="53"/>
      <c r="D1830" s="23"/>
      <c r="E1830" s="53"/>
      <c r="F1830" s="54"/>
      <c r="G1830" s="54"/>
      <c r="H1830" s="54"/>
      <c r="I1830" s="53"/>
      <c r="J1830" s="53"/>
      <c r="K1830" s="23"/>
      <c r="L1830" s="53"/>
      <c r="M1830" s="54"/>
    </row>
    <row r="1831">
      <c r="A1831" s="23"/>
      <c r="B1831" s="52"/>
      <c r="C1831" s="53"/>
      <c r="D1831" s="23"/>
      <c r="E1831" s="53"/>
      <c r="F1831" s="54"/>
      <c r="G1831" s="54"/>
      <c r="H1831" s="54"/>
      <c r="I1831" s="53"/>
      <c r="J1831" s="53"/>
      <c r="K1831" s="23"/>
      <c r="L1831" s="53"/>
      <c r="M1831" s="54"/>
    </row>
    <row r="1832">
      <c r="A1832" s="23"/>
      <c r="B1832" s="52"/>
      <c r="C1832" s="53"/>
      <c r="D1832" s="23"/>
      <c r="E1832" s="53"/>
      <c r="F1832" s="54"/>
      <c r="G1832" s="54"/>
      <c r="H1832" s="54"/>
      <c r="I1832" s="53"/>
      <c r="J1832" s="53"/>
      <c r="K1832" s="23"/>
      <c r="L1832" s="53"/>
      <c r="M1832" s="54"/>
    </row>
    <row r="1833">
      <c r="A1833" s="23"/>
      <c r="B1833" s="52"/>
      <c r="C1833" s="53"/>
      <c r="D1833" s="23"/>
      <c r="E1833" s="53"/>
      <c r="F1833" s="54"/>
      <c r="G1833" s="54"/>
      <c r="H1833" s="54"/>
      <c r="I1833" s="53"/>
      <c r="J1833" s="53"/>
      <c r="K1833" s="23"/>
      <c r="L1833" s="53"/>
      <c r="M1833" s="54"/>
    </row>
    <row r="1834">
      <c r="A1834" s="23"/>
      <c r="B1834" s="52"/>
      <c r="C1834" s="53"/>
      <c r="D1834" s="23"/>
      <c r="E1834" s="53"/>
      <c r="F1834" s="54"/>
      <c r="G1834" s="54"/>
      <c r="H1834" s="54"/>
      <c r="I1834" s="53"/>
      <c r="J1834" s="53"/>
      <c r="K1834" s="23"/>
      <c r="L1834" s="53"/>
      <c r="M1834" s="54"/>
    </row>
    <row r="1835">
      <c r="A1835" s="23"/>
      <c r="B1835" s="52"/>
      <c r="C1835" s="53"/>
      <c r="D1835" s="23"/>
      <c r="E1835" s="53"/>
      <c r="F1835" s="54"/>
      <c r="G1835" s="54"/>
      <c r="H1835" s="54"/>
      <c r="I1835" s="53"/>
      <c r="J1835" s="53"/>
      <c r="K1835" s="23"/>
      <c r="L1835" s="53"/>
      <c r="M1835" s="54"/>
    </row>
    <row r="1836">
      <c r="A1836" s="23"/>
      <c r="B1836" s="52"/>
      <c r="C1836" s="53"/>
      <c r="D1836" s="23"/>
      <c r="E1836" s="53"/>
      <c r="F1836" s="54"/>
      <c r="G1836" s="54"/>
      <c r="H1836" s="54"/>
      <c r="I1836" s="53"/>
      <c r="J1836" s="53"/>
      <c r="K1836" s="23"/>
      <c r="L1836" s="53"/>
      <c r="M1836" s="54"/>
    </row>
    <row r="1837">
      <c r="A1837" s="23"/>
      <c r="B1837" s="52"/>
      <c r="C1837" s="53"/>
      <c r="D1837" s="23"/>
      <c r="E1837" s="53"/>
      <c r="F1837" s="54"/>
      <c r="G1837" s="54"/>
      <c r="H1837" s="54"/>
      <c r="I1837" s="53"/>
      <c r="J1837" s="53"/>
      <c r="K1837" s="23"/>
      <c r="L1837" s="53"/>
      <c r="M1837" s="54"/>
    </row>
    <row r="1838">
      <c r="A1838" s="23"/>
      <c r="B1838" s="52"/>
      <c r="C1838" s="53"/>
      <c r="D1838" s="23"/>
      <c r="E1838" s="53"/>
      <c r="F1838" s="54"/>
      <c r="G1838" s="54"/>
      <c r="H1838" s="54"/>
      <c r="I1838" s="53"/>
      <c r="J1838" s="53"/>
      <c r="K1838" s="23"/>
      <c r="L1838" s="53"/>
      <c r="M1838" s="54"/>
    </row>
    <row r="1839">
      <c r="A1839" s="23"/>
      <c r="B1839" s="52"/>
      <c r="C1839" s="53"/>
      <c r="D1839" s="23"/>
      <c r="E1839" s="53"/>
      <c r="F1839" s="54"/>
      <c r="G1839" s="54"/>
      <c r="H1839" s="54"/>
      <c r="I1839" s="53"/>
      <c r="J1839" s="53"/>
      <c r="K1839" s="23"/>
      <c r="L1839" s="53"/>
      <c r="M1839" s="54"/>
    </row>
    <row r="1840">
      <c r="A1840" s="23"/>
      <c r="B1840" s="52"/>
      <c r="C1840" s="53"/>
      <c r="D1840" s="23"/>
      <c r="E1840" s="53"/>
      <c r="F1840" s="54"/>
      <c r="G1840" s="54"/>
      <c r="H1840" s="54"/>
      <c r="I1840" s="53"/>
      <c r="J1840" s="53"/>
      <c r="K1840" s="23"/>
      <c r="L1840" s="53"/>
      <c r="M1840" s="54"/>
    </row>
    <row r="1841">
      <c r="A1841" s="23"/>
      <c r="B1841" s="52"/>
      <c r="C1841" s="53"/>
      <c r="D1841" s="23"/>
      <c r="E1841" s="53"/>
      <c r="F1841" s="54"/>
      <c r="G1841" s="54"/>
      <c r="H1841" s="54"/>
      <c r="I1841" s="53"/>
      <c r="J1841" s="53"/>
      <c r="K1841" s="23"/>
      <c r="L1841" s="53"/>
      <c r="M1841" s="54"/>
    </row>
    <row r="1842">
      <c r="A1842" s="23"/>
      <c r="B1842" s="52"/>
      <c r="C1842" s="53"/>
      <c r="D1842" s="23"/>
      <c r="E1842" s="53"/>
      <c r="F1842" s="54"/>
      <c r="G1842" s="54"/>
      <c r="H1842" s="54"/>
      <c r="I1842" s="53"/>
      <c r="J1842" s="53"/>
      <c r="K1842" s="23"/>
      <c r="L1842" s="53"/>
      <c r="M1842" s="54"/>
    </row>
    <row r="1843">
      <c r="A1843" s="23"/>
      <c r="B1843" s="52"/>
      <c r="C1843" s="53"/>
      <c r="D1843" s="23"/>
      <c r="E1843" s="53"/>
      <c r="F1843" s="54"/>
      <c r="G1843" s="54"/>
      <c r="H1843" s="54"/>
      <c r="I1843" s="53"/>
      <c r="J1843" s="53"/>
      <c r="K1843" s="23"/>
      <c r="L1843" s="53"/>
      <c r="M1843" s="54"/>
    </row>
    <row r="1844">
      <c r="A1844" s="23"/>
      <c r="B1844" s="52"/>
      <c r="C1844" s="53"/>
      <c r="D1844" s="23"/>
      <c r="E1844" s="53"/>
      <c r="F1844" s="54"/>
      <c r="G1844" s="54"/>
      <c r="H1844" s="54"/>
      <c r="I1844" s="53"/>
      <c r="J1844" s="53"/>
      <c r="K1844" s="23"/>
      <c r="L1844" s="53"/>
      <c r="M1844" s="54"/>
    </row>
    <row r="1845">
      <c r="A1845" s="23"/>
      <c r="B1845" s="52"/>
      <c r="C1845" s="53"/>
      <c r="D1845" s="23"/>
      <c r="E1845" s="53"/>
      <c r="F1845" s="54"/>
      <c r="G1845" s="54"/>
      <c r="H1845" s="54"/>
      <c r="I1845" s="53"/>
      <c r="J1845" s="53"/>
      <c r="K1845" s="23"/>
      <c r="L1845" s="53"/>
      <c r="M1845" s="54"/>
    </row>
    <row r="1846">
      <c r="A1846" s="23"/>
      <c r="B1846" s="52"/>
      <c r="C1846" s="53"/>
      <c r="D1846" s="23"/>
      <c r="E1846" s="53"/>
      <c r="F1846" s="54"/>
      <c r="G1846" s="54"/>
      <c r="H1846" s="54"/>
      <c r="I1846" s="53"/>
      <c r="J1846" s="53"/>
      <c r="K1846" s="23"/>
      <c r="L1846" s="53"/>
      <c r="M1846" s="54"/>
    </row>
    <row r="1847">
      <c r="A1847" s="23"/>
      <c r="B1847" s="52"/>
      <c r="C1847" s="53"/>
      <c r="D1847" s="23"/>
      <c r="E1847" s="53"/>
      <c r="F1847" s="54"/>
      <c r="G1847" s="54"/>
      <c r="H1847" s="54"/>
      <c r="I1847" s="53"/>
      <c r="J1847" s="53"/>
      <c r="K1847" s="23"/>
      <c r="L1847" s="53"/>
      <c r="M1847" s="54"/>
    </row>
    <row r="1848">
      <c r="A1848" s="23"/>
      <c r="B1848" s="52"/>
      <c r="C1848" s="53"/>
      <c r="D1848" s="23"/>
      <c r="E1848" s="53"/>
      <c r="F1848" s="54"/>
      <c r="G1848" s="54"/>
      <c r="H1848" s="54"/>
      <c r="I1848" s="53"/>
      <c r="J1848" s="53"/>
      <c r="K1848" s="23"/>
      <c r="L1848" s="53"/>
      <c r="M1848" s="54"/>
    </row>
    <row r="1849">
      <c r="A1849" s="23"/>
      <c r="B1849" s="52"/>
      <c r="C1849" s="53"/>
      <c r="D1849" s="23"/>
      <c r="E1849" s="53"/>
      <c r="F1849" s="54"/>
      <c r="G1849" s="54"/>
      <c r="H1849" s="54"/>
      <c r="I1849" s="53"/>
      <c r="J1849" s="53"/>
      <c r="K1849" s="23"/>
      <c r="L1849" s="53"/>
      <c r="M1849" s="54"/>
    </row>
    <row r="1850">
      <c r="A1850" s="23"/>
      <c r="B1850" s="52"/>
      <c r="C1850" s="53"/>
      <c r="D1850" s="23"/>
      <c r="E1850" s="53"/>
      <c r="F1850" s="54"/>
      <c r="G1850" s="54"/>
      <c r="H1850" s="54"/>
      <c r="I1850" s="53"/>
      <c r="J1850" s="53"/>
      <c r="K1850" s="23"/>
      <c r="L1850" s="53"/>
      <c r="M1850" s="54"/>
    </row>
    <row r="1851">
      <c r="A1851" s="23"/>
      <c r="B1851" s="52"/>
      <c r="C1851" s="53"/>
      <c r="D1851" s="23"/>
      <c r="E1851" s="53"/>
      <c r="F1851" s="54"/>
      <c r="G1851" s="54"/>
      <c r="H1851" s="54"/>
      <c r="I1851" s="53"/>
      <c r="J1851" s="53"/>
      <c r="K1851" s="23"/>
      <c r="L1851" s="53"/>
      <c r="M1851" s="54"/>
    </row>
    <row r="1852">
      <c r="A1852" s="23"/>
      <c r="B1852" s="52"/>
      <c r="C1852" s="53"/>
      <c r="D1852" s="23"/>
      <c r="E1852" s="53"/>
      <c r="F1852" s="54"/>
      <c r="G1852" s="54"/>
      <c r="H1852" s="54"/>
      <c r="I1852" s="53"/>
      <c r="J1852" s="53"/>
      <c r="K1852" s="23"/>
      <c r="L1852" s="53"/>
      <c r="M1852" s="54"/>
    </row>
    <row r="1853">
      <c r="A1853" s="23"/>
      <c r="B1853" s="52"/>
      <c r="C1853" s="53"/>
      <c r="D1853" s="23"/>
      <c r="E1853" s="53"/>
      <c r="F1853" s="54"/>
      <c r="G1853" s="54"/>
      <c r="H1853" s="54"/>
      <c r="I1853" s="53"/>
      <c r="J1853" s="53"/>
      <c r="K1853" s="23"/>
      <c r="L1853" s="53"/>
      <c r="M1853" s="54"/>
    </row>
    <row r="1854">
      <c r="A1854" s="23"/>
      <c r="B1854" s="52"/>
      <c r="C1854" s="53"/>
      <c r="D1854" s="23"/>
      <c r="E1854" s="53"/>
      <c r="F1854" s="54"/>
      <c r="G1854" s="54"/>
      <c r="H1854" s="54"/>
      <c r="I1854" s="53"/>
      <c r="J1854" s="53"/>
      <c r="K1854" s="23"/>
      <c r="L1854" s="53"/>
      <c r="M1854" s="54"/>
    </row>
    <row r="1855">
      <c r="A1855" s="23"/>
      <c r="B1855" s="52"/>
      <c r="C1855" s="53"/>
      <c r="D1855" s="23"/>
      <c r="E1855" s="53"/>
      <c r="F1855" s="54"/>
      <c r="G1855" s="54"/>
      <c r="H1855" s="54"/>
      <c r="I1855" s="53"/>
      <c r="J1855" s="53"/>
      <c r="K1855" s="23"/>
      <c r="L1855" s="53"/>
      <c r="M1855" s="54"/>
    </row>
    <row r="1856">
      <c r="A1856" s="23"/>
      <c r="B1856" s="52"/>
      <c r="C1856" s="53"/>
      <c r="D1856" s="23"/>
      <c r="E1856" s="53"/>
      <c r="F1856" s="54"/>
      <c r="G1856" s="54"/>
      <c r="H1856" s="54"/>
      <c r="I1856" s="53"/>
      <c r="J1856" s="53"/>
      <c r="K1856" s="23"/>
      <c r="L1856" s="53"/>
      <c r="M1856" s="54"/>
    </row>
    <row r="1857">
      <c r="A1857" s="23"/>
      <c r="B1857" s="52"/>
      <c r="C1857" s="53"/>
      <c r="D1857" s="23"/>
      <c r="E1857" s="53"/>
      <c r="F1857" s="54"/>
      <c r="G1857" s="54"/>
      <c r="H1857" s="54"/>
      <c r="I1857" s="53"/>
      <c r="J1857" s="53"/>
      <c r="K1857" s="23"/>
      <c r="L1857" s="53"/>
      <c r="M1857" s="54"/>
    </row>
    <row r="1858">
      <c r="A1858" s="23"/>
      <c r="B1858" s="52"/>
      <c r="C1858" s="53"/>
      <c r="D1858" s="23"/>
      <c r="E1858" s="53"/>
      <c r="F1858" s="54"/>
      <c r="G1858" s="54"/>
      <c r="H1858" s="54"/>
      <c r="I1858" s="53"/>
      <c r="J1858" s="53"/>
      <c r="K1858" s="23"/>
      <c r="L1858" s="53"/>
      <c r="M1858" s="54"/>
    </row>
    <row r="1859">
      <c r="A1859" s="23"/>
      <c r="B1859" s="52"/>
      <c r="C1859" s="53"/>
      <c r="D1859" s="23"/>
      <c r="E1859" s="53"/>
      <c r="F1859" s="54"/>
      <c r="G1859" s="54"/>
      <c r="H1859" s="54"/>
      <c r="I1859" s="53"/>
      <c r="J1859" s="53"/>
      <c r="K1859" s="23"/>
      <c r="L1859" s="53"/>
      <c r="M1859" s="54"/>
    </row>
    <row r="1860">
      <c r="A1860" s="23"/>
      <c r="B1860" s="52"/>
      <c r="C1860" s="53"/>
      <c r="D1860" s="23"/>
      <c r="E1860" s="53"/>
      <c r="F1860" s="54"/>
      <c r="G1860" s="54"/>
      <c r="H1860" s="54"/>
      <c r="I1860" s="53"/>
      <c r="J1860" s="53"/>
      <c r="K1860" s="23"/>
      <c r="L1860" s="53"/>
      <c r="M1860" s="54"/>
    </row>
    <row r="1861">
      <c r="A1861" s="23"/>
      <c r="B1861" s="52"/>
      <c r="C1861" s="53"/>
      <c r="D1861" s="23"/>
      <c r="E1861" s="53"/>
      <c r="F1861" s="54"/>
      <c r="G1861" s="54"/>
      <c r="H1861" s="54"/>
      <c r="I1861" s="53"/>
      <c r="J1861" s="53"/>
      <c r="K1861" s="23"/>
      <c r="L1861" s="53"/>
      <c r="M1861" s="54"/>
    </row>
    <row r="1862">
      <c r="A1862" s="23"/>
      <c r="B1862" s="52"/>
      <c r="C1862" s="53"/>
      <c r="D1862" s="23"/>
      <c r="E1862" s="53"/>
      <c r="F1862" s="54"/>
      <c r="G1862" s="54"/>
      <c r="H1862" s="54"/>
      <c r="I1862" s="53"/>
      <c r="J1862" s="53"/>
      <c r="K1862" s="23"/>
      <c r="L1862" s="53"/>
      <c r="M1862" s="54"/>
    </row>
    <row r="1863">
      <c r="A1863" s="23"/>
      <c r="B1863" s="52"/>
      <c r="C1863" s="53"/>
      <c r="D1863" s="23"/>
      <c r="E1863" s="53"/>
      <c r="F1863" s="54"/>
      <c r="G1863" s="54"/>
      <c r="H1863" s="54"/>
      <c r="I1863" s="53"/>
      <c r="J1863" s="53"/>
      <c r="K1863" s="23"/>
      <c r="L1863" s="53"/>
      <c r="M1863" s="54"/>
    </row>
    <row r="1864">
      <c r="A1864" s="23"/>
      <c r="B1864" s="52"/>
      <c r="C1864" s="53"/>
      <c r="D1864" s="23"/>
      <c r="E1864" s="53"/>
      <c r="F1864" s="54"/>
      <c r="G1864" s="54"/>
      <c r="H1864" s="54"/>
      <c r="I1864" s="53"/>
      <c r="J1864" s="53"/>
      <c r="K1864" s="23"/>
      <c r="L1864" s="53"/>
      <c r="M1864" s="54"/>
    </row>
    <row r="1865">
      <c r="A1865" s="23"/>
      <c r="B1865" s="52"/>
      <c r="C1865" s="53"/>
      <c r="D1865" s="23"/>
      <c r="E1865" s="53"/>
      <c r="F1865" s="54"/>
      <c r="G1865" s="54"/>
      <c r="H1865" s="54"/>
      <c r="I1865" s="53"/>
      <c r="J1865" s="53"/>
      <c r="K1865" s="23"/>
      <c r="L1865" s="53"/>
      <c r="M1865" s="54"/>
    </row>
    <row r="1866">
      <c r="A1866" s="23"/>
      <c r="B1866" s="52"/>
      <c r="C1866" s="53"/>
      <c r="D1866" s="23"/>
      <c r="E1866" s="53"/>
      <c r="F1866" s="54"/>
      <c r="G1866" s="54"/>
      <c r="H1866" s="54"/>
      <c r="I1866" s="53"/>
      <c r="J1866" s="53"/>
      <c r="K1866" s="23"/>
      <c r="L1866" s="53"/>
      <c r="M1866" s="54"/>
    </row>
    <row r="1867">
      <c r="A1867" s="23"/>
      <c r="B1867" s="52"/>
      <c r="C1867" s="53"/>
      <c r="D1867" s="23"/>
      <c r="E1867" s="53"/>
      <c r="F1867" s="54"/>
      <c r="G1867" s="54"/>
      <c r="H1867" s="54"/>
      <c r="I1867" s="53"/>
      <c r="J1867" s="53"/>
      <c r="K1867" s="23"/>
      <c r="L1867" s="53"/>
      <c r="M1867" s="54"/>
    </row>
    <row r="1868">
      <c r="A1868" s="23"/>
      <c r="B1868" s="52"/>
      <c r="C1868" s="53"/>
      <c r="D1868" s="23"/>
      <c r="E1868" s="53"/>
      <c r="F1868" s="54"/>
      <c r="G1868" s="54"/>
      <c r="H1868" s="54"/>
      <c r="I1868" s="53"/>
      <c r="J1868" s="53"/>
      <c r="K1868" s="23"/>
      <c r="L1868" s="53"/>
      <c r="M1868" s="54"/>
    </row>
    <row r="1869">
      <c r="A1869" s="23"/>
      <c r="B1869" s="52"/>
      <c r="C1869" s="53"/>
      <c r="D1869" s="23"/>
      <c r="E1869" s="53"/>
      <c r="F1869" s="54"/>
      <c r="G1869" s="54"/>
      <c r="H1869" s="54"/>
      <c r="I1869" s="53"/>
      <c r="J1869" s="53"/>
      <c r="K1869" s="23"/>
      <c r="L1869" s="53"/>
      <c r="M1869" s="54"/>
    </row>
    <row r="1870">
      <c r="A1870" s="23"/>
      <c r="B1870" s="52"/>
      <c r="C1870" s="53"/>
      <c r="D1870" s="23"/>
      <c r="E1870" s="53"/>
      <c r="F1870" s="54"/>
      <c r="G1870" s="23"/>
      <c r="H1870" s="54"/>
      <c r="I1870" s="53"/>
      <c r="J1870" s="53"/>
      <c r="K1870" s="23"/>
      <c r="L1870" s="53"/>
      <c r="M1870" s="54"/>
    </row>
    <row r="1871">
      <c r="A1871" s="23"/>
      <c r="B1871" s="52"/>
      <c r="C1871" s="53"/>
      <c r="D1871" s="23"/>
      <c r="E1871" s="53"/>
      <c r="F1871" s="54"/>
      <c r="G1871" s="54"/>
      <c r="H1871" s="54"/>
      <c r="I1871" s="53"/>
      <c r="J1871" s="53"/>
      <c r="K1871" s="23"/>
      <c r="L1871" s="53"/>
      <c r="M1871" s="54"/>
    </row>
    <row r="1872">
      <c r="A1872" s="23"/>
      <c r="B1872" s="52"/>
      <c r="C1872" s="53"/>
      <c r="D1872" s="23"/>
      <c r="E1872" s="53"/>
      <c r="F1872" s="54"/>
      <c r="G1872" s="54"/>
      <c r="H1872" s="54"/>
      <c r="I1872" s="53"/>
      <c r="J1872" s="53"/>
      <c r="K1872" s="23"/>
      <c r="L1872" s="53"/>
      <c r="M1872" s="54"/>
    </row>
    <row r="1873">
      <c r="A1873" s="23"/>
      <c r="B1873" s="52"/>
      <c r="C1873" s="53"/>
      <c r="D1873" s="23"/>
      <c r="E1873" s="53"/>
      <c r="F1873" s="54"/>
      <c r="G1873" s="54"/>
      <c r="H1873" s="54"/>
      <c r="I1873" s="53"/>
      <c r="J1873" s="53"/>
      <c r="K1873" s="23"/>
      <c r="L1873" s="53"/>
      <c r="M1873" s="54"/>
    </row>
    <row r="1874">
      <c r="A1874" s="23"/>
      <c r="B1874" s="52"/>
      <c r="C1874" s="53"/>
      <c r="D1874" s="23"/>
      <c r="E1874" s="53"/>
      <c r="F1874" s="54"/>
      <c r="G1874" s="54"/>
      <c r="H1874" s="54"/>
      <c r="I1874" s="53"/>
      <c r="J1874" s="53"/>
      <c r="K1874" s="23"/>
      <c r="L1874" s="53"/>
      <c r="M1874" s="54"/>
    </row>
    <row r="1875">
      <c r="A1875" s="23"/>
      <c r="B1875" s="52"/>
      <c r="C1875" s="53"/>
      <c r="D1875" s="23"/>
      <c r="E1875" s="53"/>
      <c r="F1875" s="54"/>
      <c r="G1875" s="54"/>
      <c r="H1875" s="54"/>
      <c r="I1875" s="53"/>
      <c r="J1875" s="53"/>
      <c r="K1875" s="23"/>
      <c r="L1875" s="53"/>
      <c r="M1875" s="54"/>
    </row>
    <row r="1876">
      <c r="A1876" s="23"/>
      <c r="B1876" s="52"/>
      <c r="C1876" s="53"/>
      <c r="D1876" s="23"/>
      <c r="E1876" s="53"/>
      <c r="F1876" s="54"/>
      <c r="G1876" s="54"/>
      <c r="H1876" s="54"/>
      <c r="I1876" s="53"/>
      <c r="J1876" s="53"/>
      <c r="K1876" s="23"/>
      <c r="L1876" s="53"/>
      <c r="M1876" s="54"/>
    </row>
    <row r="1877">
      <c r="A1877" s="23"/>
      <c r="B1877" s="52"/>
      <c r="C1877" s="53"/>
      <c r="D1877" s="23"/>
      <c r="E1877" s="53"/>
      <c r="F1877" s="54"/>
      <c r="G1877" s="54"/>
      <c r="H1877" s="54"/>
      <c r="I1877" s="53"/>
      <c r="J1877" s="53"/>
      <c r="K1877" s="23"/>
      <c r="L1877" s="53"/>
      <c r="M1877" s="54"/>
    </row>
    <row r="1878">
      <c r="A1878" s="23"/>
      <c r="B1878" s="52"/>
      <c r="C1878" s="53"/>
      <c r="D1878" s="23"/>
      <c r="E1878" s="53"/>
      <c r="F1878" s="54"/>
      <c r="G1878" s="54"/>
      <c r="H1878" s="54"/>
      <c r="I1878" s="53"/>
      <c r="J1878" s="53"/>
      <c r="K1878" s="23"/>
      <c r="L1878" s="53"/>
      <c r="M1878" s="54"/>
    </row>
    <row r="1879">
      <c r="A1879" s="23"/>
      <c r="B1879" s="52"/>
      <c r="C1879" s="53"/>
      <c r="D1879" s="23"/>
      <c r="E1879" s="53"/>
      <c r="F1879" s="54"/>
      <c r="G1879" s="54"/>
      <c r="H1879" s="54"/>
      <c r="I1879" s="53"/>
      <c r="J1879" s="53"/>
      <c r="K1879" s="23"/>
      <c r="L1879" s="53"/>
      <c r="M1879" s="54"/>
    </row>
    <row r="1880">
      <c r="A1880" s="23"/>
      <c r="B1880" s="52"/>
      <c r="C1880" s="53"/>
      <c r="D1880" s="23"/>
      <c r="E1880" s="53"/>
      <c r="F1880" s="54"/>
      <c r="G1880" s="54"/>
      <c r="H1880" s="54"/>
      <c r="I1880" s="53"/>
      <c r="J1880" s="53"/>
      <c r="K1880" s="23"/>
      <c r="L1880" s="53"/>
      <c r="M1880" s="54"/>
    </row>
    <row r="1881">
      <c r="A1881" s="23"/>
      <c r="B1881" s="52"/>
      <c r="C1881" s="53"/>
      <c r="D1881" s="23"/>
      <c r="E1881" s="53"/>
      <c r="F1881" s="54"/>
      <c r="G1881" s="54"/>
      <c r="H1881" s="54"/>
      <c r="I1881" s="53"/>
      <c r="J1881" s="53"/>
      <c r="K1881" s="23"/>
      <c r="L1881" s="53"/>
      <c r="M1881" s="54"/>
    </row>
    <row r="1882">
      <c r="A1882" s="23"/>
      <c r="B1882" s="52"/>
      <c r="C1882" s="53"/>
      <c r="D1882" s="23"/>
      <c r="E1882" s="53"/>
      <c r="F1882" s="54"/>
      <c r="G1882" s="54"/>
      <c r="H1882" s="54"/>
      <c r="I1882" s="53"/>
      <c r="J1882" s="53"/>
      <c r="K1882" s="23"/>
      <c r="L1882" s="53"/>
      <c r="M1882" s="54"/>
    </row>
    <row r="1883">
      <c r="A1883" s="23"/>
      <c r="B1883" s="52"/>
      <c r="C1883" s="53"/>
      <c r="D1883" s="23"/>
      <c r="E1883" s="53"/>
      <c r="F1883" s="54"/>
      <c r="G1883" s="54"/>
      <c r="H1883" s="54"/>
      <c r="I1883" s="53"/>
      <c r="J1883" s="53"/>
      <c r="K1883" s="23"/>
      <c r="L1883" s="53"/>
      <c r="M1883" s="54"/>
    </row>
    <row r="1884">
      <c r="A1884" s="23"/>
      <c r="B1884" s="52"/>
      <c r="C1884" s="53"/>
      <c r="D1884" s="23"/>
      <c r="E1884" s="53"/>
      <c r="F1884" s="54"/>
      <c r="G1884" s="54"/>
      <c r="H1884" s="54"/>
      <c r="I1884" s="53"/>
      <c r="J1884" s="53"/>
      <c r="K1884" s="23"/>
      <c r="L1884" s="53"/>
      <c r="M1884" s="54"/>
    </row>
    <row r="1885">
      <c r="A1885" s="23"/>
      <c r="B1885" s="52"/>
      <c r="C1885" s="53"/>
      <c r="D1885" s="23"/>
      <c r="E1885" s="53"/>
      <c r="F1885" s="54"/>
      <c r="G1885" s="54"/>
      <c r="H1885" s="54"/>
      <c r="I1885" s="53"/>
      <c r="J1885" s="53"/>
      <c r="K1885" s="23"/>
      <c r="L1885" s="53"/>
      <c r="M1885" s="54"/>
    </row>
    <row r="1886">
      <c r="A1886" s="23"/>
      <c r="B1886" s="52"/>
      <c r="C1886" s="53"/>
      <c r="D1886" s="23"/>
      <c r="E1886" s="53"/>
      <c r="F1886" s="54"/>
      <c r="G1886" s="54"/>
      <c r="H1886" s="54"/>
      <c r="I1886" s="53"/>
      <c r="J1886" s="53"/>
      <c r="K1886" s="23"/>
      <c r="L1886" s="53"/>
      <c r="M1886" s="54"/>
    </row>
    <row r="1887">
      <c r="A1887" s="23"/>
      <c r="B1887" s="52"/>
      <c r="C1887" s="53"/>
      <c r="D1887" s="23"/>
      <c r="E1887" s="53"/>
      <c r="F1887" s="54"/>
      <c r="G1887" s="54"/>
      <c r="H1887" s="54"/>
      <c r="I1887" s="53"/>
      <c r="J1887" s="53"/>
      <c r="K1887" s="23"/>
      <c r="L1887" s="53"/>
      <c r="M1887" s="54"/>
    </row>
    <row r="1888">
      <c r="A1888" s="23"/>
      <c r="B1888" s="52"/>
      <c r="C1888" s="53"/>
      <c r="D1888" s="23"/>
      <c r="E1888" s="53"/>
      <c r="F1888" s="54"/>
      <c r="G1888" s="54"/>
      <c r="H1888" s="54"/>
      <c r="I1888" s="53"/>
      <c r="J1888" s="53"/>
      <c r="K1888" s="23"/>
      <c r="L1888" s="53"/>
      <c r="M1888" s="54"/>
    </row>
    <row r="1889">
      <c r="A1889" s="23"/>
      <c r="B1889" s="52"/>
      <c r="C1889" s="53"/>
      <c r="D1889" s="23"/>
      <c r="E1889" s="53"/>
      <c r="F1889" s="54"/>
      <c r="G1889" s="54"/>
      <c r="H1889" s="54"/>
      <c r="I1889" s="53"/>
      <c r="J1889" s="53"/>
      <c r="K1889" s="23"/>
      <c r="L1889" s="53"/>
      <c r="M1889" s="54"/>
    </row>
    <row r="1890">
      <c r="A1890" s="23"/>
      <c r="B1890" s="52"/>
      <c r="C1890" s="53"/>
      <c r="D1890" s="23"/>
      <c r="E1890" s="53"/>
      <c r="F1890" s="54"/>
      <c r="G1890" s="54"/>
      <c r="H1890" s="54"/>
      <c r="I1890" s="53"/>
      <c r="J1890" s="53"/>
      <c r="K1890" s="23"/>
      <c r="L1890" s="53"/>
      <c r="M1890" s="54"/>
    </row>
    <row r="1891">
      <c r="A1891" s="23"/>
      <c r="B1891" s="52"/>
      <c r="C1891" s="53"/>
      <c r="D1891" s="23"/>
      <c r="E1891" s="53"/>
      <c r="F1891" s="54"/>
      <c r="G1891" s="54"/>
      <c r="H1891" s="54"/>
      <c r="I1891" s="53"/>
      <c r="J1891" s="53"/>
      <c r="K1891" s="23"/>
      <c r="L1891" s="53"/>
      <c r="M1891" s="54"/>
    </row>
    <row r="1892">
      <c r="A1892" s="23"/>
      <c r="B1892" s="52"/>
      <c r="C1892" s="53"/>
      <c r="D1892" s="23"/>
      <c r="E1892" s="53"/>
      <c r="F1892" s="54"/>
      <c r="G1892" s="54"/>
      <c r="H1892" s="54"/>
      <c r="I1892" s="53"/>
      <c r="J1892" s="53"/>
      <c r="K1892" s="23"/>
      <c r="L1892" s="53"/>
      <c r="M1892" s="54"/>
    </row>
    <row r="1893">
      <c r="A1893" s="23"/>
      <c r="B1893" s="52"/>
      <c r="C1893" s="53"/>
      <c r="D1893" s="23"/>
      <c r="E1893" s="53"/>
      <c r="F1893" s="54"/>
      <c r="G1893" s="54"/>
      <c r="H1893" s="54"/>
      <c r="I1893" s="53"/>
      <c r="J1893" s="53"/>
      <c r="K1893" s="23"/>
      <c r="L1893" s="53"/>
      <c r="M1893" s="54"/>
    </row>
    <row r="1894">
      <c r="A1894" s="23"/>
      <c r="B1894" s="52"/>
      <c r="C1894" s="53"/>
      <c r="D1894" s="23"/>
      <c r="E1894" s="53"/>
      <c r="F1894" s="54"/>
      <c r="G1894" s="54"/>
      <c r="H1894" s="54"/>
      <c r="I1894" s="53"/>
      <c r="J1894" s="53"/>
      <c r="K1894" s="23"/>
      <c r="L1894" s="53"/>
      <c r="M1894" s="54"/>
    </row>
    <row r="1895">
      <c r="A1895" s="23"/>
      <c r="B1895" s="52"/>
      <c r="C1895" s="53"/>
      <c r="D1895" s="23"/>
      <c r="E1895" s="53"/>
      <c r="F1895" s="54"/>
      <c r="G1895" s="54"/>
      <c r="H1895" s="54"/>
      <c r="I1895" s="53"/>
      <c r="J1895" s="53"/>
      <c r="K1895" s="23"/>
      <c r="L1895" s="53"/>
      <c r="M1895" s="54"/>
    </row>
    <row r="1896">
      <c r="A1896" s="23"/>
      <c r="B1896" s="52"/>
      <c r="C1896" s="53"/>
      <c r="D1896" s="23"/>
      <c r="E1896" s="53"/>
      <c r="F1896" s="54"/>
      <c r="G1896" s="54"/>
      <c r="H1896" s="54"/>
      <c r="I1896" s="53"/>
      <c r="J1896" s="53"/>
      <c r="K1896" s="23"/>
      <c r="L1896" s="53"/>
      <c r="M1896" s="54"/>
    </row>
    <row r="1897">
      <c r="A1897" s="23"/>
      <c r="B1897" s="52"/>
      <c r="C1897" s="53"/>
      <c r="D1897" s="23"/>
      <c r="E1897" s="53"/>
      <c r="F1897" s="54"/>
      <c r="G1897" s="54"/>
      <c r="H1897" s="54"/>
      <c r="I1897" s="53"/>
      <c r="J1897" s="53"/>
      <c r="K1897" s="23"/>
      <c r="L1897" s="53"/>
      <c r="M1897" s="54"/>
    </row>
    <row r="1898">
      <c r="A1898" s="23"/>
      <c r="B1898" s="52"/>
      <c r="C1898" s="53"/>
      <c r="D1898" s="23"/>
      <c r="E1898" s="53"/>
      <c r="F1898" s="54"/>
      <c r="G1898" s="54"/>
      <c r="H1898" s="54"/>
      <c r="I1898" s="53"/>
      <c r="J1898" s="53"/>
      <c r="K1898" s="23"/>
      <c r="L1898" s="53"/>
      <c r="M1898" s="54"/>
    </row>
    <row r="1899">
      <c r="A1899" s="23"/>
      <c r="B1899" s="52"/>
      <c r="C1899" s="53"/>
      <c r="D1899" s="23"/>
      <c r="E1899" s="53"/>
      <c r="F1899" s="54"/>
      <c r="G1899" s="54"/>
      <c r="H1899" s="54"/>
      <c r="I1899" s="53"/>
      <c r="J1899" s="53"/>
      <c r="K1899" s="23"/>
      <c r="L1899" s="53"/>
      <c r="M1899" s="54"/>
    </row>
    <row r="1900">
      <c r="A1900" s="23"/>
      <c r="B1900" s="52"/>
      <c r="C1900" s="53"/>
      <c r="D1900" s="23"/>
      <c r="E1900" s="53"/>
      <c r="F1900" s="54"/>
      <c r="G1900" s="54"/>
      <c r="H1900" s="54"/>
      <c r="I1900" s="53"/>
      <c r="J1900" s="53"/>
      <c r="K1900" s="23"/>
      <c r="L1900" s="53"/>
      <c r="M1900" s="54"/>
    </row>
    <row r="1901">
      <c r="A1901" s="23"/>
      <c r="B1901" s="52"/>
      <c r="C1901" s="53"/>
      <c r="D1901" s="23"/>
      <c r="E1901" s="53"/>
      <c r="F1901" s="54"/>
      <c r="G1901" s="54"/>
      <c r="H1901" s="54"/>
      <c r="I1901" s="53"/>
      <c r="J1901" s="53"/>
      <c r="K1901" s="23"/>
      <c r="L1901" s="53"/>
      <c r="M1901" s="54"/>
    </row>
    <row r="1902">
      <c r="A1902" s="23"/>
      <c r="B1902" s="52"/>
      <c r="C1902" s="53"/>
      <c r="D1902" s="23"/>
      <c r="E1902" s="53"/>
      <c r="F1902" s="54"/>
      <c r="G1902" s="54"/>
      <c r="H1902" s="54"/>
      <c r="I1902" s="53"/>
      <c r="J1902" s="53"/>
      <c r="K1902" s="23"/>
      <c r="L1902" s="53"/>
      <c r="M1902" s="54"/>
    </row>
    <row r="1903">
      <c r="A1903" s="23"/>
      <c r="B1903" s="52"/>
      <c r="C1903" s="53"/>
      <c r="D1903" s="23"/>
      <c r="E1903" s="53"/>
      <c r="F1903" s="54"/>
      <c r="G1903" s="54"/>
      <c r="H1903" s="54"/>
      <c r="I1903" s="53"/>
      <c r="J1903" s="53"/>
      <c r="K1903" s="23"/>
      <c r="L1903" s="53"/>
      <c r="M1903" s="54"/>
    </row>
    <row r="1904">
      <c r="A1904" s="23"/>
      <c r="B1904" s="52"/>
      <c r="C1904" s="53"/>
      <c r="D1904" s="23"/>
      <c r="E1904" s="53"/>
      <c r="F1904" s="54"/>
      <c r="G1904" s="54"/>
      <c r="H1904" s="54"/>
      <c r="I1904" s="53"/>
      <c r="J1904" s="53"/>
      <c r="K1904" s="23"/>
      <c r="L1904" s="53"/>
      <c r="M1904" s="54"/>
    </row>
    <row r="1905">
      <c r="A1905" s="23"/>
      <c r="B1905" s="52"/>
      <c r="C1905" s="53"/>
      <c r="D1905" s="23"/>
      <c r="E1905" s="53"/>
      <c r="F1905" s="54"/>
      <c r="G1905" s="54"/>
      <c r="H1905" s="54"/>
      <c r="I1905" s="53"/>
      <c r="J1905" s="53"/>
      <c r="K1905" s="23"/>
      <c r="L1905" s="53"/>
      <c r="M1905" s="54"/>
    </row>
    <row r="1906">
      <c r="A1906" s="23"/>
      <c r="B1906" s="52"/>
      <c r="C1906" s="53"/>
      <c r="D1906" s="23"/>
      <c r="E1906" s="53"/>
      <c r="F1906" s="54"/>
      <c r="G1906" s="54"/>
      <c r="H1906" s="54"/>
      <c r="I1906" s="53"/>
      <c r="J1906" s="53"/>
      <c r="K1906" s="23"/>
      <c r="L1906" s="53"/>
      <c r="M1906" s="54"/>
    </row>
    <row r="1907">
      <c r="A1907" s="23"/>
      <c r="B1907" s="52"/>
      <c r="C1907" s="53"/>
      <c r="D1907" s="23"/>
      <c r="E1907" s="53"/>
      <c r="F1907" s="54"/>
      <c r="G1907" s="54"/>
      <c r="H1907" s="54"/>
      <c r="I1907" s="53"/>
      <c r="J1907" s="53"/>
      <c r="K1907" s="23"/>
      <c r="L1907" s="53"/>
      <c r="M1907" s="54"/>
    </row>
    <row r="1908">
      <c r="A1908" s="23"/>
      <c r="B1908" s="52"/>
      <c r="C1908" s="53"/>
      <c r="D1908" s="23"/>
      <c r="E1908" s="53"/>
      <c r="F1908" s="54"/>
      <c r="G1908" s="54"/>
      <c r="H1908" s="54"/>
      <c r="I1908" s="53"/>
      <c r="J1908" s="53"/>
      <c r="K1908" s="23"/>
      <c r="L1908" s="53"/>
      <c r="M1908" s="54"/>
    </row>
    <row r="1909">
      <c r="A1909" s="23"/>
      <c r="B1909" s="52"/>
      <c r="C1909" s="53"/>
      <c r="D1909" s="23"/>
      <c r="E1909" s="53"/>
      <c r="F1909" s="54"/>
      <c r="G1909" s="54"/>
      <c r="H1909" s="54"/>
      <c r="I1909" s="53"/>
      <c r="J1909" s="53"/>
      <c r="K1909" s="23"/>
      <c r="L1909" s="53"/>
      <c r="M1909" s="54"/>
    </row>
    <row r="1910">
      <c r="A1910" s="23"/>
      <c r="B1910" s="52"/>
      <c r="C1910" s="53"/>
      <c r="D1910" s="23"/>
      <c r="E1910" s="53"/>
      <c r="F1910" s="54"/>
      <c r="G1910" s="54"/>
      <c r="H1910" s="54"/>
      <c r="I1910" s="53"/>
      <c r="J1910" s="53"/>
      <c r="K1910" s="23"/>
      <c r="L1910" s="53"/>
      <c r="M1910" s="54"/>
    </row>
    <row r="1911">
      <c r="A1911" s="23"/>
      <c r="B1911" s="52"/>
      <c r="C1911" s="53"/>
      <c r="D1911" s="23"/>
      <c r="E1911" s="53"/>
      <c r="F1911" s="54"/>
      <c r="G1911" s="54"/>
      <c r="H1911" s="54"/>
      <c r="I1911" s="53"/>
      <c r="J1911" s="53"/>
      <c r="K1911" s="23"/>
      <c r="L1911" s="53"/>
      <c r="M1911" s="54"/>
    </row>
    <row r="1912">
      <c r="A1912" s="23"/>
      <c r="B1912" s="52"/>
      <c r="C1912" s="53"/>
      <c r="D1912" s="23"/>
      <c r="E1912" s="53"/>
      <c r="F1912" s="54"/>
      <c r="G1912" s="54"/>
      <c r="H1912" s="54"/>
      <c r="I1912" s="53"/>
      <c r="J1912" s="53"/>
      <c r="K1912" s="23"/>
      <c r="L1912" s="53"/>
      <c r="M1912" s="54"/>
    </row>
    <row r="1913">
      <c r="A1913" s="23"/>
      <c r="B1913" s="52"/>
      <c r="C1913" s="53"/>
      <c r="D1913" s="23"/>
      <c r="E1913" s="53"/>
      <c r="F1913" s="54"/>
      <c r="G1913" s="54"/>
      <c r="H1913" s="54"/>
      <c r="I1913" s="53"/>
      <c r="J1913" s="53"/>
      <c r="K1913" s="23"/>
      <c r="L1913" s="53"/>
      <c r="M1913" s="54"/>
    </row>
    <row r="1914">
      <c r="A1914" s="23"/>
      <c r="B1914" s="52"/>
      <c r="C1914" s="53"/>
      <c r="D1914" s="23"/>
      <c r="E1914" s="53"/>
      <c r="F1914" s="54"/>
      <c r="G1914" s="54"/>
      <c r="H1914" s="54"/>
      <c r="I1914" s="53"/>
      <c r="J1914" s="53"/>
      <c r="K1914" s="23"/>
      <c r="L1914" s="53"/>
      <c r="M1914" s="54"/>
    </row>
    <row r="1915">
      <c r="A1915" s="23"/>
      <c r="B1915" s="52"/>
      <c r="C1915" s="53"/>
      <c r="D1915" s="23"/>
      <c r="E1915" s="53"/>
      <c r="F1915" s="54"/>
      <c r="G1915" s="54"/>
      <c r="H1915" s="54"/>
      <c r="I1915" s="53"/>
      <c r="J1915" s="53"/>
      <c r="K1915" s="23"/>
      <c r="L1915" s="53"/>
      <c r="M1915" s="54"/>
    </row>
    <row r="1916">
      <c r="A1916" s="23"/>
      <c r="B1916" s="52"/>
      <c r="C1916" s="53"/>
      <c r="D1916" s="23"/>
      <c r="E1916" s="53"/>
      <c r="F1916" s="54"/>
      <c r="G1916" s="54"/>
      <c r="H1916" s="54"/>
      <c r="I1916" s="53"/>
      <c r="J1916" s="53"/>
      <c r="K1916" s="23"/>
      <c r="L1916" s="53"/>
      <c r="M1916" s="54"/>
    </row>
    <row r="1917">
      <c r="A1917" s="23"/>
      <c r="B1917" s="52"/>
      <c r="C1917" s="53"/>
      <c r="D1917" s="23"/>
      <c r="E1917" s="53"/>
      <c r="F1917" s="54"/>
      <c r="G1917" s="54"/>
      <c r="H1917" s="54"/>
      <c r="I1917" s="53"/>
      <c r="J1917" s="53"/>
      <c r="K1917" s="23"/>
      <c r="L1917" s="53"/>
      <c r="M1917" s="54"/>
    </row>
    <row r="1918">
      <c r="A1918" s="23"/>
      <c r="B1918" s="52"/>
      <c r="C1918" s="53"/>
      <c r="D1918" s="23"/>
      <c r="E1918" s="53"/>
      <c r="F1918" s="54"/>
      <c r="G1918" s="54"/>
      <c r="H1918" s="54"/>
      <c r="I1918" s="53"/>
      <c r="J1918" s="53"/>
      <c r="K1918" s="23"/>
      <c r="L1918" s="53"/>
      <c r="M1918" s="54"/>
    </row>
    <row r="1919">
      <c r="A1919" s="23"/>
      <c r="B1919" s="52"/>
      <c r="C1919" s="53"/>
      <c r="D1919" s="23"/>
      <c r="E1919" s="53"/>
      <c r="F1919" s="54"/>
      <c r="G1919" s="54"/>
      <c r="H1919" s="54"/>
      <c r="I1919" s="53"/>
      <c r="J1919" s="53"/>
      <c r="K1919" s="23"/>
      <c r="L1919" s="53"/>
      <c r="M1919" s="54"/>
    </row>
    <row r="1920">
      <c r="A1920" s="23"/>
      <c r="B1920" s="52"/>
      <c r="C1920" s="53"/>
      <c r="D1920" s="23"/>
      <c r="E1920" s="53"/>
      <c r="F1920" s="54"/>
      <c r="G1920" s="54"/>
      <c r="H1920" s="54"/>
      <c r="I1920" s="53"/>
      <c r="J1920" s="53"/>
      <c r="K1920" s="23"/>
      <c r="L1920" s="53"/>
      <c r="M1920" s="54"/>
    </row>
    <row r="1921">
      <c r="A1921" s="23"/>
      <c r="B1921" s="52"/>
      <c r="C1921" s="53"/>
      <c r="D1921" s="23"/>
      <c r="E1921" s="53"/>
      <c r="F1921" s="54"/>
      <c r="G1921" s="54"/>
      <c r="H1921" s="54"/>
      <c r="I1921" s="53"/>
      <c r="J1921" s="53"/>
      <c r="K1921" s="23"/>
      <c r="L1921" s="53"/>
      <c r="M1921" s="54"/>
    </row>
    <row r="1922">
      <c r="A1922" s="23"/>
      <c r="B1922" s="52"/>
      <c r="C1922" s="53"/>
      <c r="D1922" s="23"/>
      <c r="E1922" s="53"/>
      <c r="F1922" s="54"/>
      <c r="G1922" s="54"/>
      <c r="H1922" s="54"/>
      <c r="I1922" s="53"/>
      <c r="J1922" s="53"/>
      <c r="K1922" s="23"/>
      <c r="L1922" s="53"/>
      <c r="M1922" s="54"/>
    </row>
    <row r="1923">
      <c r="A1923" s="23"/>
      <c r="B1923" s="52"/>
      <c r="C1923" s="53"/>
      <c r="D1923" s="23"/>
      <c r="E1923" s="53"/>
      <c r="F1923" s="54"/>
      <c r="G1923" s="54"/>
      <c r="H1923" s="54"/>
      <c r="I1923" s="53"/>
      <c r="J1923" s="53"/>
      <c r="K1923" s="23"/>
      <c r="L1923" s="53"/>
      <c r="M1923" s="54"/>
    </row>
    <row r="1924">
      <c r="A1924" s="23"/>
      <c r="B1924" s="52"/>
      <c r="C1924" s="53"/>
      <c r="D1924" s="23"/>
      <c r="E1924" s="53"/>
      <c r="F1924" s="54"/>
      <c r="G1924" s="54"/>
      <c r="H1924" s="54"/>
      <c r="I1924" s="53"/>
      <c r="J1924" s="53"/>
      <c r="K1924" s="23"/>
      <c r="L1924" s="53"/>
      <c r="M1924" s="54"/>
    </row>
    <row r="1925">
      <c r="A1925" s="23"/>
      <c r="B1925" s="52"/>
      <c r="C1925" s="53"/>
      <c r="D1925" s="23"/>
      <c r="E1925" s="53"/>
      <c r="F1925" s="54"/>
      <c r="G1925" s="54"/>
      <c r="H1925" s="54"/>
      <c r="I1925" s="53"/>
      <c r="J1925" s="53"/>
      <c r="K1925" s="23"/>
      <c r="L1925" s="53"/>
      <c r="M1925" s="54"/>
    </row>
    <row r="1926">
      <c r="A1926" s="23"/>
      <c r="B1926" s="52"/>
      <c r="C1926" s="53"/>
      <c r="D1926" s="23"/>
      <c r="E1926" s="53"/>
      <c r="F1926" s="54"/>
      <c r="G1926" s="54"/>
      <c r="H1926" s="54"/>
      <c r="I1926" s="53"/>
      <c r="J1926" s="53"/>
      <c r="K1926" s="23"/>
      <c r="L1926" s="53"/>
      <c r="M1926" s="54"/>
    </row>
    <row r="1927">
      <c r="A1927" s="23"/>
      <c r="B1927" s="52"/>
      <c r="C1927" s="53"/>
      <c r="D1927" s="23"/>
      <c r="E1927" s="53"/>
      <c r="F1927" s="54"/>
      <c r="G1927" s="54"/>
      <c r="H1927" s="54"/>
      <c r="I1927" s="53"/>
      <c r="J1927" s="53"/>
      <c r="K1927" s="23"/>
      <c r="L1927" s="53"/>
      <c r="M1927" s="54"/>
    </row>
    <row r="1928">
      <c r="A1928" s="23"/>
      <c r="B1928" s="52"/>
      <c r="C1928" s="53"/>
      <c r="D1928" s="23"/>
      <c r="E1928" s="53"/>
      <c r="F1928" s="54"/>
      <c r="G1928" s="54"/>
      <c r="H1928" s="54"/>
      <c r="I1928" s="53"/>
      <c r="J1928" s="53"/>
      <c r="K1928" s="23"/>
      <c r="L1928" s="53"/>
      <c r="M1928" s="54"/>
    </row>
    <row r="1929">
      <c r="A1929" s="23"/>
      <c r="B1929" s="52"/>
      <c r="C1929" s="53"/>
      <c r="D1929" s="23"/>
      <c r="E1929" s="53"/>
      <c r="F1929" s="54"/>
      <c r="G1929" s="54"/>
      <c r="H1929" s="54"/>
      <c r="I1929" s="53"/>
      <c r="J1929" s="53"/>
      <c r="K1929" s="23"/>
      <c r="L1929" s="53"/>
      <c r="M1929" s="54"/>
    </row>
    <row r="1930">
      <c r="A1930" s="23"/>
      <c r="B1930" s="52"/>
      <c r="C1930" s="53"/>
      <c r="D1930" s="23"/>
      <c r="E1930" s="53"/>
      <c r="F1930" s="54"/>
      <c r="G1930" s="54"/>
      <c r="H1930" s="54"/>
      <c r="I1930" s="53"/>
      <c r="J1930" s="53"/>
      <c r="K1930" s="23"/>
      <c r="L1930" s="53"/>
      <c r="M1930" s="54"/>
    </row>
    <row r="1931">
      <c r="A1931" s="23"/>
      <c r="B1931" s="52"/>
      <c r="C1931" s="53"/>
      <c r="D1931" s="23"/>
      <c r="E1931" s="53"/>
      <c r="F1931" s="54"/>
      <c r="G1931" s="54"/>
      <c r="H1931" s="54"/>
      <c r="I1931" s="53"/>
      <c r="J1931" s="53"/>
      <c r="K1931" s="23"/>
      <c r="L1931" s="53"/>
      <c r="M1931" s="54"/>
    </row>
    <row r="1932">
      <c r="A1932" s="23"/>
      <c r="B1932" s="52"/>
      <c r="C1932" s="53"/>
      <c r="D1932" s="23"/>
      <c r="E1932" s="53"/>
      <c r="F1932" s="54"/>
      <c r="G1932" s="54"/>
      <c r="H1932" s="54"/>
      <c r="I1932" s="53"/>
      <c r="J1932" s="53"/>
      <c r="K1932" s="23"/>
      <c r="L1932" s="53"/>
      <c r="M1932" s="54"/>
    </row>
    <row r="1933">
      <c r="A1933" s="23"/>
      <c r="B1933" s="52"/>
      <c r="C1933" s="53"/>
      <c r="D1933" s="23"/>
      <c r="E1933" s="53"/>
      <c r="F1933" s="54"/>
      <c r="G1933" s="54"/>
      <c r="H1933" s="54"/>
      <c r="I1933" s="53"/>
      <c r="J1933" s="53"/>
      <c r="K1933" s="23"/>
      <c r="L1933" s="53"/>
      <c r="M1933" s="54"/>
    </row>
    <row r="1934">
      <c r="A1934" s="23"/>
      <c r="B1934" s="52"/>
      <c r="C1934" s="53"/>
      <c r="D1934" s="23"/>
      <c r="E1934" s="53"/>
      <c r="F1934" s="54"/>
      <c r="G1934" s="54"/>
      <c r="H1934" s="54"/>
      <c r="I1934" s="53"/>
      <c r="J1934" s="53"/>
      <c r="K1934" s="23"/>
      <c r="L1934" s="53"/>
      <c r="M1934" s="54"/>
    </row>
    <row r="1935">
      <c r="A1935" s="23"/>
      <c r="B1935" s="52"/>
      <c r="C1935" s="53"/>
      <c r="D1935" s="23"/>
      <c r="E1935" s="53"/>
      <c r="F1935" s="54"/>
      <c r="G1935" s="54"/>
      <c r="H1935" s="54"/>
      <c r="I1935" s="53"/>
      <c r="J1935" s="53"/>
      <c r="K1935" s="23"/>
      <c r="L1935" s="53"/>
      <c r="M1935" s="54"/>
    </row>
    <row r="1936">
      <c r="A1936" s="23"/>
      <c r="B1936" s="52"/>
      <c r="C1936" s="53"/>
      <c r="D1936" s="23"/>
      <c r="E1936" s="53"/>
      <c r="F1936" s="54"/>
      <c r="G1936" s="54"/>
      <c r="H1936" s="54"/>
      <c r="I1936" s="53"/>
      <c r="J1936" s="53"/>
      <c r="K1936" s="23"/>
      <c r="L1936" s="53"/>
      <c r="M1936" s="54"/>
    </row>
    <row r="1937">
      <c r="A1937" s="23"/>
      <c r="B1937" s="52"/>
      <c r="C1937" s="53"/>
      <c r="D1937" s="23"/>
      <c r="E1937" s="53"/>
      <c r="F1937" s="54"/>
      <c r="G1937" s="54"/>
      <c r="H1937" s="54"/>
      <c r="I1937" s="53"/>
      <c r="J1937" s="53"/>
      <c r="K1937" s="23"/>
      <c r="L1937" s="53"/>
      <c r="M1937" s="54"/>
    </row>
    <row r="1938">
      <c r="A1938" s="23"/>
      <c r="B1938" s="52"/>
      <c r="C1938" s="53"/>
      <c r="D1938" s="23"/>
      <c r="E1938" s="53"/>
      <c r="F1938" s="54"/>
      <c r="G1938" s="54"/>
      <c r="H1938" s="54"/>
      <c r="I1938" s="53"/>
      <c r="J1938" s="53"/>
      <c r="K1938" s="23"/>
      <c r="L1938" s="53"/>
      <c r="M1938" s="54"/>
    </row>
    <row r="1939">
      <c r="A1939" s="23"/>
      <c r="B1939" s="52"/>
      <c r="C1939" s="53"/>
      <c r="D1939" s="23"/>
      <c r="E1939" s="53"/>
      <c r="F1939" s="54"/>
      <c r="G1939" s="54"/>
      <c r="H1939" s="54"/>
      <c r="I1939" s="53"/>
      <c r="J1939" s="53"/>
      <c r="K1939" s="23"/>
      <c r="L1939" s="53"/>
      <c r="M1939" s="54"/>
    </row>
    <row r="1940">
      <c r="A1940" s="23"/>
      <c r="B1940" s="52"/>
      <c r="C1940" s="53"/>
      <c r="D1940" s="23"/>
      <c r="E1940" s="53"/>
      <c r="F1940" s="54"/>
      <c r="G1940" s="54"/>
      <c r="H1940" s="54"/>
      <c r="I1940" s="53"/>
      <c r="J1940" s="53"/>
      <c r="K1940" s="23"/>
      <c r="L1940" s="53"/>
      <c r="M1940" s="54"/>
    </row>
    <row r="1941">
      <c r="A1941" s="23"/>
      <c r="B1941" s="52"/>
      <c r="C1941" s="53"/>
      <c r="D1941" s="23"/>
      <c r="E1941" s="53"/>
      <c r="F1941" s="54"/>
      <c r="G1941" s="54"/>
      <c r="H1941" s="54"/>
      <c r="I1941" s="53"/>
      <c r="J1941" s="53"/>
      <c r="K1941" s="23"/>
      <c r="L1941" s="53"/>
      <c r="M1941" s="54"/>
    </row>
    <row r="1942">
      <c r="A1942" s="23"/>
      <c r="B1942" s="52"/>
      <c r="C1942" s="53"/>
      <c r="D1942" s="23"/>
      <c r="E1942" s="53"/>
      <c r="F1942" s="54"/>
      <c r="G1942" s="54"/>
      <c r="H1942" s="54"/>
      <c r="I1942" s="53"/>
      <c r="J1942" s="53"/>
      <c r="K1942" s="23"/>
      <c r="L1942" s="53"/>
      <c r="M1942" s="54"/>
    </row>
    <row r="1943">
      <c r="A1943" s="23"/>
      <c r="B1943" s="52"/>
      <c r="C1943" s="53"/>
      <c r="D1943" s="23"/>
      <c r="E1943" s="53"/>
      <c r="F1943" s="54"/>
      <c r="G1943" s="54"/>
      <c r="H1943" s="54"/>
      <c r="I1943" s="53"/>
      <c r="J1943" s="53"/>
      <c r="K1943" s="23"/>
      <c r="L1943" s="53"/>
      <c r="M1943" s="54"/>
    </row>
    <row r="1944">
      <c r="A1944" s="23"/>
      <c r="B1944" s="52"/>
      <c r="C1944" s="53"/>
      <c r="D1944" s="23"/>
      <c r="E1944" s="53"/>
      <c r="F1944" s="54"/>
      <c r="G1944" s="54"/>
      <c r="H1944" s="54"/>
      <c r="I1944" s="53"/>
      <c r="J1944" s="53"/>
      <c r="K1944" s="23"/>
      <c r="L1944" s="53"/>
      <c r="M1944" s="54"/>
    </row>
    <row r="1945">
      <c r="A1945" s="23"/>
      <c r="B1945" s="52"/>
      <c r="C1945" s="53"/>
      <c r="D1945" s="23"/>
      <c r="E1945" s="53"/>
      <c r="F1945" s="54"/>
      <c r="G1945" s="54"/>
      <c r="H1945" s="54"/>
      <c r="I1945" s="53"/>
      <c r="J1945" s="53"/>
      <c r="K1945" s="23"/>
      <c r="L1945" s="53"/>
      <c r="M1945" s="54"/>
    </row>
    <row r="1946">
      <c r="A1946" s="23"/>
      <c r="B1946" s="52"/>
      <c r="C1946" s="53"/>
      <c r="D1946" s="23"/>
      <c r="E1946" s="53"/>
      <c r="F1946" s="54"/>
      <c r="G1946" s="54"/>
      <c r="H1946" s="54"/>
      <c r="I1946" s="53"/>
      <c r="J1946" s="53"/>
      <c r="K1946" s="23"/>
      <c r="L1946" s="53"/>
      <c r="M1946" s="54"/>
    </row>
    <row r="1947">
      <c r="A1947" s="23"/>
      <c r="B1947" s="52"/>
      <c r="C1947" s="53"/>
      <c r="D1947" s="23"/>
      <c r="E1947" s="53"/>
      <c r="F1947" s="54"/>
      <c r="G1947" s="54"/>
      <c r="H1947" s="54"/>
      <c r="I1947" s="53"/>
      <c r="J1947" s="53"/>
      <c r="K1947" s="23"/>
      <c r="L1947" s="53"/>
      <c r="M1947" s="54"/>
    </row>
    <row r="1948">
      <c r="A1948" s="23"/>
      <c r="B1948" s="52"/>
      <c r="C1948" s="53"/>
      <c r="D1948" s="23"/>
      <c r="E1948" s="53"/>
      <c r="F1948" s="54"/>
      <c r="G1948" s="54"/>
      <c r="H1948" s="54"/>
      <c r="I1948" s="53"/>
      <c r="J1948" s="53"/>
      <c r="K1948" s="23"/>
      <c r="L1948" s="53"/>
      <c r="M1948" s="54"/>
    </row>
    <row r="1949">
      <c r="A1949" s="23"/>
      <c r="B1949" s="52"/>
      <c r="C1949" s="53"/>
      <c r="D1949" s="23"/>
      <c r="E1949" s="53"/>
      <c r="F1949" s="54"/>
      <c r="G1949" s="54"/>
      <c r="H1949" s="54"/>
      <c r="I1949" s="53"/>
      <c r="J1949" s="53"/>
      <c r="K1949" s="23"/>
      <c r="L1949" s="53"/>
      <c r="M1949" s="54"/>
    </row>
    <row r="1950">
      <c r="A1950" s="23"/>
      <c r="B1950" s="52"/>
      <c r="C1950" s="53"/>
      <c r="D1950" s="23"/>
      <c r="E1950" s="53"/>
      <c r="F1950" s="54"/>
      <c r="G1950" s="54"/>
      <c r="H1950" s="54"/>
      <c r="I1950" s="53"/>
      <c r="J1950" s="53"/>
      <c r="K1950" s="23"/>
      <c r="L1950" s="53"/>
      <c r="M1950" s="54"/>
    </row>
    <row r="1951">
      <c r="A1951" s="23"/>
      <c r="B1951" s="52"/>
      <c r="C1951" s="53"/>
      <c r="D1951" s="23"/>
      <c r="E1951" s="53"/>
      <c r="F1951" s="54"/>
      <c r="G1951" s="54"/>
      <c r="H1951" s="54"/>
      <c r="I1951" s="53"/>
      <c r="J1951" s="53"/>
      <c r="K1951" s="23"/>
      <c r="L1951" s="53"/>
      <c r="M1951" s="54"/>
    </row>
    <row r="1952">
      <c r="A1952" s="23"/>
      <c r="B1952" s="52"/>
      <c r="C1952" s="53"/>
      <c r="D1952" s="23"/>
      <c r="E1952" s="53"/>
      <c r="F1952" s="54"/>
      <c r="G1952" s="54"/>
      <c r="H1952" s="54"/>
      <c r="I1952" s="53"/>
      <c r="J1952" s="53"/>
      <c r="K1952" s="23"/>
      <c r="L1952" s="53"/>
      <c r="M1952" s="54"/>
    </row>
    <row r="1953">
      <c r="A1953" s="23"/>
      <c r="B1953" s="52"/>
      <c r="C1953" s="53"/>
      <c r="D1953" s="23"/>
      <c r="E1953" s="53"/>
      <c r="F1953" s="54"/>
      <c r="G1953" s="54"/>
      <c r="H1953" s="54"/>
      <c r="I1953" s="53"/>
      <c r="J1953" s="53"/>
      <c r="K1953" s="23"/>
      <c r="L1953" s="53"/>
      <c r="M1953" s="54"/>
    </row>
    <row r="1954">
      <c r="A1954" s="23"/>
      <c r="B1954" s="52"/>
      <c r="C1954" s="53"/>
      <c r="D1954" s="23"/>
      <c r="E1954" s="53"/>
      <c r="F1954" s="54"/>
      <c r="G1954" s="54"/>
      <c r="H1954" s="54"/>
      <c r="I1954" s="53"/>
      <c r="J1954" s="53"/>
      <c r="K1954" s="23"/>
      <c r="L1954" s="53"/>
      <c r="M1954" s="54"/>
    </row>
    <row r="1955">
      <c r="A1955" s="23"/>
      <c r="B1955" s="52"/>
      <c r="C1955" s="53"/>
      <c r="D1955" s="23"/>
      <c r="E1955" s="53"/>
      <c r="F1955" s="54"/>
      <c r="G1955" s="54"/>
      <c r="H1955" s="54"/>
      <c r="I1955" s="53"/>
      <c r="J1955" s="53"/>
      <c r="K1955" s="23"/>
      <c r="L1955" s="53"/>
      <c r="M1955" s="54"/>
    </row>
    <row r="1956">
      <c r="A1956" s="23"/>
      <c r="B1956" s="52"/>
      <c r="C1956" s="53"/>
      <c r="D1956" s="23"/>
      <c r="E1956" s="53"/>
      <c r="F1956" s="54"/>
      <c r="G1956" s="54"/>
      <c r="H1956" s="54"/>
      <c r="I1956" s="53"/>
      <c r="J1956" s="53"/>
      <c r="K1956" s="23"/>
      <c r="L1956" s="53"/>
      <c r="M1956" s="54"/>
    </row>
    <row r="1957">
      <c r="A1957" s="23"/>
      <c r="B1957" s="52"/>
      <c r="C1957" s="53"/>
      <c r="D1957" s="23"/>
      <c r="E1957" s="53"/>
      <c r="F1957" s="54"/>
      <c r="G1957" s="54"/>
      <c r="H1957" s="54"/>
      <c r="I1957" s="53"/>
      <c r="J1957" s="53"/>
      <c r="K1957" s="23"/>
      <c r="L1957" s="53"/>
      <c r="M1957" s="54"/>
    </row>
    <row r="1958">
      <c r="A1958" s="23"/>
      <c r="B1958" s="52"/>
      <c r="C1958" s="53"/>
      <c r="D1958" s="23"/>
      <c r="E1958" s="53"/>
      <c r="F1958" s="54"/>
      <c r="G1958" s="54"/>
      <c r="H1958" s="54"/>
      <c r="I1958" s="53"/>
      <c r="J1958" s="53"/>
      <c r="K1958" s="23"/>
      <c r="L1958" s="53"/>
      <c r="M1958" s="54"/>
    </row>
    <row r="1959">
      <c r="A1959" s="23"/>
      <c r="B1959" s="52"/>
      <c r="C1959" s="53"/>
      <c r="D1959" s="23"/>
      <c r="E1959" s="53"/>
      <c r="F1959" s="54"/>
      <c r="G1959" s="54"/>
      <c r="H1959" s="54"/>
      <c r="I1959" s="53"/>
      <c r="J1959" s="53"/>
      <c r="K1959" s="23"/>
      <c r="L1959" s="53"/>
      <c r="M1959" s="54"/>
    </row>
    <row r="1960">
      <c r="A1960" s="23"/>
      <c r="B1960" s="52"/>
      <c r="C1960" s="53"/>
      <c r="D1960" s="23"/>
      <c r="E1960" s="53"/>
      <c r="F1960" s="54"/>
      <c r="G1960" s="54"/>
      <c r="H1960" s="54"/>
      <c r="I1960" s="53"/>
      <c r="J1960" s="53"/>
      <c r="K1960" s="23"/>
      <c r="L1960" s="53"/>
      <c r="M1960" s="54"/>
    </row>
    <row r="1961">
      <c r="A1961" s="23"/>
      <c r="B1961" s="52"/>
      <c r="C1961" s="53"/>
      <c r="D1961" s="23"/>
      <c r="E1961" s="53"/>
      <c r="F1961" s="54"/>
      <c r="G1961" s="54"/>
      <c r="H1961" s="54"/>
      <c r="I1961" s="53"/>
      <c r="J1961" s="53"/>
      <c r="K1961" s="23"/>
      <c r="L1961" s="53"/>
      <c r="M1961" s="54"/>
    </row>
    <row r="1962">
      <c r="A1962" s="23"/>
      <c r="B1962" s="52"/>
      <c r="C1962" s="53"/>
      <c r="D1962" s="23"/>
      <c r="E1962" s="53"/>
      <c r="F1962" s="54"/>
      <c r="G1962" s="54"/>
      <c r="H1962" s="54"/>
      <c r="I1962" s="53"/>
      <c r="J1962" s="53"/>
      <c r="K1962" s="23"/>
      <c r="L1962" s="53"/>
      <c r="M1962" s="54"/>
    </row>
    <row r="1963">
      <c r="A1963" s="23"/>
      <c r="B1963" s="52"/>
      <c r="C1963" s="53"/>
      <c r="D1963" s="23"/>
      <c r="E1963" s="53"/>
      <c r="F1963" s="54"/>
      <c r="G1963" s="54"/>
      <c r="H1963" s="54"/>
      <c r="I1963" s="53"/>
      <c r="J1963" s="53"/>
      <c r="K1963" s="23"/>
      <c r="L1963" s="53"/>
      <c r="M1963" s="54"/>
    </row>
    <row r="1964">
      <c r="A1964" s="23"/>
      <c r="B1964" s="52"/>
      <c r="C1964" s="53"/>
      <c r="D1964" s="23"/>
      <c r="E1964" s="53"/>
      <c r="F1964" s="54"/>
      <c r="G1964" s="54"/>
      <c r="H1964" s="54"/>
      <c r="I1964" s="53"/>
      <c r="J1964" s="53"/>
      <c r="K1964" s="23"/>
      <c r="L1964" s="53"/>
      <c r="M1964" s="54"/>
    </row>
    <row r="1965">
      <c r="A1965" s="23"/>
      <c r="B1965" s="52"/>
      <c r="C1965" s="53"/>
      <c r="D1965" s="23"/>
      <c r="E1965" s="53"/>
      <c r="F1965" s="54"/>
      <c r="G1965" s="54"/>
      <c r="H1965" s="54"/>
      <c r="I1965" s="53"/>
      <c r="J1965" s="53"/>
      <c r="K1965" s="23"/>
      <c r="L1965" s="53"/>
      <c r="M1965" s="54"/>
    </row>
    <row r="1966">
      <c r="A1966" s="23"/>
      <c r="B1966" s="52"/>
      <c r="C1966" s="53"/>
      <c r="D1966" s="23"/>
      <c r="E1966" s="53"/>
      <c r="F1966" s="54"/>
      <c r="G1966" s="54"/>
      <c r="H1966" s="54"/>
      <c r="I1966" s="53"/>
      <c r="J1966" s="53"/>
      <c r="K1966" s="23"/>
      <c r="L1966" s="53"/>
      <c r="M1966" s="54"/>
    </row>
    <row r="1967">
      <c r="A1967" s="23"/>
      <c r="B1967" s="52"/>
      <c r="C1967" s="53"/>
      <c r="D1967" s="23"/>
      <c r="E1967" s="53"/>
      <c r="F1967" s="54"/>
      <c r="G1967" s="54"/>
      <c r="H1967" s="54"/>
      <c r="I1967" s="53"/>
      <c r="J1967" s="53"/>
      <c r="K1967" s="23"/>
      <c r="L1967" s="53"/>
      <c r="M1967" s="54"/>
    </row>
    <row r="1968">
      <c r="A1968" s="23"/>
      <c r="B1968" s="52"/>
      <c r="C1968" s="53"/>
      <c r="D1968" s="23"/>
      <c r="E1968" s="53"/>
      <c r="F1968" s="54"/>
      <c r="G1968" s="54"/>
      <c r="H1968" s="54"/>
      <c r="I1968" s="53"/>
      <c r="J1968" s="53"/>
      <c r="K1968" s="23"/>
      <c r="L1968" s="53"/>
      <c r="M1968" s="54"/>
    </row>
    <row r="1969">
      <c r="A1969" s="23"/>
      <c r="B1969" s="52"/>
      <c r="C1969" s="53"/>
      <c r="D1969" s="23"/>
      <c r="E1969" s="53"/>
      <c r="F1969" s="54"/>
      <c r="G1969" s="54"/>
      <c r="H1969" s="54"/>
      <c r="I1969" s="53"/>
      <c r="J1969" s="53"/>
      <c r="K1969" s="23"/>
      <c r="L1969" s="53"/>
      <c r="M1969" s="54"/>
    </row>
    <row r="1970">
      <c r="A1970" s="23"/>
      <c r="B1970" s="52"/>
      <c r="C1970" s="53"/>
      <c r="D1970" s="23"/>
      <c r="E1970" s="53"/>
      <c r="F1970" s="54"/>
      <c r="G1970" s="54"/>
      <c r="H1970" s="54"/>
      <c r="I1970" s="53"/>
      <c r="J1970" s="53"/>
      <c r="K1970" s="23"/>
      <c r="L1970" s="53"/>
      <c r="M1970" s="54"/>
    </row>
    <row r="1971">
      <c r="A1971" s="23"/>
      <c r="B1971" s="52"/>
      <c r="C1971" s="53"/>
      <c r="D1971" s="23"/>
      <c r="E1971" s="53"/>
      <c r="F1971" s="54"/>
      <c r="G1971" s="54"/>
      <c r="H1971" s="54"/>
      <c r="I1971" s="53"/>
      <c r="J1971" s="53"/>
      <c r="K1971" s="23"/>
      <c r="L1971" s="53"/>
      <c r="M1971" s="54"/>
    </row>
    <row r="1972">
      <c r="A1972" s="23"/>
      <c r="B1972" s="52"/>
      <c r="C1972" s="53"/>
      <c r="D1972" s="23"/>
      <c r="E1972" s="53"/>
      <c r="F1972" s="54"/>
      <c r="G1972" s="54"/>
      <c r="H1972" s="54"/>
      <c r="I1972" s="53"/>
      <c r="J1972" s="53"/>
      <c r="K1972" s="23"/>
      <c r="L1972" s="53"/>
      <c r="M1972" s="54"/>
    </row>
    <row r="1973">
      <c r="A1973" s="23"/>
      <c r="B1973" s="52"/>
      <c r="C1973" s="53"/>
      <c r="D1973" s="23"/>
      <c r="E1973" s="53"/>
      <c r="F1973" s="54"/>
      <c r="G1973" s="54"/>
      <c r="H1973" s="54"/>
      <c r="I1973" s="53"/>
      <c r="J1973" s="53"/>
      <c r="K1973" s="23"/>
      <c r="L1973" s="53"/>
      <c r="M1973" s="54"/>
    </row>
    <row r="1974">
      <c r="A1974" s="23"/>
      <c r="B1974" s="52"/>
      <c r="C1974" s="53"/>
      <c r="D1974" s="23"/>
      <c r="E1974" s="53"/>
      <c r="F1974" s="54"/>
      <c r="G1974" s="54"/>
      <c r="H1974" s="54"/>
      <c r="I1974" s="53"/>
      <c r="J1974" s="53"/>
      <c r="K1974" s="23"/>
      <c r="L1974" s="53"/>
      <c r="M1974" s="54"/>
    </row>
    <row r="1975">
      <c r="A1975" s="23"/>
      <c r="B1975" s="52"/>
      <c r="C1975" s="53"/>
      <c r="D1975" s="23"/>
      <c r="E1975" s="53"/>
      <c r="F1975" s="54"/>
      <c r="G1975" s="54"/>
      <c r="H1975" s="54"/>
      <c r="I1975" s="53"/>
      <c r="J1975" s="53"/>
      <c r="K1975" s="23"/>
      <c r="L1975" s="53"/>
      <c r="M1975" s="54"/>
    </row>
    <row r="1976">
      <c r="A1976" s="23"/>
      <c r="B1976" s="52"/>
      <c r="C1976" s="53"/>
      <c r="D1976" s="23"/>
      <c r="E1976" s="53"/>
      <c r="F1976" s="54"/>
      <c r="G1976" s="54"/>
      <c r="H1976" s="54"/>
      <c r="I1976" s="53"/>
      <c r="J1976" s="53"/>
      <c r="K1976" s="23"/>
      <c r="L1976" s="53"/>
      <c r="M1976" s="54"/>
    </row>
    <row r="1977">
      <c r="A1977" s="23"/>
      <c r="B1977" s="52"/>
      <c r="C1977" s="53"/>
      <c r="D1977" s="23"/>
      <c r="E1977" s="53"/>
      <c r="F1977" s="54"/>
      <c r="G1977" s="54"/>
      <c r="H1977" s="54"/>
      <c r="I1977" s="53"/>
      <c r="J1977" s="53"/>
      <c r="K1977" s="23"/>
      <c r="L1977" s="53"/>
      <c r="M1977" s="54"/>
    </row>
    <row r="1978">
      <c r="A1978" s="23"/>
      <c r="B1978" s="52"/>
      <c r="C1978" s="53"/>
      <c r="D1978" s="23"/>
      <c r="E1978" s="53"/>
      <c r="F1978" s="54"/>
      <c r="G1978" s="54"/>
      <c r="H1978" s="54"/>
      <c r="I1978" s="53"/>
      <c r="J1978" s="53"/>
      <c r="K1978" s="23"/>
      <c r="L1978" s="53"/>
      <c r="M1978" s="54"/>
    </row>
    <row r="1979">
      <c r="A1979" s="23"/>
      <c r="B1979" s="52"/>
      <c r="C1979" s="53"/>
      <c r="D1979" s="23"/>
      <c r="E1979" s="53"/>
      <c r="F1979" s="54"/>
      <c r="G1979" s="54"/>
      <c r="H1979" s="54"/>
      <c r="I1979" s="53"/>
      <c r="J1979" s="53"/>
      <c r="K1979" s="23"/>
      <c r="L1979" s="53"/>
      <c r="M1979" s="54"/>
    </row>
    <row r="1980">
      <c r="A1980" s="23"/>
      <c r="B1980" s="52"/>
      <c r="C1980" s="53"/>
      <c r="D1980" s="23"/>
      <c r="E1980" s="53"/>
      <c r="F1980" s="54"/>
      <c r="G1980" s="54"/>
      <c r="H1980" s="54"/>
      <c r="I1980" s="53"/>
      <c r="J1980" s="53"/>
      <c r="K1980" s="23"/>
      <c r="L1980" s="53"/>
      <c r="M1980" s="54"/>
    </row>
    <row r="1981">
      <c r="A1981" s="23"/>
      <c r="B1981" s="52"/>
      <c r="C1981" s="53"/>
      <c r="D1981" s="23"/>
      <c r="E1981" s="53"/>
      <c r="F1981" s="54"/>
      <c r="G1981" s="54"/>
      <c r="H1981" s="54"/>
      <c r="I1981" s="53"/>
      <c r="J1981" s="53"/>
      <c r="K1981" s="23"/>
      <c r="L1981" s="53"/>
      <c r="M1981" s="54"/>
    </row>
    <row r="1982">
      <c r="A1982" s="23"/>
      <c r="B1982" s="52"/>
      <c r="C1982" s="53"/>
      <c r="D1982" s="23"/>
      <c r="E1982" s="53"/>
      <c r="F1982" s="54"/>
      <c r="G1982" s="54"/>
      <c r="H1982" s="54"/>
      <c r="I1982" s="53"/>
      <c r="J1982" s="53"/>
      <c r="K1982" s="23"/>
      <c r="L1982" s="53"/>
      <c r="M1982" s="54"/>
    </row>
    <row r="1983">
      <c r="A1983" s="23"/>
      <c r="B1983" s="52"/>
      <c r="C1983" s="53"/>
      <c r="D1983" s="23"/>
      <c r="E1983" s="53"/>
      <c r="F1983" s="54"/>
      <c r="G1983" s="54"/>
      <c r="H1983" s="54"/>
      <c r="I1983" s="53"/>
      <c r="J1983" s="53"/>
      <c r="K1983" s="23"/>
      <c r="L1983" s="53"/>
      <c r="M1983" s="54"/>
    </row>
    <row r="1984">
      <c r="A1984" s="23"/>
      <c r="B1984" s="52"/>
      <c r="C1984" s="53"/>
      <c r="D1984" s="23"/>
      <c r="E1984" s="53"/>
      <c r="F1984" s="54"/>
      <c r="G1984" s="54"/>
      <c r="H1984" s="54"/>
      <c r="I1984" s="53"/>
      <c r="J1984" s="53"/>
      <c r="K1984" s="23"/>
      <c r="L1984" s="53"/>
      <c r="M1984" s="54"/>
    </row>
    <row r="1985">
      <c r="A1985" s="23"/>
      <c r="B1985" s="52"/>
      <c r="C1985" s="53"/>
      <c r="D1985" s="23"/>
      <c r="E1985" s="53"/>
      <c r="F1985" s="54"/>
      <c r="G1985" s="54"/>
      <c r="H1985" s="54"/>
      <c r="I1985" s="53"/>
      <c r="J1985" s="53"/>
      <c r="K1985" s="23"/>
      <c r="L1985" s="53"/>
      <c r="M1985" s="54"/>
    </row>
    <row r="1986">
      <c r="A1986" s="23"/>
      <c r="B1986" s="52"/>
      <c r="C1986" s="53"/>
      <c r="D1986" s="23"/>
      <c r="E1986" s="53"/>
      <c r="F1986" s="54"/>
      <c r="G1986" s="54"/>
      <c r="H1986" s="54"/>
      <c r="I1986" s="53"/>
      <c r="J1986" s="53"/>
      <c r="K1986" s="23"/>
      <c r="L1986" s="53"/>
      <c r="M1986" s="54"/>
    </row>
    <row r="1987">
      <c r="A1987" s="23"/>
      <c r="B1987" s="52"/>
      <c r="C1987" s="53"/>
      <c r="D1987" s="23"/>
      <c r="E1987" s="53"/>
      <c r="F1987" s="54"/>
      <c r="G1987" s="54"/>
      <c r="H1987" s="54"/>
      <c r="I1987" s="53"/>
      <c r="J1987" s="53"/>
      <c r="K1987" s="23"/>
      <c r="L1987" s="53"/>
      <c r="M1987" s="54"/>
    </row>
    <row r="1988">
      <c r="A1988" s="23"/>
      <c r="B1988" s="52"/>
      <c r="C1988" s="53"/>
      <c r="D1988" s="23"/>
      <c r="E1988" s="53"/>
      <c r="F1988" s="54"/>
      <c r="G1988" s="54"/>
      <c r="H1988" s="54"/>
      <c r="I1988" s="53"/>
      <c r="J1988" s="53"/>
      <c r="K1988" s="23"/>
      <c r="L1988" s="53"/>
      <c r="M1988" s="54"/>
    </row>
    <row r="1989">
      <c r="A1989" s="23"/>
      <c r="B1989" s="52"/>
      <c r="C1989" s="53"/>
      <c r="D1989" s="23"/>
      <c r="E1989" s="53"/>
      <c r="F1989" s="54"/>
      <c r="G1989" s="54"/>
      <c r="H1989" s="54"/>
      <c r="I1989" s="53"/>
      <c r="J1989" s="53"/>
      <c r="K1989" s="23"/>
      <c r="L1989" s="53"/>
      <c r="M1989" s="54"/>
    </row>
    <row r="1990">
      <c r="A1990" s="23"/>
      <c r="B1990" s="52"/>
      <c r="C1990" s="53"/>
      <c r="D1990" s="23"/>
      <c r="E1990" s="53"/>
      <c r="F1990" s="54"/>
      <c r="G1990" s="54"/>
      <c r="H1990" s="54"/>
      <c r="I1990" s="53"/>
      <c r="J1990" s="53"/>
      <c r="K1990" s="23"/>
      <c r="L1990" s="53"/>
      <c r="M1990" s="54"/>
    </row>
    <row r="1991">
      <c r="A1991" s="23"/>
      <c r="B1991" s="52"/>
      <c r="C1991" s="53"/>
      <c r="D1991" s="23"/>
      <c r="E1991" s="53"/>
      <c r="F1991" s="54"/>
      <c r="G1991" s="54"/>
      <c r="H1991" s="54"/>
      <c r="I1991" s="53"/>
      <c r="J1991" s="53"/>
      <c r="K1991" s="23"/>
      <c r="L1991" s="53"/>
      <c r="M1991" s="54"/>
    </row>
    <row r="1992">
      <c r="A1992" s="23"/>
      <c r="B1992" s="52"/>
      <c r="C1992" s="53"/>
      <c r="D1992" s="23"/>
      <c r="E1992" s="53"/>
      <c r="F1992" s="54"/>
      <c r="G1992" s="54"/>
      <c r="H1992" s="54"/>
      <c r="I1992" s="53"/>
      <c r="J1992" s="53"/>
      <c r="K1992" s="23"/>
      <c r="L1992" s="53"/>
      <c r="M1992" s="54"/>
    </row>
    <row r="1993">
      <c r="A1993" s="23"/>
      <c r="B1993" s="52"/>
      <c r="C1993" s="53"/>
      <c r="D1993" s="23"/>
      <c r="E1993" s="53"/>
      <c r="F1993" s="54"/>
      <c r="G1993" s="54"/>
      <c r="H1993" s="54"/>
      <c r="I1993" s="53"/>
      <c r="J1993" s="53"/>
      <c r="K1993" s="23"/>
      <c r="L1993" s="53"/>
      <c r="M1993" s="54"/>
    </row>
    <row r="1994">
      <c r="A1994" s="23"/>
      <c r="B1994" s="52"/>
      <c r="C1994" s="53"/>
      <c r="D1994" s="23"/>
      <c r="E1994" s="53"/>
      <c r="F1994" s="54"/>
      <c r="G1994" s="54"/>
      <c r="H1994" s="54"/>
      <c r="I1994" s="53"/>
      <c r="J1994" s="53"/>
      <c r="K1994" s="23"/>
      <c r="L1994" s="53"/>
      <c r="M1994" s="54"/>
    </row>
    <row r="1995">
      <c r="A1995" s="23"/>
      <c r="B1995" s="52"/>
      <c r="C1995" s="53"/>
      <c r="D1995" s="23"/>
      <c r="E1995" s="53"/>
      <c r="F1995" s="54"/>
      <c r="G1995" s="54"/>
      <c r="H1995" s="54"/>
      <c r="I1995" s="53"/>
      <c r="J1995" s="53"/>
      <c r="K1995" s="23"/>
      <c r="L1995" s="53"/>
      <c r="M1995" s="54"/>
    </row>
    <row r="1996">
      <c r="A1996" s="23"/>
      <c r="B1996" s="52"/>
      <c r="C1996" s="53"/>
      <c r="D1996" s="23"/>
      <c r="E1996" s="53"/>
      <c r="F1996" s="54"/>
      <c r="G1996" s="54"/>
      <c r="H1996" s="54"/>
      <c r="I1996" s="53"/>
      <c r="J1996" s="53"/>
      <c r="K1996" s="23"/>
      <c r="L1996" s="53"/>
      <c r="M1996" s="54"/>
    </row>
    <row r="1997">
      <c r="A1997" s="23"/>
      <c r="B1997" s="52"/>
      <c r="C1997" s="53"/>
      <c r="D1997" s="23"/>
      <c r="E1997" s="53"/>
      <c r="F1997" s="54"/>
      <c r="G1997" s="54"/>
      <c r="H1997" s="54"/>
      <c r="I1997" s="53"/>
      <c r="J1997" s="53"/>
      <c r="K1997" s="23"/>
      <c r="L1997" s="53"/>
      <c r="M1997" s="54"/>
    </row>
    <row r="1998">
      <c r="A1998" s="23"/>
      <c r="B1998" s="52"/>
      <c r="C1998" s="53"/>
      <c r="D1998" s="23"/>
      <c r="E1998" s="53"/>
      <c r="F1998" s="54"/>
      <c r="G1998" s="54"/>
      <c r="H1998" s="54"/>
      <c r="I1998" s="53"/>
      <c r="J1998" s="53"/>
      <c r="K1998" s="23"/>
      <c r="L1998" s="53"/>
      <c r="M1998" s="54"/>
    </row>
    <row r="1999">
      <c r="A1999" s="23"/>
      <c r="B1999" s="52"/>
      <c r="C1999" s="53"/>
      <c r="D1999" s="23"/>
      <c r="E1999" s="53"/>
      <c r="F1999" s="54"/>
      <c r="G1999" s="54"/>
      <c r="H1999" s="54"/>
      <c r="I1999" s="53"/>
      <c r="J1999" s="53"/>
      <c r="K1999" s="23"/>
      <c r="L1999" s="53"/>
      <c r="M1999" s="54"/>
    </row>
    <row r="2000">
      <c r="A2000" s="23"/>
      <c r="B2000" s="52"/>
      <c r="C2000" s="53"/>
      <c r="D2000" s="23"/>
      <c r="E2000" s="53"/>
      <c r="F2000" s="54"/>
      <c r="G2000" s="54"/>
      <c r="H2000" s="54"/>
      <c r="I2000" s="53"/>
      <c r="J2000" s="53"/>
      <c r="K2000" s="23"/>
      <c r="L2000" s="53"/>
      <c r="M2000" s="54"/>
    </row>
    <row r="2001">
      <c r="A2001" s="23"/>
      <c r="B2001" s="52"/>
      <c r="C2001" s="53"/>
      <c r="D2001" s="23"/>
      <c r="E2001" s="53"/>
      <c r="F2001" s="54"/>
      <c r="G2001" s="54"/>
      <c r="H2001" s="54"/>
      <c r="I2001" s="53"/>
      <c r="J2001" s="53"/>
      <c r="K2001" s="23"/>
      <c r="L2001" s="53"/>
      <c r="M2001" s="54"/>
    </row>
    <row r="2002">
      <c r="A2002" s="23"/>
      <c r="B2002" s="52"/>
      <c r="C2002" s="53"/>
      <c r="D2002" s="23"/>
      <c r="E2002" s="53"/>
      <c r="F2002" s="54"/>
      <c r="G2002" s="54"/>
      <c r="H2002" s="54"/>
      <c r="I2002" s="53"/>
      <c r="J2002" s="53"/>
      <c r="K2002" s="23"/>
      <c r="L2002" s="53"/>
      <c r="M2002" s="54"/>
    </row>
    <row r="2003">
      <c r="A2003" s="23"/>
      <c r="B2003" s="52"/>
      <c r="C2003" s="53"/>
      <c r="D2003" s="23"/>
      <c r="E2003" s="53"/>
      <c r="F2003" s="54"/>
      <c r="G2003" s="54"/>
      <c r="H2003" s="54"/>
      <c r="I2003" s="53"/>
      <c r="J2003" s="53"/>
      <c r="K2003" s="23"/>
      <c r="L2003" s="53"/>
      <c r="M2003" s="54"/>
    </row>
    <row r="2004">
      <c r="A2004" s="23"/>
      <c r="B2004" s="52"/>
      <c r="C2004" s="53"/>
      <c r="D2004" s="23"/>
      <c r="E2004" s="53"/>
      <c r="F2004" s="54"/>
      <c r="G2004" s="54"/>
      <c r="H2004" s="54"/>
      <c r="I2004" s="53"/>
      <c r="J2004" s="53"/>
      <c r="K2004" s="23"/>
      <c r="L2004" s="53"/>
      <c r="M2004" s="54"/>
    </row>
    <row r="2005">
      <c r="A2005" s="23"/>
      <c r="B2005" s="52"/>
      <c r="C2005" s="53"/>
      <c r="D2005" s="23"/>
      <c r="E2005" s="53"/>
      <c r="F2005" s="54"/>
      <c r="G2005" s="54"/>
      <c r="H2005" s="54"/>
      <c r="I2005" s="53"/>
      <c r="J2005" s="53"/>
      <c r="K2005" s="23"/>
      <c r="L2005" s="53"/>
      <c r="M2005" s="54"/>
    </row>
    <row r="2006">
      <c r="A2006" s="23"/>
      <c r="B2006" s="52"/>
      <c r="C2006" s="53"/>
      <c r="D2006" s="23"/>
      <c r="E2006" s="53"/>
      <c r="F2006" s="54"/>
      <c r="G2006" s="54"/>
      <c r="H2006" s="54"/>
      <c r="I2006" s="53"/>
      <c r="J2006" s="53"/>
      <c r="K2006" s="23"/>
      <c r="L2006" s="53"/>
      <c r="M2006" s="54"/>
    </row>
    <row r="2007">
      <c r="A2007" s="23"/>
      <c r="B2007" s="52"/>
      <c r="C2007" s="53"/>
      <c r="D2007" s="23"/>
      <c r="E2007" s="53"/>
      <c r="F2007" s="54"/>
      <c r="G2007" s="54"/>
      <c r="H2007" s="54"/>
      <c r="I2007" s="53"/>
      <c r="J2007" s="53"/>
      <c r="K2007" s="23"/>
      <c r="L2007" s="53"/>
      <c r="M2007" s="54"/>
    </row>
    <row r="2008">
      <c r="A2008" s="23"/>
      <c r="B2008" s="52"/>
      <c r="C2008" s="53"/>
      <c r="D2008" s="23"/>
      <c r="E2008" s="53"/>
      <c r="F2008" s="54"/>
      <c r="G2008" s="54"/>
      <c r="H2008" s="54"/>
      <c r="I2008" s="53"/>
      <c r="J2008" s="53"/>
      <c r="K2008" s="23"/>
      <c r="L2008" s="53"/>
      <c r="M2008" s="54"/>
    </row>
    <row r="2009">
      <c r="A2009" s="23"/>
      <c r="B2009" s="52"/>
      <c r="C2009" s="53"/>
      <c r="D2009" s="23"/>
      <c r="E2009" s="53"/>
      <c r="F2009" s="54"/>
      <c r="G2009" s="54"/>
      <c r="H2009" s="54"/>
      <c r="I2009" s="53"/>
      <c r="J2009" s="53"/>
      <c r="K2009" s="23"/>
      <c r="L2009" s="53"/>
      <c r="M2009" s="54"/>
    </row>
    <row r="2010">
      <c r="A2010" s="23"/>
      <c r="B2010" s="52"/>
      <c r="C2010" s="53"/>
      <c r="D2010" s="23"/>
      <c r="E2010" s="53"/>
      <c r="F2010" s="54"/>
      <c r="G2010" s="54"/>
      <c r="H2010" s="54"/>
      <c r="I2010" s="53"/>
      <c r="J2010" s="53"/>
      <c r="K2010" s="23"/>
      <c r="L2010" s="53"/>
      <c r="M2010" s="54"/>
    </row>
    <row r="2011">
      <c r="A2011" s="23"/>
      <c r="B2011" s="52"/>
      <c r="C2011" s="53"/>
      <c r="D2011" s="23"/>
      <c r="E2011" s="53"/>
      <c r="F2011" s="54"/>
      <c r="G2011" s="54"/>
      <c r="H2011" s="54"/>
      <c r="I2011" s="53"/>
      <c r="J2011" s="53"/>
      <c r="K2011" s="23"/>
      <c r="L2011" s="53"/>
      <c r="M2011" s="54"/>
    </row>
    <row r="2012">
      <c r="A2012" s="23"/>
      <c r="B2012" s="52"/>
      <c r="C2012" s="53"/>
      <c r="D2012" s="23"/>
      <c r="E2012" s="53"/>
      <c r="F2012" s="54"/>
      <c r="G2012" s="54"/>
      <c r="H2012" s="54"/>
      <c r="I2012" s="53"/>
      <c r="J2012" s="53"/>
      <c r="K2012" s="23"/>
      <c r="L2012" s="53"/>
      <c r="M2012" s="54"/>
    </row>
    <row r="2013">
      <c r="A2013" s="23"/>
      <c r="B2013" s="52"/>
      <c r="C2013" s="53"/>
      <c r="D2013" s="23"/>
      <c r="E2013" s="53"/>
      <c r="F2013" s="54"/>
      <c r="G2013" s="54"/>
      <c r="H2013" s="54"/>
      <c r="I2013" s="53"/>
      <c r="J2013" s="53"/>
      <c r="K2013" s="23"/>
      <c r="L2013" s="53"/>
      <c r="M2013" s="54"/>
    </row>
    <row r="2014">
      <c r="A2014" s="23"/>
      <c r="B2014" s="52"/>
      <c r="C2014" s="53"/>
      <c r="D2014" s="23"/>
      <c r="E2014" s="53"/>
      <c r="F2014" s="54"/>
      <c r="G2014" s="54"/>
      <c r="H2014" s="54"/>
      <c r="I2014" s="53"/>
      <c r="J2014" s="53"/>
      <c r="K2014" s="23"/>
      <c r="L2014" s="53"/>
      <c r="M2014" s="54"/>
    </row>
    <row r="2015">
      <c r="A2015" s="23"/>
      <c r="B2015" s="52"/>
      <c r="C2015" s="53"/>
      <c r="D2015" s="23"/>
      <c r="E2015" s="53"/>
      <c r="F2015" s="54"/>
      <c r="G2015" s="54"/>
      <c r="H2015" s="54"/>
      <c r="I2015" s="53"/>
      <c r="J2015" s="53"/>
      <c r="K2015" s="23"/>
      <c r="L2015" s="53"/>
      <c r="M2015" s="54"/>
    </row>
    <row r="2016">
      <c r="A2016" s="23"/>
      <c r="B2016" s="52"/>
      <c r="C2016" s="53"/>
      <c r="D2016" s="23"/>
      <c r="E2016" s="53"/>
      <c r="F2016" s="54"/>
      <c r="G2016" s="54"/>
      <c r="H2016" s="54"/>
      <c r="I2016" s="53"/>
      <c r="J2016" s="53"/>
      <c r="K2016" s="23"/>
      <c r="L2016" s="53"/>
      <c r="M2016" s="54"/>
    </row>
    <row r="2017">
      <c r="A2017" s="23"/>
      <c r="B2017" s="52"/>
      <c r="C2017" s="53"/>
      <c r="D2017" s="23"/>
      <c r="E2017" s="53"/>
      <c r="F2017" s="54"/>
      <c r="G2017" s="54"/>
      <c r="H2017" s="54"/>
      <c r="I2017" s="53"/>
      <c r="J2017" s="53"/>
      <c r="K2017" s="23"/>
      <c r="L2017" s="53"/>
      <c r="M2017" s="54"/>
    </row>
    <row r="2018">
      <c r="A2018" s="23"/>
      <c r="B2018" s="52"/>
      <c r="C2018" s="53"/>
      <c r="D2018" s="23"/>
      <c r="E2018" s="53"/>
      <c r="F2018" s="54"/>
      <c r="G2018" s="54"/>
      <c r="H2018" s="54"/>
      <c r="I2018" s="53"/>
      <c r="J2018" s="53"/>
      <c r="K2018" s="23"/>
      <c r="L2018" s="53"/>
      <c r="M2018" s="54"/>
    </row>
    <row r="2019">
      <c r="A2019" s="23"/>
      <c r="B2019" s="52"/>
      <c r="C2019" s="53"/>
      <c r="D2019" s="23"/>
      <c r="E2019" s="53"/>
      <c r="F2019" s="54"/>
      <c r="G2019" s="54"/>
      <c r="H2019" s="54"/>
      <c r="I2019" s="53"/>
      <c r="J2019" s="53"/>
      <c r="K2019" s="23"/>
      <c r="L2019" s="53"/>
      <c r="M2019" s="54"/>
    </row>
    <row r="2020">
      <c r="A2020" s="23"/>
      <c r="B2020" s="52"/>
      <c r="C2020" s="53"/>
      <c r="D2020" s="23"/>
      <c r="E2020" s="53"/>
      <c r="F2020" s="54"/>
      <c r="G2020" s="54"/>
      <c r="H2020" s="54"/>
      <c r="I2020" s="53"/>
      <c r="J2020" s="53"/>
      <c r="K2020" s="23"/>
      <c r="L2020" s="53"/>
      <c r="M2020" s="54"/>
    </row>
    <row r="2021">
      <c r="A2021" s="23"/>
      <c r="B2021" s="52"/>
      <c r="C2021" s="53"/>
      <c r="D2021" s="23"/>
      <c r="E2021" s="53"/>
      <c r="F2021" s="54"/>
      <c r="G2021" s="54"/>
      <c r="H2021" s="54"/>
      <c r="I2021" s="53"/>
      <c r="J2021" s="53"/>
      <c r="K2021" s="23"/>
      <c r="L2021" s="53"/>
      <c r="M2021" s="54"/>
    </row>
    <row r="2022">
      <c r="A2022" s="23"/>
      <c r="B2022" s="52"/>
      <c r="C2022" s="53"/>
      <c r="D2022" s="23"/>
      <c r="E2022" s="53"/>
      <c r="F2022" s="54"/>
      <c r="G2022" s="54"/>
      <c r="H2022" s="54"/>
      <c r="I2022" s="53"/>
      <c r="J2022" s="53"/>
      <c r="K2022" s="23"/>
      <c r="L2022" s="53"/>
      <c r="M2022" s="54"/>
    </row>
    <row r="2023">
      <c r="A2023" s="23"/>
      <c r="B2023" s="52"/>
      <c r="C2023" s="53"/>
      <c r="D2023" s="23"/>
      <c r="E2023" s="53"/>
      <c r="F2023" s="54"/>
      <c r="G2023" s="54"/>
      <c r="H2023" s="54"/>
      <c r="I2023" s="53"/>
      <c r="J2023" s="53"/>
      <c r="K2023" s="23"/>
      <c r="L2023" s="53"/>
      <c r="M2023" s="54"/>
    </row>
    <row r="2024">
      <c r="A2024" s="23"/>
      <c r="B2024" s="52"/>
      <c r="C2024" s="53"/>
      <c r="D2024" s="23"/>
      <c r="E2024" s="53"/>
      <c r="F2024" s="54"/>
      <c r="G2024" s="54"/>
      <c r="H2024" s="54"/>
      <c r="I2024" s="53"/>
      <c r="J2024" s="53"/>
      <c r="K2024" s="23"/>
      <c r="L2024" s="53"/>
      <c r="M2024" s="54"/>
    </row>
    <row r="2025">
      <c r="A2025" s="23"/>
      <c r="B2025" s="52"/>
      <c r="C2025" s="53"/>
      <c r="D2025" s="23"/>
      <c r="E2025" s="53"/>
      <c r="F2025" s="54"/>
      <c r="G2025" s="54"/>
      <c r="H2025" s="54"/>
      <c r="I2025" s="53"/>
      <c r="J2025" s="53"/>
      <c r="K2025" s="23"/>
      <c r="L2025" s="53"/>
      <c r="M2025" s="54"/>
    </row>
    <row r="2026">
      <c r="A2026" s="23"/>
      <c r="B2026" s="52"/>
      <c r="C2026" s="53"/>
      <c r="D2026" s="23"/>
      <c r="E2026" s="53"/>
      <c r="F2026" s="54"/>
      <c r="G2026" s="54"/>
      <c r="H2026" s="54"/>
      <c r="I2026" s="53"/>
      <c r="J2026" s="53"/>
      <c r="K2026" s="23"/>
      <c r="L2026" s="53"/>
      <c r="M2026" s="54"/>
    </row>
    <row r="2027">
      <c r="A2027" s="23"/>
      <c r="B2027" s="52"/>
      <c r="C2027" s="53"/>
      <c r="D2027" s="23"/>
      <c r="E2027" s="53"/>
      <c r="F2027" s="54"/>
      <c r="G2027" s="54"/>
      <c r="H2027" s="54"/>
      <c r="I2027" s="53"/>
      <c r="J2027" s="53"/>
      <c r="K2027" s="23"/>
      <c r="L2027" s="53"/>
      <c r="M2027" s="54"/>
    </row>
    <row r="2028">
      <c r="A2028" s="23"/>
      <c r="B2028" s="52"/>
      <c r="C2028" s="53"/>
      <c r="D2028" s="23"/>
      <c r="E2028" s="53"/>
      <c r="F2028" s="54"/>
      <c r="G2028" s="54"/>
      <c r="H2028" s="54"/>
      <c r="I2028" s="53"/>
      <c r="J2028" s="53"/>
      <c r="K2028" s="23"/>
      <c r="L2028" s="53"/>
      <c r="M2028" s="54"/>
    </row>
    <row r="2029">
      <c r="A2029" s="23"/>
      <c r="B2029" s="52"/>
      <c r="C2029" s="53"/>
      <c r="D2029" s="23"/>
      <c r="E2029" s="53"/>
      <c r="F2029" s="54"/>
      <c r="G2029" s="54"/>
      <c r="H2029" s="54"/>
      <c r="I2029" s="53"/>
      <c r="J2029" s="53"/>
      <c r="K2029" s="23"/>
      <c r="L2029" s="53"/>
      <c r="M2029" s="54"/>
    </row>
    <row r="2030">
      <c r="A2030" s="23"/>
      <c r="B2030" s="52"/>
      <c r="C2030" s="53"/>
      <c r="D2030" s="23"/>
      <c r="E2030" s="53"/>
      <c r="F2030" s="54"/>
      <c r="G2030" s="54"/>
      <c r="H2030" s="54"/>
      <c r="I2030" s="53"/>
      <c r="J2030" s="53"/>
      <c r="K2030" s="23"/>
      <c r="L2030" s="53"/>
      <c r="M2030" s="54"/>
    </row>
    <row r="2031">
      <c r="A2031" s="23"/>
      <c r="B2031" s="52"/>
      <c r="C2031" s="53"/>
      <c r="D2031" s="23"/>
      <c r="E2031" s="53"/>
      <c r="F2031" s="54"/>
      <c r="G2031" s="54"/>
      <c r="H2031" s="54"/>
      <c r="I2031" s="53"/>
      <c r="J2031" s="53"/>
      <c r="K2031" s="23"/>
      <c r="L2031" s="53"/>
      <c r="M2031" s="54"/>
    </row>
    <row r="2032">
      <c r="A2032" s="23"/>
      <c r="B2032" s="52"/>
      <c r="C2032" s="53"/>
      <c r="D2032" s="23"/>
      <c r="E2032" s="53"/>
      <c r="F2032" s="54"/>
      <c r="G2032" s="54"/>
      <c r="H2032" s="54"/>
      <c r="I2032" s="53"/>
      <c r="J2032" s="53"/>
      <c r="K2032" s="53"/>
      <c r="L2032" s="53"/>
      <c r="M2032" s="54"/>
    </row>
    <row r="2033">
      <c r="A2033" s="23"/>
      <c r="B2033" s="52"/>
      <c r="C2033" s="53"/>
      <c r="D2033" s="23"/>
      <c r="E2033" s="53"/>
      <c r="F2033" s="54"/>
      <c r="G2033" s="54"/>
      <c r="H2033" s="54"/>
      <c r="I2033" s="53"/>
      <c r="J2033" s="53"/>
      <c r="K2033" s="23"/>
      <c r="L2033" s="53"/>
      <c r="M2033" s="54"/>
    </row>
    <row r="2034">
      <c r="A2034" s="23"/>
      <c r="B2034" s="52"/>
      <c r="C2034" s="53"/>
      <c r="D2034" s="23"/>
      <c r="E2034" s="53"/>
      <c r="F2034" s="54"/>
      <c r="G2034" s="54"/>
      <c r="H2034" s="54"/>
      <c r="I2034" s="53"/>
      <c r="J2034" s="53"/>
      <c r="K2034" s="23"/>
      <c r="L2034" s="53"/>
      <c r="M2034" s="54"/>
    </row>
    <row r="2035">
      <c r="A2035" s="23"/>
      <c r="B2035" s="52"/>
      <c r="C2035" s="53"/>
      <c r="D2035" s="23"/>
      <c r="E2035" s="53"/>
      <c r="F2035" s="54"/>
      <c r="G2035" s="54"/>
      <c r="H2035" s="54"/>
      <c r="I2035" s="53"/>
      <c r="J2035" s="53"/>
      <c r="K2035" s="23"/>
      <c r="L2035" s="53"/>
      <c r="M2035" s="54"/>
    </row>
    <row r="2036">
      <c r="A2036" s="23"/>
      <c r="B2036" s="52"/>
      <c r="C2036" s="53"/>
      <c r="D2036" s="23"/>
      <c r="E2036" s="53"/>
      <c r="F2036" s="54"/>
      <c r="G2036" s="54"/>
      <c r="H2036" s="54"/>
      <c r="I2036" s="53"/>
      <c r="J2036" s="53"/>
      <c r="K2036" s="23"/>
      <c r="L2036" s="53"/>
      <c r="M2036" s="54"/>
    </row>
    <row r="2037">
      <c r="A2037" s="23"/>
      <c r="B2037" s="52"/>
      <c r="C2037" s="53"/>
      <c r="D2037" s="23"/>
      <c r="E2037" s="53"/>
      <c r="F2037" s="54"/>
      <c r="G2037" s="54"/>
      <c r="H2037" s="54"/>
      <c r="I2037" s="53"/>
      <c r="J2037" s="53"/>
      <c r="K2037" s="23"/>
      <c r="L2037" s="53"/>
      <c r="M2037" s="54"/>
    </row>
    <row r="2038">
      <c r="A2038" s="23"/>
      <c r="B2038" s="52"/>
      <c r="C2038" s="53"/>
      <c r="D2038" s="23"/>
      <c r="E2038" s="53"/>
      <c r="F2038" s="54"/>
      <c r="G2038" s="54"/>
      <c r="H2038" s="54"/>
      <c r="I2038" s="53"/>
      <c r="J2038" s="53"/>
      <c r="K2038" s="23"/>
      <c r="L2038" s="53"/>
      <c r="M2038" s="54"/>
    </row>
    <row r="2039">
      <c r="A2039" s="23"/>
      <c r="B2039" s="52"/>
      <c r="C2039" s="53"/>
      <c r="D2039" s="23"/>
      <c r="E2039" s="53"/>
      <c r="F2039" s="54"/>
      <c r="G2039" s="54"/>
      <c r="H2039" s="54"/>
      <c r="I2039" s="53"/>
      <c r="J2039" s="53"/>
      <c r="K2039" s="23"/>
      <c r="L2039" s="53"/>
      <c r="M2039" s="54"/>
    </row>
    <row r="2040">
      <c r="A2040" s="23"/>
      <c r="B2040" s="52"/>
      <c r="C2040" s="53"/>
      <c r="D2040" s="23"/>
      <c r="E2040" s="53"/>
      <c r="F2040" s="54"/>
      <c r="G2040" s="54"/>
      <c r="H2040" s="54"/>
      <c r="I2040" s="53"/>
      <c r="J2040" s="53"/>
      <c r="K2040" s="23"/>
      <c r="L2040" s="53"/>
      <c r="M2040" s="54"/>
    </row>
    <row r="2041">
      <c r="A2041" s="23"/>
      <c r="B2041" s="52"/>
      <c r="C2041" s="53"/>
      <c r="D2041" s="23"/>
      <c r="E2041" s="53"/>
      <c r="F2041" s="54"/>
      <c r="G2041" s="54"/>
      <c r="H2041" s="54"/>
      <c r="I2041" s="53"/>
      <c r="J2041" s="53"/>
      <c r="K2041" s="23"/>
      <c r="L2041" s="53"/>
      <c r="M2041" s="54"/>
    </row>
    <row r="2042">
      <c r="A2042" s="23"/>
      <c r="B2042" s="52"/>
      <c r="C2042" s="53"/>
      <c r="D2042" s="23"/>
      <c r="E2042" s="53"/>
      <c r="F2042" s="54"/>
      <c r="G2042" s="54"/>
      <c r="H2042" s="54"/>
      <c r="I2042" s="53"/>
      <c r="J2042" s="53"/>
      <c r="K2042" s="23"/>
      <c r="L2042" s="53"/>
      <c r="M2042" s="54"/>
    </row>
    <row r="2043">
      <c r="A2043" s="23"/>
      <c r="B2043" s="52"/>
      <c r="C2043" s="53"/>
      <c r="D2043" s="23"/>
      <c r="E2043" s="53"/>
      <c r="F2043" s="54"/>
      <c r="G2043" s="54"/>
      <c r="H2043" s="54"/>
      <c r="I2043" s="53"/>
      <c r="J2043" s="53"/>
      <c r="K2043" s="23"/>
      <c r="L2043" s="53"/>
      <c r="M2043" s="54"/>
    </row>
    <row r="2044">
      <c r="A2044" s="23"/>
      <c r="B2044" s="52"/>
      <c r="C2044" s="53"/>
      <c r="D2044" s="23"/>
      <c r="E2044" s="53"/>
      <c r="F2044" s="54"/>
      <c r="G2044" s="54"/>
      <c r="H2044" s="54"/>
      <c r="I2044" s="53"/>
      <c r="J2044" s="53"/>
      <c r="K2044" s="23"/>
      <c r="L2044" s="53"/>
      <c r="M2044" s="54"/>
    </row>
    <row r="2045">
      <c r="A2045" s="23"/>
      <c r="B2045" s="52"/>
      <c r="C2045" s="53"/>
      <c r="D2045" s="23"/>
      <c r="E2045" s="53"/>
      <c r="F2045" s="54"/>
      <c r="G2045" s="54"/>
      <c r="H2045" s="54"/>
      <c r="I2045" s="53"/>
      <c r="J2045" s="53"/>
      <c r="K2045" s="23"/>
      <c r="L2045" s="53"/>
      <c r="M2045" s="54"/>
    </row>
    <row r="2046">
      <c r="A2046" s="23"/>
      <c r="B2046" s="52"/>
      <c r="C2046" s="53"/>
      <c r="D2046" s="23"/>
      <c r="E2046" s="53"/>
      <c r="F2046" s="54"/>
      <c r="G2046" s="54"/>
      <c r="H2046" s="54"/>
      <c r="I2046" s="53"/>
      <c r="J2046" s="53"/>
      <c r="K2046" s="23"/>
      <c r="L2046" s="53"/>
      <c r="M2046" s="54"/>
    </row>
    <row r="2047">
      <c r="A2047" s="23"/>
      <c r="B2047" s="52"/>
      <c r="C2047" s="53"/>
      <c r="D2047" s="23"/>
      <c r="E2047" s="53"/>
      <c r="F2047" s="54"/>
      <c r="G2047" s="54"/>
      <c r="H2047" s="54"/>
      <c r="I2047" s="53"/>
      <c r="J2047" s="53"/>
      <c r="K2047" s="23"/>
      <c r="L2047" s="53"/>
      <c r="M2047" s="54"/>
    </row>
    <row r="2048">
      <c r="A2048" s="23"/>
      <c r="B2048" s="52"/>
      <c r="C2048" s="53"/>
      <c r="D2048" s="23"/>
      <c r="E2048" s="53"/>
      <c r="F2048" s="54"/>
      <c r="G2048" s="54"/>
      <c r="H2048" s="54"/>
      <c r="I2048" s="53"/>
      <c r="J2048" s="53"/>
      <c r="K2048" s="23"/>
      <c r="L2048" s="53"/>
      <c r="M2048" s="54"/>
    </row>
    <row r="2049">
      <c r="A2049" s="23"/>
      <c r="B2049" s="52"/>
      <c r="C2049" s="53"/>
      <c r="D2049" s="23"/>
      <c r="E2049" s="53"/>
      <c r="F2049" s="54"/>
      <c r="G2049" s="54"/>
      <c r="H2049" s="54"/>
      <c r="I2049" s="53"/>
      <c r="J2049" s="53"/>
      <c r="K2049" s="23"/>
      <c r="L2049" s="53"/>
      <c r="M2049" s="54"/>
    </row>
    <row r="2050">
      <c r="A2050" s="23"/>
      <c r="B2050" s="52"/>
      <c r="C2050" s="53"/>
      <c r="D2050" s="23"/>
      <c r="E2050" s="53"/>
      <c r="F2050" s="54"/>
      <c r="G2050" s="54"/>
      <c r="H2050" s="54"/>
      <c r="I2050" s="53"/>
      <c r="J2050" s="53"/>
      <c r="K2050" s="23"/>
      <c r="L2050" s="53"/>
      <c r="M2050" s="54"/>
    </row>
    <row r="2051">
      <c r="A2051" s="23"/>
      <c r="B2051" s="52"/>
      <c r="C2051" s="53"/>
      <c r="D2051" s="23"/>
      <c r="E2051" s="53"/>
      <c r="F2051" s="54"/>
      <c r="G2051" s="54"/>
      <c r="H2051" s="54"/>
      <c r="I2051" s="53"/>
      <c r="J2051" s="53"/>
      <c r="K2051" s="23"/>
      <c r="L2051" s="53"/>
      <c r="M2051" s="54"/>
    </row>
    <row r="2052">
      <c r="A2052" s="23"/>
      <c r="B2052" s="52"/>
      <c r="C2052" s="53"/>
      <c r="D2052" s="23"/>
      <c r="E2052" s="53"/>
      <c r="F2052" s="54"/>
      <c r="G2052" s="54"/>
      <c r="H2052" s="54"/>
      <c r="I2052" s="53"/>
      <c r="J2052" s="53"/>
      <c r="K2052" s="23"/>
      <c r="L2052" s="53"/>
      <c r="M2052" s="54"/>
    </row>
    <row r="2053">
      <c r="A2053" s="23"/>
      <c r="B2053" s="52"/>
      <c r="C2053" s="53"/>
      <c r="D2053" s="23"/>
      <c r="E2053" s="53"/>
      <c r="F2053" s="54"/>
      <c r="G2053" s="54"/>
      <c r="H2053" s="54"/>
      <c r="I2053" s="53"/>
      <c r="J2053" s="53"/>
      <c r="K2053" s="23"/>
      <c r="L2053" s="53"/>
      <c r="M2053" s="54"/>
    </row>
    <row r="2054">
      <c r="A2054" s="23"/>
      <c r="B2054" s="52"/>
      <c r="C2054" s="53"/>
      <c r="D2054" s="23"/>
      <c r="E2054" s="53"/>
      <c r="F2054" s="54"/>
      <c r="G2054" s="54"/>
      <c r="H2054" s="54"/>
      <c r="I2054" s="53"/>
      <c r="J2054" s="53"/>
      <c r="K2054" s="23"/>
      <c r="L2054" s="53"/>
      <c r="M2054" s="54"/>
    </row>
    <row r="2055">
      <c r="A2055" s="23"/>
      <c r="B2055" s="52"/>
      <c r="C2055" s="53"/>
      <c r="D2055" s="23"/>
      <c r="E2055" s="53"/>
      <c r="F2055" s="54"/>
      <c r="G2055" s="54"/>
      <c r="H2055" s="54"/>
      <c r="I2055" s="53"/>
      <c r="J2055" s="53"/>
      <c r="K2055" s="23"/>
      <c r="L2055" s="53"/>
      <c r="M2055" s="54"/>
    </row>
    <row r="2056">
      <c r="A2056" s="23"/>
      <c r="B2056" s="52"/>
      <c r="C2056" s="53"/>
      <c r="D2056" s="23"/>
      <c r="E2056" s="53"/>
      <c r="F2056" s="54"/>
      <c r="G2056" s="54"/>
      <c r="H2056" s="54"/>
      <c r="I2056" s="53"/>
      <c r="J2056" s="53"/>
      <c r="K2056" s="23"/>
      <c r="L2056" s="53"/>
      <c r="M2056" s="54"/>
    </row>
    <row r="2057">
      <c r="A2057" s="23"/>
      <c r="B2057" s="52"/>
      <c r="C2057" s="53"/>
      <c r="D2057" s="23"/>
      <c r="E2057" s="53"/>
      <c r="F2057" s="54"/>
      <c r="G2057" s="54"/>
      <c r="H2057" s="54"/>
      <c r="I2057" s="53"/>
      <c r="J2057" s="53"/>
      <c r="K2057" s="23"/>
      <c r="L2057" s="53"/>
      <c r="M2057" s="54"/>
    </row>
    <row r="2058">
      <c r="A2058" s="23"/>
      <c r="B2058" s="52"/>
      <c r="C2058" s="53"/>
      <c r="D2058" s="23"/>
      <c r="E2058" s="53"/>
      <c r="F2058" s="54"/>
      <c r="G2058" s="54"/>
      <c r="H2058" s="54"/>
      <c r="I2058" s="53"/>
      <c r="J2058" s="53"/>
      <c r="K2058" s="23"/>
      <c r="L2058" s="53"/>
      <c r="M2058" s="54"/>
    </row>
    <row r="2059">
      <c r="A2059" s="23"/>
      <c r="B2059" s="52"/>
      <c r="C2059" s="53"/>
      <c r="D2059" s="23"/>
      <c r="E2059" s="53"/>
      <c r="F2059" s="54"/>
      <c r="G2059" s="54"/>
      <c r="H2059" s="54"/>
      <c r="I2059" s="53"/>
      <c r="J2059" s="53"/>
      <c r="K2059" s="23"/>
      <c r="L2059" s="53"/>
      <c r="M2059" s="54"/>
    </row>
    <row r="2060">
      <c r="A2060" s="23"/>
      <c r="B2060" s="52"/>
      <c r="C2060" s="53"/>
      <c r="D2060" s="23"/>
      <c r="E2060" s="53"/>
      <c r="F2060" s="54"/>
      <c r="G2060" s="23"/>
      <c r="H2060" s="54"/>
      <c r="I2060" s="53"/>
      <c r="J2060" s="53"/>
      <c r="K2060" s="23"/>
      <c r="L2060" s="53"/>
      <c r="M2060" s="54"/>
    </row>
    <row r="2061">
      <c r="A2061" s="23"/>
      <c r="B2061" s="52"/>
      <c r="C2061" s="53"/>
      <c r="D2061" s="23"/>
      <c r="E2061" s="53"/>
      <c r="F2061" s="54"/>
      <c r="G2061" s="54"/>
      <c r="H2061" s="54"/>
      <c r="I2061" s="53"/>
      <c r="J2061" s="53"/>
      <c r="K2061" s="23"/>
      <c r="L2061" s="53"/>
      <c r="M2061" s="54"/>
    </row>
    <row r="2062">
      <c r="A2062" s="23"/>
      <c r="B2062" s="52"/>
      <c r="C2062" s="53"/>
      <c r="D2062" s="23"/>
      <c r="E2062" s="53"/>
      <c r="F2062" s="54"/>
      <c r="G2062" s="54"/>
      <c r="H2062" s="54"/>
      <c r="I2062" s="53"/>
      <c r="J2062" s="53"/>
      <c r="K2062" s="23"/>
      <c r="L2062" s="53"/>
      <c r="M2062" s="54"/>
    </row>
    <row r="2063">
      <c r="A2063" s="23"/>
      <c r="B2063" s="52"/>
      <c r="C2063" s="53"/>
      <c r="D2063" s="23"/>
      <c r="E2063" s="53"/>
      <c r="F2063" s="54"/>
      <c r="G2063" s="54"/>
      <c r="H2063" s="54"/>
      <c r="I2063" s="53"/>
      <c r="J2063" s="53"/>
      <c r="K2063" s="23"/>
      <c r="L2063" s="53"/>
      <c r="M2063" s="54"/>
    </row>
    <row r="2064">
      <c r="A2064" s="23"/>
      <c r="B2064" s="52"/>
      <c r="C2064" s="53"/>
      <c r="D2064" s="23"/>
      <c r="E2064" s="53"/>
      <c r="F2064" s="54"/>
      <c r="G2064" s="54"/>
      <c r="H2064" s="54"/>
      <c r="I2064" s="53"/>
      <c r="J2064" s="53"/>
      <c r="K2064" s="23"/>
      <c r="L2064" s="53"/>
      <c r="M2064" s="54"/>
    </row>
    <row r="2065">
      <c r="A2065" s="23"/>
      <c r="B2065" s="52"/>
      <c r="C2065" s="53"/>
      <c r="D2065" s="23"/>
      <c r="E2065" s="53"/>
      <c r="F2065" s="54"/>
      <c r="G2065" s="54"/>
      <c r="H2065" s="54"/>
      <c r="I2065" s="53"/>
      <c r="J2065" s="53"/>
      <c r="K2065" s="23"/>
      <c r="L2065" s="53"/>
      <c r="M2065" s="54"/>
    </row>
    <row r="2066">
      <c r="A2066" s="23"/>
      <c r="B2066" s="52"/>
      <c r="C2066" s="53"/>
      <c r="D2066" s="23"/>
      <c r="E2066" s="53"/>
      <c r="F2066" s="54"/>
      <c r="G2066" s="54"/>
      <c r="H2066" s="54"/>
      <c r="I2066" s="53"/>
      <c r="J2066" s="53"/>
      <c r="K2066" s="23"/>
      <c r="L2066" s="53"/>
      <c r="M2066" s="54"/>
    </row>
    <row r="2067">
      <c r="A2067" s="23"/>
      <c r="B2067" s="52"/>
      <c r="C2067" s="53"/>
      <c r="D2067" s="23"/>
      <c r="E2067" s="53"/>
      <c r="F2067" s="54"/>
      <c r="G2067" s="54"/>
      <c r="H2067" s="54"/>
      <c r="I2067" s="53"/>
      <c r="J2067" s="53"/>
      <c r="K2067" s="23"/>
      <c r="L2067" s="53"/>
      <c r="M2067" s="54"/>
    </row>
    <row r="2068">
      <c r="A2068" s="23"/>
      <c r="B2068" s="52"/>
      <c r="C2068" s="53"/>
      <c r="D2068" s="23"/>
      <c r="E2068" s="53"/>
      <c r="F2068" s="54"/>
      <c r="G2068" s="54"/>
      <c r="H2068" s="54"/>
      <c r="I2068" s="53"/>
      <c r="J2068" s="53"/>
      <c r="K2068" s="23"/>
      <c r="L2068" s="53"/>
      <c r="M2068" s="54"/>
    </row>
    <row r="2069">
      <c r="A2069" s="23"/>
      <c r="B2069" s="52"/>
      <c r="C2069" s="53"/>
      <c r="D2069" s="23"/>
      <c r="E2069" s="53"/>
      <c r="F2069" s="54"/>
      <c r="G2069" s="54"/>
      <c r="H2069" s="54"/>
      <c r="I2069" s="53"/>
      <c r="J2069" s="53"/>
      <c r="K2069" s="23"/>
      <c r="L2069" s="53"/>
      <c r="M2069" s="54"/>
    </row>
    <row r="2070">
      <c r="A2070" s="23"/>
      <c r="B2070" s="52"/>
      <c r="C2070" s="53"/>
      <c r="D2070" s="23"/>
      <c r="E2070" s="53"/>
      <c r="F2070" s="54"/>
      <c r="G2070" s="54"/>
      <c r="H2070" s="54"/>
      <c r="I2070" s="53"/>
      <c r="J2070" s="53"/>
      <c r="K2070" s="23"/>
      <c r="L2070" s="53"/>
      <c r="M2070" s="54"/>
    </row>
    <row r="2071">
      <c r="A2071" s="23"/>
      <c r="B2071" s="52"/>
      <c r="C2071" s="53"/>
      <c r="D2071" s="23"/>
      <c r="E2071" s="53"/>
      <c r="F2071" s="54"/>
      <c r="G2071" s="54"/>
      <c r="H2071" s="54"/>
      <c r="I2071" s="53"/>
      <c r="J2071" s="53"/>
      <c r="K2071" s="23"/>
      <c r="L2071" s="53"/>
      <c r="M2071" s="54"/>
    </row>
    <row r="2072">
      <c r="A2072" s="23"/>
      <c r="B2072" s="52"/>
      <c r="C2072" s="53"/>
      <c r="D2072" s="23"/>
      <c r="E2072" s="53"/>
      <c r="F2072" s="54"/>
      <c r="G2072" s="54"/>
      <c r="H2072" s="54"/>
      <c r="I2072" s="53"/>
      <c r="J2072" s="53"/>
      <c r="K2072" s="23"/>
      <c r="L2072" s="53"/>
      <c r="M2072" s="54"/>
    </row>
    <row r="2073">
      <c r="A2073" s="23"/>
      <c r="B2073" s="52"/>
      <c r="C2073" s="53"/>
      <c r="D2073" s="23"/>
      <c r="E2073" s="53"/>
      <c r="F2073" s="54"/>
      <c r="G2073" s="54"/>
      <c r="H2073" s="54"/>
      <c r="I2073" s="53"/>
      <c r="J2073" s="53"/>
      <c r="K2073" s="23"/>
      <c r="L2073" s="53"/>
      <c r="M2073" s="54"/>
    </row>
    <row r="2074">
      <c r="A2074" s="23"/>
      <c r="B2074" s="52"/>
      <c r="C2074" s="53"/>
      <c r="D2074" s="23"/>
      <c r="E2074" s="53"/>
      <c r="F2074" s="54"/>
      <c r="G2074" s="54"/>
      <c r="H2074" s="54"/>
      <c r="I2074" s="53"/>
      <c r="J2074" s="53"/>
      <c r="K2074" s="23"/>
      <c r="L2074" s="53"/>
      <c r="M2074" s="54"/>
    </row>
    <row r="2075">
      <c r="A2075" s="23"/>
      <c r="B2075" s="52"/>
      <c r="C2075" s="53"/>
      <c r="D2075" s="23"/>
      <c r="E2075" s="53"/>
      <c r="F2075" s="54"/>
      <c r="G2075" s="54"/>
      <c r="H2075" s="54"/>
      <c r="I2075" s="53"/>
      <c r="J2075" s="53"/>
      <c r="K2075" s="23"/>
      <c r="L2075" s="53"/>
      <c r="M2075" s="54"/>
    </row>
    <row r="2076">
      <c r="A2076" s="23"/>
      <c r="B2076" s="52"/>
      <c r="C2076" s="53"/>
      <c r="D2076" s="23"/>
      <c r="E2076" s="53"/>
      <c r="F2076" s="54"/>
      <c r="G2076" s="54"/>
      <c r="H2076" s="54"/>
      <c r="I2076" s="53"/>
      <c r="J2076" s="53"/>
      <c r="K2076" s="23"/>
      <c r="L2076" s="53"/>
      <c r="M2076" s="54"/>
    </row>
    <row r="2077">
      <c r="A2077" s="23"/>
      <c r="B2077" s="52"/>
      <c r="C2077" s="53"/>
      <c r="D2077" s="23"/>
      <c r="E2077" s="53"/>
      <c r="F2077" s="54"/>
      <c r="G2077" s="54"/>
      <c r="H2077" s="54"/>
      <c r="I2077" s="53"/>
      <c r="J2077" s="53"/>
      <c r="K2077" s="23"/>
      <c r="L2077" s="53"/>
      <c r="M2077" s="54"/>
    </row>
    <row r="2078">
      <c r="A2078" s="23"/>
      <c r="B2078" s="52"/>
      <c r="C2078" s="53"/>
      <c r="D2078" s="23"/>
      <c r="E2078" s="53"/>
      <c r="F2078" s="54"/>
      <c r="G2078" s="54"/>
      <c r="H2078" s="54"/>
      <c r="I2078" s="53"/>
      <c r="J2078" s="53"/>
      <c r="K2078" s="23"/>
      <c r="L2078" s="53"/>
      <c r="M2078" s="54"/>
    </row>
    <row r="2079">
      <c r="A2079" s="23"/>
      <c r="B2079" s="52"/>
      <c r="C2079" s="53"/>
      <c r="D2079" s="23"/>
      <c r="E2079" s="53"/>
      <c r="F2079" s="54"/>
      <c r="G2079" s="54"/>
      <c r="H2079" s="54"/>
      <c r="I2079" s="53"/>
      <c r="J2079" s="53"/>
      <c r="K2079" s="23"/>
      <c r="L2079" s="53"/>
      <c r="M2079" s="54"/>
    </row>
    <row r="2080">
      <c r="A2080" s="23"/>
      <c r="B2080" s="52"/>
      <c r="C2080" s="53"/>
      <c r="D2080" s="23"/>
      <c r="E2080" s="53"/>
      <c r="F2080" s="54"/>
      <c r="G2080" s="54"/>
      <c r="H2080" s="54"/>
      <c r="I2080" s="53"/>
      <c r="J2080" s="53"/>
      <c r="K2080" s="23"/>
      <c r="L2080" s="53"/>
      <c r="M2080" s="54"/>
    </row>
    <row r="2081">
      <c r="A2081" s="23"/>
      <c r="B2081" s="52"/>
      <c r="C2081" s="53"/>
      <c r="D2081" s="23"/>
      <c r="E2081" s="53"/>
      <c r="F2081" s="54"/>
      <c r="G2081" s="54"/>
      <c r="H2081" s="54"/>
      <c r="I2081" s="53"/>
      <c r="J2081" s="53"/>
      <c r="K2081" s="23"/>
      <c r="L2081" s="53"/>
      <c r="M2081" s="54"/>
    </row>
    <row r="2082">
      <c r="A2082" s="23"/>
      <c r="B2082" s="52"/>
      <c r="C2082" s="53"/>
      <c r="D2082" s="23"/>
      <c r="E2082" s="53"/>
      <c r="F2082" s="54"/>
      <c r="G2082" s="54"/>
      <c r="H2082" s="54"/>
      <c r="I2082" s="53"/>
      <c r="J2082" s="53"/>
      <c r="K2082" s="23"/>
      <c r="L2082" s="53"/>
      <c r="M2082" s="54"/>
    </row>
    <row r="2083">
      <c r="A2083" s="23"/>
      <c r="B2083" s="52"/>
      <c r="C2083" s="53"/>
      <c r="D2083" s="23"/>
      <c r="E2083" s="53"/>
      <c r="F2083" s="54"/>
      <c r="G2083" s="54"/>
      <c r="H2083" s="54"/>
      <c r="I2083" s="53"/>
      <c r="J2083" s="53"/>
      <c r="K2083" s="23"/>
      <c r="L2083" s="53"/>
      <c r="M2083" s="54"/>
    </row>
    <row r="2084">
      <c r="A2084" s="23"/>
      <c r="B2084" s="52"/>
      <c r="C2084" s="53"/>
      <c r="D2084" s="23"/>
      <c r="E2084" s="53"/>
      <c r="F2084" s="54"/>
      <c r="G2084" s="54"/>
      <c r="H2084" s="54"/>
      <c r="I2084" s="53"/>
      <c r="J2084" s="53"/>
      <c r="K2084" s="23"/>
      <c r="L2084" s="53"/>
      <c r="M2084" s="54"/>
    </row>
    <row r="2085">
      <c r="A2085" s="23"/>
      <c r="B2085" s="52"/>
      <c r="C2085" s="53"/>
      <c r="D2085" s="23"/>
      <c r="E2085" s="53"/>
      <c r="F2085" s="54"/>
      <c r="G2085" s="54"/>
      <c r="H2085" s="54"/>
      <c r="I2085" s="53"/>
      <c r="J2085" s="53"/>
      <c r="K2085" s="23"/>
      <c r="L2085" s="53"/>
      <c r="M2085" s="54"/>
    </row>
    <row r="2086">
      <c r="A2086" s="23"/>
      <c r="B2086" s="52"/>
      <c r="C2086" s="53"/>
      <c r="D2086" s="23"/>
      <c r="E2086" s="53"/>
      <c r="F2086" s="54"/>
      <c r="G2086" s="54"/>
      <c r="H2086" s="54"/>
      <c r="I2086" s="53"/>
      <c r="J2086" s="53"/>
      <c r="K2086" s="23"/>
      <c r="L2086" s="53"/>
      <c r="M2086" s="54"/>
    </row>
    <row r="2087">
      <c r="A2087" s="23"/>
      <c r="B2087" s="52"/>
      <c r="C2087" s="53"/>
      <c r="D2087" s="23"/>
      <c r="E2087" s="53"/>
      <c r="F2087" s="54"/>
      <c r="G2087" s="54"/>
      <c r="H2087" s="54"/>
      <c r="I2087" s="53"/>
      <c r="J2087" s="53"/>
      <c r="K2087" s="23"/>
      <c r="L2087" s="53"/>
      <c r="M2087" s="54"/>
    </row>
    <row r="2088">
      <c r="A2088" s="23"/>
      <c r="B2088" s="52"/>
      <c r="C2088" s="53"/>
      <c r="D2088" s="23"/>
      <c r="E2088" s="53"/>
      <c r="F2088" s="54"/>
      <c r="G2088" s="54"/>
      <c r="H2088" s="54"/>
      <c r="I2088" s="53"/>
      <c r="J2088" s="53"/>
      <c r="K2088" s="23"/>
      <c r="L2088" s="53"/>
      <c r="M2088" s="54"/>
    </row>
    <row r="2089">
      <c r="A2089" s="23"/>
      <c r="B2089" s="52"/>
      <c r="C2089" s="53"/>
      <c r="D2089" s="23"/>
      <c r="E2089" s="53"/>
      <c r="F2089" s="54"/>
      <c r="G2089" s="54"/>
      <c r="H2089" s="54"/>
      <c r="I2089" s="53"/>
      <c r="J2089" s="53"/>
      <c r="K2089" s="23"/>
      <c r="L2089" s="53"/>
      <c r="M2089" s="54"/>
    </row>
    <row r="2090">
      <c r="A2090" s="23"/>
      <c r="B2090" s="52"/>
      <c r="C2090" s="53"/>
      <c r="D2090" s="23"/>
      <c r="E2090" s="53"/>
      <c r="F2090" s="54"/>
      <c r="G2090" s="54"/>
      <c r="H2090" s="54"/>
      <c r="I2090" s="53"/>
      <c r="J2090" s="53"/>
      <c r="K2090" s="23"/>
      <c r="L2090" s="53"/>
      <c r="M2090" s="54"/>
    </row>
    <row r="2091">
      <c r="A2091" s="23"/>
      <c r="B2091" s="52"/>
      <c r="C2091" s="53"/>
      <c r="D2091" s="23"/>
      <c r="E2091" s="53"/>
      <c r="F2091" s="54"/>
      <c r="G2091" s="54"/>
      <c r="H2091" s="54"/>
      <c r="I2091" s="53"/>
      <c r="J2091" s="53"/>
      <c r="K2091" s="23"/>
      <c r="L2091" s="53"/>
      <c r="M2091" s="54"/>
    </row>
    <row r="2092">
      <c r="A2092" s="23"/>
      <c r="B2092" s="52"/>
      <c r="C2092" s="53"/>
      <c r="D2092" s="23"/>
      <c r="E2092" s="53"/>
      <c r="F2092" s="54"/>
      <c r="G2092" s="54"/>
      <c r="H2092" s="54"/>
      <c r="I2092" s="53"/>
      <c r="J2092" s="53"/>
      <c r="K2092" s="23"/>
      <c r="L2092" s="53"/>
      <c r="M2092" s="54"/>
    </row>
    <row r="2093">
      <c r="A2093" s="23"/>
      <c r="B2093" s="52"/>
      <c r="C2093" s="53"/>
      <c r="D2093" s="23"/>
      <c r="E2093" s="53"/>
      <c r="F2093" s="54"/>
      <c r="G2093" s="54"/>
      <c r="H2093" s="54"/>
      <c r="I2093" s="53"/>
      <c r="J2093" s="53"/>
      <c r="K2093" s="23"/>
      <c r="L2093" s="53"/>
      <c r="M2093" s="54"/>
    </row>
    <row r="2094">
      <c r="A2094" s="23"/>
      <c r="B2094" s="52"/>
      <c r="C2094" s="53"/>
      <c r="D2094" s="23"/>
      <c r="E2094" s="53"/>
      <c r="F2094" s="54"/>
      <c r="G2094" s="54"/>
      <c r="H2094" s="54"/>
      <c r="I2094" s="53"/>
      <c r="J2094" s="53"/>
      <c r="K2094" s="23"/>
      <c r="L2094" s="53"/>
      <c r="M2094" s="54"/>
    </row>
    <row r="2095">
      <c r="A2095" s="23"/>
      <c r="B2095" s="52"/>
      <c r="C2095" s="53"/>
      <c r="D2095" s="23"/>
      <c r="E2095" s="53"/>
      <c r="F2095" s="54"/>
      <c r="G2095" s="54"/>
      <c r="H2095" s="54"/>
      <c r="I2095" s="53"/>
      <c r="J2095" s="53"/>
      <c r="K2095" s="23"/>
      <c r="L2095" s="53"/>
      <c r="M2095" s="54"/>
    </row>
    <row r="2096">
      <c r="A2096" s="23"/>
      <c r="B2096" s="52"/>
      <c r="C2096" s="53"/>
      <c r="D2096" s="23"/>
      <c r="E2096" s="53"/>
      <c r="F2096" s="54"/>
      <c r="G2096" s="54"/>
      <c r="H2096" s="54"/>
      <c r="I2096" s="53"/>
      <c r="J2096" s="53"/>
      <c r="K2096" s="23"/>
      <c r="L2096" s="53"/>
      <c r="M2096" s="54"/>
    </row>
    <row r="2097">
      <c r="A2097" s="23"/>
      <c r="B2097" s="52"/>
      <c r="C2097" s="53"/>
      <c r="D2097" s="23"/>
      <c r="E2097" s="53"/>
      <c r="F2097" s="54"/>
      <c r="G2097" s="23"/>
      <c r="H2097" s="54"/>
      <c r="I2097" s="53"/>
      <c r="J2097" s="53"/>
      <c r="K2097" s="23"/>
      <c r="L2097" s="53"/>
      <c r="M2097" s="54"/>
    </row>
    <row r="2098">
      <c r="A2098" s="23"/>
      <c r="B2098" s="52"/>
      <c r="C2098" s="53"/>
      <c r="D2098" s="23"/>
      <c r="E2098" s="53"/>
      <c r="F2098" s="54"/>
      <c r="G2098" s="54"/>
      <c r="H2098" s="54"/>
      <c r="I2098" s="53"/>
      <c r="J2098" s="53"/>
      <c r="K2098" s="23"/>
      <c r="L2098" s="53"/>
      <c r="M2098" s="54"/>
    </row>
    <row r="2099">
      <c r="A2099" s="23"/>
      <c r="B2099" s="52"/>
      <c r="C2099" s="53"/>
      <c r="D2099" s="23"/>
      <c r="E2099" s="53"/>
      <c r="F2099" s="54"/>
      <c r="G2099" s="54"/>
      <c r="H2099" s="54"/>
      <c r="I2099" s="53"/>
      <c r="J2099" s="53"/>
      <c r="K2099" s="23"/>
      <c r="L2099" s="53"/>
      <c r="M2099" s="54"/>
    </row>
    <row r="2100">
      <c r="A2100" s="23"/>
      <c r="B2100" s="52"/>
      <c r="C2100" s="53"/>
      <c r="D2100" s="23"/>
      <c r="E2100" s="53"/>
      <c r="F2100" s="54"/>
      <c r="G2100" s="54"/>
      <c r="H2100" s="54"/>
      <c r="I2100" s="53"/>
      <c r="J2100" s="53"/>
      <c r="K2100" s="23"/>
      <c r="L2100" s="53"/>
      <c r="M2100" s="54"/>
    </row>
    <row r="2101">
      <c r="A2101" s="23"/>
      <c r="B2101" s="52"/>
      <c r="C2101" s="53"/>
      <c r="D2101" s="23"/>
      <c r="E2101" s="53"/>
      <c r="F2101" s="54"/>
      <c r="G2101" s="54"/>
      <c r="H2101" s="54"/>
      <c r="I2101" s="53"/>
      <c r="J2101" s="53"/>
      <c r="K2101" s="23"/>
      <c r="L2101" s="53"/>
      <c r="M2101" s="54"/>
    </row>
    <row r="2102">
      <c r="A2102" s="23"/>
      <c r="B2102" s="52"/>
      <c r="C2102" s="53"/>
      <c r="D2102" s="23"/>
      <c r="E2102" s="53"/>
      <c r="F2102" s="54"/>
      <c r="G2102" s="54"/>
      <c r="H2102" s="54"/>
      <c r="I2102" s="53"/>
      <c r="J2102" s="53"/>
      <c r="K2102" s="23"/>
      <c r="L2102" s="53"/>
      <c r="M2102" s="54"/>
    </row>
    <row r="2103">
      <c r="A2103" s="23"/>
      <c r="B2103" s="52"/>
      <c r="C2103" s="53"/>
      <c r="D2103" s="23"/>
      <c r="E2103" s="53"/>
      <c r="F2103" s="54"/>
      <c r="G2103" s="54"/>
      <c r="H2103" s="54"/>
      <c r="I2103" s="53"/>
      <c r="J2103" s="53"/>
      <c r="K2103" s="23"/>
      <c r="L2103" s="53"/>
      <c r="M2103" s="54"/>
    </row>
    <row r="2104">
      <c r="A2104" s="23"/>
      <c r="B2104" s="52"/>
      <c r="C2104" s="53"/>
      <c r="D2104" s="23"/>
      <c r="E2104" s="53"/>
      <c r="F2104" s="54"/>
      <c r="G2104" s="54"/>
      <c r="H2104" s="54"/>
      <c r="I2104" s="53"/>
      <c r="J2104" s="53"/>
      <c r="K2104" s="23"/>
      <c r="L2104" s="53"/>
      <c r="M2104" s="54"/>
    </row>
    <row r="2105">
      <c r="A2105" s="23"/>
      <c r="B2105" s="52"/>
      <c r="C2105" s="53"/>
      <c r="D2105" s="23"/>
      <c r="E2105" s="53"/>
      <c r="F2105" s="54"/>
      <c r="G2105" s="54"/>
      <c r="H2105" s="54"/>
      <c r="I2105" s="53"/>
      <c r="J2105" s="53"/>
      <c r="K2105" s="23"/>
      <c r="L2105" s="53"/>
      <c r="M2105" s="54"/>
    </row>
    <row r="2106">
      <c r="A2106" s="23"/>
      <c r="B2106" s="52"/>
      <c r="C2106" s="53"/>
      <c r="D2106" s="23"/>
      <c r="E2106" s="53"/>
      <c r="F2106" s="54"/>
      <c r="G2106" s="54"/>
      <c r="H2106" s="54"/>
      <c r="I2106" s="53"/>
      <c r="J2106" s="53"/>
      <c r="K2106" s="23"/>
      <c r="L2106" s="53"/>
      <c r="M2106" s="54"/>
    </row>
    <row r="2107">
      <c r="A2107" s="23"/>
      <c r="B2107" s="52"/>
      <c r="C2107" s="53"/>
      <c r="D2107" s="23"/>
      <c r="E2107" s="53"/>
      <c r="F2107" s="54"/>
      <c r="G2107" s="54"/>
      <c r="H2107" s="54"/>
      <c r="I2107" s="53"/>
      <c r="J2107" s="53"/>
      <c r="K2107" s="23"/>
      <c r="L2107" s="53"/>
      <c r="M2107" s="54"/>
    </row>
    <row r="2108">
      <c r="A2108" s="23"/>
      <c r="B2108" s="52"/>
      <c r="C2108" s="53"/>
      <c r="D2108" s="23"/>
      <c r="E2108" s="53"/>
      <c r="F2108" s="54"/>
      <c r="G2108" s="54"/>
      <c r="H2108" s="54"/>
      <c r="I2108" s="53"/>
      <c r="J2108" s="53"/>
      <c r="K2108" s="23"/>
      <c r="L2108" s="53"/>
      <c r="M2108" s="54"/>
    </row>
    <row r="2109">
      <c r="A2109" s="23"/>
      <c r="B2109" s="52"/>
      <c r="C2109" s="53"/>
      <c r="D2109" s="23"/>
      <c r="E2109" s="53"/>
      <c r="F2109" s="54"/>
      <c r="G2109" s="23"/>
      <c r="H2109" s="54"/>
      <c r="I2109" s="53"/>
      <c r="J2109" s="53"/>
      <c r="K2109" s="23"/>
      <c r="L2109" s="53"/>
      <c r="M2109" s="54"/>
    </row>
    <row r="2110">
      <c r="A2110" s="23"/>
      <c r="B2110" s="52"/>
      <c r="C2110" s="53"/>
      <c r="D2110" s="23"/>
      <c r="E2110" s="53"/>
      <c r="F2110" s="54"/>
      <c r="G2110" s="54"/>
      <c r="H2110" s="54"/>
      <c r="I2110" s="53"/>
      <c r="J2110" s="53"/>
      <c r="K2110" s="23"/>
      <c r="L2110" s="53"/>
      <c r="M2110" s="54"/>
    </row>
    <row r="2111">
      <c r="A2111" s="23"/>
      <c r="B2111" s="52"/>
      <c r="C2111" s="53"/>
      <c r="D2111" s="23"/>
      <c r="E2111" s="53"/>
      <c r="F2111" s="54"/>
      <c r="G2111" s="54"/>
      <c r="H2111" s="54"/>
      <c r="I2111" s="53"/>
      <c r="J2111" s="53"/>
      <c r="K2111" s="23"/>
      <c r="L2111" s="53"/>
      <c r="M2111" s="54"/>
    </row>
    <row r="2112">
      <c r="A2112" s="23"/>
      <c r="B2112" s="52"/>
      <c r="C2112" s="53"/>
      <c r="D2112" s="23"/>
      <c r="E2112" s="53"/>
      <c r="F2112" s="54"/>
      <c r="G2112" s="54"/>
      <c r="H2112" s="54"/>
      <c r="I2112" s="53"/>
      <c r="J2112" s="53"/>
      <c r="K2112" s="23"/>
      <c r="L2112" s="53"/>
      <c r="M2112" s="54"/>
    </row>
    <row r="2113">
      <c r="A2113" s="23"/>
      <c r="B2113" s="52"/>
      <c r="C2113" s="53"/>
      <c r="D2113" s="23"/>
      <c r="E2113" s="53"/>
      <c r="F2113" s="54"/>
      <c r="G2113" s="54"/>
      <c r="H2113" s="54"/>
      <c r="I2113" s="53"/>
      <c r="J2113" s="53"/>
      <c r="K2113" s="23"/>
      <c r="L2113" s="53"/>
      <c r="M2113" s="54"/>
    </row>
    <row r="2114">
      <c r="A2114" s="23"/>
      <c r="B2114" s="52"/>
      <c r="C2114" s="53"/>
      <c r="D2114" s="23"/>
      <c r="E2114" s="53"/>
      <c r="F2114" s="54"/>
      <c r="G2114" s="54"/>
      <c r="H2114" s="54"/>
      <c r="I2114" s="53"/>
      <c r="J2114" s="53"/>
      <c r="K2114" s="23"/>
      <c r="L2114" s="53"/>
      <c r="M2114" s="54"/>
    </row>
    <row r="2115">
      <c r="A2115" s="23"/>
      <c r="B2115" s="52"/>
      <c r="C2115" s="53"/>
      <c r="D2115" s="23"/>
      <c r="E2115" s="53"/>
      <c r="F2115" s="54"/>
      <c r="G2115" s="54"/>
      <c r="H2115" s="54"/>
      <c r="I2115" s="53"/>
      <c r="J2115" s="53"/>
      <c r="K2115" s="23"/>
      <c r="L2115" s="53"/>
      <c r="M2115" s="54"/>
    </row>
    <row r="2116">
      <c r="A2116" s="23"/>
      <c r="B2116" s="52"/>
      <c r="C2116" s="53"/>
      <c r="D2116" s="23"/>
      <c r="E2116" s="53"/>
      <c r="F2116" s="54"/>
      <c r="G2116" s="54"/>
      <c r="H2116" s="54"/>
      <c r="I2116" s="53"/>
      <c r="J2116" s="53"/>
      <c r="K2116" s="23"/>
      <c r="L2116" s="53"/>
      <c r="M2116" s="54"/>
    </row>
    <row r="2117">
      <c r="A2117" s="23"/>
      <c r="B2117" s="52"/>
      <c r="C2117" s="53"/>
      <c r="D2117" s="23"/>
      <c r="E2117" s="53"/>
      <c r="F2117" s="54"/>
      <c r="G2117" s="54"/>
      <c r="H2117" s="54"/>
      <c r="I2117" s="53"/>
      <c r="J2117" s="53"/>
      <c r="K2117" s="23"/>
      <c r="L2117" s="53"/>
      <c r="M2117" s="54"/>
    </row>
    <row r="2118">
      <c r="A2118" s="23"/>
      <c r="B2118" s="52"/>
      <c r="C2118" s="53"/>
      <c r="D2118" s="23"/>
      <c r="E2118" s="53"/>
      <c r="F2118" s="54"/>
      <c r="G2118" s="54"/>
      <c r="H2118" s="54"/>
      <c r="I2118" s="53"/>
      <c r="J2118" s="53"/>
      <c r="K2118" s="23"/>
      <c r="L2118" s="53"/>
      <c r="M2118" s="54"/>
    </row>
    <row r="2119">
      <c r="A2119" s="23"/>
      <c r="B2119" s="52"/>
      <c r="C2119" s="53"/>
      <c r="D2119" s="23"/>
      <c r="E2119" s="53"/>
      <c r="F2119" s="54"/>
      <c r="G2119" s="54"/>
      <c r="H2119" s="54"/>
      <c r="I2119" s="53"/>
      <c r="J2119" s="53"/>
      <c r="K2119" s="23"/>
      <c r="L2119" s="53"/>
      <c r="M2119" s="54"/>
    </row>
    <row r="2120">
      <c r="A2120" s="23"/>
      <c r="B2120" s="52"/>
      <c r="C2120" s="53"/>
      <c r="D2120" s="23"/>
      <c r="E2120" s="53"/>
      <c r="F2120" s="54"/>
      <c r="G2120" s="23"/>
      <c r="H2120" s="54"/>
      <c r="I2120" s="53"/>
      <c r="J2120" s="53"/>
      <c r="K2120" s="23"/>
      <c r="L2120" s="53"/>
      <c r="M2120" s="54"/>
    </row>
    <row r="2121">
      <c r="A2121" s="23"/>
      <c r="B2121" s="52"/>
      <c r="C2121" s="53"/>
      <c r="D2121" s="23"/>
      <c r="E2121" s="53"/>
      <c r="F2121" s="54"/>
      <c r="G2121" s="54"/>
      <c r="H2121" s="54"/>
      <c r="I2121" s="53"/>
      <c r="J2121" s="53"/>
      <c r="K2121" s="23"/>
      <c r="L2121" s="53"/>
      <c r="M2121" s="54"/>
    </row>
    <row r="2122">
      <c r="A2122" s="23"/>
      <c r="B2122" s="52"/>
      <c r="C2122" s="53"/>
      <c r="D2122" s="23"/>
      <c r="E2122" s="53"/>
      <c r="F2122" s="54"/>
      <c r="G2122" s="54"/>
      <c r="H2122" s="54"/>
      <c r="I2122" s="53"/>
      <c r="J2122" s="53"/>
      <c r="K2122" s="23"/>
      <c r="L2122" s="53"/>
      <c r="M2122" s="54"/>
    </row>
    <row r="2123">
      <c r="A2123" s="23"/>
      <c r="B2123" s="52"/>
      <c r="C2123" s="53"/>
      <c r="D2123" s="23"/>
      <c r="E2123" s="53"/>
      <c r="F2123" s="54"/>
      <c r="G2123" s="54"/>
      <c r="H2123" s="54"/>
      <c r="I2123" s="53"/>
      <c r="J2123" s="53"/>
      <c r="K2123" s="23"/>
      <c r="L2123" s="53"/>
      <c r="M2123" s="54"/>
    </row>
    <row r="2124">
      <c r="A2124" s="23"/>
      <c r="B2124" s="52"/>
      <c r="C2124" s="53"/>
      <c r="D2124" s="23"/>
      <c r="E2124" s="53"/>
      <c r="F2124" s="54"/>
      <c r="G2124" s="54"/>
      <c r="H2124" s="54"/>
      <c r="I2124" s="53"/>
      <c r="J2124" s="53"/>
      <c r="K2124" s="23"/>
      <c r="L2124" s="53"/>
      <c r="M2124" s="54"/>
    </row>
    <row r="2125">
      <c r="A2125" s="23"/>
      <c r="B2125" s="52"/>
      <c r="C2125" s="53"/>
      <c r="D2125" s="23"/>
      <c r="E2125" s="53"/>
      <c r="F2125" s="54"/>
      <c r="G2125" s="54"/>
      <c r="H2125" s="54"/>
      <c r="I2125" s="53"/>
      <c r="J2125" s="53"/>
      <c r="K2125" s="23"/>
      <c r="L2125" s="53"/>
      <c r="M2125" s="54"/>
    </row>
    <row r="2126">
      <c r="A2126" s="23"/>
      <c r="B2126" s="52"/>
      <c r="C2126" s="53"/>
      <c r="D2126" s="23"/>
      <c r="E2126" s="53"/>
      <c r="F2126" s="54"/>
      <c r="G2126" s="54"/>
      <c r="H2126" s="54"/>
      <c r="I2126" s="53"/>
      <c r="J2126" s="53"/>
      <c r="K2126" s="23"/>
      <c r="L2126" s="53"/>
      <c r="M2126" s="54"/>
    </row>
    <row r="2127">
      <c r="A2127" s="23"/>
      <c r="B2127" s="52"/>
      <c r="C2127" s="53"/>
      <c r="D2127" s="23"/>
      <c r="E2127" s="53"/>
      <c r="F2127" s="54"/>
      <c r="G2127" s="54"/>
      <c r="H2127" s="54"/>
      <c r="I2127" s="53"/>
      <c r="J2127" s="53"/>
      <c r="K2127" s="23"/>
      <c r="L2127" s="53"/>
      <c r="M2127" s="54"/>
    </row>
    <row r="2128">
      <c r="A2128" s="23"/>
      <c r="B2128" s="52"/>
      <c r="C2128" s="53"/>
      <c r="D2128" s="23"/>
      <c r="E2128" s="53"/>
      <c r="F2128" s="54"/>
      <c r="G2128" s="54"/>
      <c r="H2128" s="54"/>
      <c r="I2128" s="53"/>
      <c r="J2128" s="53"/>
      <c r="K2128" s="23"/>
      <c r="L2128" s="53"/>
      <c r="M2128" s="54"/>
    </row>
    <row r="2129">
      <c r="A2129" s="23"/>
      <c r="B2129" s="52"/>
      <c r="C2129" s="53"/>
      <c r="D2129" s="23"/>
      <c r="E2129" s="53"/>
      <c r="F2129" s="54"/>
      <c r="G2129" s="54"/>
      <c r="H2129" s="54"/>
      <c r="I2129" s="53"/>
      <c r="J2129" s="53"/>
      <c r="K2129" s="23"/>
      <c r="L2129" s="53"/>
      <c r="M2129" s="54"/>
    </row>
    <row r="2130">
      <c r="A2130" s="23"/>
      <c r="B2130" s="52"/>
      <c r="C2130" s="53"/>
      <c r="D2130" s="23"/>
      <c r="E2130" s="53"/>
      <c r="F2130" s="54"/>
      <c r="G2130" s="54"/>
      <c r="H2130" s="54"/>
      <c r="I2130" s="53"/>
      <c r="J2130" s="53"/>
      <c r="K2130" s="23"/>
      <c r="L2130" s="53"/>
      <c r="M2130" s="54"/>
    </row>
    <row r="2131">
      <c r="A2131" s="23"/>
      <c r="B2131" s="52"/>
      <c r="C2131" s="53"/>
      <c r="D2131" s="23"/>
      <c r="E2131" s="53"/>
      <c r="F2131" s="54"/>
      <c r="G2131" s="54"/>
      <c r="H2131" s="54"/>
      <c r="I2131" s="53"/>
      <c r="J2131" s="53"/>
      <c r="K2131" s="23"/>
      <c r="L2131" s="53"/>
      <c r="M2131" s="54"/>
    </row>
    <row r="2132">
      <c r="A2132" s="23"/>
      <c r="B2132" s="52"/>
      <c r="C2132" s="53"/>
      <c r="D2132" s="23"/>
      <c r="E2132" s="53"/>
      <c r="F2132" s="54"/>
      <c r="G2132" s="54"/>
      <c r="H2132" s="54"/>
      <c r="I2132" s="53"/>
      <c r="J2132" s="53"/>
      <c r="K2132" s="23"/>
      <c r="L2132" s="53"/>
      <c r="M2132" s="54"/>
    </row>
    <row r="2133">
      <c r="A2133" s="23"/>
      <c r="B2133" s="52"/>
      <c r="C2133" s="53"/>
      <c r="D2133" s="23"/>
      <c r="E2133" s="53"/>
      <c r="F2133" s="54"/>
      <c r="G2133" s="54"/>
      <c r="H2133" s="54"/>
      <c r="I2133" s="53"/>
      <c r="J2133" s="53"/>
      <c r="K2133" s="23"/>
      <c r="L2133" s="53"/>
      <c r="M2133" s="54"/>
    </row>
    <row r="2134">
      <c r="A2134" s="23"/>
      <c r="B2134" s="52"/>
      <c r="C2134" s="53"/>
      <c r="D2134" s="23"/>
      <c r="E2134" s="53"/>
      <c r="F2134" s="54"/>
      <c r="G2134" s="54"/>
      <c r="H2134" s="54"/>
      <c r="I2134" s="53"/>
      <c r="J2134" s="53"/>
      <c r="K2134" s="23"/>
      <c r="L2134" s="53"/>
      <c r="M2134" s="54"/>
    </row>
    <row r="2135">
      <c r="A2135" s="23"/>
      <c r="B2135" s="52"/>
      <c r="C2135" s="53"/>
      <c r="D2135" s="23"/>
      <c r="E2135" s="53"/>
      <c r="F2135" s="54"/>
      <c r="G2135" s="54"/>
      <c r="H2135" s="54"/>
      <c r="I2135" s="53"/>
      <c r="J2135" s="53"/>
      <c r="K2135" s="23"/>
      <c r="L2135" s="53"/>
      <c r="M2135" s="54"/>
    </row>
    <row r="2136">
      <c r="A2136" s="23"/>
      <c r="B2136" s="52"/>
      <c r="C2136" s="53"/>
      <c r="D2136" s="23"/>
      <c r="E2136" s="53"/>
      <c r="F2136" s="54"/>
      <c r="G2136" s="54"/>
      <c r="H2136" s="54"/>
      <c r="I2136" s="53"/>
      <c r="J2136" s="53"/>
      <c r="K2136" s="23"/>
      <c r="L2136" s="53"/>
      <c r="M2136" s="54"/>
    </row>
    <row r="2137">
      <c r="A2137" s="23"/>
      <c r="B2137" s="52"/>
      <c r="C2137" s="53"/>
      <c r="D2137" s="23"/>
      <c r="E2137" s="53"/>
      <c r="F2137" s="54"/>
      <c r="G2137" s="54"/>
      <c r="H2137" s="54"/>
      <c r="I2137" s="53"/>
      <c r="J2137" s="53"/>
      <c r="K2137" s="23"/>
      <c r="L2137" s="53"/>
      <c r="M2137" s="54"/>
    </row>
    <row r="2138">
      <c r="A2138" s="23"/>
      <c r="B2138" s="52"/>
      <c r="C2138" s="53"/>
      <c r="D2138" s="23"/>
      <c r="E2138" s="53"/>
      <c r="F2138" s="54"/>
      <c r="G2138" s="54"/>
      <c r="H2138" s="54"/>
      <c r="I2138" s="53"/>
      <c r="J2138" s="53"/>
      <c r="K2138" s="23"/>
      <c r="L2138" s="53"/>
      <c r="M2138" s="54"/>
    </row>
    <row r="2139">
      <c r="A2139" s="23"/>
      <c r="B2139" s="52"/>
      <c r="C2139" s="53"/>
      <c r="D2139" s="23"/>
      <c r="E2139" s="53"/>
      <c r="F2139" s="54"/>
      <c r="G2139" s="54"/>
      <c r="H2139" s="54"/>
      <c r="I2139" s="53"/>
      <c r="J2139" s="53"/>
      <c r="K2139" s="23"/>
      <c r="L2139" s="53"/>
      <c r="M2139" s="54"/>
    </row>
    <row r="2140">
      <c r="A2140" s="23"/>
      <c r="B2140" s="52"/>
      <c r="C2140" s="53"/>
      <c r="D2140" s="23"/>
      <c r="E2140" s="53"/>
      <c r="F2140" s="54"/>
      <c r="G2140" s="54"/>
      <c r="H2140" s="54"/>
      <c r="I2140" s="53"/>
      <c r="J2140" s="53"/>
      <c r="K2140" s="23"/>
      <c r="L2140" s="53"/>
      <c r="M2140" s="54"/>
    </row>
    <row r="2141">
      <c r="A2141" s="23"/>
      <c r="B2141" s="52"/>
      <c r="C2141" s="53"/>
      <c r="D2141" s="23"/>
      <c r="E2141" s="53"/>
      <c r="F2141" s="54"/>
      <c r="G2141" s="54"/>
      <c r="H2141" s="54"/>
      <c r="I2141" s="53"/>
      <c r="J2141" s="53"/>
      <c r="K2141" s="23"/>
      <c r="L2141" s="53"/>
      <c r="M2141" s="54"/>
    </row>
    <row r="2142">
      <c r="A2142" s="23"/>
      <c r="B2142" s="52"/>
      <c r="C2142" s="53"/>
      <c r="D2142" s="23"/>
      <c r="E2142" s="53"/>
      <c r="F2142" s="54"/>
      <c r="G2142" s="54"/>
      <c r="H2142" s="54"/>
      <c r="I2142" s="53"/>
      <c r="J2142" s="53"/>
      <c r="K2142" s="23"/>
      <c r="L2142" s="53"/>
      <c r="M2142" s="54"/>
    </row>
    <row r="2143">
      <c r="A2143" s="23"/>
      <c r="B2143" s="52"/>
      <c r="C2143" s="53"/>
      <c r="D2143" s="23"/>
      <c r="E2143" s="53"/>
      <c r="F2143" s="54"/>
      <c r="G2143" s="54"/>
      <c r="H2143" s="54"/>
      <c r="I2143" s="53"/>
      <c r="J2143" s="53"/>
      <c r="K2143" s="23"/>
      <c r="L2143" s="53"/>
      <c r="M2143" s="54"/>
    </row>
    <row r="2144">
      <c r="A2144" s="23"/>
      <c r="B2144" s="52"/>
      <c r="C2144" s="53"/>
      <c r="D2144" s="23"/>
      <c r="E2144" s="53"/>
      <c r="F2144" s="54"/>
      <c r="G2144" s="54"/>
      <c r="H2144" s="54"/>
      <c r="I2144" s="53"/>
      <c r="J2144" s="53"/>
      <c r="K2144" s="23"/>
      <c r="L2144" s="53"/>
      <c r="M2144" s="54"/>
    </row>
    <row r="2145">
      <c r="A2145" s="23"/>
      <c r="B2145" s="52"/>
      <c r="C2145" s="53"/>
      <c r="D2145" s="23"/>
      <c r="E2145" s="53"/>
      <c r="F2145" s="54"/>
      <c r="G2145" s="54"/>
      <c r="H2145" s="54"/>
      <c r="I2145" s="53"/>
      <c r="J2145" s="53"/>
      <c r="K2145" s="23"/>
      <c r="L2145" s="53"/>
      <c r="M2145" s="54"/>
    </row>
    <row r="2146">
      <c r="A2146" s="23"/>
      <c r="B2146" s="52"/>
      <c r="C2146" s="53"/>
      <c r="D2146" s="23"/>
      <c r="E2146" s="53"/>
      <c r="F2146" s="54"/>
      <c r="G2146" s="54"/>
      <c r="H2146" s="54"/>
      <c r="I2146" s="53"/>
      <c r="J2146" s="53"/>
      <c r="K2146" s="23"/>
      <c r="L2146" s="53"/>
      <c r="M2146" s="54"/>
    </row>
    <row r="2147">
      <c r="A2147" s="23"/>
      <c r="B2147" s="52"/>
      <c r="C2147" s="53"/>
      <c r="D2147" s="23"/>
      <c r="E2147" s="53"/>
      <c r="F2147" s="54"/>
      <c r="G2147" s="54"/>
      <c r="H2147" s="54"/>
      <c r="I2147" s="53"/>
      <c r="J2147" s="53"/>
      <c r="K2147" s="23"/>
      <c r="L2147" s="53"/>
      <c r="M2147" s="54"/>
    </row>
    <row r="2148">
      <c r="A2148" s="23"/>
      <c r="B2148" s="52"/>
      <c r="C2148" s="53"/>
      <c r="D2148" s="23"/>
      <c r="E2148" s="53"/>
      <c r="F2148" s="54"/>
      <c r="G2148" s="54"/>
      <c r="H2148" s="54"/>
      <c r="I2148" s="53"/>
      <c r="J2148" s="53"/>
      <c r="K2148" s="23"/>
      <c r="L2148" s="53"/>
      <c r="M2148" s="54"/>
    </row>
    <row r="2149">
      <c r="A2149" s="23"/>
      <c r="B2149" s="52"/>
      <c r="C2149" s="53"/>
      <c r="D2149" s="23"/>
      <c r="E2149" s="53"/>
      <c r="F2149" s="54"/>
      <c r="G2149" s="54"/>
      <c r="H2149" s="54"/>
      <c r="I2149" s="53"/>
      <c r="J2149" s="53"/>
      <c r="K2149" s="23"/>
      <c r="L2149" s="53"/>
      <c r="M2149" s="54"/>
    </row>
    <row r="2150">
      <c r="A2150" s="23"/>
      <c r="B2150" s="52"/>
      <c r="C2150" s="53"/>
      <c r="D2150" s="23"/>
      <c r="E2150" s="53"/>
      <c r="F2150" s="54"/>
      <c r="G2150" s="54"/>
      <c r="H2150" s="54"/>
      <c r="I2150" s="53"/>
      <c r="J2150" s="53"/>
      <c r="K2150" s="23"/>
      <c r="L2150" s="53"/>
      <c r="M2150" s="54"/>
    </row>
    <row r="2151">
      <c r="A2151" s="23"/>
      <c r="B2151" s="52"/>
      <c r="C2151" s="53"/>
      <c r="D2151" s="23"/>
      <c r="E2151" s="53"/>
      <c r="F2151" s="54"/>
      <c r="G2151" s="54"/>
      <c r="H2151" s="54"/>
      <c r="I2151" s="53"/>
      <c r="J2151" s="53"/>
      <c r="K2151" s="23"/>
      <c r="L2151" s="53"/>
      <c r="M2151" s="54"/>
    </row>
    <row r="2152">
      <c r="A2152" s="23"/>
      <c r="B2152" s="52"/>
      <c r="C2152" s="53"/>
      <c r="D2152" s="23"/>
      <c r="E2152" s="53"/>
      <c r="F2152" s="54"/>
      <c r="G2152" s="54"/>
      <c r="H2152" s="54"/>
      <c r="I2152" s="53"/>
      <c r="J2152" s="53"/>
      <c r="K2152" s="23"/>
      <c r="L2152" s="53"/>
      <c r="M2152" s="54"/>
    </row>
    <row r="2153">
      <c r="A2153" s="23"/>
      <c r="B2153" s="52"/>
      <c r="C2153" s="53"/>
      <c r="D2153" s="23"/>
      <c r="E2153" s="53"/>
      <c r="F2153" s="54"/>
      <c r="G2153" s="54"/>
      <c r="H2153" s="54"/>
      <c r="I2153" s="53"/>
      <c r="J2153" s="53"/>
      <c r="K2153" s="23"/>
      <c r="L2153" s="53"/>
      <c r="M2153" s="54"/>
    </row>
    <row r="2154">
      <c r="A2154" s="23"/>
      <c r="B2154" s="52"/>
      <c r="C2154" s="53"/>
      <c r="D2154" s="23"/>
      <c r="E2154" s="53"/>
      <c r="F2154" s="54"/>
      <c r="G2154" s="54"/>
      <c r="H2154" s="54"/>
      <c r="I2154" s="53"/>
      <c r="J2154" s="53"/>
      <c r="K2154" s="23"/>
      <c r="L2154" s="53"/>
      <c r="M2154" s="54"/>
    </row>
    <row r="2155">
      <c r="A2155" s="23"/>
      <c r="B2155" s="52"/>
      <c r="C2155" s="53"/>
      <c r="D2155" s="23"/>
      <c r="E2155" s="53"/>
      <c r="F2155" s="54"/>
      <c r="G2155" s="54"/>
      <c r="H2155" s="54"/>
      <c r="I2155" s="53"/>
      <c r="J2155" s="53"/>
      <c r="K2155" s="23"/>
      <c r="L2155" s="53"/>
      <c r="M2155" s="54"/>
    </row>
    <row r="2156">
      <c r="A2156" s="23"/>
      <c r="B2156" s="52"/>
      <c r="C2156" s="53"/>
      <c r="D2156" s="23"/>
      <c r="E2156" s="53"/>
      <c r="F2156" s="54"/>
      <c r="G2156" s="54"/>
      <c r="H2156" s="54"/>
      <c r="I2156" s="53"/>
      <c r="J2156" s="53"/>
      <c r="K2156" s="23"/>
      <c r="L2156" s="53"/>
      <c r="M2156" s="54"/>
    </row>
    <row r="2157">
      <c r="A2157" s="23"/>
      <c r="B2157" s="52"/>
      <c r="C2157" s="53"/>
      <c r="D2157" s="23"/>
      <c r="E2157" s="53"/>
      <c r="F2157" s="54"/>
      <c r="G2157" s="54"/>
      <c r="H2157" s="54"/>
      <c r="I2157" s="53"/>
      <c r="J2157" s="53"/>
      <c r="K2157" s="23"/>
      <c r="L2157" s="53"/>
      <c r="M2157" s="54"/>
    </row>
    <row r="2158">
      <c r="A2158" s="23"/>
      <c r="B2158" s="52"/>
      <c r="C2158" s="53"/>
      <c r="D2158" s="23"/>
      <c r="E2158" s="53"/>
      <c r="F2158" s="54"/>
      <c r="G2158" s="54"/>
      <c r="H2158" s="54"/>
      <c r="I2158" s="53"/>
      <c r="J2158" s="53"/>
      <c r="K2158" s="23"/>
      <c r="L2158" s="53"/>
      <c r="M2158" s="54"/>
    </row>
    <row r="2159">
      <c r="A2159" s="23"/>
      <c r="B2159" s="52"/>
      <c r="C2159" s="53"/>
      <c r="D2159" s="23"/>
      <c r="E2159" s="53"/>
      <c r="F2159" s="54"/>
      <c r="G2159" s="54"/>
      <c r="H2159" s="54"/>
      <c r="I2159" s="53"/>
      <c r="J2159" s="53"/>
      <c r="K2159" s="23"/>
      <c r="L2159" s="53"/>
      <c r="M2159" s="54"/>
    </row>
    <row r="2160">
      <c r="A2160" s="23"/>
      <c r="B2160" s="52"/>
      <c r="C2160" s="53"/>
      <c r="D2160" s="23"/>
      <c r="E2160" s="53"/>
      <c r="F2160" s="54"/>
      <c r="G2160" s="54"/>
      <c r="H2160" s="54"/>
      <c r="I2160" s="53"/>
      <c r="J2160" s="53"/>
      <c r="K2160" s="23"/>
      <c r="L2160" s="53"/>
      <c r="M2160" s="54"/>
    </row>
    <row r="2161">
      <c r="A2161" s="23"/>
      <c r="B2161" s="52"/>
      <c r="C2161" s="53"/>
      <c r="D2161" s="23"/>
      <c r="E2161" s="53"/>
      <c r="F2161" s="54"/>
      <c r="G2161" s="54"/>
      <c r="H2161" s="54"/>
      <c r="I2161" s="53"/>
      <c r="J2161" s="53"/>
      <c r="K2161" s="23"/>
      <c r="L2161" s="53"/>
      <c r="M2161" s="54"/>
    </row>
    <row r="2162">
      <c r="A2162" s="23"/>
      <c r="B2162" s="52"/>
      <c r="C2162" s="53"/>
      <c r="D2162" s="23"/>
      <c r="E2162" s="53"/>
      <c r="F2162" s="54"/>
      <c r="G2162" s="54"/>
      <c r="H2162" s="54"/>
      <c r="I2162" s="53"/>
      <c r="J2162" s="53"/>
      <c r="K2162" s="23"/>
      <c r="L2162" s="53"/>
      <c r="M2162" s="54"/>
    </row>
    <row r="2163">
      <c r="A2163" s="23"/>
      <c r="B2163" s="52"/>
      <c r="C2163" s="53"/>
      <c r="D2163" s="23"/>
      <c r="E2163" s="53"/>
      <c r="F2163" s="54"/>
      <c r="G2163" s="54"/>
      <c r="H2163" s="54"/>
      <c r="I2163" s="53"/>
      <c r="J2163" s="53"/>
      <c r="K2163" s="23"/>
      <c r="L2163" s="53"/>
      <c r="M2163" s="54"/>
    </row>
    <row r="2164">
      <c r="A2164" s="23"/>
      <c r="B2164" s="52"/>
      <c r="C2164" s="53"/>
      <c r="D2164" s="23"/>
      <c r="E2164" s="53"/>
      <c r="F2164" s="54"/>
      <c r="G2164" s="54"/>
      <c r="H2164" s="54"/>
      <c r="I2164" s="53"/>
      <c r="J2164" s="53"/>
      <c r="K2164" s="23"/>
      <c r="L2164" s="53"/>
      <c r="M2164" s="54"/>
    </row>
    <row r="2165">
      <c r="A2165" s="23"/>
      <c r="B2165" s="52"/>
      <c r="C2165" s="53"/>
      <c r="D2165" s="23"/>
      <c r="E2165" s="53"/>
      <c r="F2165" s="54"/>
      <c r="G2165" s="54"/>
      <c r="H2165" s="54"/>
      <c r="I2165" s="53"/>
      <c r="J2165" s="53"/>
      <c r="K2165" s="23"/>
      <c r="L2165" s="53"/>
      <c r="M2165" s="54"/>
    </row>
    <row r="2166">
      <c r="A2166" s="23"/>
      <c r="B2166" s="52"/>
      <c r="C2166" s="53"/>
      <c r="D2166" s="23"/>
      <c r="E2166" s="53"/>
      <c r="F2166" s="54"/>
      <c r="G2166" s="54"/>
      <c r="H2166" s="54"/>
      <c r="I2166" s="53"/>
      <c r="J2166" s="53"/>
      <c r="K2166" s="23"/>
      <c r="L2166" s="53"/>
      <c r="M2166" s="54"/>
    </row>
    <row r="2167">
      <c r="A2167" s="23"/>
      <c r="B2167" s="52"/>
      <c r="C2167" s="53"/>
      <c r="D2167" s="23"/>
      <c r="E2167" s="53"/>
      <c r="F2167" s="54"/>
      <c r="G2167" s="54"/>
      <c r="H2167" s="54"/>
      <c r="I2167" s="53"/>
      <c r="J2167" s="53"/>
      <c r="K2167" s="23"/>
      <c r="L2167" s="53"/>
      <c r="M2167" s="54"/>
    </row>
    <row r="2168">
      <c r="A2168" s="23"/>
      <c r="B2168" s="52"/>
      <c r="C2168" s="53"/>
      <c r="D2168" s="23"/>
      <c r="E2168" s="53"/>
      <c r="F2168" s="54"/>
      <c r="G2168" s="54"/>
      <c r="H2168" s="54"/>
      <c r="I2168" s="53"/>
      <c r="J2168" s="53"/>
      <c r="K2168" s="23"/>
      <c r="L2168" s="53"/>
      <c r="M2168" s="54"/>
    </row>
    <row r="2169">
      <c r="A2169" s="23"/>
      <c r="B2169" s="52"/>
      <c r="C2169" s="53"/>
      <c r="D2169" s="23"/>
      <c r="E2169" s="53"/>
      <c r="F2169" s="54"/>
      <c r="G2169" s="54"/>
      <c r="H2169" s="54"/>
      <c r="I2169" s="53"/>
      <c r="J2169" s="53"/>
      <c r="K2169" s="23"/>
      <c r="L2169" s="53"/>
      <c r="M2169" s="54"/>
    </row>
    <row r="2170">
      <c r="A2170" s="23"/>
      <c r="B2170" s="52"/>
      <c r="C2170" s="53"/>
      <c r="D2170" s="23"/>
      <c r="E2170" s="53"/>
      <c r="F2170" s="54"/>
      <c r="G2170" s="54"/>
      <c r="H2170" s="54"/>
      <c r="I2170" s="53"/>
      <c r="J2170" s="53"/>
      <c r="K2170" s="23"/>
      <c r="L2170" s="53"/>
      <c r="M2170" s="54"/>
    </row>
    <row r="2171">
      <c r="A2171" s="23"/>
      <c r="B2171" s="52"/>
      <c r="C2171" s="53"/>
      <c r="D2171" s="23"/>
      <c r="E2171" s="53"/>
      <c r="F2171" s="54"/>
      <c r="G2171" s="54"/>
      <c r="H2171" s="54"/>
      <c r="I2171" s="53"/>
      <c r="J2171" s="53"/>
      <c r="K2171" s="23"/>
      <c r="L2171" s="53"/>
      <c r="M2171" s="54"/>
    </row>
    <row r="2172">
      <c r="A2172" s="23"/>
      <c r="B2172" s="52"/>
      <c r="C2172" s="53"/>
      <c r="D2172" s="23"/>
      <c r="E2172" s="53"/>
      <c r="F2172" s="54"/>
      <c r="G2172" s="54"/>
      <c r="H2172" s="54"/>
      <c r="I2172" s="53"/>
      <c r="J2172" s="53"/>
      <c r="K2172" s="23"/>
      <c r="L2172" s="53"/>
      <c r="M2172" s="54"/>
    </row>
    <row r="2173">
      <c r="A2173" s="23"/>
      <c r="B2173" s="52"/>
      <c r="C2173" s="53"/>
      <c r="D2173" s="23"/>
      <c r="E2173" s="56"/>
      <c r="F2173" s="54"/>
      <c r="G2173" s="54"/>
      <c r="H2173" s="54"/>
      <c r="I2173" s="53"/>
      <c r="J2173" s="53"/>
      <c r="K2173" s="23"/>
      <c r="L2173" s="53"/>
      <c r="M2173" s="54"/>
    </row>
    <row r="2174">
      <c r="A2174" s="23"/>
      <c r="B2174" s="52"/>
      <c r="C2174" s="53"/>
      <c r="D2174" s="23"/>
      <c r="E2174" s="53"/>
      <c r="F2174" s="54"/>
      <c r="G2174" s="54"/>
      <c r="H2174" s="54"/>
      <c r="I2174" s="53"/>
      <c r="J2174" s="53"/>
      <c r="K2174" s="23"/>
      <c r="L2174" s="53"/>
      <c r="M2174" s="54"/>
    </row>
    <row r="2175">
      <c r="A2175" s="23"/>
      <c r="B2175" s="52"/>
      <c r="C2175" s="53"/>
      <c r="D2175" s="23"/>
      <c r="E2175" s="53"/>
      <c r="F2175" s="54"/>
      <c r="G2175" s="23"/>
      <c r="H2175" s="54"/>
      <c r="I2175" s="53"/>
      <c r="J2175" s="53"/>
      <c r="K2175" s="23"/>
      <c r="L2175" s="53"/>
      <c r="M2175" s="54"/>
    </row>
    <row r="2176">
      <c r="A2176" s="23"/>
      <c r="B2176" s="52"/>
      <c r="C2176" s="53"/>
      <c r="D2176" s="23"/>
      <c r="E2176" s="53"/>
      <c r="F2176" s="54"/>
      <c r="G2176" s="54"/>
      <c r="H2176" s="54"/>
      <c r="I2176" s="53"/>
      <c r="J2176" s="53"/>
      <c r="K2176" s="23"/>
      <c r="L2176" s="53"/>
      <c r="M2176" s="54"/>
    </row>
    <row r="2177">
      <c r="A2177" s="23"/>
      <c r="B2177" s="52"/>
      <c r="C2177" s="53"/>
      <c r="D2177" s="23"/>
      <c r="E2177" s="53"/>
      <c r="F2177" s="54"/>
      <c r="G2177" s="54"/>
      <c r="H2177" s="54"/>
      <c r="I2177" s="53"/>
      <c r="J2177" s="53"/>
      <c r="K2177" s="23"/>
      <c r="L2177" s="53"/>
      <c r="M2177" s="54"/>
    </row>
    <row r="2178">
      <c r="A2178" s="23"/>
      <c r="B2178" s="52"/>
      <c r="C2178" s="53"/>
      <c r="D2178" s="23"/>
      <c r="E2178" s="53"/>
      <c r="F2178" s="54"/>
      <c r="G2178" s="54"/>
      <c r="H2178" s="54"/>
      <c r="I2178" s="53"/>
      <c r="J2178" s="53"/>
      <c r="K2178" s="23"/>
      <c r="L2178" s="53"/>
      <c r="M2178" s="54"/>
    </row>
    <row r="2179">
      <c r="A2179" s="23"/>
      <c r="B2179" s="52"/>
      <c r="C2179" s="53"/>
      <c r="D2179" s="23"/>
      <c r="E2179" s="53"/>
      <c r="F2179" s="54"/>
      <c r="G2179" s="54"/>
      <c r="H2179" s="54"/>
      <c r="I2179" s="53"/>
      <c r="J2179" s="53"/>
      <c r="K2179" s="23"/>
      <c r="L2179" s="53"/>
      <c r="M2179" s="54"/>
    </row>
    <row r="2180">
      <c r="A2180" s="23"/>
      <c r="B2180" s="52"/>
      <c r="C2180" s="53"/>
      <c r="D2180" s="23"/>
      <c r="E2180" s="53"/>
      <c r="F2180" s="54"/>
      <c r="G2180" s="54"/>
      <c r="H2180" s="54"/>
      <c r="I2180" s="53"/>
      <c r="J2180" s="53"/>
      <c r="K2180" s="23"/>
      <c r="L2180" s="53"/>
      <c r="M2180" s="54"/>
    </row>
    <row r="2181">
      <c r="A2181" s="23"/>
      <c r="B2181" s="52"/>
      <c r="C2181" s="53"/>
      <c r="D2181" s="23"/>
      <c r="E2181" s="53"/>
      <c r="F2181" s="54"/>
      <c r="G2181" s="54"/>
      <c r="H2181" s="54"/>
      <c r="I2181" s="53"/>
      <c r="J2181" s="53"/>
      <c r="K2181" s="23"/>
      <c r="L2181" s="53"/>
      <c r="M2181" s="54"/>
    </row>
    <row r="2182">
      <c r="A2182" s="23"/>
      <c r="B2182" s="52"/>
      <c r="C2182" s="53"/>
      <c r="D2182" s="23"/>
      <c r="E2182" s="53"/>
      <c r="F2182" s="54"/>
      <c r="G2182" s="54"/>
      <c r="H2182" s="54"/>
      <c r="I2182" s="53"/>
      <c r="J2182" s="53"/>
      <c r="K2182" s="23"/>
      <c r="L2182" s="53"/>
      <c r="M2182" s="54"/>
    </row>
    <row r="2183">
      <c r="A2183" s="23"/>
      <c r="B2183" s="52"/>
      <c r="C2183" s="53"/>
      <c r="D2183" s="23"/>
      <c r="E2183" s="53"/>
      <c r="F2183" s="54"/>
      <c r="G2183" s="54"/>
      <c r="H2183" s="54"/>
      <c r="I2183" s="53"/>
      <c r="J2183" s="53"/>
      <c r="K2183" s="23"/>
      <c r="L2183" s="53"/>
      <c r="M2183" s="54"/>
    </row>
    <row r="2184">
      <c r="A2184" s="23"/>
      <c r="B2184" s="52"/>
      <c r="C2184" s="53"/>
      <c r="D2184" s="23"/>
      <c r="E2184" s="53"/>
      <c r="F2184" s="54"/>
      <c r="G2184" s="54"/>
      <c r="H2184" s="54"/>
      <c r="I2184" s="53"/>
      <c r="J2184" s="53"/>
      <c r="K2184" s="23"/>
      <c r="L2184" s="53"/>
      <c r="M2184" s="54"/>
    </row>
    <row r="2185">
      <c r="A2185" s="23"/>
      <c r="B2185" s="52"/>
      <c r="C2185" s="53"/>
      <c r="D2185" s="23"/>
      <c r="E2185" s="53"/>
      <c r="F2185" s="54"/>
      <c r="G2185" s="54"/>
      <c r="H2185" s="54"/>
      <c r="I2185" s="53"/>
      <c r="J2185" s="53"/>
      <c r="K2185" s="23"/>
      <c r="L2185" s="53"/>
      <c r="M2185" s="54"/>
    </row>
    <row r="2186">
      <c r="A2186" s="23"/>
      <c r="B2186" s="52"/>
      <c r="C2186" s="53"/>
      <c r="D2186" s="23"/>
      <c r="E2186" s="53"/>
      <c r="F2186" s="54"/>
      <c r="G2186" s="54"/>
      <c r="H2186" s="54"/>
      <c r="I2186" s="53"/>
      <c r="J2186" s="53"/>
      <c r="K2186" s="23"/>
      <c r="L2186" s="53"/>
      <c r="M2186" s="54"/>
    </row>
    <row r="2187">
      <c r="A2187" s="23"/>
      <c r="B2187" s="52"/>
      <c r="C2187" s="53"/>
      <c r="D2187" s="23"/>
      <c r="E2187" s="53"/>
      <c r="F2187" s="54"/>
      <c r="G2187" s="54"/>
      <c r="H2187" s="54"/>
      <c r="I2187" s="53"/>
      <c r="J2187" s="53"/>
      <c r="K2187" s="23"/>
      <c r="L2187" s="53"/>
      <c r="M2187" s="54"/>
    </row>
    <row r="2188">
      <c r="A2188" s="23"/>
      <c r="B2188" s="52"/>
      <c r="C2188" s="53"/>
      <c r="D2188" s="23"/>
      <c r="E2188" s="53"/>
      <c r="F2188" s="54"/>
      <c r="G2188" s="54"/>
      <c r="H2188" s="54"/>
      <c r="I2188" s="53"/>
      <c r="J2188" s="53"/>
      <c r="K2188" s="23"/>
      <c r="L2188" s="53"/>
      <c r="M2188" s="54"/>
    </row>
    <row r="2189">
      <c r="A2189" s="23"/>
      <c r="B2189" s="52"/>
      <c r="C2189" s="53"/>
      <c r="D2189" s="23"/>
      <c r="E2189" s="53"/>
      <c r="F2189" s="54"/>
      <c r="G2189" s="54"/>
      <c r="H2189" s="54"/>
      <c r="I2189" s="53"/>
      <c r="J2189" s="53"/>
      <c r="K2189" s="23"/>
      <c r="L2189" s="53"/>
      <c r="M2189" s="54"/>
    </row>
    <row r="2190">
      <c r="A2190" s="23"/>
      <c r="B2190" s="52"/>
      <c r="C2190" s="53"/>
      <c r="D2190" s="23"/>
      <c r="E2190" s="53"/>
      <c r="F2190" s="54"/>
      <c r="G2190" s="54"/>
      <c r="H2190" s="54"/>
      <c r="I2190" s="53"/>
      <c r="J2190" s="53"/>
      <c r="K2190" s="23"/>
      <c r="L2190" s="53"/>
      <c r="M2190" s="54"/>
    </row>
    <row r="2191">
      <c r="A2191" s="23"/>
      <c r="B2191" s="52"/>
      <c r="C2191" s="53"/>
      <c r="D2191" s="23"/>
      <c r="E2191" s="53"/>
      <c r="F2191" s="54"/>
      <c r="G2191" s="54"/>
      <c r="H2191" s="54"/>
      <c r="I2191" s="53"/>
      <c r="J2191" s="53"/>
      <c r="K2191" s="23"/>
      <c r="L2191" s="53"/>
      <c r="M2191" s="54"/>
    </row>
    <row r="2192">
      <c r="A2192" s="23"/>
      <c r="B2192" s="52"/>
      <c r="C2192" s="53"/>
      <c r="D2192" s="23"/>
      <c r="E2192" s="53"/>
      <c r="F2192" s="54"/>
      <c r="G2192" s="54"/>
      <c r="H2192" s="54"/>
      <c r="I2192" s="53"/>
      <c r="J2192" s="53"/>
      <c r="K2192" s="23"/>
      <c r="L2192" s="53"/>
      <c r="M2192" s="54"/>
    </row>
    <row r="2193">
      <c r="A2193" s="23"/>
      <c r="B2193" s="52"/>
      <c r="C2193" s="53"/>
      <c r="D2193" s="23"/>
      <c r="E2193" s="53"/>
      <c r="F2193" s="54"/>
      <c r="G2193" s="54"/>
      <c r="H2193" s="54"/>
      <c r="I2193" s="53"/>
      <c r="J2193" s="53"/>
      <c r="K2193" s="23"/>
      <c r="L2193" s="53"/>
      <c r="M2193" s="54"/>
    </row>
    <row r="2194">
      <c r="A2194" s="23"/>
      <c r="B2194" s="52"/>
      <c r="C2194" s="53"/>
      <c r="D2194" s="23"/>
      <c r="E2194" s="53"/>
      <c r="F2194" s="54"/>
      <c r="G2194" s="54"/>
      <c r="H2194" s="54"/>
      <c r="I2194" s="53"/>
      <c r="J2194" s="53"/>
      <c r="K2194" s="23"/>
      <c r="L2194" s="53"/>
      <c r="M2194" s="54"/>
    </row>
    <row r="2195">
      <c r="A2195" s="23"/>
      <c r="B2195" s="52"/>
      <c r="C2195" s="53"/>
      <c r="D2195" s="23"/>
      <c r="E2195" s="53"/>
      <c r="F2195" s="54"/>
      <c r="G2195" s="54"/>
      <c r="H2195" s="54"/>
      <c r="I2195" s="53"/>
      <c r="J2195" s="53"/>
      <c r="K2195" s="23"/>
      <c r="L2195" s="53"/>
      <c r="M2195" s="54"/>
    </row>
    <row r="2196">
      <c r="A2196" s="23"/>
      <c r="B2196" s="52"/>
      <c r="C2196" s="53"/>
      <c r="D2196" s="23"/>
      <c r="E2196" s="53"/>
      <c r="F2196" s="54"/>
      <c r="G2196" s="54"/>
      <c r="H2196" s="54"/>
      <c r="I2196" s="53"/>
      <c r="J2196" s="53"/>
      <c r="K2196" s="23"/>
      <c r="L2196" s="53"/>
      <c r="M2196" s="54"/>
    </row>
    <row r="2197">
      <c r="A2197" s="23"/>
      <c r="B2197" s="52"/>
      <c r="C2197" s="53"/>
      <c r="D2197" s="23"/>
      <c r="E2197" s="53"/>
      <c r="F2197" s="54"/>
      <c r="G2197" s="54"/>
      <c r="H2197" s="54"/>
      <c r="I2197" s="53"/>
      <c r="J2197" s="53"/>
      <c r="K2197" s="23"/>
      <c r="L2197" s="53"/>
      <c r="M2197" s="54"/>
    </row>
    <row r="2198">
      <c r="A2198" s="23"/>
      <c r="B2198" s="52"/>
      <c r="C2198" s="53"/>
      <c r="D2198" s="23"/>
      <c r="E2198" s="53"/>
      <c r="F2198" s="54"/>
      <c r="G2198" s="54"/>
      <c r="H2198" s="54"/>
      <c r="I2198" s="53"/>
      <c r="J2198" s="53"/>
      <c r="K2198" s="23"/>
      <c r="L2198" s="53"/>
      <c r="M2198" s="54"/>
    </row>
    <row r="2199">
      <c r="A2199" s="23"/>
      <c r="B2199" s="52"/>
      <c r="C2199" s="53"/>
      <c r="D2199" s="23"/>
      <c r="E2199" s="53"/>
      <c r="F2199" s="54"/>
      <c r="G2199" s="54"/>
      <c r="H2199" s="54"/>
      <c r="I2199" s="53"/>
      <c r="J2199" s="53"/>
      <c r="K2199" s="23"/>
      <c r="L2199" s="53"/>
      <c r="M2199" s="54"/>
    </row>
    <row r="2200">
      <c r="A2200" s="23"/>
      <c r="B2200" s="52"/>
      <c r="C2200" s="53"/>
      <c r="D2200" s="23"/>
      <c r="E2200" s="53"/>
      <c r="F2200" s="54"/>
      <c r="G2200" s="54"/>
      <c r="H2200" s="54"/>
      <c r="I2200" s="53"/>
      <c r="J2200" s="53"/>
      <c r="K2200" s="23"/>
      <c r="L2200" s="53"/>
      <c r="M2200" s="54"/>
    </row>
    <row r="2201">
      <c r="A2201" s="23"/>
      <c r="B2201" s="52"/>
      <c r="C2201" s="53"/>
      <c r="D2201" s="23"/>
      <c r="E2201" s="53"/>
      <c r="F2201" s="54"/>
      <c r="G2201" s="23"/>
      <c r="H2201" s="54"/>
      <c r="I2201" s="53"/>
      <c r="J2201" s="53"/>
      <c r="K2201" s="23"/>
      <c r="L2201" s="53"/>
      <c r="M2201" s="54"/>
    </row>
    <row r="2202">
      <c r="A2202" s="23"/>
      <c r="B2202" s="52"/>
      <c r="C2202" s="53"/>
      <c r="D2202" s="23"/>
      <c r="E2202" s="53"/>
      <c r="F2202" s="54"/>
      <c r="G2202" s="54"/>
      <c r="H2202" s="54"/>
      <c r="I2202" s="53"/>
      <c r="J2202" s="53"/>
      <c r="K2202" s="23"/>
      <c r="L2202" s="53"/>
      <c r="M2202" s="54"/>
    </row>
    <row r="2203">
      <c r="A2203" s="23"/>
      <c r="B2203" s="52"/>
      <c r="C2203" s="53"/>
      <c r="D2203" s="23"/>
      <c r="E2203" s="53"/>
      <c r="F2203" s="54"/>
      <c r="G2203" s="54"/>
      <c r="H2203" s="54"/>
      <c r="I2203" s="53"/>
      <c r="J2203" s="53"/>
      <c r="K2203" s="23"/>
      <c r="L2203" s="53"/>
      <c r="M2203" s="54"/>
    </row>
    <row r="2204">
      <c r="A2204" s="23"/>
      <c r="B2204" s="52"/>
      <c r="C2204" s="53"/>
      <c r="D2204" s="23"/>
      <c r="E2204" s="53"/>
      <c r="F2204" s="54"/>
      <c r="G2204" s="54"/>
      <c r="H2204" s="54"/>
      <c r="I2204" s="53"/>
      <c r="J2204" s="53"/>
      <c r="K2204" s="23"/>
      <c r="L2204" s="53"/>
      <c r="M2204" s="54"/>
    </row>
    <row r="2205">
      <c r="A2205" s="23"/>
      <c r="B2205" s="52"/>
      <c r="C2205" s="53"/>
      <c r="D2205" s="23"/>
      <c r="E2205" s="53"/>
      <c r="F2205" s="54"/>
      <c r="G2205" s="54"/>
      <c r="H2205" s="54"/>
      <c r="I2205" s="53"/>
      <c r="J2205" s="53"/>
      <c r="K2205" s="23"/>
      <c r="L2205" s="53"/>
      <c r="M2205" s="54"/>
    </row>
    <row r="2206">
      <c r="A2206" s="23"/>
      <c r="B2206" s="52"/>
      <c r="C2206" s="53"/>
      <c r="D2206" s="23"/>
      <c r="E2206" s="53"/>
      <c r="F2206" s="54"/>
      <c r="G2206" s="54"/>
      <c r="H2206" s="54"/>
      <c r="I2206" s="53"/>
      <c r="J2206" s="53"/>
      <c r="K2206" s="23"/>
      <c r="L2206" s="53"/>
      <c r="M2206" s="54"/>
    </row>
    <row r="2207">
      <c r="A2207" s="23"/>
      <c r="B2207" s="52"/>
      <c r="C2207" s="53"/>
      <c r="D2207" s="23"/>
      <c r="E2207" s="53"/>
      <c r="F2207" s="54"/>
      <c r="G2207" s="54"/>
      <c r="H2207" s="54"/>
      <c r="I2207" s="53"/>
      <c r="J2207" s="53"/>
      <c r="K2207" s="23"/>
      <c r="L2207" s="53"/>
      <c r="M2207" s="54"/>
    </row>
    <row r="2208">
      <c r="A2208" s="23"/>
      <c r="B2208" s="52"/>
      <c r="C2208" s="53"/>
      <c r="D2208" s="23"/>
      <c r="E2208" s="53"/>
      <c r="F2208" s="54"/>
      <c r="G2208" s="54"/>
      <c r="H2208" s="54"/>
      <c r="I2208" s="53"/>
      <c r="J2208" s="53"/>
      <c r="K2208" s="23"/>
      <c r="L2208" s="53"/>
      <c r="M2208" s="54"/>
    </row>
    <row r="2209">
      <c r="A2209" s="23"/>
      <c r="B2209" s="52"/>
      <c r="C2209" s="53"/>
      <c r="D2209" s="23"/>
      <c r="E2209" s="53"/>
      <c r="F2209" s="54"/>
      <c r="G2209" s="54"/>
      <c r="H2209" s="54"/>
      <c r="I2209" s="53"/>
      <c r="J2209" s="53"/>
      <c r="K2209" s="23"/>
      <c r="L2209" s="53"/>
      <c r="M2209" s="54"/>
    </row>
    <row r="2210">
      <c r="A2210" s="23"/>
      <c r="B2210" s="52"/>
      <c r="C2210" s="53"/>
      <c r="D2210" s="23"/>
      <c r="E2210" s="53"/>
      <c r="F2210" s="54"/>
      <c r="G2210" s="54"/>
      <c r="H2210" s="54"/>
      <c r="I2210" s="53"/>
      <c r="J2210" s="53"/>
      <c r="K2210" s="23"/>
      <c r="L2210" s="53"/>
      <c r="M2210" s="54"/>
    </row>
    <row r="2211">
      <c r="A2211" s="23"/>
      <c r="B2211" s="52"/>
      <c r="C2211" s="53"/>
      <c r="D2211" s="23"/>
      <c r="E2211" s="53"/>
      <c r="F2211" s="54"/>
      <c r="G2211" s="54"/>
      <c r="H2211" s="54"/>
      <c r="I2211" s="53"/>
      <c r="J2211" s="53"/>
      <c r="K2211" s="23"/>
      <c r="L2211" s="53"/>
      <c r="M2211" s="54"/>
    </row>
    <row r="2212">
      <c r="A2212" s="23"/>
      <c r="B2212" s="52"/>
      <c r="C2212" s="53"/>
      <c r="D2212" s="23"/>
      <c r="E2212" s="53"/>
      <c r="F2212" s="54"/>
      <c r="G2212" s="54"/>
      <c r="H2212" s="54"/>
      <c r="I2212" s="53"/>
      <c r="J2212" s="53"/>
      <c r="K2212" s="23"/>
      <c r="L2212" s="53"/>
      <c r="M2212" s="54"/>
    </row>
    <row r="2213">
      <c r="A2213" s="23"/>
      <c r="B2213" s="52"/>
      <c r="C2213" s="53"/>
      <c r="D2213" s="23"/>
      <c r="E2213" s="53"/>
      <c r="F2213" s="54"/>
      <c r="G2213" s="54"/>
      <c r="H2213" s="54"/>
      <c r="I2213" s="53"/>
      <c r="J2213" s="53"/>
      <c r="K2213" s="23"/>
      <c r="L2213" s="53"/>
      <c r="M2213" s="54"/>
    </row>
    <row r="2214">
      <c r="A2214" s="23"/>
      <c r="B2214" s="52"/>
      <c r="C2214" s="53"/>
      <c r="D2214" s="23"/>
      <c r="E2214" s="53"/>
      <c r="F2214" s="54"/>
      <c r="G2214" s="54"/>
      <c r="H2214" s="54"/>
      <c r="I2214" s="53"/>
      <c r="J2214" s="53"/>
      <c r="K2214" s="23"/>
      <c r="L2214" s="53"/>
      <c r="M2214" s="54"/>
    </row>
    <row r="2215">
      <c r="A2215" s="23"/>
      <c r="B2215" s="52"/>
      <c r="C2215" s="53"/>
      <c r="D2215" s="23"/>
      <c r="E2215" s="53"/>
      <c r="F2215" s="54"/>
      <c r="G2215" s="54"/>
      <c r="H2215" s="54"/>
      <c r="I2215" s="53"/>
      <c r="J2215" s="53"/>
      <c r="K2215" s="23"/>
      <c r="L2215" s="53"/>
      <c r="M2215" s="54"/>
    </row>
    <row r="2216">
      <c r="A2216" s="23"/>
      <c r="B2216" s="52"/>
      <c r="C2216" s="53"/>
      <c r="D2216" s="23"/>
      <c r="E2216" s="53"/>
      <c r="F2216" s="54"/>
      <c r="G2216" s="54"/>
      <c r="H2216" s="54"/>
      <c r="I2216" s="53"/>
      <c r="J2216" s="53"/>
      <c r="K2216" s="23"/>
      <c r="L2216" s="53"/>
      <c r="M2216" s="54"/>
    </row>
    <row r="2217">
      <c r="A2217" s="23"/>
      <c r="B2217" s="52"/>
      <c r="C2217" s="53"/>
      <c r="D2217" s="23"/>
      <c r="E2217" s="53"/>
      <c r="F2217" s="54"/>
      <c r="G2217" s="54"/>
      <c r="H2217" s="54"/>
      <c r="I2217" s="53"/>
      <c r="J2217" s="53"/>
      <c r="K2217" s="23"/>
      <c r="L2217" s="53"/>
      <c r="M2217" s="54"/>
    </row>
    <row r="2218">
      <c r="A2218" s="23"/>
      <c r="B2218" s="52"/>
      <c r="C2218" s="53"/>
      <c r="D2218" s="23"/>
      <c r="E2218" s="53"/>
      <c r="F2218" s="54"/>
      <c r="G2218" s="54"/>
      <c r="H2218" s="54"/>
      <c r="I2218" s="53"/>
      <c r="J2218" s="53"/>
      <c r="K2218" s="23"/>
      <c r="L2218" s="53"/>
      <c r="M2218" s="54"/>
    </row>
    <row r="2219">
      <c r="A2219" s="23"/>
      <c r="B2219" s="52"/>
      <c r="C2219" s="53"/>
      <c r="D2219" s="23"/>
      <c r="E2219" s="53"/>
      <c r="F2219" s="54"/>
      <c r="G2219" s="54"/>
      <c r="H2219" s="54"/>
      <c r="I2219" s="53"/>
      <c r="J2219" s="53"/>
      <c r="K2219" s="23"/>
      <c r="L2219" s="53"/>
      <c r="M2219" s="54"/>
    </row>
    <row r="2220">
      <c r="A2220" s="23"/>
      <c r="B2220" s="52"/>
      <c r="C2220" s="53"/>
      <c r="D2220" s="23"/>
      <c r="E2220" s="53"/>
      <c r="F2220" s="54"/>
      <c r="G2220" s="54"/>
      <c r="H2220" s="54"/>
      <c r="I2220" s="53"/>
      <c r="J2220" s="53"/>
      <c r="K2220" s="23"/>
      <c r="L2220" s="53"/>
      <c r="M2220" s="54"/>
    </row>
    <row r="2221">
      <c r="A2221" s="23"/>
      <c r="B2221" s="52"/>
      <c r="C2221" s="53"/>
      <c r="D2221" s="23"/>
      <c r="E2221" s="53"/>
      <c r="F2221" s="54"/>
      <c r="G2221" s="54"/>
      <c r="H2221" s="54"/>
      <c r="I2221" s="53"/>
      <c r="J2221" s="53"/>
      <c r="K2221" s="23"/>
      <c r="L2221" s="53"/>
      <c r="M2221" s="54"/>
    </row>
    <row r="2222">
      <c r="A2222" s="23"/>
      <c r="B2222" s="52"/>
      <c r="C2222" s="53"/>
      <c r="D2222" s="23"/>
      <c r="E2222" s="53"/>
      <c r="F2222" s="54"/>
      <c r="G2222" s="54"/>
      <c r="H2222" s="54"/>
      <c r="I2222" s="53"/>
      <c r="J2222" s="53"/>
      <c r="K2222" s="23"/>
      <c r="L2222" s="53"/>
      <c r="M2222" s="54"/>
    </row>
    <row r="2223">
      <c r="A2223" s="23"/>
      <c r="B2223" s="52"/>
      <c r="C2223" s="53"/>
      <c r="D2223" s="23"/>
      <c r="E2223" s="53"/>
      <c r="F2223" s="54"/>
      <c r="G2223" s="54"/>
      <c r="H2223" s="54"/>
      <c r="I2223" s="53"/>
      <c r="J2223" s="53"/>
      <c r="K2223" s="23"/>
      <c r="L2223" s="53"/>
      <c r="M2223" s="54"/>
    </row>
    <row r="2224">
      <c r="A2224" s="23"/>
      <c r="B2224" s="52"/>
      <c r="C2224" s="53"/>
      <c r="D2224" s="23"/>
      <c r="E2224" s="53"/>
      <c r="F2224" s="54"/>
      <c r="G2224" s="54"/>
      <c r="H2224" s="54"/>
      <c r="I2224" s="53"/>
      <c r="J2224" s="53"/>
      <c r="K2224" s="23"/>
      <c r="L2224" s="53"/>
      <c r="M2224" s="54"/>
    </row>
    <row r="2225">
      <c r="A2225" s="23"/>
      <c r="B2225" s="52"/>
      <c r="C2225" s="53"/>
      <c r="D2225" s="23"/>
      <c r="E2225" s="53"/>
      <c r="F2225" s="54"/>
      <c r="G2225" s="54"/>
      <c r="H2225" s="54"/>
      <c r="I2225" s="53"/>
      <c r="J2225" s="53"/>
      <c r="K2225" s="23"/>
      <c r="L2225" s="53"/>
      <c r="M2225" s="54"/>
    </row>
    <row r="2226">
      <c r="A2226" s="23"/>
      <c r="B2226" s="52"/>
      <c r="C2226" s="53"/>
      <c r="D2226" s="23"/>
      <c r="E2226" s="53"/>
      <c r="F2226" s="54"/>
      <c r="G2226" s="54"/>
      <c r="H2226" s="54"/>
      <c r="I2226" s="53"/>
      <c r="J2226" s="53"/>
      <c r="K2226" s="23"/>
      <c r="L2226" s="53"/>
      <c r="M2226" s="54"/>
    </row>
    <row r="2227">
      <c r="A2227" s="23"/>
      <c r="B2227" s="52"/>
      <c r="C2227" s="53"/>
      <c r="D2227" s="23"/>
      <c r="E2227" s="53"/>
      <c r="F2227" s="54"/>
      <c r="G2227" s="54"/>
      <c r="H2227" s="54"/>
      <c r="I2227" s="53"/>
      <c r="J2227" s="53"/>
      <c r="K2227" s="23"/>
      <c r="L2227" s="53"/>
      <c r="M2227" s="54"/>
    </row>
    <row r="2228">
      <c r="A2228" s="23"/>
      <c r="B2228" s="52"/>
      <c r="C2228" s="53"/>
      <c r="D2228" s="23"/>
      <c r="E2228" s="53"/>
      <c r="F2228" s="54"/>
      <c r="G2228" s="54"/>
      <c r="H2228" s="54"/>
      <c r="I2228" s="53"/>
      <c r="J2228" s="53"/>
      <c r="K2228" s="23"/>
      <c r="L2228" s="53"/>
      <c r="M2228" s="54"/>
    </row>
    <row r="2229">
      <c r="A2229" s="23"/>
      <c r="B2229" s="52"/>
      <c r="C2229" s="53"/>
      <c r="D2229" s="23"/>
      <c r="E2229" s="53"/>
      <c r="F2229" s="54"/>
      <c r="G2229" s="54"/>
      <c r="H2229" s="54"/>
      <c r="I2229" s="53"/>
      <c r="J2229" s="53"/>
      <c r="K2229" s="23"/>
      <c r="L2229" s="53"/>
      <c r="M2229" s="54"/>
    </row>
    <row r="2230">
      <c r="A2230" s="23"/>
      <c r="B2230" s="52"/>
      <c r="C2230" s="53"/>
      <c r="D2230" s="23"/>
      <c r="E2230" s="53"/>
      <c r="F2230" s="54"/>
      <c r="G2230" s="54"/>
      <c r="H2230" s="54"/>
      <c r="I2230" s="53"/>
      <c r="J2230" s="53"/>
      <c r="K2230" s="23"/>
      <c r="L2230" s="53"/>
      <c r="M2230" s="54"/>
    </row>
    <row r="2231">
      <c r="A2231" s="23"/>
      <c r="B2231" s="52"/>
      <c r="C2231" s="53"/>
      <c r="D2231" s="23"/>
      <c r="E2231" s="53"/>
      <c r="F2231" s="54"/>
      <c r="G2231" s="54"/>
      <c r="H2231" s="54"/>
      <c r="I2231" s="53"/>
      <c r="J2231" s="53"/>
      <c r="K2231" s="23"/>
      <c r="L2231" s="53"/>
      <c r="M2231" s="54"/>
    </row>
    <row r="2232">
      <c r="A2232" s="23"/>
      <c r="B2232" s="52"/>
      <c r="C2232" s="53"/>
      <c r="D2232" s="23"/>
      <c r="E2232" s="53"/>
      <c r="F2232" s="54"/>
      <c r="G2232" s="54"/>
      <c r="H2232" s="54"/>
      <c r="I2232" s="53"/>
      <c r="J2232" s="53"/>
      <c r="K2232" s="23"/>
      <c r="L2232" s="53"/>
      <c r="M2232" s="54"/>
    </row>
    <row r="2233">
      <c r="A2233" s="23"/>
      <c r="B2233" s="52"/>
      <c r="C2233" s="53"/>
      <c r="D2233" s="23"/>
      <c r="E2233" s="53"/>
      <c r="F2233" s="54"/>
      <c r="G2233" s="54"/>
      <c r="H2233" s="54"/>
      <c r="I2233" s="53"/>
      <c r="J2233" s="53"/>
      <c r="K2233" s="23"/>
      <c r="L2233" s="53"/>
      <c r="M2233" s="54"/>
    </row>
    <row r="2234">
      <c r="A2234" s="23"/>
      <c r="B2234" s="52"/>
      <c r="C2234" s="53"/>
      <c r="D2234" s="23"/>
      <c r="E2234" s="53"/>
      <c r="F2234" s="54"/>
      <c r="G2234" s="54"/>
      <c r="H2234" s="54"/>
      <c r="I2234" s="53"/>
      <c r="J2234" s="53"/>
      <c r="K2234" s="23"/>
      <c r="L2234" s="53"/>
      <c r="M2234" s="54"/>
    </row>
    <row r="2235">
      <c r="A2235" s="23"/>
      <c r="B2235" s="52"/>
      <c r="C2235" s="53"/>
      <c r="D2235" s="23"/>
      <c r="E2235" s="53"/>
      <c r="F2235" s="54"/>
      <c r="G2235" s="54"/>
      <c r="H2235" s="54"/>
      <c r="I2235" s="53"/>
      <c r="J2235" s="53"/>
      <c r="K2235" s="23"/>
      <c r="L2235" s="53"/>
      <c r="M2235" s="54"/>
    </row>
    <row r="2236">
      <c r="A2236" s="23"/>
      <c r="B2236" s="52"/>
      <c r="C2236" s="53"/>
      <c r="D2236" s="23"/>
      <c r="E2236" s="53"/>
      <c r="F2236" s="54"/>
      <c r="G2236" s="54"/>
      <c r="H2236" s="54"/>
      <c r="I2236" s="53"/>
      <c r="J2236" s="53"/>
      <c r="K2236" s="23"/>
      <c r="L2236" s="53"/>
      <c r="M2236" s="54"/>
    </row>
    <row r="2237">
      <c r="A2237" s="23"/>
      <c r="B2237" s="52"/>
      <c r="C2237" s="53"/>
      <c r="D2237" s="23"/>
      <c r="E2237" s="53"/>
      <c r="F2237" s="54"/>
      <c r="G2237" s="54"/>
      <c r="H2237" s="54"/>
      <c r="I2237" s="53"/>
      <c r="J2237" s="53"/>
      <c r="K2237" s="23"/>
      <c r="L2237" s="53"/>
      <c r="M2237" s="54"/>
    </row>
    <row r="2238">
      <c r="A2238" s="23"/>
      <c r="B2238" s="52"/>
      <c r="C2238" s="53"/>
      <c r="D2238" s="23"/>
      <c r="E2238" s="53"/>
      <c r="F2238" s="54"/>
      <c r="G2238" s="54"/>
      <c r="H2238" s="54"/>
      <c r="I2238" s="53"/>
      <c r="J2238" s="53"/>
      <c r="K2238" s="23"/>
      <c r="L2238" s="53"/>
      <c r="M2238" s="54"/>
    </row>
    <row r="2239">
      <c r="A2239" s="23"/>
      <c r="B2239" s="52"/>
      <c r="C2239" s="53"/>
      <c r="D2239" s="23"/>
      <c r="E2239" s="53"/>
      <c r="F2239" s="54"/>
      <c r="G2239" s="54"/>
      <c r="H2239" s="54"/>
      <c r="I2239" s="53"/>
      <c r="J2239" s="53"/>
      <c r="K2239" s="23"/>
      <c r="L2239" s="53"/>
      <c r="M2239" s="54"/>
    </row>
    <row r="2240">
      <c r="A2240" s="23"/>
      <c r="B2240" s="52"/>
      <c r="C2240" s="53"/>
      <c r="D2240" s="23"/>
      <c r="E2240" s="53"/>
      <c r="F2240" s="54"/>
      <c r="G2240" s="54"/>
      <c r="H2240" s="54"/>
      <c r="I2240" s="53"/>
      <c r="J2240" s="53"/>
      <c r="K2240" s="53"/>
      <c r="L2240" s="53"/>
      <c r="M2240" s="54"/>
    </row>
    <row r="2241">
      <c r="A2241" s="23"/>
      <c r="B2241" s="52"/>
      <c r="C2241" s="53"/>
      <c r="D2241" s="23"/>
      <c r="E2241" s="53"/>
      <c r="F2241" s="54"/>
      <c r="G2241" s="54"/>
      <c r="H2241" s="54"/>
      <c r="I2241" s="53"/>
      <c r="J2241" s="53"/>
      <c r="K2241" s="23"/>
      <c r="L2241" s="53"/>
      <c r="M2241" s="54"/>
    </row>
    <row r="2242">
      <c r="A2242" s="23"/>
      <c r="B2242" s="52"/>
      <c r="C2242" s="53"/>
      <c r="D2242" s="23"/>
      <c r="E2242" s="53"/>
      <c r="F2242" s="54"/>
      <c r="G2242" s="54"/>
      <c r="H2242" s="54"/>
      <c r="I2242" s="53"/>
      <c r="J2242" s="53"/>
      <c r="K2242" s="23"/>
      <c r="L2242" s="53"/>
      <c r="M2242" s="54"/>
    </row>
    <row r="2243">
      <c r="A2243" s="23"/>
      <c r="B2243" s="52"/>
      <c r="C2243" s="53"/>
      <c r="D2243" s="23"/>
      <c r="E2243" s="53"/>
      <c r="F2243" s="54"/>
      <c r="G2243" s="54"/>
      <c r="H2243" s="54"/>
      <c r="I2243" s="53"/>
      <c r="J2243" s="53"/>
      <c r="K2243" s="23"/>
      <c r="L2243" s="53"/>
      <c r="M2243" s="54"/>
    </row>
    <row r="2244">
      <c r="A2244" s="23"/>
      <c r="B2244" s="52"/>
      <c r="C2244" s="53"/>
      <c r="D2244" s="23"/>
      <c r="E2244" s="53"/>
      <c r="F2244" s="54"/>
      <c r="G2244" s="54"/>
      <c r="H2244" s="54"/>
      <c r="I2244" s="53"/>
      <c r="J2244" s="53"/>
      <c r="K2244" s="23"/>
      <c r="L2244" s="53"/>
      <c r="M2244" s="54"/>
    </row>
    <row r="2245">
      <c r="A2245" s="23"/>
      <c r="B2245" s="52"/>
      <c r="C2245" s="53"/>
      <c r="D2245" s="23"/>
      <c r="E2245" s="53"/>
      <c r="F2245" s="54"/>
      <c r="G2245" s="54"/>
      <c r="H2245" s="54"/>
      <c r="I2245" s="53"/>
      <c r="J2245" s="53"/>
      <c r="K2245" s="23"/>
      <c r="L2245" s="53"/>
      <c r="M2245" s="54"/>
    </row>
    <row r="2246">
      <c r="A2246" s="23"/>
      <c r="B2246" s="52"/>
      <c r="C2246" s="53"/>
      <c r="D2246" s="23"/>
      <c r="E2246" s="53"/>
      <c r="F2246" s="54"/>
      <c r="G2246" s="54"/>
      <c r="H2246" s="54"/>
      <c r="I2246" s="53"/>
      <c r="J2246" s="53"/>
      <c r="K2246" s="23"/>
      <c r="L2246" s="53"/>
      <c r="M2246" s="54"/>
    </row>
    <row r="2247">
      <c r="A2247" s="23"/>
      <c r="B2247" s="52"/>
      <c r="C2247" s="53"/>
      <c r="D2247" s="23"/>
      <c r="E2247" s="53"/>
      <c r="F2247" s="54"/>
      <c r="G2247" s="54"/>
      <c r="H2247" s="54"/>
      <c r="I2247" s="53"/>
      <c r="J2247" s="53"/>
      <c r="K2247" s="23"/>
      <c r="L2247" s="53"/>
      <c r="M2247" s="54"/>
    </row>
    <row r="2248">
      <c r="A2248" s="23"/>
      <c r="B2248" s="52"/>
      <c r="C2248" s="53"/>
      <c r="D2248" s="23"/>
      <c r="E2248" s="53"/>
      <c r="F2248" s="54"/>
      <c r="G2248" s="54"/>
      <c r="H2248" s="54"/>
      <c r="I2248" s="53"/>
      <c r="J2248" s="53"/>
      <c r="K2248" s="23"/>
      <c r="L2248" s="53"/>
      <c r="M2248" s="54"/>
    </row>
    <row r="2249">
      <c r="A2249" s="23"/>
      <c r="B2249" s="52"/>
      <c r="C2249" s="53"/>
      <c r="D2249" s="23"/>
      <c r="E2249" s="53"/>
      <c r="F2249" s="54"/>
      <c r="G2249" s="54"/>
      <c r="H2249" s="54"/>
      <c r="I2249" s="53"/>
      <c r="J2249" s="53"/>
      <c r="K2249" s="23"/>
      <c r="L2249" s="53"/>
      <c r="M2249" s="54"/>
    </row>
    <row r="2250">
      <c r="A2250" s="23"/>
      <c r="B2250" s="52"/>
      <c r="C2250" s="53"/>
      <c r="D2250" s="23"/>
      <c r="E2250" s="53"/>
      <c r="F2250" s="54"/>
      <c r="G2250" s="54"/>
      <c r="H2250" s="54"/>
      <c r="I2250" s="53"/>
      <c r="J2250" s="53"/>
      <c r="K2250" s="23"/>
      <c r="L2250" s="53"/>
      <c r="M2250" s="54"/>
    </row>
    <row r="2251">
      <c r="A2251" s="23"/>
      <c r="B2251" s="52"/>
      <c r="C2251" s="53"/>
      <c r="D2251" s="23"/>
      <c r="E2251" s="53"/>
      <c r="F2251" s="54"/>
      <c r="G2251" s="54"/>
      <c r="H2251" s="54"/>
      <c r="I2251" s="53"/>
      <c r="J2251" s="53"/>
      <c r="K2251" s="23"/>
      <c r="L2251" s="53"/>
      <c r="M2251" s="54"/>
    </row>
    <row r="2252">
      <c r="A2252" s="23"/>
      <c r="B2252" s="52"/>
      <c r="C2252" s="53"/>
      <c r="D2252" s="23"/>
      <c r="E2252" s="53"/>
      <c r="F2252" s="54"/>
      <c r="G2252" s="54"/>
      <c r="H2252" s="54"/>
      <c r="I2252" s="53"/>
      <c r="J2252" s="53"/>
      <c r="K2252" s="23"/>
      <c r="L2252" s="53"/>
      <c r="M2252" s="54"/>
    </row>
    <row r="2253">
      <c r="A2253" s="23"/>
      <c r="B2253" s="52"/>
      <c r="C2253" s="53"/>
      <c r="D2253" s="23"/>
      <c r="E2253" s="53"/>
      <c r="F2253" s="54"/>
      <c r="G2253" s="54"/>
      <c r="H2253" s="54"/>
      <c r="I2253" s="53"/>
      <c r="J2253" s="53"/>
      <c r="K2253" s="23"/>
      <c r="L2253" s="53"/>
      <c r="M2253" s="54"/>
    </row>
    <row r="2254">
      <c r="A2254" s="23"/>
      <c r="B2254" s="52"/>
      <c r="C2254" s="53"/>
      <c r="D2254" s="23"/>
      <c r="E2254" s="53"/>
      <c r="F2254" s="54"/>
      <c r="G2254" s="54"/>
      <c r="H2254" s="54"/>
      <c r="I2254" s="53"/>
      <c r="J2254" s="53"/>
      <c r="K2254" s="23"/>
      <c r="L2254" s="53"/>
      <c r="M2254" s="54"/>
    </row>
    <row r="2255">
      <c r="A2255" s="23"/>
      <c r="B2255" s="52"/>
      <c r="C2255" s="53"/>
      <c r="D2255" s="23"/>
      <c r="E2255" s="53"/>
      <c r="F2255" s="54"/>
      <c r="G2255" s="54"/>
      <c r="H2255" s="54"/>
      <c r="I2255" s="53"/>
      <c r="J2255" s="53"/>
      <c r="K2255" s="23"/>
      <c r="L2255" s="53"/>
      <c r="M2255" s="54"/>
    </row>
    <row r="2256">
      <c r="A2256" s="23"/>
      <c r="B2256" s="52"/>
      <c r="C2256" s="53"/>
      <c r="D2256" s="23"/>
      <c r="E2256" s="53"/>
      <c r="F2256" s="54"/>
      <c r="G2256" s="54"/>
      <c r="H2256" s="54"/>
      <c r="I2256" s="53"/>
      <c r="J2256" s="53"/>
      <c r="K2256" s="23"/>
      <c r="L2256" s="53"/>
      <c r="M2256" s="54"/>
    </row>
    <row r="2257">
      <c r="A2257" s="23"/>
      <c r="B2257" s="52"/>
      <c r="C2257" s="53"/>
      <c r="D2257" s="23"/>
      <c r="E2257" s="53"/>
      <c r="F2257" s="54"/>
      <c r="G2257" s="54"/>
      <c r="H2257" s="54"/>
      <c r="I2257" s="53"/>
      <c r="J2257" s="53"/>
      <c r="K2257" s="23"/>
      <c r="L2257" s="53"/>
      <c r="M2257" s="54"/>
    </row>
    <row r="2258">
      <c r="A2258" s="23"/>
      <c r="B2258" s="52"/>
      <c r="C2258" s="53"/>
      <c r="D2258" s="23"/>
      <c r="E2258" s="53"/>
      <c r="F2258" s="54"/>
      <c r="G2258" s="54"/>
      <c r="H2258" s="54"/>
      <c r="I2258" s="53"/>
      <c r="J2258" s="53"/>
      <c r="K2258" s="23"/>
      <c r="L2258" s="53"/>
      <c r="M2258" s="54"/>
    </row>
    <row r="2259">
      <c r="A2259" s="23"/>
      <c r="B2259" s="52"/>
      <c r="C2259" s="53"/>
      <c r="D2259" s="23"/>
      <c r="E2259" s="53"/>
      <c r="F2259" s="54"/>
      <c r="G2259" s="54"/>
      <c r="H2259" s="54"/>
      <c r="I2259" s="53"/>
      <c r="J2259" s="53"/>
      <c r="K2259" s="23"/>
      <c r="L2259" s="53"/>
      <c r="M2259" s="54"/>
    </row>
    <row r="2260">
      <c r="A2260" s="23"/>
      <c r="B2260" s="52"/>
      <c r="C2260" s="53"/>
      <c r="D2260" s="23"/>
      <c r="E2260" s="53"/>
      <c r="F2260" s="54"/>
      <c r="G2260" s="54"/>
      <c r="H2260" s="54"/>
      <c r="I2260" s="53"/>
      <c r="J2260" s="53"/>
      <c r="K2260" s="23"/>
      <c r="L2260" s="53"/>
      <c r="M2260" s="54"/>
    </row>
    <row r="2261">
      <c r="A2261" s="23"/>
      <c r="B2261" s="52"/>
      <c r="C2261" s="53"/>
      <c r="D2261" s="23"/>
      <c r="E2261" s="53"/>
      <c r="F2261" s="54"/>
      <c r="G2261" s="54"/>
      <c r="H2261" s="54"/>
      <c r="I2261" s="53"/>
      <c r="J2261" s="53"/>
      <c r="K2261" s="23"/>
      <c r="L2261" s="53"/>
      <c r="M2261" s="54"/>
    </row>
    <row r="2262">
      <c r="A2262" s="23"/>
      <c r="B2262" s="52"/>
      <c r="C2262" s="53"/>
      <c r="D2262" s="23"/>
      <c r="E2262" s="53"/>
      <c r="F2262" s="54"/>
      <c r="G2262" s="54"/>
      <c r="H2262" s="54"/>
      <c r="I2262" s="53"/>
      <c r="J2262" s="53"/>
      <c r="K2262" s="23"/>
      <c r="L2262" s="53"/>
      <c r="M2262" s="54"/>
    </row>
    <row r="2263">
      <c r="A2263" s="23"/>
      <c r="B2263" s="52"/>
      <c r="C2263" s="53"/>
      <c r="D2263" s="23"/>
      <c r="E2263" s="53"/>
      <c r="F2263" s="54"/>
      <c r="G2263" s="54"/>
      <c r="H2263" s="54"/>
      <c r="I2263" s="53"/>
      <c r="J2263" s="53"/>
      <c r="K2263" s="23"/>
      <c r="L2263" s="53"/>
      <c r="M2263" s="54"/>
    </row>
    <row r="2264">
      <c r="A2264" s="23"/>
      <c r="B2264" s="52"/>
      <c r="C2264" s="53"/>
      <c r="D2264" s="23"/>
      <c r="E2264" s="53"/>
      <c r="F2264" s="54"/>
      <c r="G2264" s="54"/>
      <c r="H2264" s="54"/>
      <c r="I2264" s="53"/>
      <c r="J2264" s="53"/>
      <c r="K2264" s="23"/>
      <c r="L2264" s="53"/>
      <c r="M2264" s="54"/>
    </row>
    <row r="2265">
      <c r="A2265" s="23"/>
      <c r="B2265" s="52"/>
      <c r="C2265" s="53"/>
      <c r="D2265" s="23"/>
      <c r="E2265" s="53"/>
      <c r="F2265" s="54"/>
      <c r="G2265" s="54"/>
      <c r="H2265" s="54"/>
      <c r="I2265" s="53"/>
      <c r="J2265" s="53"/>
      <c r="K2265" s="23"/>
      <c r="L2265" s="53"/>
      <c r="M2265" s="54"/>
    </row>
    <row r="2266">
      <c r="A2266" s="23"/>
      <c r="B2266" s="52"/>
      <c r="C2266" s="53"/>
      <c r="D2266" s="23"/>
      <c r="E2266" s="53"/>
      <c r="F2266" s="54"/>
      <c r="G2266" s="54"/>
      <c r="H2266" s="54"/>
      <c r="I2266" s="53"/>
      <c r="J2266" s="53"/>
      <c r="K2266" s="23"/>
      <c r="L2266" s="53"/>
      <c r="M2266" s="54"/>
    </row>
    <row r="2267">
      <c r="A2267" s="23"/>
      <c r="B2267" s="52"/>
      <c r="C2267" s="53"/>
      <c r="D2267" s="23"/>
      <c r="E2267" s="53"/>
      <c r="F2267" s="54"/>
      <c r="G2267" s="54"/>
      <c r="H2267" s="54"/>
      <c r="I2267" s="53"/>
      <c r="J2267" s="53"/>
      <c r="K2267" s="23"/>
      <c r="L2267" s="53"/>
      <c r="M2267" s="54"/>
    </row>
    <row r="2268">
      <c r="A2268" s="23"/>
      <c r="B2268" s="52"/>
      <c r="C2268" s="53"/>
      <c r="D2268" s="23"/>
      <c r="E2268" s="53"/>
      <c r="F2268" s="54"/>
      <c r="G2268" s="54"/>
      <c r="H2268" s="54"/>
      <c r="I2268" s="53"/>
      <c r="J2268" s="53"/>
      <c r="K2268" s="23"/>
      <c r="L2268" s="53"/>
      <c r="M2268" s="54"/>
    </row>
    <row r="2269">
      <c r="A2269" s="23"/>
      <c r="B2269" s="52"/>
      <c r="C2269" s="53"/>
      <c r="D2269" s="23"/>
      <c r="E2269" s="53"/>
      <c r="F2269" s="54"/>
      <c r="G2269" s="54"/>
      <c r="H2269" s="54"/>
      <c r="I2269" s="53"/>
      <c r="J2269" s="53"/>
      <c r="K2269" s="23"/>
      <c r="L2269" s="53"/>
      <c r="M2269" s="54"/>
    </row>
    <row r="2270">
      <c r="A2270" s="23"/>
      <c r="B2270" s="52"/>
      <c r="C2270" s="53"/>
      <c r="D2270" s="23"/>
      <c r="E2270" s="53"/>
      <c r="F2270" s="54"/>
      <c r="G2270" s="54"/>
      <c r="H2270" s="54"/>
      <c r="I2270" s="53"/>
      <c r="J2270" s="53"/>
      <c r="K2270" s="23"/>
      <c r="L2270" s="53"/>
      <c r="M2270" s="54"/>
    </row>
    <row r="2271">
      <c r="A2271" s="23"/>
      <c r="B2271" s="52"/>
      <c r="C2271" s="53"/>
      <c r="D2271" s="23"/>
      <c r="E2271" s="53"/>
      <c r="F2271" s="54"/>
      <c r="G2271" s="23"/>
      <c r="H2271" s="54"/>
      <c r="I2271" s="53"/>
      <c r="J2271" s="53"/>
      <c r="K2271" s="23"/>
      <c r="L2271" s="53"/>
      <c r="M2271" s="54"/>
    </row>
    <row r="2272">
      <c r="A2272" s="23"/>
      <c r="B2272" s="52"/>
      <c r="C2272" s="53"/>
      <c r="D2272" s="23"/>
      <c r="E2272" s="53"/>
      <c r="F2272" s="54"/>
      <c r="G2272" s="54"/>
      <c r="H2272" s="54"/>
      <c r="I2272" s="53"/>
      <c r="J2272" s="53"/>
      <c r="K2272" s="23"/>
      <c r="L2272" s="53"/>
      <c r="M2272" s="54"/>
    </row>
    <row r="2273">
      <c r="A2273" s="23"/>
      <c r="B2273" s="52"/>
      <c r="C2273" s="53"/>
      <c r="D2273" s="23"/>
      <c r="E2273" s="53"/>
      <c r="F2273" s="54"/>
      <c r="G2273" s="54"/>
      <c r="H2273" s="54"/>
      <c r="I2273" s="53"/>
      <c r="J2273" s="53"/>
      <c r="K2273" s="23"/>
      <c r="L2273" s="53"/>
      <c r="M2273" s="54"/>
    </row>
    <row r="2274">
      <c r="A2274" s="23"/>
      <c r="B2274" s="52"/>
      <c r="C2274" s="53"/>
      <c r="D2274" s="23"/>
      <c r="E2274" s="53"/>
      <c r="F2274" s="54"/>
      <c r="G2274" s="54"/>
      <c r="H2274" s="54"/>
      <c r="I2274" s="53"/>
      <c r="J2274" s="53"/>
      <c r="K2274" s="23"/>
      <c r="L2274" s="53"/>
      <c r="M2274" s="54"/>
    </row>
    <row r="2275">
      <c r="A2275" s="23"/>
      <c r="B2275" s="52"/>
      <c r="C2275" s="53"/>
      <c r="D2275" s="23"/>
      <c r="E2275" s="53"/>
      <c r="F2275" s="54"/>
      <c r="G2275" s="54"/>
      <c r="H2275" s="54"/>
      <c r="I2275" s="53"/>
      <c r="J2275" s="53"/>
      <c r="K2275" s="23"/>
      <c r="L2275" s="53"/>
      <c r="M2275" s="54"/>
    </row>
    <row r="2276">
      <c r="A2276" s="23"/>
      <c r="B2276" s="52"/>
      <c r="C2276" s="53"/>
      <c r="D2276" s="23"/>
      <c r="E2276" s="53"/>
      <c r="F2276" s="54"/>
      <c r="G2276" s="54"/>
      <c r="H2276" s="54"/>
      <c r="I2276" s="53"/>
      <c r="J2276" s="53"/>
      <c r="K2276" s="23"/>
      <c r="L2276" s="53"/>
      <c r="M2276" s="54"/>
    </row>
    <row r="2277">
      <c r="A2277" s="23"/>
      <c r="B2277" s="52"/>
      <c r="C2277" s="53"/>
      <c r="D2277" s="23"/>
      <c r="E2277" s="53"/>
      <c r="F2277" s="54"/>
      <c r="G2277" s="23"/>
      <c r="H2277" s="54"/>
      <c r="I2277" s="53"/>
      <c r="J2277" s="53"/>
      <c r="K2277" s="23"/>
      <c r="L2277" s="53"/>
      <c r="M2277" s="54"/>
    </row>
    <row r="2278">
      <c r="A2278" s="23"/>
      <c r="B2278" s="52"/>
      <c r="C2278" s="53"/>
      <c r="D2278" s="23"/>
      <c r="E2278" s="53"/>
      <c r="F2278" s="54"/>
      <c r="G2278" s="54"/>
      <c r="H2278" s="54"/>
      <c r="I2278" s="53"/>
      <c r="J2278" s="53"/>
      <c r="K2278" s="23"/>
      <c r="L2278" s="53"/>
      <c r="M2278" s="54"/>
    </row>
    <row r="2279">
      <c r="A2279" s="23"/>
      <c r="B2279" s="52"/>
      <c r="C2279" s="53"/>
      <c r="D2279" s="23"/>
      <c r="E2279" s="53"/>
      <c r="F2279" s="54"/>
      <c r="G2279" s="54"/>
      <c r="H2279" s="54"/>
      <c r="I2279" s="53"/>
      <c r="J2279" s="53"/>
      <c r="K2279" s="23"/>
      <c r="L2279" s="53"/>
      <c r="M2279" s="54"/>
    </row>
    <row r="2280">
      <c r="A2280" s="23"/>
      <c r="B2280" s="52"/>
      <c r="C2280" s="53"/>
      <c r="D2280" s="23"/>
      <c r="E2280" s="53"/>
      <c r="F2280" s="54"/>
      <c r="G2280" s="23"/>
      <c r="H2280" s="54"/>
      <c r="I2280" s="53"/>
      <c r="J2280" s="53"/>
      <c r="K2280" s="23"/>
      <c r="L2280" s="53"/>
      <c r="M2280" s="54"/>
    </row>
    <row r="2281">
      <c r="A2281" s="23"/>
      <c r="B2281" s="52"/>
      <c r="C2281" s="53"/>
      <c r="D2281" s="23"/>
      <c r="E2281" s="53"/>
      <c r="F2281" s="54"/>
      <c r="G2281" s="54"/>
      <c r="H2281" s="54"/>
      <c r="I2281" s="53"/>
      <c r="J2281" s="53"/>
      <c r="K2281" s="23"/>
      <c r="L2281" s="53"/>
      <c r="M2281" s="54"/>
    </row>
    <row r="2282">
      <c r="A2282" s="23"/>
      <c r="B2282" s="52"/>
      <c r="C2282" s="53"/>
      <c r="D2282" s="23"/>
      <c r="E2282" s="53"/>
      <c r="F2282" s="54"/>
      <c r="G2282" s="54"/>
      <c r="H2282" s="54"/>
      <c r="I2282" s="53"/>
      <c r="J2282" s="53"/>
      <c r="K2282" s="23"/>
      <c r="L2282" s="53"/>
      <c r="M2282" s="54"/>
    </row>
    <row r="2283">
      <c r="A2283" s="23"/>
      <c r="B2283" s="52"/>
      <c r="C2283" s="53"/>
      <c r="D2283" s="23"/>
      <c r="E2283" s="53"/>
      <c r="F2283" s="54"/>
      <c r="G2283" s="54"/>
      <c r="H2283" s="54"/>
      <c r="I2283" s="53"/>
      <c r="J2283" s="53"/>
      <c r="K2283" s="23"/>
      <c r="L2283" s="53"/>
      <c r="M2283" s="54"/>
    </row>
    <row r="2284">
      <c r="A2284" s="23"/>
      <c r="B2284" s="52"/>
      <c r="C2284" s="53"/>
      <c r="D2284" s="23"/>
      <c r="E2284" s="53"/>
      <c r="F2284" s="54"/>
      <c r="G2284" s="54"/>
      <c r="H2284" s="54"/>
      <c r="I2284" s="53"/>
      <c r="J2284" s="53"/>
      <c r="K2284" s="23"/>
      <c r="L2284" s="53"/>
      <c r="M2284" s="54"/>
    </row>
    <row r="2285">
      <c r="A2285" s="23"/>
      <c r="B2285" s="52"/>
      <c r="C2285" s="53"/>
      <c r="D2285" s="23"/>
      <c r="E2285" s="53"/>
      <c r="F2285" s="54"/>
      <c r="G2285" s="54"/>
      <c r="H2285" s="54"/>
      <c r="I2285" s="53"/>
      <c r="J2285" s="53"/>
      <c r="K2285" s="23"/>
      <c r="L2285" s="53"/>
      <c r="M2285" s="54"/>
    </row>
    <row r="2286">
      <c r="A2286" s="23"/>
      <c r="B2286" s="52"/>
      <c r="C2286" s="53"/>
      <c r="D2286" s="23"/>
      <c r="E2286" s="53"/>
      <c r="F2286" s="54"/>
      <c r="G2286" s="54"/>
      <c r="H2286" s="54"/>
      <c r="I2286" s="53"/>
      <c r="J2286" s="53"/>
      <c r="K2286" s="23"/>
      <c r="L2286" s="53"/>
      <c r="M2286" s="54"/>
    </row>
    <row r="2287">
      <c r="A2287" s="23"/>
      <c r="B2287" s="52"/>
      <c r="C2287" s="53"/>
      <c r="D2287" s="23"/>
      <c r="E2287" s="53"/>
      <c r="F2287" s="54"/>
      <c r="G2287" s="54"/>
      <c r="H2287" s="54"/>
      <c r="I2287" s="53"/>
      <c r="J2287" s="53"/>
      <c r="K2287" s="23"/>
      <c r="L2287" s="53"/>
      <c r="M2287" s="54"/>
    </row>
    <row r="2288">
      <c r="A2288" s="23"/>
      <c r="B2288" s="52"/>
      <c r="C2288" s="53"/>
      <c r="D2288" s="23"/>
      <c r="E2288" s="53"/>
      <c r="F2288" s="54"/>
      <c r="G2288" s="54"/>
      <c r="H2288" s="54"/>
      <c r="I2288" s="53"/>
      <c r="J2288" s="53"/>
      <c r="K2288" s="23"/>
      <c r="L2288" s="53"/>
      <c r="M2288" s="54"/>
    </row>
    <row r="2289">
      <c r="A2289" s="23"/>
      <c r="B2289" s="52"/>
      <c r="C2289" s="53"/>
      <c r="D2289" s="23"/>
      <c r="E2289" s="53"/>
      <c r="F2289" s="54"/>
      <c r="G2289" s="54"/>
      <c r="H2289" s="54"/>
      <c r="I2289" s="53"/>
      <c r="J2289" s="53"/>
      <c r="K2289" s="23"/>
      <c r="L2289" s="53"/>
      <c r="M2289" s="54"/>
    </row>
    <row r="2290">
      <c r="A2290" s="23"/>
      <c r="B2290" s="52"/>
      <c r="C2290" s="53"/>
      <c r="D2290" s="23"/>
      <c r="E2290" s="53"/>
      <c r="F2290" s="54"/>
      <c r="G2290" s="54"/>
      <c r="H2290" s="54"/>
      <c r="I2290" s="53"/>
      <c r="J2290" s="53"/>
      <c r="K2290" s="23"/>
      <c r="L2290" s="53"/>
      <c r="M2290" s="54"/>
    </row>
    <row r="2291">
      <c r="A2291" s="23"/>
      <c r="B2291" s="52"/>
      <c r="C2291" s="53"/>
      <c r="D2291" s="23"/>
      <c r="E2291" s="53"/>
      <c r="F2291" s="54"/>
      <c r="G2291" s="54"/>
      <c r="H2291" s="54"/>
      <c r="I2291" s="53"/>
      <c r="J2291" s="53"/>
      <c r="K2291" s="23"/>
      <c r="L2291" s="53"/>
      <c r="M2291" s="54"/>
    </row>
    <row r="2292">
      <c r="A2292" s="23"/>
      <c r="B2292" s="52"/>
      <c r="C2292" s="53"/>
      <c r="D2292" s="23"/>
      <c r="E2292" s="53"/>
      <c r="F2292" s="54"/>
      <c r="G2292" s="54"/>
      <c r="H2292" s="54"/>
      <c r="I2292" s="53"/>
      <c r="J2292" s="53"/>
      <c r="K2292" s="23"/>
      <c r="L2292" s="53"/>
      <c r="M2292" s="54"/>
    </row>
    <row r="2293">
      <c r="A2293" s="23"/>
      <c r="B2293" s="52"/>
      <c r="C2293" s="53"/>
      <c r="D2293" s="23"/>
      <c r="E2293" s="53"/>
      <c r="F2293" s="54"/>
      <c r="G2293" s="23"/>
      <c r="H2293" s="54"/>
      <c r="I2293" s="53"/>
      <c r="J2293" s="53"/>
      <c r="K2293" s="23"/>
      <c r="L2293" s="53"/>
      <c r="M2293" s="54"/>
    </row>
    <row r="2294">
      <c r="A2294" s="23"/>
      <c r="B2294" s="52"/>
      <c r="C2294" s="53"/>
      <c r="D2294" s="23"/>
      <c r="E2294" s="53"/>
      <c r="F2294" s="54"/>
      <c r="G2294" s="54"/>
      <c r="H2294" s="54"/>
      <c r="I2294" s="53"/>
      <c r="J2294" s="53"/>
      <c r="K2294" s="23"/>
      <c r="L2294" s="53"/>
      <c r="M2294" s="54"/>
    </row>
    <row r="2295">
      <c r="A2295" s="23"/>
      <c r="B2295" s="52"/>
      <c r="C2295" s="53"/>
      <c r="D2295" s="23"/>
      <c r="E2295" s="53"/>
      <c r="F2295" s="54"/>
      <c r="G2295" s="54"/>
      <c r="H2295" s="54"/>
      <c r="I2295" s="53"/>
      <c r="J2295" s="53"/>
      <c r="K2295" s="23"/>
      <c r="L2295" s="53"/>
      <c r="M2295" s="54"/>
    </row>
    <row r="2296">
      <c r="A2296" s="23"/>
      <c r="B2296" s="52"/>
      <c r="C2296" s="53"/>
      <c r="D2296" s="23"/>
      <c r="E2296" s="53"/>
      <c r="F2296" s="54"/>
      <c r="G2296" s="54"/>
      <c r="H2296" s="54"/>
      <c r="I2296" s="53"/>
      <c r="J2296" s="53"/>
      <c r="K2296" s="23"/>
      <c r="L2296" s="53"/>
      <c r="M2296" s="54"/>
    </row>
    <row r="2297">
      <c r="A2297" s="23"/>
      <c r="B2297" s="52"/>
      <c r="C2297" s="53"/>
      <c r="D2297" s="23"/>
      <c r="E2297" s="53"/>
      <c r="F2297" s="54"/>
      <c r="G2297" s="54"/>
      <c r="H2297" s="54"/>
      <c r="I2297" s="53"/>
      <c r="J2297" s="53"/>
      <c r="K2297" s="23"/>
      <c r="L2297" s="53"/>
      <c r="M2297" s="54"/>
    </row>
    <row r="2298">
      <c r="A2298" s="23"/>
      <c r="B2298" s="52"/>
      <c r="C2298" s="53"/>
      <c r="D2298" s="23"/>
      <c r="E2298" s="53"/>
      <c r="F2298" s="54"/>
      <c r="G2298" s="54"/>
      <c r="H2298" s="54"/>
      <c r="I2298" s="53"/>
      <c r="J2298" s="53"/>
      <c r="K2298" s="23"/>
      <c r="L2298" s="53"/>
      <c r="M2298" s="54"/>
    </row>
    <row r="2299">
      <c r="A2299" s="23"/>
      <c r="B2299" s="52"/>
      <c r="C2299" s="53"/>
      <c r="D2299" s="23"/>
      <c r="E2299" s="53"/>
      <c r="F2299" s="54"/>
      <c r="G2299" s="54"/>
      <c r="H2299" s="54"/>
      <c r="I2299" s="53"/>
      <c r="J2299" s="53"/>
      <c r="K2299" s="23"/>
      <c r="L2299" s="53"/>
      <c r="M2299" s="54"/>
    </row>
    <row r="2300">
      <c r="A2300" s="23"/>
      <c r="B2300" s="52"/>
      <c r="C2300" s="53"/>
      <c r="D2300" s="23"/>
      <c r="E2300" s="53"/>
      <c r="F2300" s="54"/>
      <c r="G2300" s="54"/>
      <c r="H2300" s="54"/>
      <c r="I2300" s="53"/>
      <c r="J2300" s="53"/>
      <c r="K2300" s="23"/>
      <c r="L2300" s="53"/>
      <c r="M2300" s="54"/>
    </row>
    <row r="2301">
      <c r="A2301" s="23"/>
      <c r="B2301" s="52"/>
      <c r="C2301" s="53"/>
      <c r="D2301" s="23"/>
      <c r="E2301" s="53"/>
      <c r="F2301" s="54"/>
      <c r="G2301" s="54"/>
      <c r="H2301" s="54"/>
      <c r="I2301" s="53"/>
      <c r="J2301" s="53"/>
      <c r="K2301" s="23"/>
      <c r="L2301" s="53"/>
      <c r="M2301" s="54"/>
    </row>
    <row r="2302">
      <c r="A2302" s="23"/>
      <c r="B2302" s="52"/>
      <c r="C2302" s="53"/>
      <c r="D2302" s="23"/>
      <c r="E2302" s="53"/>
      <c r="F2302" s="54"/>
      <c r="G2302" s="54"/>
      <c r="H2302" s="54"/>
      <c r="I2302" s="53"/>
      <c r="J2302" s="53"/>
      <c r="K2302" s="23"/>
      <c r="L2302" s="53"/>
      <c r="M2302" s="54"/>
    </row>
    <row r="2303">
      <c r="A2303" s="23"/>
      <c r="B2303" s="52"/>
      <c r="C2303" s="53"/>
      <c r="D2303" s="23"/>
      <c r="E2303" s="53"/>
      <c r="F2303" s="54"/>
      <c r="G2303" s="23"/>
      <c r="H2303" s="54"/>
      <c r="I2303" s="53"/>
      <c r="J2303" s="53"/>
      <c r="K2303" s="23"/>
      <c r="L2303" s="53"/>
      <c r="M2303" s="54"/>
    </row>
    <row r="2304">
      <c r="A2304" s="23"/>
      <c r="B2304" s="52"/>
      <c r="C2304" s="53"/>
      <c r="D2304" s="23"/>
      <c r="E2304" s="53"/>
      <c r="F2304" s="54"/>
      <c r="G2304" s="54"/>
      <c r="H2304" s="54"/>
      <c r="I2304" s="53"/>
      <c r="J2304" s="53"/>
      <c r="K2304" s="23"/>
      <c r="L2304" s="53"/>
      <c r="M2304" s="54"/>
    </row>
    <row r="2305">
      <c r="A2305" s="23"/>
      <c r="B2305" s="52"/>
      <c r="C2305" s="53"/>
      <c r="D2305" s="23"/>
      <c r="E2305" s="53"/>
      <c r="F2305" s="54"/>
      <c r="G2305" s="54"/>
      <c r="H2305" s="54"/>
      <c r="I2305" s="53"/>
      <c r="J2305" s="53"/>
      <c r="K2305" s="23"/>
      <c r="L2305" s="53"/>
      <c r="M2305" s="54"/>
    </row>
    <row r="2306">
      <c r="A2306" s="23"/>
      <c r="B2306" s="52"/>
      <c r="C2306" s="53"/>
      <c r="D2306" s="23"/>
      <c r="E2306" s="53"/>
      <c r="F2306" s="54"/>
      <c r="G2306" s="54"/>
      <c r="H2306" s="54"/>
      <c r="I2306" s="53"/>
      <c r="J2306" s="53"/>
      <c r="K2306" s="23"/>
      <c r="L2306" s="53"/>
      <c r="M2306" s="54"/>
    </row>
    <row r="2307">
      <c r="A2307" s="23"/>
      <c r="B2307" s="52"/>
      <c r="C2307" s="53"/>
      <c r="D2307" s="23"/>
      <c r="E2307" s="53"/>
      <c r="F2307" s="54"/>
      <c r="G2307" s="54"/>
      <c r="H2307" s="54"/>
      <c r="I2307" s="53"/>
      <c r="J2307" s="53"/>
      <c r="K2307" s="23"/>
      <c r="L2307" s="53"/>
      <c r="M2307" s="54"/>
    </row>
    <row r="2308">
      <c r="A2308" s="23"/>
      <c r="B2308" s="52"/>
      <c r="C2308" s="53"/>
      <c r="D2308" s="23"/>
      <c r="E2308" s="53"/>
      <c r="F2308" s="54"/>
      <c r="G2308" s="54"/>
      <c r="H2308" s="54"/>
      <c r="I2308" s="53"/>
      <c r="J2308" s="53"/>
      <c r="K2308" s="23"/>
      <c r="L2308" s="53"/>
      <c r="M2308" s="54"/>
    </row>
    <row r="2309">
      <c r="A2309" s="23"/>
      <c r="B2309" s="52"/>
      <c r="C2309" s="53"/>
      <c r="D2309" s="23"/>
      <c r="E2309" s="53"/>
      <c r="F2309" s="54"/>
      <c r="G2309" s="54"/>
      <c r="H2309" s="54"/>
      <c r="I2309" s="53"/>
      <c r="J2309" s="53"/>
      <c r="K2309" s="23"/>
      <c r="L2309" s="53"/>
      <c r="M2309" s="54"/>
    </row>
    <row r="2310">
      <c r="A2310" s="23"/>
      <c r="B2310" s="52"/>
      <c r="C2310" s="53"/>
      <c r="D2310" s="23"/>
      <c r="E2310" s="53"/>
      <c r="F2310" s="54"/>
      <c r="G2310" s="54"/>
      <c r="H2310" s="54"/>
      <c r="I2310" s="53"/>
      <c r="J2310" s="53"/>
      <c r="K2310" s="23"/>
      <c r="L2310" s="53"/>
      <c r="M2310" s="54"/>
    </row>
    <row r="2311">
      <c r="A2311" s="23"/>
      <c r="B2311" s="52"/>
      <c r="C2311" s="53"/>
      <c r="D2311" s="23"/>
      <c r="E2311" s="53"/>
      <c r="F2311" s="54"/>
      <c r="G2311" s="54"/>
      <c r="H2311" s="54"/>
      <c r="I2311" s="53"/>
      <c r="J2311" s="53"/>
      <c r="K2311" s="23"/>
      <c r="L2311" s="53"/>
      <c r="M2311" s="54"/>
    </row>
    <row r="2312">
      <c r="A2312" s="23"/>
      <c r="B2312" s="52"/>
      <c r="C2312" s="53"/>
      <c r="D2312" s="23"/>
      <c r="E2312" s="53"/>
      <c r="F2312" s="54"/>
      <c r="G2312" s="54"/>
      <c r="H2312" s="54"/>
      <c r="I2312" s="53"/>
      <c r="J2312" s="53"/>
      <c r="K2312" s="23"/>
      <c r="L2312" s="53"/>
      <c r="M2312" s="54"/>
    </row>
    <row r="2313">
      <c r="A2313" s="23"/>
      <c r="B2313" s="52"/>
      <c r="C2313" s="53"/>
      <c r="D2313" s="23"/>
      <c r="E2313" s="53"/>
      <c r="F2313" s="54"/>
      <c r="G2313" s="54"/>
      <c r="H2313" s="54"/>
      <c r="I2313" s="53"/>
      <c r="J2313" s="53"/>
      <c r="K2313" s="23"/>
      <c r="L2313" s="53"/>
      <c r="M2313" s="54"/>
    </row>
    <row r="2314">
      <c r="A2314" s="23"/>
      <c r="B2314" s="52"/>
      <c r="C2314" s="53"/>
      <c r="D2314" s="23"/>
      <c r="E2314" s="53"/>
      <c r="F2314" s="54"/>
      <c r="G2314" s="54"/>
      <c r="H2314" s="54"/>
      <c r="I2314" s="53"/>
      <c r="J2314" s="53"/>
      <c r="K2314" s="23"/>
      <c r="L2314" s="53"/>
      <c r="M2314" s="54"/>
    </row>
    <row r="2315">
      <c r="A2315" s="23"/>
      <c r="B2315" s="52"/>
      <c r="C2315" s="53"/>
      <c r="D2315" s="23"/>
      <c r="E2315" s="53"/>
      <c r="F2315" s="54"/>
      <c r="G2315" s="54"/>
      <c r="H2315" s="54"/>
      <c r="I2315" s="53"/>
      <c r="J2315" s="53"/>
      <c r="K2315" s="23"/>
      <c r="L2315" s="53"/>
      <c r="M2315" s="54"/>
    </row>
    <row r="2316">
      <c r="A2316" s="23"/>
      <c r="B2316" s="52"/>
      <c r="C2316" s="53"/>
      <c r="D2316" s="23"/>
      <c r="E2316" s="53"/>
      <c r="F2316" s="54"/>
      <c r="G2316" s="23"/>
      <c r="H2316" s="54"/>
      <c r="I2316" s="53"/>
      <c r="J2316" s="53"/>
      <c r="K2316" s="23"/>
      <c r="L2316" s="53"/>
      <c r="M2316" s="54"/>
    </row>
    <row r="2317">
      <c r="A2317" s="23"/>
      <c r="B2317" s="52"/>
      <c r="C2317" s="53"/>
      <c r="D2317" s="23"/>
      <c r="E2317" s="53"/>
      <c r="F2317" s="54"/>
      <c r="G2317" s="23"/>
      <c r="H2317" s="54"/>
      <c r="I2317" s="53"/>
      <c r="J2317" s="53"/>
      <c r="K2317" s="23"/>
      <c r="L2317" s="53"/>
      <c r="M2317" s="54"/>
    </row>
    <row r="2318">
      <c r="A2318" s="23"/>
      <c r="B2318" s="52"/>
      <c r="C2318" s="53"/>
      <c r="D2318" s="23"/>
      <c r="E2318" s="53"/>
      <c r="F2318" s="54"/>
      <c r="G2318" s="54"/>
      <c r="H2318" s="54"/>
      <c r="I2318" s="53"/>
      <c r="J2318" s="53"/>
      <c r="K2318" s="23"/>
      <c r="L2318" s="53"/>
      <c r="M2318" s="54"/>
    </row>
    <row r="2319">
      <c r="A2319" s="23"/>
      <c r="B2319" s="52"/>
      <c r="C2319" s="53"/>
      <c r="D2319" s="23"/>
      <c r="E2319" s="53"/>
      <c r="F2319" s="54"/>
      <c r="G2319" s="23"/>
      <c r="H2319" s="54"/>
      <c r="I2319" s="53"/>
      <c r="J2319" s="53"/>
      <c r="K2319" s="23"/>
      <c r="L2319" s="53"/>
      <c r="M2319" s="54"/>
    </row>
    <row r="2320">
      <c r="A2320" s="23"/>
      <c r="B2320" s="52"/>
      <c r="C2320" s="53"/>
      <c r="D2320" s="23"/>
      <c r="E2320" s="53"/>
      <c r="F2320" s="54"/>
      <c r="G2320" s="54"/>
      <c r="H2320" s="54"/>
      <c r="I2320" s="53"/>
      <c r="J2320" s="53"/>
      <c r="K2320" s="23"/>
      <c r="L2320" s="53"/>
      <c r="M2320" s="54"/>
    </row>
    <row r="2321">
      <c r="A2321" s="23"/>
      <c r="B2321" s="52"/>
      <c r="C2321" s="53"/>
      <c r="D2321" s="23"/>
      <c r="E2321" s="53"/>
      <c r="F2321" s="54"/>
      <c r="G2321" s="23"/>
      <c r="H2321" s="54"/>
      <c r="I2321" s="53"/>
      <c r="J2321" s="53"/>
      <c r="K2321" s="23"/>
      <c r="L2321" s="53"/>
      <c r="M2321" s="54"/>
    </row>
    <row r="2322">
      <c r="A2322" s="23"/>
      <c r="B2322" s="52"/>
      <c r="C2322" s="53"/>
      <c r="D2322" s="23"/>
      <c r="E2322" s="53"/>
      <c r="F2322" s="54"/>
      <c r="G2322" s="54"/>
      <c r="H2322" s="54"/>
      <c r="I2322" s="53"/>
      <c r="J2322" s="53"/>
      <c r="K2322" s="23"/>
      <c r="L2322" s="53"/>
      <c r="M2322" s="54"/>
    </row>
    <row r="2323">
      <c r="A2323" s="23"/>
      <c r="B2323" s="52"/>
      <c r="C2323" s="53"/>
      <c r="D2323" s="23"/>
      <c r="E2323" s="53"/>
      <c r="F2323" s="54"/>
      <c r="G2323" s="54"/>
      <c r="H2323" s="54"/>
      <c r="I2323" s="53"/>
      <c r="J2323" s="53"/>
      <c r="K2323" s="23"/>
      <c r="L2323" s="53"/>
      <c r="M2323" s="54"/>
    </row>
    <row r="2324">
      <c r="A2324" s="23"/>
      <c r="B2324" s="52"/>
      <c r="C2324" s="53"/>
      <c r="D2324" s="23"/>
      <c r="E2324" s="53"/>
      <c r="F2324" s="54"/>
      <c r="G2324" s="54"/>
      <c r="H2324" s="54"/>
      <c r="I2324" s="53"/>
      <c r="J2324" s="53"/>
      <c r="K2324" s="23"/>
      <c r="L2324" s="53"/>
      <c r="M2324" s="54"/>
    </row>
    <row r="2325">
      <c r="A2325" s="23"/>
      <c r="B2325" s="52"/>
      <c r="C2325" s="53"/>
      <c r="D2325" s="23"/>
      <c r="E2325" s="53"/>
      <c r="F2325" s="54"/>
      <c r="G2325" s="54"/>
      <c r="H2325" s="54"/>
      <c r="I2325" s="53"/>
      <c r="J2325" s="53"/>
      <c r="K2325" s="23"/>
      <c r="L2325" s="53"/>
      <c r="M2325" s="54"/>
    </row>
    <row r="2326">
      <c r="A2326" s="23"/>
      <c r="B2326" s="52"/>
      <c r="C2326" s="53"/>
      <c r="D2326" s="23"/>
      <c r="E2326" s="53"/>
      <c r="F2326" s="54"/>
      <c r="G2326" s="54"/>
      <c r="H2326" s="54"/>
      <c r="I2326" s="53"/>
      <c r="J2326" s="53"/>
      <c r="K2326" s="23"/>
      <c r="L2326" s="53"/>
      <c r="M2326" s="54"/>
    </row>
    <row r="2327">
      <c r="A2327" s="23"/>
      <c r="B2327" s="52"/>
      <c r="C2327" s="53"/>
      <c r="D2327" s="23"/>
      <c r="E2327" s="53"/>
      <c r="F2327" s="54"/>
      <c r="G2327" s="54"/>
      <c r="H2327" s="54"/>
      <c r="I2327" s="53"/>
      <c r="J2327" s="53"/>
      <c r="K2327" s="23"/>
      <c r="L2327" s="53"/>
      <c r="M2327" s="54"/>
    </row>
    <row r="2328">
      <c r="A2328" s="23"/>
      <c r="B2328" s="52"/>
      <c r="C2328" s="53"/>
      <c r="D2328" s="23"/>
      <c r="E2328" s="53"/>
      <c r="F2328" s="54"/>
      <c r="G2328" s="23"/>
      <c r="H2328" s="54"/>
      <c r="I2328" s="53"/>
      <c r="J2328" s="53"/>
      <c r="K2328" s="23"/>
      <c r="L2328" s="53"/>
      <c r="M2328" s="54"/>
    </row>
    <row r="2329">
      <c r="A2329" s="23"/>
      <c r="B2329" s="52"/>
      <c r="C2329" s="53"/>
      <c r="D2329" s="23"/>
      <c r="E2329" s="53"/>
      <c r="F2329" s="54"/>
      <c r="G2329" s="54"/>
      <c r="H2329" s="54"/>
      <c r="I2329" s="53"/>
      <c r="J2329" s="53"/>
      <c r="K2329" s="23"/>
      <c r="L2329" s="53"/>
      <c r="M2329" s="54"/>
    </row>
    <row r="2330">
      <c r="A2330" s="23"/>
      <c r="B2330" s="52"/>
      <c r="C2330" s="53"/>
      <c r="D2330" s="23"/>
      <c r="E2330" s="53"/>
      <c r="F2330" s="54"/>
      <c r="G2330" s="54"/>
      <c r="H2330" s="54"/>
      <c r="I2330" s="53"/>
      <c r="J2330" s="53"/>
      <c r="K2330" s="23"/>
      <c r="L2330" s="53"/>
      <c r="M2330" s="54"/>
    </row>
    <row r="2331">
      <c r="A2331" s="23"/>
      <c r="B2331" s="52"/>
      <c r="C2331" s="53"/>
      <c r="D2331" s="23"/>
      <c r="E2331" s="53"/>
      <c r="F2331" s="54"/>
      <c r="G2331" s="23"/>
      <c r="H2331" s="54"/>
      <c r="I2331" s="53"/>
      <c r="J2331" s="53"/>
      <c r="K2331" s="23"/>
      <c r="L2331" s="53"/>
      <c r="M2331" s="54"/>
    </row>
    <row r="2332">
      <c r="A2332" s="23"/>
      <c r="B2332" s="52"/>
      <c r="C2332" s="53"/>
      <c r="D2332" s="23"/>
      <c r="E2332" s="53"/>
      <c r="F2332" s="54"/>
      <c r="G2332" s="54"/>
      <c r="H2332" s="54"/>
      <c r="I2332" s="53"/>
      <c r="J2332" s="53"/>
      <c r="K2332" s="23"/>
      <c r="L2332" s="53"/>
      <c r="M2332" s="54"/>
    </row>
    <row r="2333">
      <c r="A2333" s="23"/>
      <c r="B2333" s="52"/>
      <c r="C2333" s="53"/>
      <c r="D2333" s="23"/>
      <c r="E2333" s="53"/>
      <c r="F2333" s="54"/>
      <c r="G2333" s="54"/>
      <c r="H2333" s="54"/>
      <c r="I2333" s="53"/>
      <c r="J2333" s="53"/>
      <c r="K2333" s="23"/>
      <c r="L2333" s="53"/>
      <c r="M2333" s="54"/>
    </row>
    <row r="2334">
      <c r="A2334" s="23"/>
      <c r="B2334" s="52"/>
      <c r="C2334" s="53"/>
      <c r="D2334" s="23"/>
      <c r="E2334" s="53"/>
      <c r="F2334" s="54"/>
      <c r="G2334" s="54"/>
      <c r="H2334" s="54"/>
      <c r="I2334" s="53"/>
      <c r="J2334" s="53"/>
      <c r="K2334" s="23"/>
      <c r="L2334" s="53"/>
      <c r="M2334" s="54"/>
    </row>
    <row r="2335">
      <c r="A2335" s="23"/>
      <c r="B2335" s="52"/>
      <c r="C2335" s="53"/>
      <c r="D2335" s="23"/>
      <c r="E2335" s="53"/>
      <c r="F2335" s="54"/>
      <c r="G2335" s="23"/>
      <c r="H2335" s="54"/>
      <c r="I2335" s="53"/>
      <c r="J2335" s="53"/>
      <c r="K2335" s="23"/>
      <c r="L2335" s="53"/>
      <c r="M2335" s="54"/>
    </row>
    <row r="2336">
      <c r="A2336" s="23"/>
      <c r="B2336" s="52"/>
      <c r="C2336" s="53"/>
      <c r="D2336" s="23"/>
      <c r="E2336" s="53"/>
      <c r="F2336" s="54"/>
      <c r="G2336" s="54"/>
      <c r="H2336" s="54"/>
      <c r="I2336" s="53"/>
      <c r="J2336" s="53"/>
      <c r="K2336" s="23"/>
      <c r="L2336" s="53"/>
      <c r="M2336" s="54"/>
    </row>
    <row r="2337">
      <c r="A2337" s="23"/>
      <c r="B2337" s="52"/>
      <c r="C2337" s="53"/>
      <c r="D2337" s="23"/>
      <c r="E2337" s="53"/>
      <c r="F2337" s="54"/>
      <c r="G2337" s="54"/>
      <c r="H2337" s="54"/>
      <c r="I2337" s="53"/>
      <c r="J2337" s="53"/>
      <c r="K2337" s="23"/>
      <c r="L2337" s="53"/>
      <c r="M2337" s="54"/>
    </row>
    <row r="2338">
      <c r="A2338" s="23"/>
      <c r="B2338" s="52"/>
      <c r="C2338" s="53"/>
      <c r="D2338" s="23"/>
      <c r="E2338" s="53"/>
      <c r="F2338" s="54"/>
      <c r="G2338" s="54"/>
      <c r="H2338" s="54"/>
      <c r="I2338" s="53"/>
      <c r="J2338" s="53"/>
      <c r="K2338" s="23"/>
      <c r="L2338" s="53"/>
      <c r="M2338" s="54"/>
    </row>
    <row r="2339">
      <c r="A2339" s="23"/>
      <c r="B2339" s="52"/>
      <c r="C2339" s="53"/>
      <c r="D2339" s="23"/>
      <c r="E2339" s="53"/>
      <c r="F2339" s="54"/>
      <c r="G2339" s="54"/>
      <c r="H2339" s="54"/>
      <c r="I2339" s="53"/>
      <c r="J2339" s="53"/>
      <c r="K2339" s="23"/>
      <c r="L2339" s="53"/>
      <c r="M2339" s="54"/>
    </row>
    <row r="2340">
      <c r="A2340" s="23"/>
      <c r="B2340" s="52"/>
      <c r="C2340" s="53"/>
      <c r="D2340" s="23"/>
      <c r="E2340" s="53"/>
      <c r="F2340" s="54"/>
      <c r="G2340" s="54"/>
      <c r="H2340" s="54"/>
      <c r="I2340" s="53"/>
      <c r="J2340" s="53"/>
      <c r="K2340" s="23"/>
      <c r="L2340" s="53"/>
      <c r="M2340" s="54"/>
    </row>
    <row r="2341">
      <c r="A2341" s="23"/>
      <c r="B2341" s="52"/>
      <c r="C2341" s="53"/>
      <c r="D2341" s="23"/>
      <c r="E2341" s="53"/>
      <c r="F2341" s="54"/>
      <c r="G2341" s="54"/>
      <c r="H2341" s="54"/>
      <c r="I2341" s="53"/>
      <c r="J2341" s="53"/>
      <c r="K2341" s="23"/>
      <c r="L2341" s="53"/>
      <c r="M2341" s="54"/>
    </row>
    <row r="2342">
      <c r="A2342" s="23"/>
      <c r="B2342" s="52"/>
      <c r="C2342" s="53"/>
      <c r="D2342" s="23"/>
      <c r="E2342" s="53"/>
      <c r="F2342" s="54"/>
      <c r="G2342" s="54"/>
      <c r="H2342" s="54"/>
      <c r="I2342" s="53"/>
      <c r="J2342" s="53"/>
      <c r="K2342" s="23"/>
      <c r="L2342" s="53"/>
      <c r="M2342" s="54"/>
    </row>
    <row r="2343">
      <c r="A2343" s="23"/>
      <c r="B2343" s="52"/>
      <c r="C2343" s="53"/>
      <c r="D2343" s="23"/>
      <c r="E2343" s="53"/>
      <c r="F2343" s="54"/>
      <c r="G2343" s="23"/>
      <c r="H2343" s="54"/>
      <c r="I2343" s="53"/>
      <c r="J2343" s="53"/>
      <c r="K2343" s="23"/>
      <c r="L2343" s="53"/>
      <c r="M2343" s="54"/>
    </row>
    <row r="2344">
      <c r="A2344" s="23"/>
      <c r="B2344" s="52"/>
      <c r="C2344" s="53"/>
      <c r="D2344" s="23"/>
      <c r="E2344" s="53"/>
      <c r="F2344" s="54"/>
      <c r="G2344" s="54"/>
      <c r="H2344" s="54"/>
      <c r="I2344" s="53"/>
      <c r="J2344" s="53"/>
      <c r="K2344" s="23"/>
      <c r="L2344" s="53"/>
      <c r="M2344" s="54"/>
    </row>
    <row r="2345">
      <c r="A2345" s="23"/>
      <c r="B2345" s="52"/>
      <c r="C2345" s="53"/>
      <c r="D2345" s="23"/>
      <c r="E2345" s="53"/>
      <c r="F2345" s="54"/>
      <c r="G2345" s="23"/>
      <c r="H2345" s="54"/>
      <c r="I2345" s="53"/>
      <c r="J2345" s="53"/>
      <c r="K2345" s="23"/>
      <c r="L2345" s="53"/>
      <c r="M2345" s="54"/>
    </row>
    <row r="2346">
      <c r="A2346" s="23"/>
      <c r="B2346" s="52"/>
      <c r="C2346" s="53"/>
      <c r="D2346" s="23"/>
      <c r="E2346" s="53"/>
      <c r="F2346" s="54"/>
      <c r="G2346" s="54"/>
      <c r="H2346" s="54"/>
      <c r="I2346" s="53"/>
      <c r="J2346" s="53"/>
      <c r="K2346" s="23"/>
      <c r="L2346" s="53"/>
      <c r="M2346" s="54"/>
    </row>
    <row r="2347">
      <c r="A2347" s="23"/>
      <c r="B2347" s="52"/>
      <c r="C2347" s="53"/>
      <c r="D2347" s="23"/>
      <c r="E2347" s="53"/>
      <c r="F2347" s="54"/>
      <c r="G2347" s="54"/>
      <c r="H2347" s="54"/>
      <c r="I2347" s="53"/>
      <c r="J2347" s="53"/>
      <c r="K2347" s="23"/>
      <c r="L2347" s="53"/>
      <c r="M2347" s="54"/>
    </row>
    <row r="2348">
      <c r="A2348" s="23"/>
      <c r="B2348" s="52"/>
      <c r="C2348" s="53"/>
      <c r="D2348" s="23"/>
      <c r="E2348" s="53"/>
      <c r="F2348" s="54"/>
      <c r="G2348" s="23"/>
      <c r="H2348" s="54"/>
      <c r="I2348" s="53"/>
      <c r="J2348" s="53"/>
      <c r="K2348" s="23"/>
      <c r="L2348" s="53"/>
      <c r="M2348" s="54"/>
    </row>
    <row r="2349">
      <c r="A2349" s="23"/>
      <c r="B2349" s="52"/>
      <c r="C2349" s="53"/>
      <c r="D2349" s="23"/>
      <c r="E2349" s="53"/>
      <c r="F2349" s="54"/>
      <c r="G2349" s="54"/>
      <c r="H2349" s="54"/>
      <c r="I2349" s="53"/>
      <c r="J2349" s="53"/>
      <c r="K2349" s="23"/>
      <c r="L2349" s="53"/>
      <c r="M2349" s="54"/>
    </row>
    <row r="2350">
      <c r="A2350" s="23"/>
      <c r="B2350" s="52"/>
      <c r="C2350" s="53"/>
      <c r="D2350" s="23"/>
      <c r="E2350" s="53"/>
      <c r="F2350" s="54"/>
      <c r="G2350" s="54"/>
      <c r="H2350" s="54"/>
      <c r="I2350" s="53"/>
      <c r="J2350" s="53"/>
      <c r="K2350" s="23"/>
      <c r="L2350" s="53"/>
      <c r="M2350" s="54"/>
    </row>
    <row r="2351">
      <c r="A2351" s="23"/>
      <c r="B2351" s="52"/>
      <c r="C2351" s="53"/>
      <c r="D2351" s="23"/>
      <c r="E2351" s="53"/>
      <c r="F2351" s="54"/>
      <c r="G2351" s="54"/>
      <c r="H2351" s="54"/>
      <c r="I2351" s="53"/>
      <c r="J2351" s="53"/>
      <c r="K2351" s="23"/>
      <c r="L2351" s="53"/>
      <c r="M2351" s="54"/>
    </row>
    <row r="2352">
      <c r="A2352" s="23"/>
      <c r="B2352" s="52"/>
      <c r="C2352" s="53"/>
      <c r="D2352" s="23"/>
      <c r="E2352" s="53"/>
      <c r="F2352" s="54"/>
      <c r="G2352" s="54"/>
      <c r="H2352" s="54"/>
      <c r="I2352" s="53"/>
      <c r="J2352" s="53"/>
      <c r="K2352" s="23"/>
      <c r="L2352" s="53"/>
      <c r="M2352" s="54"/>
    </row>
    <row r="2353">
      <c r="A2353" s="23"/>
      <c r="B2353" s="52"/>
      <c r="C2353" s="53"/>
      <c r="D2353" s="23"/>
      <c r="E2353" s="53"/>
      <c r="F2353" s="54"/>
      <c r="G2353" s="54"/>
      <c r="H2353" s="54"/>
      <c r="I2353" s="53"/>
      <c r="J2353" s="53"/>
      <c r="K2353" s="23"/>
      <c r="L2353" s="53"/>
      <c r="M2353" s="54"/>
    </row>
    <row r="2354">
      <c r="A2354" s="23"/>
      <c r="B2354" s="52"/>
      <c r="C2354" s="53"/>
      <c r="D2354" s="23"/>
      <c r="E2354" s="53"/>
      <c r="F2354" s="54"/>
      <c r="G2354" s="54"/>
      <c r="H2354" s="54"/>
      <c r="I2354" s="53"/>
      <c r="J2354" s="53"/>
      <c r="K2354" s="23"/>
      <c r="L2354" s="53"/>
      <c r="M2354" s="54"/>
    </row>
    <row r="2355">
      <c r="A2355" s="23"/>
      <c r="B2355" s="52"/>
      <c r="C2355" s="53"/>
      <c r="D2355" s="23"/>
      <c r="E2355" s="53"/>
      <c r="F2355" s="54"/>
      <c r="G2355" s="54"/>
      <c r="H2355" s="54"/>
      <c r="I2355" s="53"/>
      <c r="J2355" s="53"/>
      <c r="K2355" s="23"/>
      <c r="L2355" s="53"/>
      <c r="M2355" s="54"/>
    </row>
    <row r="2356">
      <c r="A2356" s="23"/>
      <c r="B2356" s="52"/>
      <c r="C2356" s="53"/>
      <c r="D2356" s="23"/>
      <c r="E2356" s="53"/>
      <c r="F2356" s="54"/>
      <c r="G2356" s="54"/>
      <c r="H2356" s="54"/>
      <c r="I2356" s="53"/>
      <c r="J2356" s="53"/>
      <c r="K2356" s="23"/>
      <c r="L2356" s="53"/>
      <c r="M2356" s="54"/>
    </row>
    <row r="2357">
      <c r="A2357" s="23"/>
      <c r="B2357" s="52"/>
      <c r="C2357" s="53"/>
      <c r="D2357" s="23"/>
      <c r="E2357" s="53"/>
      <c r="F2357" s="54"/>
      <c r="G2357" s="54"/>
      <c r="H2357" s="54"/>
      <c r="I2357" s="53"/>
      <c r="J2357" s="53"/>
      <c r="K2357" s="23"/>
      <c r="L2357" s="53"/>
      <c r="M2357" s="54"/>
    </row>
    <row r="2358">
      <c r="A2358" s="23"/>
      <c r="B2358" s="52"/>
      <c r="C2358" s="53"/>
      <c r="D2358" s="23"/>
      <c r="E2358" s="53"/>
      <c r="F2358" s="54"/>
      <c r="G2358" s="54"/>
      <c r="H2358" s="54"/>
      <c r="I2358" s="53"/>
      <c r="J2358" s="53"/>
      <c r="K2358" s="23"/>
      <c r="L2358" s="53"/>
      <c r="M2358" s="54"/>
    </row>
    <row r="2359">
      <c r="A2359" s="23"/>
      <c r="B2359" s="52"/>
      <c r="C2359" s="53"/>
      <c r="D2359" s="23"/>
      <c r="E2359" s="53"/>
      <c r="F2359" s="54"/>
      <c r="G2359" s="54"/>
      <c r="H2359" s="54"/>
      <c r="I2359" s="53"/>
      <c r="J2359" s="53"/>
      <c r="K2359" s="23"/>
      <c r="L2359" s="53"/>
      <c r="M2359" s="54"/>
    </row>
    <row r="2360">
      <c r="A2360" s="23"/>
      <c r="B2360" s="52"/>
      <c r="C2360" s="53"/>
      <c r="D2360" s="23"/>
      <c r="E2360" s="53"/>
      <c r="F2360" s="54"/>
      <c r="G2360" s="54"/>
      <c r="H2360" s="54"/>
      <c r="I2360" s="53"/>
      <c r="J2360" s="53"/>
      <c r="K2360" s="23"/>
      <c r="L2360" s="53"/>
      <c r="M2360" s="54"/>
    </row>
    <row r="2361">
      <c r="A2361" s="23"/>
      <c r="B2361" s="52"/>
      <c r="C2361" s="53"/>
      <c r="D2361" s="23"/>
      <c r="E2361" s="53"/>
      <c r="F2361" s="54"/>
      <c r="G2361" s="54"/>
      <c r="H2361" s="54"/>
      <c r="I2361" s="53"/>
      <c r="J2361" s="53"/>
      <c r="K2361" s="23"/>
      <c r="L2361" s="53"/>
      <c r="M2361" s="54"/>
    </row>
    <row r="2362">
      <c r="A2362" s="23"/>
      <c r="B2362" s="52"/>
      <c r="C2362" s="53"/>
      <c r="D2362" s="23"/>
      <c r="E2362" s="53"/>
      <c r="F2362" s="54"/>
      <c r="G2362" s="54"/>
      <c r="H2362" s="54"/>
      <c r="I2362" s="53"/>
      <c r="J2362" s="53"/>
      <c r="K2362" s="23"/>
      <c r="L2362" s="53"/>
      <c r="M2362" s="54"/>
    </row>
    <row r="2363">
      <c r="A2363" s="23"/>
      <c r="B2363" s="52"/>
      <c r="C2363" s="53"/>
      <c r="D2363" s="23"/>
      <c r="E2363" s="53"/>
      <c r="F2363" s="54"/>
      <c r="G2363" s="54"/>
      <c r="H2363" s="54"/>
      <c r="I2363" s="53"/>
      <c r="J2363" s="53"/>
      <c r="K2363" s="23"/>
      <c r="L2363" s="53"/>
      <c r="M2363" s="54"/>
    </row>
    <row r="2364">
      <c r="A2364" s="23"/>
      <c r="B2364" s="52"/>
      <c r="C2364" s="53"/>
      <c r="D2364" s="23"/>
      <c r="E2364" s="53"/>
      <c r="F2364" s="54"/>
      <c r="G2364" s="54"/>
      <c r="H2364" s="54"/>
      <c r="I2364" s="53"/>
      <c r="J2364" s="53"/>
      <c r="K2364" s="23"/>
      <c r="L2364" s="53"/>
      <c r="M2364" s="54"/>
    </row>
    <row r="2365">
      <c r="A2365" s="23"/>
      <c r="B2365" s="52"/>
      <c r="C2365" s="53"/>
      <c r="D2365" s="23"/>
      <c r="E2365" s="53"/>
      <c r="F2365" s="54"/>
      <c r="G2365" s="54"/>
      <c r="H2365" s="54"/>
      <c r="I2365" s="53"/>
      <c r="J2365" s="53"/>
      <c r="K2365" s="23"/>
      <c r="L2365" s="53"/>
      <c r="M2365" s="54"/>
    </row>
    <row r="2366">
      <c r="A2366" s="23"/>
      <c r="B2366" s="52"/>
      <c r="C2366" s="53"/>
      <c r="D2366" s="23"/>
      <c r="E2366" s="53"/>
      <c r="F2366" s="54"/>
      <c r="G2366" s="54"/>
      <c r="H2366" s="54"/>
      <c r="I2366" s="53"/>
      <c r="J2366" s="53"/>
      <c r="K2366" s="23"/>
      <c r="L2366" s="53"/>
      <c r="M2366" s="54"/>
    </row>
    <row r="2367">
      <c r="A2367" s="23"/>
      <c r="B2367" s="52"/>
      <c r="C2367" s="53"/>
      <c r="D2367" s="23"/>
      <c r="E2367" s="53"/>
      <c r="F2367" s="54"/>
      <c r="G2367" s="54"/>
      <c r="H2367" s="54"/>
      <c r="I2367" s="53"/>
      <c r="J2367" s="53"/>
      <c r="K2367" s="23"/>
      <c r="L2367" s="53"/>
      <c r="M2367" s="54"/>
    </row>
    <row r="2368">
      <c r="A2368" s="23"/>
      <c r="B2368" s="52"/>
      <c r="C2368" s="53"/>
      <c r="D2368" s="23"/>
      <c r="E2368" s="53"/>
      <c r="F2368" s="54"/>
      <c r="G2368" s="54"/>
      <c r="H2368" s="54"/>
      <c r="I2368" s="53"/>
      <c r="J2368" s="53"/>
      <c r="K2368" s="23"/>
      <c r="L2368" s="53"/>
      <c r="M2368" s="54"/>
    </row>
    <row r="2369">
      <c r="A2369" s="23"/>
      <c r="B2369" s="52"/>
      <c r="C2369" s="53"/>
      <c r="D2369" s="23"/>
      <c r="E2369" s="53"/>
      <c r="F2369" s="54"/>
      <c r="G2369" s="54"/>
      <c r="H2369" s="54"/>
      <c r="I2369" s="53"/>
      <c r="J2369" s="53"/>
      <c r="K2369" s="23"/>
      <c r="L2369" s="53"/>
      <c r="M2369" s="54"/>
    </row>
    <row r="2370">
      <c r="A2370" s="23"/>
      <c r="B2370" s="52"/>
      <c r="C2370" s="53"/>
      <c r="D2370" s="23"/>
      <c r="E2370" s="53"/>
      <c r="F2370" s="54"/>
      <c r="G2370" s="54"/>
      <c r="H2370" s="54"/>
      <c r="I2370" s="53"/>
      <c r="J2370" s="53"/>
      <c r="K2370" s="23"/>
      <c r="L2370" s="53"/>
      <c r="M2370" s="54"/>
    </row>
    <row r="2371">
      <c r="A2371" s="23"/>
      <c r="B2371" s="52"/>
      <c r="C2371" s="53"/>
      <c r="D2371" s="23"/>
      <c r="E2371" s="53"/>
      <c r="F2371" s="54"/>
      <c r="G2371" s="23"/>
      <c r="H2371" s="54"/>
      <c r="I2371" s="53"/>
      <c r="J2371" s="53"/>
      <c r="K2371" s="23"/>
      <c r="L2371" s="53"/>
      <c r="M2371" s="54"/>
    </row>
    <row r="2372">
      <c r="A2372" s="23"/>
      <c r="B2372" s="52"/>
      <c r="C2372" s="53"/>
      <c r="D2372" s="23"/>
      <c r="E2372" s="53"/>
      <c r="F2372" s="54"/>
      <c r="G2372" s="54"/>
      <c r="H2372" s="54"/>
      <c r="I2372" s="53"/>
      <c r="J2372" s="53"/>
      <c r="K2372" s="23"/>
      <c r="L2372" s="53"/>
      <c r="M2372" s="54"/>
    </row>
    <row r="2373">
      <c r="A2373" s="23"/>
      <c r="B2373" s="52"/>
      <c r="C2373" s="53"/>
      <c r="D2373" s="23"/>
      <c r="E2373" s="53"/>
      <c r="F2373" s="54"/>
      <c r="G2373" s="54"/>
      <c r="H2373" s="54"/>
      <c r="I2373" s="53"/>
      <c r="J2373" s="53"/>
      <c r="K2373" s="23"/>
      <c r="L2373" s="53"/>
      <c r="M2373" s="54"/>
    </row>
    <row r="2374">
      <c r="A2374" s="23"/>
      <c r="B2374" s="52"/>
      <c r="C2374" s="53"/>
      <c r="D2374" s="23"/>
      <c r="E2374" s="53"/>
      <c r="F2374" s="54"/>
      <c r="G2374" s="54"/>
      <c r="H2374" s="54"/>
      <c r="I2374" s="53"/>
      <c r="J2374" s="53"/>
      <c r="K2374" s="23"/>
      <c r="L2374" s="53"/>
      <c r="M2374" s="54"/>
    </row>
    <row r="2375">
      <c r="A2375" s="23"/>
      <c r="B2375" s="52"/>
      <c r="C2375" s="53"/>
      <c r="D2375" s="23"/>
      <c r="E2375" s="53"/>
      <c r="F2375" s="54"/>
      <c r="G2375" s="54"/>
      <c r="H2375" s="54"/>
      <c r="I2375" s="53"/>
      <c r="J2375" s="53"/>
      <c r="K2375" s="23"/>
      <c r="L2375" s="53"/>
      <c r="M2375" s="54"/>
    </row>
    <row r="2376">
      <c r="A2376" s="23"/>
      <c r="B2376" s="52"/>
      <c r="C2376" s="53"/>
      <c r="D2376" s="23"/>
      <c r="E2376" s="53"/>
      <c r="F2376" s="54"/>
      <c r="G2376" s="54"/>
      <c r="H2376" s="54"/>
      <c r="I2376" s="53"/>
      <c r="J2376" s="53"/>
      <c r="K2376" s="23"/>
      <c r="L2376" s="53"/>
      <c r="M2376" s="54"/>
    </row>
    <row r="2377">
      <c r="A2377" s="23"/>
      <c r="B2377" s="52"/>
      <c r="C2377" s="53"/>
      <c r="D2377" s="23"/>
      <c r="E2377" s="53"/>
      <c r="F2377" s="54"/>
      <c r="G2377" s="54"/>
      <c r="H2377" s="54"/>
      <c r="I2377" s="53"/>
      <c r="J2377" s="53"/>
      <c r="K2377" s="23"/>
      <c r="L2377" s="53"/>
      <c r="M2377" s="54"/>
    </row>
    <row r="2378">
      <c r="A2378" s="23"/>
      <c r="B2378" s="52"/>
      <c r="C2378" s="53"/>
      <c r="D2378" s="23"/>
      <c r="E2378" s="53"/>
      <c r="F2378" s="54"/>
      <c r="G2378" s="54"/>
      <c r="H2378" s="54"/>
      <c r="I2378" s="53"/>
      <c r="J2378" s="53"/>
      <c r="K2378" s="23"/>
      <c r="L2378" s="53"/>
      <c r="M2378" s="54"/>
    </row>
    <row r="2379">
      <c r="A2379" s="23"/>
      <c r="B2379" s="52"/>
      <c r="C2379" s="53"/>
      <c r="D2379" s="23"/>
      <c r="E2379" s="53"/>
      <c r="F2379" s="54"/>
      <c r="G2379" s="54"/>
      <c r="H2379" s="54"/>
      <c r="I2379" s="53"/>
      <c r="J2379" s="53"/>
      <c r="K2379" s="23"/>
      <c r="L2379" s="53"/>
      <c r="M2379" s="54"/>
    </row>
    <row r="2380">
      <c r="A2380" s="23"/>
      <c r="B2380" s="52"/>
      <c r="C2380" s="53"/>
      <c r="D2380" s="23"/>
      <c r="E2380" s="53"/>
      <c r="F2380" s="54"/>
      <c r="G2380" s="54"/>
      <c r="H2380" s="54"/>
      <c r="I2380" s="53"/>
      <c r="J2380" s="53"/>
      <c r="K2380" s="23"/>
      <c r="L2380" s="53"/>
      <c r="M2380" s="54"/>
    </row>
    <row r="2381">
      <c r="A2381" s="23"/>
      <c r="B2381" s="52"/>
      <c r="C2381" s="53"/>
      <c r="D2381" s="23"/>
      <c r="E2381" s="53"/>
      <c r="F2381" s="54"/>
      <c r="G2381" s="54"/>
      <c r="H2381" s="54"/>
      <c r="I2381" s="53"/>
      <c r="J2381" s="53"/>
      <c r="K2381" s="23"/>
      <c r="L2381" s="53"/>
      <c r="M2381" s="54"/>
    </row>
    <row r="2382">
      <c r="A2382" s="23"/>
      <c r="B2382" s="52"/>
      <c r="C2382" s="53"/>
      <c r="D2382" s="23"/>
      <c r="E2382" s="53"/>
      <c r="F2382" s="54"/>
      <c r="G2382" s="54"/>
      <c r="H2382" s="54"/>
      <c r="I2382" s="53"/>
      <c r="J2382" s="53"/>
      <c r="K2382" s="23"/>
      <c r="L2382" s="53"/>
      <c r="M2382" s="54"/>
    </row>
    <row r="2383">
      <c r="A2383" s="23"/>
      <c r="B2383" s="52"/>
      <c r="C2383" s="53"/>
      <c r="D2383" s="23"/>
      <c r="E2383" s="53"/>
      <c r="F2383" s="54"/>
      <c r="G2383" s="54"/>
      <c r="H2383" s="54"/>
      <c r="I2383" s="53"/>
      <c r="J2383" s="53"/>
      <c r="K2383" s="23"/>
      <c r="L2383" s="53"/>
      <c r="M2383" s="54"/>
    </row>
    <row r="2384">
      <c r="A2384" s="23"/>
      <c r="B2384" s="52"/>
      <c r="C2384" s="53"/>
      <c r="D2384" s="23"/>
      <c r="E2384" s="53"/>
      <c r="F2384" s="54"/>
      <c r="G2384" s="54"/>
      <c r="H2384" s="54"/>
      <c r="I2384" s="53"/>
      <c r="J2384" s="53"/>
      <c r="K2384" s="23"/>
      <c r="L2384" s="53"/>
      <c r="M2384" s="54"/>
    </row>
    <row r="2385">
      <c r="A2385" s="23"/>
      <c r="B2385" s="52"/>
      <c r="C2385" s="53"/>
      <c r="D2385" s="23"/>
      <c r="E2385" s="53"/>
      <c r="F2385" s="54"/>
      <c r="G2385" s="54"/>
      <c r="H2385" s="54"/>
      <c r="I2385" s="53"/>
      <c r="J2385" s="53"/>
      <c r="K2385" s="23"/>
      <c r="L2385" s="53"/>
      <c r="M2385" s="54"/>
    </row>
    <row r="2386">
      <c r="A2386" s="23"/>
      <c r="B2386" s="52"/>
      <c r="C2386" s="53"/>
      <c r="D2386" s="23"/>
      <c r="E2386" s="53"/>
      <c r="F2386" s="54"/>
      <c r="G2386" s="54"/>
      <c r="H2386" s="54"/>
      <c r="I2386" s="53"/>
      <c r="J2386" s="53"/>
      <c r="K2386" s="23"/>
      <c r="L2386" s="53"/>
      <c r="M2386" s="54"/>
    </row>
    <row r="2387">
      <c r="A2387" s="23"/>
      <c r="B2387" s="52"/>
      <c r="C2387" s="53"/>
      <c r="D2387" s="23"/>
      <c r="E2387" s="53"/>
      <c r="F2387" s="54"/>
      <c r="G2387" s="23"/>
      <c r="H2387" s="54"/>
      <c r="I2387" s="53"/>
      <c r="J2387" s="53"/>
      <c r="K2387" s="23"/>
      <c r="L2387" s="53"/>
      <c r="M2387" s="54"/>
    </row>
    <row r="2388">
      <c r="A2388" s="23"/>
      <c r="B2388" s="52"/>
      <c r="C2388" s="53"/>
      <c r="D2388" s="23"/>
      <c r="E2388" s="53"/>
      <c r="F2388" s="54"/>
      <c r="G2388" s="54"/>
      <c r="H2388" s="54"/>
      <c r="I2388" s="53"/>
      <c r="J2388" s="53"/>
      <c r="K2388" s="23"/>
      <c r="L2388" s="53"/>
      <c r="M2388" s="54"/>
    </row>
    <row r="2389">
      <c r="A2389" s="23"/>
      <c r="B2389" s="52"/>
      <c r="C2389" s="53"/>
      <c r="D2389" s="23"/>
      <c r="E2389" s="53"/>
      <c r="F2389" s="54"/>
      <c r="G2389" s="23"/>
      <c r="H2389" s="54"/>
      <c r="I2389" s="53"/>
      <c r="J2389" s="53"/>
      <c r="K2389" s="23"/>
      <c r="L2389" s="53"/>
      <c r="M2389" s="54"/>
    </row>
    <row r="2390">
      <c r="A2390" s="23"/>
      <c r="B2390" s="52"/>
      <c r="C2390" s="53"/>
      <c r="D2390" s="23"/>
      <c r="E2390" s="53"/>
      <c r="F2390" s="54"/>
      <c r="G2390" s="54"/>
      <c r="H2390" s="54"/>
      <c r="I2390" s="53"/>
      <c r="J2390" s="53"/>
      <c r="K2390" s="23"/>
      <c r="L2390" s="53"/>
      <c r="M2390" s="54"/>
    </row>
    <row r="2391">
      <c r="A2391" s="23"/>
      <c r="B2391" s="52"/>
      <c r="C2391" s="53"/>
      <c r="D2391" s="23"/>
      <c r="E2391" s="53"/>
      <c r="F2391" s="54"/>
      <c r="G2391" s="54"/>
      <c r="H2391" s="54"/>
      <c r="I2391" s="53"/>
      <c r="J2391" s="53"/>
      <c r="K2391" s="23"/>
      <c r="L2391" s="53"/>
      <c r="M2391" s="54"/>
    </row>
    <row r="2392">
      <c r="A2392" s="23"/>
      <c r="B2392" s="52"/>
      <c r="C2392" s="53"/>
      <c r="D2392" s="23"/>
      <c r="E2392" s="53"/>
      <c r="F2392" s="54"/>
      <c r="G2392" s="54"/>
      <c r="H2392" s="54"/>
      <c r="I2392" s="53"/>
      <c r="J2392" s="53"/>
      <c r="K2392" s="23"/>
      <c r="L2392" s="53"/>
      <c r="M2392" s="54"/>
    </row>
    <row r="2393">
      <c r="A2393" s="23"/>
      <c r="B2393" s="52"/>
      <c r="C2393" s="53"/>
      <c r="D2393" s="23"/>
      <c r="E2393" s="53"/>
      <c r="F2393" s="54"/>
      <c r="G2393" s="54"/>
      <c r="H2393" s="54"/>
      <c r="I2393" s="53"/>
      <c r="J2393" s="53"/>
      <c r="K2393" s="23"/>
      <c r="L2393" s="53"/>
      <c r="M2393" s="54"/>
    </row>
    <row r="2394">
      <c r="A2394" s="23"/>
      <c r="B2394" s="52"/>
      <c r="C2394" s="53"/>
      <c r="D2394" s="23"/>
      <c r="E2394" s="53"/>
      <c r="F2394" s="54"/>
      <c r="G2394" s="23"/>
      <c r="H2394" s="54"/>
      <c r="I2394" s="53"/>
      <c r="J2394" s="53"/>
      <c r="K2394" s="23"/>
      <c r="L2394" s="53"/>
      <c r="M2394" s="54"/>
    </row>
    <row r="2395">
      <c r="A2395" s="23"/>
      <c r="B2395" s="52"/>
      <c r="C2395" s="53"/>
      <c r="D2395" s="23"/>
      <c r="E2395" s="53"/>
      <c r="F2395" s="54"/>
      <c r="G2395" s="54"/>
      <c r="H2395" s="54"/>
      <c r="I2395" s="53"/>
      <c r="J2395" s="53"/>
      <c r="K2395" s="23"/>
      <c r="L2395" s="53"/>
      <c r="M2395" s="54"/>
    </row>
    <row r="2396">
      <c r="A2396" s="23"/>
      <c r="B2396" s="52"/>
      <c r="C2396" s="53"/>
      <c r="D2396" s="23"/>
      <c r="E2396" s="53"/>
      <c r="F2396" s="54"/>
      <c r="G2396" s="54"/>
      <c r="H2396" s="54"/>
      <c r="I2396" s="53"/>
      <c r="J2396" s="53"/>
      <c r="K2396" s="23"/>
      <c r="L2396" s="53"/>
      <c r="M2396" s="54"/>
    </row>
    <row r="2397">
      <c r="A2397" s="23"/>
      <c r="B2397" s="52"/>
      <c r="C2397" s="53"/>
      <c r="D2397" s="23"/>
      <c r="E2397" s="53"/>
      <c r="F2397" s="54"/>
      <c r="G2397" s="54"/>
      <c r="H2397" s="54"/>
      <c r="I2397" s="53"/>
      <c r="J2397" s="53"/>
      <c r="K2397" s="23"/>
      <c r="L2397" s="53"/>
      <c r="M2397" s="54"/>
    </row>
    <row r="2398">
      <c r="A2398" s="23"/>
      <c r="B2398" s="52"/>
      <c r="C2398" s="53"/>
      <c r="D2398" s="23"/>
      <c r="E2398" s="53"/>
      <c r="F2398" s="54"/>
      <c r="G2398" s="54"/>
      <c r="H2398" s="54"/>
      <c r="I2398" s="53"/>
      <c r="J2398" s="53"/>
      <c r="K2398" s="23"/>
      <c r="L2398" s="53"/>
      <c r="M2398" s="54"/>
    </row>
    <row r="2399">
      <c r="A2399" s="23"/>
      <c r="B2399" s="52"/>
      <c r="C2399" s="53"/>
      <c r="D2399" s="23"/>
      <c r="E2399" s="53"/>
      <c r="F2399" s="54"/>
      <c r="G2399" s="23"/>
      <c r="H2399" s="54"/>
      <c r="I2399" s="53"/>
      <c r="J2399" s="53"/>
      <c r="K2399" s="23"/>
      <c r="L2399" s="53"/>
      <c r="M2399" s="54"/>
    </row>
    <row r="2400">
      <c r="A2400" s="23"/>
      <c r="B2400" s="52"/>
      <c r="C2400" s="53"/>
      <c r="D2400" s="23"/>
      <c r="E2400" s="53"/>
      <c r="F2400" s="54"/>
      <c r="G2400" s="54"/>
      <c r="H2400" s="54"/>
      <c r="I2400" s="53"/>
      <c r="J2400" s="53"/>
      <c r="K2400" s="23"/>
      <c r="L2400" s="53"/>
      <c r="M2400" s="54"/>
    </row>
    <row r="2401">
      <c r="A2401" s="23"/>
      <c r="B2401" s="52"/>
      <c r="C2401" s="53"/>
      <c r="D2401" s="23"/>
      <c r="E2401" s="53"/>
      <c r="F2401" s="54"/>
      <c r="G2401" s="54"/>
      <c r="H2401" s="54"/>
      <c r="I2401" s="53"/>
      <c r="J2401" s="53"/>
      <c r="K2401" s="23"/>
      <c r="L2401" s="53"/>
      <c r="M2401" s="54"/>
    </row>
    <row r="2402">
      <c r="A2402" s="23"/>
      <c r="B2402" s="52"/>
      <c r="C2402" s="53"/>
      <c r="D2402" s="23"/>
      <c r="E2402" s="53"/>
      <c r="F2402" s="54"/>
      <c r="G2402" s="54"/>
      <c r="H2402" s="54"/>
      <c r="I2402" s="53"/>
      <c r="J2402" s="53"/>
      <c r="K2402" s="23"/>
      <c r="L2402" s="53"/>
      <c r="M2402" s="54"/>
    </row>
    <row r="2403">
      <c r="A2403" s="23"/>
      <c r="B2403" s="52"/>
      <c r="C2403" s="53"/>
      <c r="D2403" s="23"/>
      <c r="E2403" s="53"/>
      <c r="F2403" s="54"/>
      <c r="G2403" s="54"/>
      <c r="H2403" s="54"/>
      <c r="I2403" s="53"/>
      <c r="J2403" s="53"/>
      <c r="K2403" s="23"/>
      <c r="L2403" s="53"/>
      <c r="M2403" s="54"/>
    </row>
    <row r="2404">
      <c r="A2404" s="23"/>
      <c r="B2404" s="52"/>
      <c r="C2404" s="53"/>
      <c r="D2404" s="23"/>
      <c r="E2404" s="53"/>
      <c r="F2404" s="54"/>
      <c r="G2404" s="54"/>
      <c r="H2404" s="54"/>
      <c r="I2404" s="53"/>
      <c r="J2404" s="53"/>
      <c r="K2404" s="23"/>
      <c r="L2404" s="53"/>
      <c r="M2404" s="54"/>
    </row>
    <row r="2405">
      <c r="A2405" s="23"/>
      <c r="B2405" s="52"/>
      <c r="C2405" s="53"/>
      <c r="D2405" s="23"/>
      <c r="E2405" s="53"/>
      <c r="F2405" s="54"/>
      <c r="G2405" s="54"/>
      <c r="H2405" s="54"/>
      <c r="I2405" s="53"/>
      <c r="J2405" s="53"/>
      <c r="K2405" s="23"/>
      <c r="L2405" s="53"/>
      <c r="M2405" s="54"/>
    </row>
    <row r="2406">
      <c r="A2406" s="23"/>
      <c r="B2406" s="52"/>
      <c r="C2406" s="53"/>
      <c r="D2406" s="23"/>
      <c r="E2406" s="53"/>
      <c r="F2406" s="54"/>
      <c r="G2406" s="54"/>
      <c r="H2406" s="54"/>
      <c r="I2406" s="53"/>
      <c r="J2406" s="53"/>
      <c r="K2406" s="23"/>
      <c r="L2406" s="53"/>
      <c r="M2406" s="54"/>
    </row>
    <row r="2407">
      <c r="A2407" s="23"/>
      <c r="B2407" s="52"/>
      <c r="C2407" s="53"/>
      <c r="D2407" s="23"/>
      <c r="E2407" s="53"/>
      <c r="F2407" s="54"/>
      <c r="G2407" s="54"/>
      <c r="H2407" s="54"/>
      <c r="I2407" s="53"/>
      <c r="J2407" s="53"/>
      <c r="K2407" s="23"/>
      <c r="L2407" s="53"/>
      <c r="M2407" s="54"/>
    </row>
    <row r="2408">
      <c r="A2408" s="23"/>
      <c r="B2408" s="52"/>
      <c r="C2408" s="53"/>
      <c r="D2408" s="23"/>
      <c r="E2408" s="53"/>
      <c r="F2408" s="54"/>
      <c r="G2408" s="54"/>
      <c r="H2408" s="54"/>
      <c r="I2408" s="53"/>
      <c r="J2408" s="53"/>
      <c r="K2408" s="23"/>
      <c r="L2408" s="53"/>
      <c r="M2408" s="54"/>
    </row>
    <row r="2409">
      <c r="A2409" s="23"/>
      <c r="B2409" s="52"/>
      <c r="C2409" s="53"/>
      <c r="D2409" s="23"/>
      <c r="E2409" s="53"/>
      <c r="F2409" s="54"/>
      <c r="G2409" s="54"/>
      <c r="H2409" s="54"/>
      <c r="I2409" s="53"/>
      <c r="J2409" s="53"/>
      <c r="K2409" s="23"/>
      <c r="L2409" s="53"/>
      <c r="M2409" s="54"/>
    </row>
    <row r="2410">
      <c r="A2410" s="23"/>
      <c r="B2410" s="52"/>
      <c r="C2410" s="53"/>
      <c r="D2410" s="23"/>
      <c r="E2410" s="53"/>
      <c r="F2410" s="54"/>
      <c r="G2410" s="54"/>
      <c r="H2410" s="54"/>
      <c r="I2410" s="53"/>
      <c r="J2410" s="53"/>
      <c r="K2410" s="23"/>
      <c r="L2410" s="53"/>
      <c r="M2410" s="54"/>
    </row>
    <row r="2411">
      <c r="A2411" s="23"/>
      <c r="B2411" s="52"/>
      <c r="C2411" s="53"/>
      <c r="D2411" s="23"/>
      <c r="E2411" s="53"/>
      <c r="F2411" s="54"/>
      <c r="G2411" s="54"/>
      <c r="H2411" s="54"/>
      <c r="I2411" s="53"/>
      <c r="J2411" s="53"/>
      <c r="K2411" s="23"/>
      <c r="L2411" s="53"/>
      <c r="M2411" s="54"/>
    </row>
    <row r="2412">
      <c r="A2412" s="23"/>
      <c r="B2412" s="52"/>
      <c r="C2412" s="53"/>
      <c r="D2412" s="23"/>
      <c r="E2412" s="53"/>
      <c r="F2412" s="54"/>
      <c r="G2412" s="54"/>
      <c r="H2412" s="54"/>
      <c r="I2412" s="53"/>
      <c r="J2412" s="53"/>
      <c r="K2412" s="23"/>
      <c r="L2412" s="53"/>
      <c r="M2412" s="54"/>
    </row>
    <row r="2413">
      <c r="A2413" s="23"/>
      <c r="B2413" s="52"/>
      <c r="C2413" s="53"/>
      <c r="D2413" s="23"/>
      <c r="E2413" s="53"/>
      <c r="F2413" s="54"/>
      <c r="G2413" s="54"/>
      <c r="H2413" s="54"/>
      <c r="I2413" s="53"/>
      <c r="J2413" s="53"/>
      <c r="K2413" s="23"/>
      <c r="L2413" s="53"/>
      <c r="M2413" s="54"/>
    </row>
    <row r="2414">
      <c r="A2414" s="23"/>
      <c r="B2414" s="52"/>
      <c r="C2414" s="53"/>
      <c r="D2414" s="23"/>
      <c r="E2414" s="53"/>
      <c r="F2414" s="54"/>
      <c r="G2414" s="54"/>
      <c r="H2414" s="54"/>
      <c r="I2414" s="53"/>
      <c r="J2414" s="53"/>
      <c r="K2414" s="23"/>
      <c r="L2414" s="53"/>
      <c r="M2414" s="54"/>
    </row>
    <row r="2415">
      <c r="A2415" s="23"/>
      <c r="B2415" s="52"/>
      <c r="C2415" s="53"/>
      <c r="D2415" s="23"/>
      <c r="E2415" s="53"/>
      <c r="F2415" s="54"/>
      <c r="G2415" s="54"/>
      <c r="H2415" s="54"/>
      <c r="I2415" s="53"/>
      <c r="J2415" s="53"/>
      <c r="K2415" s="23"/>
      <c r="L2415" s="53"/>
      <c r="M2415" s="54"/>
    </row>
    <row r="2416">
      <c r="A2416" s="23"/>
      <c r="B2416" s="52"/>
      <c r="C2416" s="53"/>
      <c r="D2416" s="23"/>
      <c r="E2416" s="53"/>
      <c r="F2416" s="54"/>
      <c r="G2416" s="54"/>
      <c r="H2416" s="54"/>
      <c r="I2416" s="53"/>
      <c r="J2416" s="53"/>
      <c r="K2416" s="23"/>
      <c r="L2416" s="53"/>
      <c r="M2416" s="54"/>
    </row>
    <row r="2417">
      <c r="A2417" s="23"/>
      <c r="B2417" s="52"/>
      <c r="C2417" s="53"/>
      <c r="D2417" s="23"/>
      <c r="E2417" s="53"/>
      <c r="F2417" s="54"/>
      <c r="G2417" s="54"/>
      <c r="H2417" s="54"/>
      <c r="I2417" s="53"/>
      <c r="J2417" s="53"/>
      <c r="K2417" s="23"/>
      <c r="L2417" s="53"/>
      <c r="M2417" s="54"/>
    </row>
    <row r="2418">
      <c r="A2418" s="23"/>
      <c r="B2418" s="52"/>
      <c r="C2418" s="53"/>
      <c r="D2418" s="23"/>
      <c r="E2418" s="53"/>
      <c r="F2418" s="54"/>
      <c r="G2418" s="54"/>
      <c r="H2418" s="54"/>
      <c r="I2418" s="53"/>
      <c r="J2418" s="53"/>
      <c r="K2418" s="23"/>
      <c r="L2418" s="53"/>
      <c r="M2418" s="54"/>
    </row>
    <row r="2419">
      <c r="A2419" s="23"/>
      <c r="B2419" s="52"/>
      <c r="C2419" s="53"/>
      <c r="D2419" s="23"/>
      <c r="E2419" s="53"/>
      <c r="F2419" s="54"/>
      <c r="G2419" s="54"/>
      <c r="H2419" s="54"/>
      <c r="I2419" s="53"/>
      <c r="J2419" s="53"/>
      <c r="K2419" s="23"/>
      <c r="L2419" s="53"/>
      <c r="M2419" s="54"/>
    </row>
    <row r="2420">
      <c r="A2420" s="23"/>
      <c r="B2420" s="52"/>
      <c r="C2420" s="53"/>
      <c r="D2420" s="23"/>
      <c r="E2420" s="53"/>
      <c r="F2420" s="54"/>
      <c r="G2420" s="54"/>
      <c r="H2420" s="54"/>
      <c r="I2420" s="53"/>
      <c r="J2420" s="53"/>
      <c r="K2420" s="23"/>
      <c r="L2420" s="53"/>
      <c r="M2420" s="54"/>
    </row>
    <row r="2421">
      <c r="A2421" s="23"/>
      <c r="B2421" s="52"/>
      <c r="C2421" s="53"/>
      <c r="D2421" s="23"/>
      <c r="E2421" s="53"/>
      <c r="F2421" s="54"/>
      <c r="G2421" s="54"/>
      <c r="H2421" s="54"/>
      <c r="I2421" s="53"/>
      <c r="J2421" s="53"/>
      <c r="K2421" s="23"/>
      <c r="L2421" s="53"/>
      <c r="M2421" s="54"/>
    </row>
    <row r="2422">
      <c r="A2422" s="23"/>
      <c r="B2422" s="52"/>
      <c r="C2422" s="53"/>
      <c r="D2422" s="23"/>
      <c r="E2422" s="53"/>
      <c r="F2422" s="54"/>
      <c r="G2422" s="54"/>
      <c r="H2422" s="54"/>
      <c r="I2422" s="53"/>
      <c r="J2422" s="53"/>
      <c r="K2422" s="23"/>
      <c r="L2422" s="53"/>
      <c r="M2422" s="54"/>
    </row>
    <row r="2423">
      <c r="A2423" s="23"/>
      <c r="B2423" s="52"/>
      <c r="C2423" s="53"/>
      <c r="D2423" s="23"/>
      <c r="E2423" s="53"/>
      <c r="F2423" s="54"/>
      <c r="G2423" s="54"/>
      <c r="H2423" s="54"/>
      <c r="I2423" s="53"/>
      <c r="J2423" s="53"/>
      <c r="K2423" s="23"/>
      <c r="L2423" s="53"/>
      <c r="M2423" s="54"/>
    </row>
    <row r="2424">
      <c r="A2424" s="23"/>
      <c r="B2424" s="52"/>
      <c r="C2424" s="53"/>
      <c r="D2424" s="23"/>
      <c r="E2424" s="53"/>
      <c r="F2424" s="54"/>
      <c r="G2424" s="54"/>
      <c r="H2424" s="54"/>
      <c r="I2424" s="53"/>
      <c r="J2424" s="53"/>
      <c r="K2424" s="23"/>
      <c r="L2424" s="53"/>
      <c r="M2424" s="54"/>
    </row>
    <row r="2425">
      <c r="A2425" s="23"/>
      <c r="B2425" s="52"/>
      <c r="C2425" s="53"/>
      <c r="D2425" s="23"/>
      <c r="E2425" s="53"/>
      <c r="F2425" s="54"/>
      <c r="G2425" s="54"/>
      <c r="H2425" s="54"/>
      <c r="I2425" s="53"/>
      <c r="J2425" s="53"/>
      <c r="K2425" s="23"/>
      <c r="L2425" s="53"/>
      <c r="M2425" s="54"/>
    </row>
    <row r="2426">
      <c r="A2426" s="23"/>
      <c r="B2426" s="52"/>
      <c r="C2426" s="53"/>
      <c r="D2426" s="23"/>
      <c r="E2426" s="53"/>
      <c r="F2426" s="54"/>
      <c r="G2426" s="54"/>
      <c r="H2426" s="54"/>
      <c r="I2426" s="53"/>
      <c r="J2426" s="53"/>
      <c r="K2426" s="23"/>
      <c r="L2426" s="53"/>
      <c r="M2426" s="54"/>
    </row>
    <row r="2427">
      <c r="A2427" s="23"/>
      <c r="B2427" s="52"/>
      <c r="C2427" s="53"/>
      <c r="D2427" s="23"/>
      <c r="E2427" s="53"/>
      <c r="F2427" s="54"/>
      <c r="G2427" s="54"/>
      <c r="H2427" s="54"/>
      <c r="I2427" s="53"/>
      <c r="J2427" s="53"/>
      <c r="K2427" s="23"/>
      <c r="L2427" s="53"/>
      <c r="M2427" s="54"/>
    </row>
    <row r="2428">
      <c r="A2428" s="23"/>
      <c r="B2428" s="52"/>
      <c r="C2428" s="53"/>
      <c r="D2428" s="23"/>
      <c r="E2428" s="53"/>
      <c r="F2428" s="54"/>
      <c r="G2428" s="54"/>
      <c r="H2428" s="54"/>
      <c r="I2428" s="53"/>
      <c r="J2428" s="53"/>
      <c r="K2428" s="23"/>
      <c r="L2428" s="53"/>
      <c r="M2428" s="54"/>
    </row>
    <row r="2429">
      <c r="A2429" s="23"/>
      <c r="B2429" s="52"/>
      <c r="C2429" s="53"/>
      <c r="D2429" s="23"/>
      <c r="E2429" s="53"/>
      <c r="F2429" s="54"/>
      <c r="G2429" s="54"/>
      <c r="H2429" s="54"/>
      <c r="I2429" s="53"/>
      <c r="J2429" s="53"/>
      <c r="K2429" s="23"/>
      <c r="L2429" s="53"/>
      <c r="M2429" s="54"/>
    </row>
    <row r="2430">
      <c r="A2430" s="23"/>
      <c r="B2430" s="52"/>
      <c r="C2430" s="53"/>
      <c r="D2430" s="23"/>
      <c r="E2430" s="53"/>
      <c r="F2430" s="54"/>
      <c r="G2430" s="54"/>
      <c r="H2430" s="54"/>
      <c r="I2430" s="53"/>
      <c r="J2430" s="53"/>
      <c r="K2430" s="23"/>
      <c r="L2430" s="53"/>
      <c r="M2430" s="54"/>
    </row>
    <row r="2431">
      <c r="A2431" s="23"/>
      <c r="B2431" s="52"/>
      <c r="C2431" s="53"/>
      <c r="D2431" s="23"/>
      <c r="E2431" s="53"/>
      <c r="F2431" s="54"/>
      <c r="G2431" s="54"/>
      <c r="H2431" s="54"/>
      <c r="I2431" s="53"/>
      <c r="J2431" s="53"/>
      <c r="K2431" s="23"/>
      <c r="L2431" s="53"/>
      <c r="M2431" s="54"/>
    </row>
    <row r="2432">
      <c r="A2432" s="23"/>
      <c r="B2432" s="52"/>
      <c r="C2432" s="53"/>
      <c r="D2432" s="23"/>
      <c r="E2432" s="53"/>
      <c r="F2432" s="54"/>
      <c r="G2432" s="54"/>
      <c r="H2432" s="54"/>
      <c r="I2432" s="53"/>
      <c r="J2432" s="53"/>
      <c r="K2432" s="23"/>
      <c r="L2432" s="53"/>
      <c r="M2432" s="54"/>
    </row>
    <row r="2433">
      <c r="A2433" s="23"/>
      <c r="B2433" s="52"/>
      <c r="C2433" s="53"/>
      <c r="D2433" s="23"/>
      <c r="E2433" s="53"/>
      <c r="F2433" s="54"/>
      <c r="G2433" s="54"/>
      <c r="H2433" s="54"/>
      <c r="I2433" s="53"/>
      <c r="J2433" s="53"/>
      <c r="K2433" s="23"/>
      <c r="L2433" s="53"/>
      <c r="M2433" s="54"/>
    </row>
    <row r="2434">
      <c r="A2434" s="23"/>
      <c r="B2434" s="52"/>
      <c r="C2434" s="53"/>
      <c r="D2434" s="23"/>
      <c r="E2434" s="53"/>
      <c r="F2434" s="54"/>
      <c r="G2434" s="54"/>
      <c r="H2434" s="54"/>
      <c r="I2434" s="53"/>
      <c r="J2434" s="53"/>
      <c r="K2434" s="23"/>
      <c r="L2434" s="53"/>
      <c r="M2434" s="54"/>
    </row>
    <row r="2435">
      <c r="A2435" s="23"/>
      <c r="B2435" s="52"/>
      <c r="C2435" s="53"/>
      <c r="D2435" s="23"/>
      <c r="E2435" s="53"/>
      <c r="F2435" s="54"/>
      <c r="G2435" s="54"/>
      <c r="H2435" s="54"/>
      <c r="I2435" s="53"/>
      <c r="J2435" s="53"/>
      <c r="K2435" s="23"/>
      <c r="L2435" s="53"/>
      <c r="M2435" s="54"/>
    </row>
    <row r="2436">
      <c r="A2436" s="23"/>
      <c r="B2436" s="52"/>
      <c r="C2436" s="53"/>
      <c r="D2436" s="23"/>
      <c r="E2436" s="53"/>
      <c r="F2436" s="54"/>
      <c r="G2436" s="54"/>
      <c r="H2436" s="54"/>
      <c r="I2436" s="53"/>
      <c r="J2436" s="53"/>
      <c r="K2436" s="23"/>
      <c r="L2436" s="53"/>
      <c r="M2436" s="54"/>
    </row>
    <row r="2437">
      <c r="A2437" s="23"/>
      <c r="B2437" s="52"/>
      <c r="C2437" s="53"/>
      <c r="D2437" s="23"/>
      <c r="E2437" s="53"/>
      <c r="F2437" s="54"/>
      <c r="G2437" s="54"/>
      <c r="H2437" s="54"/>
      <c r="I2437" s="53"/>
      <c r="J2437" s="53"/>
      <c r="K2437" s="23"/>
      <c r="L2437" s="53"/>
      <c r="M2437" s="54"/>
    </row>
    <row r="2438">
      <c r="A2438" s="23"/>
      <c r="B2438" s="52"/>
      <c r="C2438" s="53"/>
      <c r="D2438" s="23"/>
      <c r="E2438" s="53"/>
      <c r="F2438" s="54"/>
      <c r="G2438" s="54"/>
      <c r="H2438" s="54"/>
      <c r="I2438" s="53"/>
      <c r="J2438" s="53"/>
      <c r="K2438" s="23"/>
      <c r="L2438" s="53"/>
      <c r="M2438" s="54"/>
    </row>
    <row r="2439">
      <c r="A2439" s="23"/>
      <c r="B2439" s="52"/>
      <c r="C2439" s="53"/>
      <c r="D2439" s="23"/>
      <c r="E2439" s="53"/>
      <c r="F2439" s="54"/>
      <c r="G2439" s="54"/>
      <c r="H2439" s="54"/>
      <c r="I2439" s="53"/>
      <c r="J2439" s="53"/>
      <c r="K2439" s="23"/>
      <c r="L2439" s="53"/>
      <c r="M2439" s="54"/>
    </row>
    <row r="2440">
      <c r="A2440" s="23"/>
      <c r="B2440" s="52"/>
      <c r="C2440" s="53"/>
      <c r="D2440" s="23"/>
      <c r="E2440" s="53"/>
      <c r="F2440" s="54"/>
      <c r="G2440" s="54"/>
      <c r="H2440" s="54"/>
      <c r="I2440" s="53"/>
      <c r="J2440" s="53"/>
      <c r="K2440" s="23"/>
      <c r="L2440" s="53"/>
      <c r="M2440" s="54"/>
    </row>
    <row r="2441">
      <c r="A2441" s="23"/>
      <c r="B2441" s="52"/>
      <c r="C2441" s="53"/>
      <c r="D2441" s="23"/>
      <c r="E2441" s="53"/>
      <c r="F2441" s="54"/>
      <c r="G2441" s="54"/>
      <c r="H2441" s="54"/>
      <c r="I2441" s="53"/>
      <c r="J2441" s="53"/>
      <c r="K2441" s="23"/>
      <c r="L2441" s="53"/>
      <c r="M2441" s="54"/>
    </row>
    <row r="2442">
      <c r="A2442" s="23"/>
      <c r="B2442" s="52"/>
      <c r="C2442" s="53"/>
      <c r="D2442" s="23"/>
      <c r="E2442" s="53"/>
      <c r="F2442" s="54"/>
      <c r="G2442" s="23"/>
      <c r="H2442" s="54"/>
      <c r="I2442" s="53"/>
      <c r="J2442" s="53"/>
      <c r="K2442" s="23"/>
      <c r="L2442" s="53"/>
      <c r="M2442" s="54"/>
    </row>
    <row r="2443">
      <c r="A2443" s="23"/>
      <c r="B2443" s="52"/>
      <c r="C2443" s="53"/>
      <c r="D2443" s="23"/>
      <c r="E2443" s="53"/>
      <c r="F2443" s="54"/>
      <c r="G2443" s="54"/>
      <c r="H2443" s="54"/>
      <c r="I2443" s="53"/>
      <c r="J2443" s="53"/>
      <c r="K2443" s="23"/>
      <c r="L2443" s="53"/>
      <c r="M2443" s="54"/>
    </row>
    <row r="2444">
      <c r="A2444" s="23"/>
      <c r="B2444" s="52"/>
      <c r="C2444" s="53"/>
      <c r="D2444" s="23"/>
      <c r="E2444" s="53"/>
      <c r="F2444" s="54"/>
      <c r="G2444" s="54"/>
      <c r="H2444" s="54"/>
      <c r="I2444" s="53"/>
      <c r="J2444" s="53"/>
      <c r="K2444" s="23"/>
      <c r="L2444" s="53"/>
      <c r="M2444" s="54"/>
    </row>
    <row r="2445">
      <c r="A2445" s="23"/>
      <c r="B2445" s="52"/>
      <c r="C2445" s="53"/>
      <c r="D2445" s="23"/>
      <c r="E2445" s="53"/>
      <c r="F2445" s="54"/>
      <c r="G2445" s="54"/>
      <c r="H2445" s="54"/>
      <c r="I2445" s="53"/>
      <c r="J2445" s="53"/>
      <c r="K2445" s="23"/>
      <c r="L2445" s="53"/>
      <c r="M2445" s="54"/>
    </row>
    <row r="2446">
      <c r="A2446" s="23"/>
      <c r="B2446" s="52"/>
      <c r="C2446" s="53"/>
      <c r="D2446" s="23"/>
      <c r="E2446" s="53"/>
      <c r="F2446" s="54"/>
      <c r="G2446" s="54"/>
      <c r="H2446" s="54"/>
      <c r="I2446" s="53"/>
      <c r="J2446" s="53"/>
      <c r="K2446" s="23"/>
      <c r="L2446" s="53"/>
      <c r="M2446" s="54"/>
    </row>
    <row r="2447">
      <c r="A2447" s="23"/>
      <c r="B2447" s="52"/>
      <c r="C2447" s="53"/>
      <c r="D2447" s="23"/>
      <c r="E2447" s="53"/>
      <c r="F2447" s="54"/>
      <c r="G2447" s="54"/>
      <c r="H2447" s="54"/>
      <c r="I2447" s="53"/>
      <c r="J2447" s="53"/>
      <c r="K2447" s="23"/>
      <c r="L2447" s="53"/>
      <c r="M2447" s="54"/>
    </row>
    <row r="2448">
      <c r="A2448" s="23"/>
      <c r="B2448" s="52"/>
      <c r="C2448" s="53"/>
      <c r="D2448" s="23"/>
      <c r="E2448" s="53"/>
      <c r="F2448" s="54"/>
      <c r="G2448" s="54"/>
      <c r="H2448" s="54"/>
      <c r="I2448" s="53"/>
      <c r="J2448" s="53"/>
      <c r="K2448" s="23"/>
      <c r="L2448" s="53"/>
      <c r="M2448" s="54"/>
    </row>
    <row r="2449">
      <c r="A2449" s="23"/>
      <c r="B2449" s="52"/>
      <c r="C2449" s="53"/>
      <c r="D2449" s="23"/>
      <c r="E2449" s="53"/>
      <c r="F2449" s="54"/>
      <c r="G2449" s="54"/>
      <c r="H2449" s="54"/>
      <c r="I2449" s="53"/>
      <c r="J2449" s="53"/>
      <c r="K2449" s="23"/>
      <c r="L2449" s="53"/>
      <c r="M2449" s="54"/>
    </row>
    <row r="2450">
      <c r="A2450" s="23"/>
      <c r="B2450" s="52"/>
      <c r="C2450" s="53"/>
      <c r="D2450" s="23"/>
      <c r="E2450" s="53"/>
      <c r="F2450" s="54"/>
      <c r="G2450" s="54"/>
      <c r="H2450" s="54"/>
      <c r="I2450" s="53"/>
      <c r="J2450" s="53"/>
      <c r="K2450" s="23"/>
      <c r="L2450" s="53"/>
      <c r="M2450" s="54"/>
    </row>
    <row r="2451">
      <c r="A2451" s="23"/>
      <c r="B2451" s="52"/>
      <c r="C2451" s="53"/>
      <c r="D2451" s="23"/>
      <c r="E2451" s="53"/>
      <c r="F2451" s="54"/>
      <c r="G2451" s="54"/>
      <c r="H2451" s="54"/>
      <c r="I2451" s="53"/>
      <c r="J2451" s="53"/>
      <c r="K2451" s="23"/>
      <c r="L2451" s="53"/>
      <c r="M2451" s="54"/>
    </row>
    <row r="2452">
      <c r="A2452" s="23"/>
      <c r="B2452" s="52"/>
      <c r="C2452" s="53"/>
      <c r="D2452" s="23"/>
      <c r="E2452" s="53"/>
      <c r="F2452" s="54"/>
      <c r="G2452" s="54"/>
      <c r="H2452" s="54"/>
      <c r="I2452" s="53"/>
      <c r="J2452" s="53"/>
      <c r="K2452" s="23"/>
      <c r="L2452" s="53"/>
      <c r="M2452" s="54"/>
    </row>
    <row r="2453">
      <c r="A2453" s="23"/>
      <c r="B2453" s="52"/>
      <c r="C2453" s="53"/>
      <c r="D2453" s="23"/>
      <c r="E2453" s="53"/>
      <c r="F2453" s="54"/>
      <c r="G2453" s="54"/>
      <c r="H2453" s="54"/>
      <c r="I2453" s="53"/>
      <c r="J2453" s="53"/>
      <c r="K2453" s="23"/>
      <c r="L2453" s="53"/>
      <c r="M2453" s="54"/>
    </row>
    <row r="2454">
      <c r="A2454" s="23"/>
      <c r="B2454" s="52"/>
      <c r="C2454" s="53"/>
      <c r="D2454" s="23"/>
      <c r="E2454" s="53"/>
      <c r="F2454" s="54"/>
      <c r="G2454" s="54"/>
      <c r="H2454" s="54"/>
      <c r="I2454" s="53"/>
      <c r="J2454" s="53"/>
      <c r="K2454" s="23"/>
      <c r="L2454" s="53"/>
      <c r="M2454" s="54"/>
    </row>
    <row r="2455">
      <c r="A2455" s="23"/>
      <c r="B2455" s="52"/>
      <c r="C2455" s="53"/>
      <c r="D2455" s="23"/>
      <c r="E2455" s="53"/>
      <c r="F2455" s="54"/>
      <c r="G2455" s="54"/>
      <c r="H2455" s="54"/>
      <c r="I2455" s="53"/>
      <c r="J2455" s="53"/>
      <c r="K2455" s="23"/>
      <c r="L2455" s="53"/>
      <c r="M2455" s="54"/>
    </row>
    <row r="2456">
      <c r="A2456" s="23"/>
      <c r="B2456" s="52"/>
      <c r="C2456" s="53"/>
      <c r="D2456" s="23"/>
      <c r="E2456" s="53"/>
      <c r="F2456" s="54"/>
      <c r="G2456" s="54"/>
      <c r="H2456" s="54"/>
      <c r="I2456" s="53"/>
      <c r="J2456" s="53"/>
      <c r="K2456" s="23"/>
      <c r="L2456" s="53"/>
      <c r="M2456" s="54"/>
    </row>
    <row r="2457">
      <c r="A2457" s="23"/>
      <c r="B2457" s="52"/>
      <c r="C2457" s="53"/>
      <c r="D2457" s="23"/>
      <c r="E2457" s="53"/>
      <c r="F2457" s="54"/>
      <c r="G2457" s="54"/>
      <c r="H2457" s="54"/>
      <c r="I2457" s="53"/>
      <c r="J2457" s="53"/>
      <c r="K2457" s="23"/>
      <c r="L2457" s="53"/>
      <c r="M2457" s="54"/>
    </row>
    <row r="2458">
      <c r="A2458" s="23"/>
      <c r="B2458" s="52"/>
      <c r="C2458" s="53"/>
      <c r="D2458" s="23"/>
      <c r="E2458" s="53"/>
      <c r="F2458" s="54"/>
      <c r="G2458" s="54"/>
      <c r="H2458" s="54"/>
      <c r="I2458" s="53"/>
      <c r="J2458" s="53"/>
      <c r="K2458" s="23"/>
      <c r="L2458" s="53"/>
      <c r="M2458" s="54"/>
    </row>
    <row r="2459">
      <c r="A2459" s="23"/>
      <c r="B2459" s="52"/>
      <c r="C2459" s="53"/>
      <c r="D2459" s="23"/>
      <c r="E2459" s="53"/>
      <c r="F2459" s="54"/>
      <c r="G2459" s="54"/>
      <c r="H2459" s="54"/>
      <c r="I2459" s="53"/>
      <c r="J2459" s="53"/>
      <c r="K2459" s="23"/>
      <c r="L2459" s="53"/>
      <c r="M2459" s="54"/>
    </row>
    <row r="2460">
      <c r="A2460" s="23"/>
      <c r="B2460" s="52"/>
      <c r="C2460" s="53"/>
      <c r="D2460" s="23"/>
      <c r="E2460" s="53"/>
      <c r="F2460" s="54"/>
      <c r="G2460" s="54"/>
      <c r="H2460" s="54"/>
      <c r="I2460" s="53"/>
      <c r="J2460" s="53"/>
      <c r="K2460" s="23"/>
      <c r="L2460" s="53"/>
      <c r="M2460" s="54"/>
    </row>
    <row r="2461">
      <c r="A2461" s="23"/>
      <c r="B2461" s="52"/>
      <c r="C2461" s="53"/>
      <c r="D2461" s="23"/>
      <c r="E2461" s="53"/>
      <c r="F2461" s="54"/>
      <c r="G2461" s="54"/>
      <c r="H2461" s="54"/>
      <c r="I2461" s="53"/>
      <c r="J2461" s="53"/>
      <c r="K2461" s="23"/>
      <c r="L2461" s="53"/>
      <c r="M2461" s="54"/>
    </row>
    <row r="2462">
      <c r="A2462" s="23"/>
      <c r="B2462" s="52"/>
      <c r="C2462" s="53"/>
      <c r="D2462" s="23"/>
      <c r="E2462" s="53"/>
      <c r="F2462" s="54"/>
      <c r="G2462" s="23"/>
      <c r="H2462" s="54"/>
      <c r="I2462" s="53"/>
      <c r="J2462" s="53"/>
      <c r="K2462" s="23"/>
      <c r="L2462" s="53"/>
      <c r="M2462" s="54"/>
    </row>
    <row r="2463">
      <c r="A2463" s="23"/>
      <c r="B2463" s="52"/>
      <c r="C2463" s="53"/>
      <c r="D2463" s="23"/>
      <c r="E2463" s="53"/>
      <c r="F2463" s="54"/>
      <c r="G2463" s="54"/>
      <c r="H2463" s="54"/>
      <c r="I2463" s="53"/>
      <c r="J2463" s="53"/>
      <c r="K2463" s="23"/>
      <c r="L2463" s="53"/>
      <c r="M2463" s="54"/>
    </row>
    <row r="2464">
      <c r="A2464" s="23"/>
      <c r="B2464" s="52"/>
      <c r="C2464" s="53"/>
      <c r="D2464" s="23"/>
      <c r="E2464" s="53"/>
      <c r="F2464" s="54"/>
      <c r="G2464" s="54"/>
      <c r="H2464" s="54"/>
      <c r="I2464" s="53"/>
      <c r="J2464" s="53"/>
      <c r="K2464" s="23"/>
      <c r="L2464" s="53"/>
      <c r="M2464" s="54"/>
    </row>
    <row r="2465">
      <c r="A2465" s="23"/>
      <c r="B2465" s="52"/>
      <c r="C2465" s="53"/>
      <c r="D2465" s="23"/>
      <c r="E2465" s="53"/>
      <c r="F2465" s="54"/>
      <c r="G2465" s="54"/>
      <c r="H2465" s="54"/>
      <c r="I2465" s="53"/>
      <c r="J2465" s="53"/>
      <c r="K2465" s="23"/>
      <c r="L2465" s="53"/>
      <c r="M2465" s="54"/>
    </row>
    <row r="2466">
      <c r="A2466" s="23"/>
      <c r="B2466" s="52"/>
      <c r="C2466" s="53"/>
      <c r="D2466" s="23"/>
      <c r="E2466" s="53"/>
      <c r="F2466" s="54"/>
      <c r="G2466" s="54"/>
      <c r="H2466" s="54"/>
      <c r="I2466" s="53"/>
      <c r="J2466" s="53"/>
      <c r="K2466" s="23"/>
      <c r="L2466" s="53"/>
      <c r="M2466" s="54"/>
    </row>
    <row r="2467">
      <c r="A2467" s="23"/>
      <c r="B2467" s="52"/>
      <c r="C2467" s="53"/>
      <c r="D2467" s="23"/>
      <c r="E2467" s="53"/>
      <c r="F2467" s="54"/>
      <c r="G2467" s="54"/>
      <c r="H2467" s="54"/>
      <c r="I2467" s="53"/>
      <c r="J2467" s="53"/>
      <c r="K2467" s="23"/>
      <c r="L2467" s="53"/>
      <c r="M2467" s="54"/>
    </row>
    <row r="2468">
      <c r="A2468" s="23"/>
      <c r="B2468" s="52"/>
      <c r="C2468" s="53"/>
      <c r="D2468" s="23"/>
      <c r="E2468" s="53"/>
      <c r="F2468" s="54"/>
      <c r="G2468" s="54"/>
      <c r="H2468" s="54"/>
      <c r="I2468" s="53"/>
      <c r="J2468" s="53"/>
      <c r="K2468" s="23"/>
      <c r="L2468" s="53"/>
      <c r="M2468" s="54"/>
    </row>
    <row r="2469">
      <c r="A2469" s="23"/>
      <c r="B2469" s="52"/>
      <c r="C2469" s="53"/>
      <c r="D2469" s="23"/>
      <c r="E2469" s="53"/>
      <c r="F2469" s="54"/>
      <c r="G2469" s="54"/>
      <c r="H2469" s="54"/>
      <c r="I2469" s="53"/>
      <c r="J2469" s="53"/>
      <c r="K2469" s="23"/>
      <c r="L2469" s="53"/>
      <c r="M2469" s="54"/>
    </row>
    <row r="2470">
      <c r="A2470" s="23"/>
      <c r="B2470" s="52"/>
      <c r="C2470" s="53"/>
      <c r="D2470" s="23"/>
      <c r="E2470" s="53"/>
      <c r="F2470" s="54"/>
      <c r="G2470" s="54"/>
      <c r="H2470" s="54"/>
      <c r="I2470" s="53"/>
      <c r="J2470" s="53"/>
      <c r="K2470" s="23"/>
      <c r="L2470" s="53"/>
      <c r="M2470" s="54"/>
    </row>
    <row r="2471">
      <c r="A2471" s="23"/>
      <c r="B2471" s="52"/>
      <c r="C2471" s="53"/>
      <c r="D2471" s="23"/>
      <c r="E2471" s="53"/>
      <c r="F2471" s="54"/>
      <c r="G2471" s="54"/>
      <c r="H2471" s="54"/>
      <c r="I2471" s="53"/>
      <c r="J2471" s="53"/>
      <c r="K2471" s="23"/>
      <c r="L2471" s="53"/>
      <c r="M2471" s="54"/>
    </row>
    <row r="2472">
      <c r="A2472" s="23"/>
      <c r="B2472" s="52"/>
      <c r="C2472" s="53"/>
      <c r="D2472" s="23"/>
      <c r="E2472" s="53"/>
      <c r="F2472" s="54"/>
      <c r="G2472" s="54"/>
      <c r="H2472" s="54"/>
      <c r="I2472" s="53"/>
      <c r="J2472" s="53"/>
      <c r="K2472" s="23"/>
      <c r="L2472" s="53"/>
      <c r="M2472" s="54"/>
    </row>
    <row r="2473">
      <c r="A2473" s="23"/>
      <c r="B2473" s="52"/>
      <c r="C2473" s="53"/>
      <c r="D2473" s="23"/>
      <c r="E2473" s="53"/>
      <c r="F2473" s="54"/>
      <c r="G2473" s="54"/>
      <c r="H2473" s="54"/>
      <c r="I2473" s="53"/>
      <c r="J2473" s="53"/>
      <c r="K2473" s="23"/>
      <c r="L2473" s="53"/>
      <c r="M2473" s="54"/>
    </row>
    <row r="2474">
      <c r="A2474" s="23"/>
      <c r="B2474" s="52"/>
      <c r="C2474" s="53"/>
      <c r="D2474" s="23"/>
      <c r="E2474" s="53"/>
      <c r="F2474" s="54"/>
      <c r="G2474" s="54"/>
      <c r="H2474" s="54"/>
      <c r="I2474" s="53"/>
      <c r="J2474" s="53"/>
      <c r="K2474" s="23"/>
      <c r="L2474" s="53"/>
      <c r="M2474" s="54"/>
    </row>
    <row r="2475">
      <c r="A2475" s="23"/>
      <c r="B2475" s="52"/>
      <c r="C2475" s="53"/>
      <c r="D2475" s="23"/>
      <c r="E2475" s="53"/>
      <c r="F2475" s="54"/>
      <c r="G2475" s="54"/>
      <c r="H2475" s="54"/>
      <c r="I2475" s="53"/>
      <c r="J2475" s="53"/>
      <c r="K2475" s="23"/>
      <c r="L2475" s="53"/>
      <c r="M2475" s="54"/>
    </row>
    <row r="2476">
      <c r="A2476" s="23"/>
      <c r="B2476" s="52"/>
      <c r="C2476" s="53"/>
      <c r="D2476" s="23"/>
      <c r="E2476" s="53"/>
      <c r="F2476" s="54"/>
      <c r="G2476" s="54"/>
      <c r="H2476" s="54"/>
      <c r="I2476" s="53"/>
      <c r="J2476" s="53"/>
      <c r="K2476" s="23"/>
      <c r="L2476" s="53"/>
      <c r="M2476" s="54"/>
    </row>
    <row r="2477">
      <c r="A2477" s="23"/>
      <c r="B2477" s="52"/>
      <c r="C2477" s="53"/>
      <c r="D2477" s="23"/>
      <c r="E2477" s="53"/>
      <c r="F2477" s="54"/>
      <c r="G2477" s="54"/>
      <c r="H2477" s="54"/>
      <c r="I2477" s="53"/>
      <c r="J2477" s="53"/>
      <c r="K2477" s="23"/>
      <c r="L2477" s="53"/>
      <c r="M2477" s="54"/>
    </row>
    <row r="2478">
      <c r="A2478" s="23"/>
      <c r="B2478" s="52"/>
      <c r="C2478" s="53"/>
      <c r="D2478" s="23"/>
      <c r="E2478" s="53"/>
      <c r="F2478" s="54"/>
      <c r="G2478" s="54"/>
      <c r="H2478" s="54"/>
      <c r="I2478" s="53"/>
      <c r="J2478" s="53"/>
      <c r="K2478" s="23"/>
      <c r="L2478" s="53"/>
      <c r="M2478" s="54"/>
    </row>
    <row r="2479">
      <c r="A2479" s="23"/>
      <c r="B2479" s="52"/>
      <c r="C2479" s="53"/>
      <c r="D2479" s="23"/>
      <c r="E2479" s="53"/>
      <c r="F2479" s="54"/>
      <c r="G2479" s="23"/>
      <c r="H2479" s="54"/>
      <c r="I2479" s="53"/>
      <c r="J2479" s="53"/>
      <c r="K2479" s="23"/>
      <c r="L2479" s="53"/>
      <c r="M2479" s="54"/>
    </row>
    <row r="2480">
      <c r="A2480" s="23"/>
      <c r="B2480" s="52"/>
      <c r="C2480" s="53"/>
      <c r="D2480" s="23"/>
      <c r="E2480" s="53"/>
      <c r="F2480" s="54"/>
      <c r="G2480" s="54"/>
      <c r="H2480" s="54"/>
      <c r="I2480" s="53"/>
      <c r="J2480" s="53"/>
      <c r="K2480" s="23"/>
      <c r="L2480" s="53"/>
      <c r="M2480" s="54"/>
    </row>
    <row r="2481">
      <c r="A2481" s="23"/>
      <c r="B2481" s="52"/>
      <c r="C2481" s="53"/>
      <c r="D2481" s="23"/>
      <c r="E2481" s="53"/>
      <c r="F2481" s="54"/>
      <c r="G2481" s="54"/>
      <c r="H2481" s="54"/>
      <c r="I2481" s="53"/>
      <c r="J2481" s="53"/>
      <c r="K2481" s="23"/>
      <c r="L2481" s="53"/>
      <c r="M2481" s="54"/>
    </row>
    <row r="2482">
      <c r="A2482" s="23"/>
      <c r="B2482" s="52"/>
      <c r="C2482" s="53"/>
      <c r="D2482" s="23"/>
      <c r="E2482" s="53"/>
      <c r="F2482" s="54"/>
      <c r="G2482" s="23"/>
      <c r="H2482" s="54"/>
      <c r="I2482" s="53"/>
      <c r="J2482" s="53"/>
      <c r="K2482" s="23"/>
      <c r="L2482" s="53"/>
      <c r="M2482" s="54"/>
    </row>
    <row r="2483">
      <c r="A2483" s="23"/>
      <c r="B2483" s="52"/>
      <c r="C2483" s="53"/>
      <c r="D2483" s="23"/>
      <c r="E2483" s="53"/>
      <c r="F2483" s="54"/>
      <c r="G2483" s="23"/>
      <c r="H2483" s="54"/>
      <c r="I2483" s="53"/>
      <c r="J2483" s="53"/>
      <c r="K2483" s="23"/>
      <c r="L2483" s="53"/>
      <c r="M2483" s="54"/>
    </row>
    <row r="2484">
      <c r="A2484" s="23"/>
      <c r="B2484" s="52"/>
      <c r="C2484" s="53"/>
      <c r="D2484" s="23"/>
      <c r="E2484" s="53"/>
      <c r="F2484" s="54"/>
      <c r="G2484" s="54"/>
      <c r="H2484" s="54"/>
      <c r="I2484" s="53"/>
      <c r="J2484" s="53"/>
      <c r="K2484" s="23"/>
      <c r="L2484" s="53"/>
      <c r="M2484" s="54"/>
    </row>
    <row r="2485">
      <c r="A2485" s="23"/>
      <c r="B2485" s="52"/>
      <c r="C2485" s="53"/>
      <c r="D2485" s="23"/>
      <c r="E2485" s="53"/>
      <c r="F2485" s="54"/>
      <c r="G2485" s="54"/>
      <c r="H2485" s="54"/>
      <c r="I2485" s="53"/>
      <c r="J2485" s="53"/>
      <c r="K2485" s="23"/>
      <c r="L2485" s="53"/>
      <c r="M2485" s="54"/>
    </row>
    <row r="2486">
      <c r="A2486" s="23"/>
      <c r="B2486" s="52"/>
      <c r="C2486" s="53"/>
      <c r="D2486" s="23"/>
      <c r="E2486" s="53"/>
      <c r="F2486" s="54"/>
      <c r="G2486" s="54"/>
      <c r="H2486" s="54"/>
      <c r="I2486" s="53"/>
      <c r="J2486" s="53"/>
      <c r="K2486" s="23"/>
      <c r="L2486" s="53"/>
      <c r="M2486" s="54"/>
    </row>
    <row r="2487">
      <c r="A2487" s="23"/>
      <c r="B2487" s="52"/>
      <c r="C2487" s="53"/>
      <c r="D2487" s="23"/>
      <c r="E2487" s="53"/>
      <c r="F2487" s="54"/>
      <c r="G2487" s="54"/>
      <c r="H2487" s="54"/>
      <c r="I2487" s="53"/>
      <c r="J2487" s="53"/>
      <c r="K2487" s="23"/>
      <c r="L2487" s="53"/>
      <c r="M2487" s="54"/>
    </row>
    <row r="2488">
      <c r="A2488" s="23"/>
      <c r="B2488" s="52"/>
      <c r="C2488" s="53"/>
      <c r="D2488" s="23"/>
      <c r="E2488" s="53"/>
      <c r="F2488" s="54"/>
      <c r="G2488" s="54"/>
      <c r="H2488" s="54"/>
      <c r="I2488" s="53"/>
      <c r="J2488" s="53"/>
      <c r="K2488" s="23"/>
      <c r="L2488" s="53"/>
      <c r="M2488" s="54"/>
    </row>
    <row r="2489">
      <c r="A2489" s="23"/>
      <c r="B2489" s="52"/>
      <c r="C2489" s="53"/>
      <c r="D2489" s="23"/>
      <c r="E2489" s="53"/>
      <c r="F2489" s="54"/>
      <c r="G2489" s="54"/>
      <c r="H2489" s="54"/>
      <c r="I2489" s="53"/>
      <c r="J2489" s="53"/>
      <c r="K2489" s="23"/>
      <c r="L2489" s="53"/>
      <c r="M2489" s="54"/>
    </row>
    <row r="2490">
      <c r="A2490" s="23"/>
      <c r="B2490" s="52"/>
      <c r="C2490" s="53"/>
      <c r="D2490" s="23"/>
      <c r="E2490" s="53"/>
      <c r="F2490" s="54"/>
      <c r="G2490" s="23"/>
      <c r="H2490" s="54"/>
      <c r="I2490" s="53"/>
      <c r="J2490" s="53"/>
      <c r="K2490" s="23"/>
      <c r="L2490" s="53"/>
      <c r="M2490" s="54"/>
    </row>
    <row r="2491">
      <c r="A2491" s="23"/>
      <c r="B2491" s="52"/>
      <c r="C2491" s="53"/>
      <c r="D2491" s="23"/>
      <c r="E2491" s="53"/>
      <c r="F2491" s="54"/>
      <c r="G2491" s="54"/>
      <c r="H2491" s="54"/>
      <c r="I2491" s="53"/>
      <c r="J2491" s="53"/>
      <c r="K2491" s="23"/>
      <c r="L2491" s="53"/>
      <c r="M2491" s="54"/>
    </row>
    <row r="2492">
      <c r="A2492" s="23"/>
      <c r="B2492" s="52"/>
      <c r="C2492" s="53"/>
      <c r="D2492" s="23"/>
      <c r="E2492" s="53"/>
      <c r="F2492" s="54"/>
      <c r="G2492" s="54"/>
      <c r="H2492" s="54"/>
      <c r="I2492" s="53"/>
      <c r="J2492" s="53"/>
      <c r="K2492" s="23"/>
      <c r="L2492" s="53"/>
      <c r="M2492" s="54"/>
    </row>
    <row r="2493">
      <c r="A2493" s="23"/>
      <c r="B2493" s="52"/>
      <c r="C2493" s="53"/>
      <c r="D2493" s="23"/>
      <c r="E2493" s="53"/>
      <c r="F2493" s="54"/>
      <c r="G2493" s="54"/>
      <c r="H2493" s="54"/>
      <c r="I2493" s="53"/>
      <c r="J2493" s="53"/>
      <c r="K2493" s="23"/>
      <c r="L2493" s="53"/>
      <c r="M2493" s="54"/>
    </row>
    <row r="2494">
      <c r="A2494" s="23"/>
      <c r="B2494" s="52"/>
      <c r="C2494" s="53"/>
      <c r="D2494" s="23"/>
      <c r="E2494" s="53"/>
      <c r="F2494" s="54"/>
      <c r="G2494" s="23"/>
      <c r="H2494" s="54"/>
      <c r="I2494" s="53"/>
      <c r="J2494" s="53"/>
      <c r="K2494" s="23"/>
      <c r="L2494" s="53"/>
      <c r="M2494" s="54"/>
    </row>
    <row r="2495">
      <c r="A2495" s="23"/>
      <c r="B2495" s="52"/>
      <c r="C2495" s="53"/>
      <c r="D2495" s="23"/>
      <c r="E2495" s="53"/>
      <c r="F2495" s="54"/>
      <c r="G2495" s="23"/>
      <c r="H2495" s="54"/>
      <c r="I2495" s="53"/>
      <c r="J2495" s="53"/>
      <c r="K2495" s="23"/>
      <c r="L2495" s="53"/>
      <c r="M2495" s="54"/>
    </row>
    <row r="2496">
      <c r="A2496" s="23"/>
      <c r="B2496" s="52"/>
      <c r="C2496" s="53"/>
      <c r="D2496" s="23"/>
      <c r="E2496" s="53"/>
      <c r="F2496" s="54"/>
      <c r="G2496" s="54"/>
      <c r="H2496" s="54"/>
      <c r="I2496" s="53"/>
      <c r="J2496" s="53"/>
      <c r="K2496" s="23"/>
      <c r="L2496" s="53"/>
      <c r="M2496" s="54"/>
    </row>
    <row r="2497">
      <c r="A2497" s="23"/>
      <c r="B2497" s="52"/>
      <c r="C2497" s="53"/>
      <c r="D2497" s="23"/>
      <c r="E2497" s="53"/>
      <c r="F2497" s="54"/>
      <c r="G2497" s="54"/>
      <c r="H2497" s="54"/>
      <c r="I2497" s="53"/>
      <c r="J2497" s="53"/>
      <c r="K2497" s="23"/>
      <c r="L2497" s="53"/>
      <c r="M2497" s="54"/>
    </row>
    <row r="2498">
      <c r="A2498" s="23"/>
      <c r="B2498" s="52"/>
      <c r="C2498" s="53"/>
      <c r="D2498" s="23"/>
      <c r="E2498" s="53"/>
      <c r="F2498" s="54"/>
      <c r="G2498" s="54"/>
      <c r="H2498" s="54"/>
      <c r="I2498" s="53"/>
      <c r="J2498" s="53"/>
      <c r="K2498" s="23"/>
      <c r="L2498" s="53"/>
      <c r="M2498" s="54"/>
    </row>
    <row r="2499">
      <c r="A2499" s="23"/>
      <c r="B2499" s="52"/>
      <c r="C2499" s="53"/>
      <c r="D2499" s="23"/>
      <c r="E2499" s="53"/>
      <c r="F2499" s="54"/>
      <c r="G2499" s="23"/>
      <c r="H2499" s="54"/>
      <c r="I2499" s="53"/>
      <c r="J2499" s="53"/>
      <c r="K2499" s="23"/>
      <c r="L2499" s="53"/>
      <c r="M2499" s="54"/>
    </row>
    <row r="2500">
      <c r="A2500" s="23"/>
      <c r="B2500" s="52"/>
      <c r="C2500" s="53"/>
      <c r="D2500" s="23"/>
      <c r="E2500" s="53"/>
      <c r="F2500" s="54"/>
      <c r="G2500" s="54"/>
      <c r="H2500" s="54"/>
      <c r="I2500" s="53"/>
      <c r="J2500" s="53"/>
      <c r="K2500" s="23"/>
      <c r="L2500" s="53"/>
      <c r="M2500" s="54"/>
    </row>
    <row r="2501">
      <c r="A2501" s="23"/>
      <c r="B2501" s="52"/>
      <c r="C2501" s="53"/>
      <c r="D2501" s="23"/>
      <c r="E2501" s="53"/>
      <c r="F2501" s="54"/>
      <c r="G2501" s="54"/>
      <c r="H2501" s="54"/>
      <c r="I2501" s="53"/>
      <c r="J2501" s="53"/>
      <c r="K2501" s="23"/>
      <c r="L2501" s="53"/>
      <c r="M2501" s="54"/>
    </row>
    <row r="2502">
      <c r="A2502" s="23"/>
      <c r="B2502" s="52"/>
      <c r="C2502" s="53"/>
      <c r="D2502" s="23"/>
      <c r="E2502" s="53"/>
      <c r="F2502" s="54"/>
      <c r="G2502" s="23"/>
      <c r="H2502" s="54"/>
      <c r="I2502" s="53"/>
      <c r="J2502" s="53"/>
      <c r="K2502" s="23"/>
      <c r="L2502" s="53"/>
      <c r="M2502" s="54"/>
    </row>
    <row r="2503">
      <c r="A2503" s="23"/>
      <c r="B2503" s="52"/>
      <c r="C2503" s="53"/>
      <c r="D2503" s="23"/>
      <c r="E2503" s="53"/>
      <c r="F2503" s="54"/>
      <c r="G2503" s="54"/>
      <c r="H2503" s="54"/>
      <c r="I2503" s="53"/>
      <c r="J2503" s="53"/>
      <c r="K2503" s="23"/>
      <c r="L2503" s="53"/>
      <c r="M2503" s="54"/>
    </row>
    <row r="2504">
      <c r="A2504" s="23"/>
      <c r="B2504" s="52"/>
      <c r="C2504" s="53"/>
      <c r="D2504" s="23"/>
      <c r="E2504" s="53"/>
      <c r="F2504" s="54"/>
      <c r="G2504" s="23"/>
      <c r="H2504" s="54"/>
      <c r="I2504" s="53"/>
      <c r="J2504" s="53"/>
      <c r="K2504" s="23"/>
      <c r="L2504" s="53"/>
      <c r="M2504" s="54"/>
    </row>
    <row r="2505">
      <c r="A2505" s="23"/>
      <c r="B2505" s="52"/>
      <c r="C2505" s="53"/>
      <c r="D2505" s="23"/>
      <c r="E2505" s="53"/>
      <c r="F2505" s="54"/>
      <c r="G2505" s="23"/>
      <c r="H2505" s="54"/>
      <c r="I2505" s="53"/>
      <c r="J2505" s="53"/>
      <c r="K2505" s="23"/>
      <c r="L2505" s="53"/>
      <c r="M2505" s="54"/>
    </row>
    <row r="2506">
      <c r="A2506" s="23"/>
      <c r="B2506" s="52"/>
      <c r="C2506" s="53"/>
      <c r="D2506" s="23"/>
      <c r="E2506" s="53"/>
      <c r="F2506" s="54"/>
      <c r="G2506" s="54"/>
      <c r="H2506" s="54"/>
      <c r="I2506" s="53"/>
      <c r="J2506" s="53"/>
      <c r="K2506" s="23"/>
      <c r="L2506" s="53"/>
      <c r="M2506" s="54"/>
    </row>
    <row r="2507">
      <c r="A2507" s="23"/>
      <c r="B2507" s="52"/>
      <c r="C2507" s="53"/>
      <c r="D2507" s="23"/>
      <c r="E2507" s="53"/>
      <c r="F2507" s="54"/>
      <c r="G2507" s="23"/>
      <c r="H2507" s="54"/>
      <c r="I2507" s="53"/>
      <c r="J2507" s="53"/>
      <c r="K2507" s="23"/>
      <c r="L2507" s="53"/>
      <c r="M2507" s="54"/>
    </row>
    <row r="2508">
      <c r="A2508" s="23"/>
      <c r="B2508" s="52"/>
      <c r="C2508" s="53"/>
      <c r="D2508" s="23"/>
      <c r="E2508" s="53"/>
      <c r="F2508" s="54"/>
      <c r="G2508" s="23"/>
      <c r="H2508" s="54"/>
      <c r="I2508" s="53"/>
      <c r="J2508" s="53"/>
      <c r="K2508" s="23"/>
      <c r="L2508" s="53"/>
      <c r="M2508" s="54"/>
    </row>
    <row r="2509">
      <c r="A2509" s="23"/>
      <c r="B2509" s="52"/>
      <c r="C2509" s="53"/>
      <c r="D2509" s="23"/>
      <c r="E2509" s="53"/>
      <c r="F2509" s="54"/>
      <c r="G2509" s="54"/>
      <c r="H2509" s="54"/>
      <c r="I2509" s="53"/>
      <c r="J2509" s="53"/>
      <c r="K2509" s="23"/>
      <c r="L2509" s="53"/>
      <c r="M2509" s="54"/>
    </row>
    <row r="2510">
      <c r="A2510" s="23"/>
      <c r="B2510" s="52"/>
      <c r="C2510" s="53"/>
      <c r="D2510" s="23"/>
      <c r="E2510" s="53"/>
      <c r="F2510" s="54"/>
      <c r="G2510" s="23"/>
      <c r="H2510" s="54"/>
      <c r="I2510" s="53"/>
      <c r="J2510" s="53"/>
      <c r="K2510" s="23"/>
      <c r="L2510" s="53"/>
      <c r="M2510" s="54"/>
    </row>
    <row r="2511">
      <c r="A2511" s="23"/>
      <c r="B2511" s="52"/>
      <c r="C2511" s="53"/>
      <c r="D2511" s="23"/>
      <c r="E2511" s="53"/>
      <c r="F2511" s="54"/>
      <c r="G2511" s="54"/>
      <c r="H2511" s="54"/>
      <c r="I2511" s="53"/>
      <c r="J2511" s="53"/>
      <c r="K2511" s="23"/>
      <c r="L2511" s="53"/>
      <c r="M2511" s="54"/>
    </row>
    <row r="2512">
      <c r="A2512" s="23"/>
      <c r="B2512" s="52"/>
      <c r="C2512" s="53"/>
      <c r="D2512" s="23"/>
      <c r="E2512" s="53"/>
      <c r="F2512" s="54"/>
      <c r="G2512" s="54"/>
      <c r="H2512" s="54"/>
      <c r="I2512" s="53"/>
      <c r="J2512" s="53"/>
      <c r="K2512" s="23"/>
      <c r="L2512" s="53"/>
      <c r="M2512" s="54"/>
    </row>
    <row r="2513">
      <c r="A2513" s="23"/>
      <c r="B2513" s="52"/>
      <c r="C2513" s="53"/>
      <c r="D2513" s="23"/>
      <c r="E2513" s="53"/>
      <c r="F2513" s="54"/>
      <c r="G2513" s="54"/>
      <c r="H2513" s="54"/>
      <c r="I2513" s="53"/>
      <c r="J2513" s="53"/>
      <c r="K2513" s="23"/>
      <c r="L2513" s="53"/>
      <c r="M2513" s="54"/>
    </row>
    <row r="2514">
      <c r="A2514" s="23"/>
      <c r="B2514" s="52"/>
      <c r="C2514" s="53"/>
      <c r="D2514" s="23"/>
      <c r="E2514" s="53"/>
      <c r="F2514" s="54"/>
      <c r="G2514" s="23"/>
      <c r="H2514" s="54"/>
      <c r="I2514" s="53"/>
      <c r="J2514" s="53"/>
      <c r="K2514" s="23"/>
      <c r="L2514" s="53"/>
      <c r="M2514" s="54"/>
    </row>
    <row r="2515">
      <c r="A2515" s="23"/>
      <c r="B2515" s="52"/>
      <c r="C2515" s="53"/>
      <c r="D2515" s="23"/>
      <c r="E2515" s="53"/>
      <c r="F2515" s="54"/>
      <c r="G2515" s="54"/>
      <c r="H2515" s="54"/>
      <c r="I2515" s="53"/>
      <c r="J2515" s="53"/>
      <c r="K2515" s="23"/>
      <c r="L2515" s="53"/>
      <c r="M2515" s="54"/>
    </row>
    <row r="2516">
      <c r="A2516" s="23"/>
      <c r="B2516" s="52"/>
      <c r="C2516" s="53"/>
      <c r="D2516" s="23"/>
      <c r="E2516" s="53"/>
      <c r="F2516" s="54"/>
      <c r="G2516" s="54"/>
      <c r="H2516" s="54"/>
      <c r="I2516" s="53"/>
      <c r="J2516" s="53"/>
      <c r="K2516" s="23"/>
      <c r="L2516" s="53"/>
      <c r="M2516" s="54"/>
    </row>
    <row r="2517">
      <c r="A2517" s="23"/>
      <c r="B2517" s="52"/>
      <c r="C2517" s="53"/>
      <c r="D2517" s="23"/>
      <c r="E2517" s="53"/>
      <c r="F2517" s="54"/>
      <c r="G2517" s="54"/>
      <c r="H2517" s="54"/>
      <c r="I2517" s="53"/>
      <c r="J2517" s="53"/>
      <c r="K2517" s="23"/>
      <c r="L2517" s="53"/>
      <c r="M2517" s="54"/>
    </row>
    <row r="2518">
      <c r="A2518" s="23"/>
      <c r="B2518" s="52"/>
      <c r="C2518" s="53"/>
      <c r="D2518" s="23"/>
      <c r="E2518" s="53"/>
      <c r="F2518" s="54"/>
      <c r="G2518" s="54"/>
      <c r="H2518" s="54"/>
      <c r="I2518" s="53"/>
      <c r="J2518" s="53"/>
      <c r="K2518" s="23"/>
      <c r="L2518" s="53"/>
      <c r="M2518" s="54"/>
    </row>
    <row r="2519">
      <c r="A2519" s="23"/>
      <c r="B2519" s="52"/>
      <c r="C2519" s="53"/>
      <c r="D2519" s="23"/>
      <c r="E2519" s="53"/>
      <c r="F2519" s="54"/>
      <c r="G2519" s="54"/>
      <c r="H2519" s="54"/>
      <c r="I2519" s="53"/>
      <c r="J2519" s="53"/>
      <c r="K2519" s="23"/>
      <c r="L2519" s="53"/>
      <c r="M2519" s="54"/>
    </row>
    <row r="2520">
      <c r="A2520" s="23"/>
      <c r="B2520" s="52"/>
      <c r="C2520" s="53"/>
      <c r="D2520" s="23"/>
      <c r="E2520" s="53"/>
      <c r="F2520" s="54"/>
      <c r="G2520" s="23"/>
      <c r="H2520" s="54"/>
      <c r="I2520" s="53"/>
      <c r="J2520" s="53"/>
      <c r="K2520" s="23"/>
      <c r="L2520" s="53"/>
      <c r="M2520" s="54"/>
    </row>
    <row r="2521">
      <c r="A2521" s="23"/>
      <c r="B2521" s="52"/>
      <c r="C2521" s="53"/>
      <c r="D2521" s="23"/>
      <c r="E2521" s="53"/>
      <c r="F2521" s="54"/>
      <c r="G2521" s="54"/>
      <c r="H2521" s="54"/>
      <c r="I2521" s="53"/>
      <c r="J2521" s="53"/>
      <c r="K2521" s="23"/>
      <c r="L2521" s="53"/>
      <c r="M2521" s="54"/>
    </row>
    <row r="2522">
      <c r="A2522" s="23"/>
      <c r="B2522" s="52"/>
      <c r="C2522" s="53"/>
      <c r="D2522" s="23"/>
      <c r="E2522" s="53"/>
      <c r="F2522" s="54"/>
      <c r="G2522" s="54"/>
      <c r="H2522" s="54"/>
      <c r="I2522" s="53"/>
      <c r="J2522" s="53"/>
      <c r="K2522" s="23"/>
      <c r="L2522" s="53"/>
      <c r="M2522" s="54"/>
    </row>
    <row r="2523">
      <c r="A2523" s="23"/>
      <c r="B2523" s="52"/>
      <c r="C2523" s="53"/>
      <c r="D2523" s="23"/>
      <c r="E2523" s="53"/>
      <c r="F2523" s="54"/>
      <c r="G2523" s="54"/>
      <c r="H2523" s="54"/>
      <c r="I2523" s="53"/>
      <c r="J2523" s="53"/>
      <c r="K2523" s="23"/>
      <c r="L2523" s="53"/>
      <c r="M2523" s="54"/>
    </row>
    <row r="2524">
      <c r="A2524" s="23"/>
      <c r="B2524" s="52"/>
      <c r="C2524" s="53"/>
      <c r="D2524" s="23"/>
      <c r="E2524" s="53"/>
      <c r="F2524" s="54"/>
      <c r="G2524" s="23"/>
      <c r="H2524" s="54"/>
      <c r="I2524" s="53"/>
      <c r="J2524" s="53"/>
      <c r="K2524" s="23"/>
      <c r="L2524" s="53"/>
      <c r="M2524" s="54"/>
    </row>
    <row r="2525">
      <c r="A2525" s="23"/>
      <c r="B2525" s="52"/>
      <c r="C2525" s="53"/>
      <c r="D2525" s="23"/>
      <c r="E2525" s="53"/>
      <c r="F2525" s="54"/>
      <c r="G2525" s="54"/>
      <c r="H2525" s="54"/>
      <c r="I2525" s="53"/>
      <c r="J2525" s="53"/>
      <c r="K2525" s="23"/>
      <c r="L2525" s="53"/>
      <c r="M2525" s="54"/>
    </row>
    <row r="2526">
      <c r="A2526" s="23"/>
      <c r="B2526" s="52"/>
      <c r="C2526" s="53"/>
      <c r="D2526" s="23"/>
      <c r="E2526" s="53"/>
      <c r="F2526" s="54"/>
      <c r="G2526" s="23"/>
      <c r="H2526" s="54"/>
      <c r="I2526" s="53"/>
      <c r="J2526" s="53"/>
      <c r="K2526" s="23"/>
      <c r="L2526" s="53"/>
      <c r="M2526" s="54"/>
    </row>
    <row r="2527">
      <c r="A2527" s="23"/>
      <c r="B2527" s="52"/>
      <c r="C2527" s="53"/>
      <c r="D2527" s="23"/>
      <c r="E2527" s="53"/>
      <c r="F2527" s="54"/>
      <c r="G2527" s="54"/>
      <c r="H2527" s="54"/>
      <c r="I2527" s="53"/>
      <c r="J2527" s="53"/>
      <c r="K2527" s="23"/>
      <c r="L2527" s="53"/>
      <c r="M2527" s="54"/>
    </row>
    <row r="2528">
      <c r="A2528" s="23"/>
      <c r="B2528" s="52"/>
      <c r="C2528" s="53"/>
      <c r="D2528" s="23"/>
      <c r="E2528" s="53"/>
      <c r="F2528" s="54"/>
      <c r="G2528" s="54"/>
      <c r="H2528" s="54"/>
      <c r="I2528" s="53"/>
      <c r="J2528" s="53"/>
      <c r="K2528" s="23"/>
      <c r="L2528" s="53"/>
      <c r="M2528" s="54"/>
    </row>
    <row r="2529">
      <c r="A2529" s="23"/>
      <c r="B2529" s="52"/>
      <c r="C2529" s="53"/>
      <c r="D2529" s="23"/>
      <c r="E2529" s="53"/>
      <c r="F2529" s="54"/>
      <c r="G2529" s="54"/>
      <c r="H2529" s="54"/>
      <c r="I2529" s="53"/>
      <c r="J2529" s="53"/>
      <c r="K2529" s="23"/>
      <c r="L2529" s="53"/>
      <c r="M2529" s="54"/>
    </row>
    <row r="2530">
      <c r="A2530" s="23"/>
      <c r="B2530" s="52"/>
      <c r="C2530" s="53"/>
      <c r="D2530" s="23"/>
      <c r="E2530" s="53"/>
      <c r="F2530" s="54"/>
      <c r="G2530" s="54"/>
      <c r="H2530" s="54"/>
      <c r="I2530" s="53"/>
      <c r="J2530" s="53"/>
      <c r="K2530" s="23"/>
      <c r="L2530" s="53"/>
      <c r="M2530" s="54"/>
    </row>
    <row r="2531">
      <c r="A2531" s="23"/>
      <c r="B2531" s="52"/>
      <c r="C2531" s="53"/>
      <c r="D2531" s="23"/>
      <c r="E2531" s="53"/>
      <c r="F2531" s="54"/>
      <c r="G2531" s="23"/>
      <c r="H2531" s="54"/>
      <c r="I2531" s="53"/>
      <c r="J2531" s="53"/>
      <c r="K2531" s="23"/>
      <c r="L2531" s="53"/>
      <c r="M2531" s="54"/>
    </row>
    <row r="2532">
      <c r="A2532" s="23"/>
      <c r="B2532" s="52"/>
      <c r="C2532" s="53"/>
      <c r="D2532" s="23"/>
      <c r="E2532" s="53"/>
      <c r="F2532" s="54"/>
      <c r="G2532" s="54"/>
      <c r="H2532" s="54"/>
      <c r="I2532" s="53"/>
      <c r="J2532" s="53"/>
      <c r="K2532" s="23"/>
      <c r="L2532" s="53"/>
      <c r="M2532" s="54"/>
    </row>
    <row r="2533">
      <c r="A2533" s="23"/>
      <c r="B2533" s="52"/>
      <c r="C2533" s="53"/>
      <c r="D2533" s="23"/>
      <c r="E2533" s="53"/>
      <c r="F2533" s="54"/>
      <c r="G2533" s="54"/>
      <c r="H2533" s="54"/>
      <c r="I2533" s="53"/>
      <c r="J2533" s="53"/>
      <c r="K2533" s="23"/>
      <c r="L2533" s="53"/>
      <c r="M2533" s="54"/>
    </row>
    <row r="2534">
      <c r="A2534" s="23"/>
      <c r="B2534" s="52"/>
      <c r="C2534" s="53"/>
      <c r="D2534" s="23"/>
      <c r="E2534" s="53"/>
      <c r="F2534" s="54"/>
      <c r="G2534" s="54"/>
      <c r="H2534" s="54"/>
      <c r="I2534" s="53"/>
      <c r="J2534" s="53"/>
      <c r="K2534" s="23"/>
      <c r="L2534" s="53"/>
      <c r="M2534" s="54"/>
    </row>
    <row r="2535">
      <c r="A2535" s="23"/>
      <c r="B2535" s="52"/>
      <c r="C2535" s="53"/>
      <c r="D2535" s="23"/>
      <c r="E2535" s="53"/>
      <c r="F2535" s="54"/>
      <c r="G2535" s="54"/>
      <c r="H2535" s="54"/>
      <c r="I2535" s="53"/>
      <c r="J2535" s="53"/>
      <c r="K2535" s="23"/>
      <c r="L2535" s="53"/>
      <c r="M2535" s="54"/>
    </row>
    <row r="2536">
      <c r="A2536" s="23"/>
      <c r="B2536" s="52"/>
      <c r="C2536" s="53"/>
      <c r="D2536" s="23"/>
      <c r="E2536" s="53"/>
      <c r="F2536" s="54"/>
      <c r="G2536" s="54"/>
      <c r="H2536" s="54"/>
      <c r="I2536" s="53"/>
      <c r="J2536" s="53"/>
      <c r="K2536" s="23"/>
      <c r="L2536" s="53"/>
      <c r="M2536" s="54"/>
    </row>
    <row r="2537">
      <c r="A2537" s="23"/>
      <c r="B2537" s="52"/>
      <c r="C2537" s="53"/>
      <c r="D2537" s="23"/>
      <c r="E2537" s="53"/>
      <c r="F2537" s="54"/>
      <c r="G2537" s="54"/>
      <c r="H2537" s="54"/>
      <c r="I2537" s="53"/>
      <c r="J2537" s="53"/>
      <c r="K2537" s="23"/>
      <c r="L2537" s="53"/>
      <c r="M2537" s="54"/>
    </row>
    <row r="2538">
      <c r="A2538" s="23"/>
      <c r="B2538" s="52"/>
      <c r="C2538" s="53"/>
      <c r="D2538" s="23"/>
      <c r="E2538" s="53"/>
      <c r="F2538" s="54"/>
      <c r="G2538" s="54"/>
      <c r="H2538" s="54"/>
      <c r="I2538" s="53"/>
      <c r="J2538" s="53"/>
      <c r="K2538" s="23"/>
      <c r="L2538" s="53"/>
      <c r="M2538" s="54"/>
    </row>
    <row r="2539">
      <c r="A2539" s="23"/>
      <c r="B2539" s="52"/>
      <c r="C2539" s="53"/>
      <c r="D2539" s="23"/>
      <c r="E2539" s="53"/>
      <c r="F2539" s="54"/>
      <c r="G2539" s="23"/>
      <c r="H2539" s="54"/>
      <c r="I2539" s="53"/>
      <c r="J2539" s="53"/>
      <c r="K2539" s="23"/>
      <c r="L2539" s="53"/>
      <c r="M2539" s="54"/>
    </row>
    <row r="2540">
      <c r="A2540" s="23"/>
      <c r="B2540" s="52"/>
      <c r="C2540" s="53"/>
      <c r="D2540" s="23"/>
      <c r="E2540" s="53"/>
      <c r="F2540" s="54"/>
      <c r="G2540" s="54"/>
      <c r="H2540" s="54"/>
      <c r="I2540" s="53"/>
      <c r="J2540" s="53"/>
      <c r="K2540" s="23"/>
      <c r="L2540" s="53"/>
      <c r="M2540" s="54"/>
    </row>
    <row r="2541">
      <c r="A2541" s="23"/>
      <c r="B2541" s="52"/>
      <c r="C2541" s="53"/>
      <c r="D2541" s="23"/>
      <c r="E2541" s="53"/>
      <c r="F2541" s="54"/>
      <c r="G2541" s="23"/>
      <c r="H2541" s="54"/>
      <c r="I2541" s="53"/>
      <c r="J2541" s="53"/>
      <c r="K2541" s="23"/>
      <c r="L2541" s="53"/>
      <c r="M2541" s="54"/>
    </row>
    <row r="2542">
      <c r="A2542" s="23"/>
      <c r="B2542" s="52"/>
      <c r="C2542" s="53"/>
      <c r="D2542" s="23"/>
      <c r="E2542" s="53"/>
      <c r="F2542" s="54"/>
      <c r="G2542" s="54"/>
      <c r="H2542" s="54"/>
      <c r="I2542" s="53"/>
      <c r="J2542" s="53"/>
      <c r="K2542" s="23"/>
      <c r="L2542" s="53"/>
      <c r="M2542" s="54"/>
    </row>
    <row r="2543">
      <c r="A2543" s="23"/>
      <c r="B2543" s="52"/>
      <c r="C2543" s="53"/>
      <c r="D2543" s="23"/>
      <c r="E2543" s="53"/>
      <c r="F2543" s="54"/>
      <c r="G2543" s="54"/>
      <c r="H2543" s="54"/>
      <c r="I2543" s="53"/>
      <c r="J2543" s="53"/>
      <c r="K2543" s="23"/>
      <c r="L2543" s="53"/>
      <c r="M2543" s="54"/>
    </row>
    <row r="2544">
      <c r="A2544" s="23"/>
      <c r="B2544" s="52"/>
      <c r="C2544" s="53"/>
      <c r="D2544" s="23"/>
      <c r="E2544" s="53"/>
      <c r="F2544" s="54"/>
      <c r="G2544" s="54"/>
      <c r="H2544" s="54"/>
      <c r="I2544" s="53"/>
      <c r="J2544" s="53"/>
      <c r="K2544" s="23"/>
      <c r="L2544" s="53"/>
      <c r="M2544" s="54"/>
    </row>
    <row r="2545">
      <c r="A2545" s="23"/>
      <c r="B2545" s="52"/>
      <c r="C2545" s="53"/>
      <c r="D2545" s="23"/>
      <c r="E2545" s="53"/>
      <c r="F2545" s="54"/>
      <c r="G2545" s="54"/>
      <c r="H2545" s="54"/>
      <c r="I2545" s="53"/>
      <c r="J2545" s="53"/>
      <c r="K2545" s="23"/>
      <c r="L2545" s="53"/>
      <c r="M2545" s="54"/>
    </row>
    <row r="2546">
      <c r="A2546" s="23"/>
      <c r="B2546" s="52"/>
      <c r="C2546" s="53"/>
      <c r="D2546" s="23"/>
      <c r="E2546" s="53"/>
      <c r="F2546" s="54"/>
      <c r="G2546" s="23"/>
      <c r="H2546" s="54"/>
      <c r="I2546" s="53"/>
      <c r="J2546" s="53"/>
      <c r="K2546" s="23"/>
      <c r="L2546" s="53"/>
      <c r="M2546" s="54"/>
    </row>
    <row r="2547">
      <c r="A2547" s="23"/>
      <c r="B2547" s="52"/>
      <c r="C2547" s="53"/>
      <c r="D2547" s="23"/>
      <c r="E2547" s="53"/>
      <c r="F2547" s="54"/>
      <c r="G2547" s="54"/>
      <c r="H2547" s="54"/>
      <c r="I2547" s="53"/>
      <c r="J2547" s="53"/>
      <c r="K2547" s="23"/>
      <c r="L2547" s="53"/>
      <c r="M2547" s="54"/>
    </row>
    <row r="2548">
      <c r="A2548" s="23"/>
      <c r="B2548" s="52"/>
      <c r="C2548" s="53"/>
      <c r="D2548" s="23"/>
      <c r="E2548" s="53"/>
      <c r="F2548" s="54"/>
      <c r="G2548" s="23"/>
      <c r="H2548" s="54"/>
      <c r="I2548" s="53"/>
      <c r="J2548" s="53"/>
      <c r="K2548" s="23"/>
      <c r="L2548" s="53"/>
      <c r="M2548" s="54"/>
    </row>
    <row r="2549">
      <c r="A2549" s="23"/>
      <c r="B2549" s="52"/>
      <c r="C2549" s="53"/>
      <c r="D2549" s="23"/>
      <c r="E2549" s="53"/>
      <c r="F2549" s="54"/>
      <c r="G2549" s="23"/>
      <c r="H2549" s="54"/>
      <c r="I2549" s="53"/>
      <c r="J2549" s="53"/>
      <c r="K2549" s="23"/>
      <c r="L2549" s="53"/>
      <c r="M2549" s="54"/>
    </row>
    <row r="2550">
      <c r="A2550" s="23"/>
      <c r="B2550" s="52"/>
      <c r="C2550" s="53"/>
      <c r="D2550" s="23"/>
      <c r="E2550" s="53"/>
      <c r="F2550" s="54"/>
      <c r="G2550" s="54"/>
      <c r="H2550" s="54"/>
      <c r="I2550" s="53"/>
      <c r="J2550" s="53"/>
      <c r="K2550" s="23"/>
      <c r="L2550" s="53"/>
      <c r="M2550" s="54"/>
    </row>
    <row r="2551">
      <c r="A2551" s="23"/>
      <c r="B2551" s="52"/>
      <c r="C2551" s="53"/>
      <c r="D2551" s="23"/>
      <c r="E2551" s="53"/>
      <c r="F2551" s="54"/>
      <c r="G2551" s="54"/>
      <c r="H2551" s="54"/>
      <c r="I2551" s="53"/>
      <c r="J2551" s="53"/>
      <c r="K2551" s="23"/>
      <c r="L2551" s="53"/>
      <c r="M2551" s="54"/>
    </row>
    <row r="2552">
      <c r="A2552" s="23"/>
      <c r="B2552" s="52"/>
      <c r="C2552" s="53"/>
      <c r="D2552" s="23"/>
      <c r="E2552" s="53"/>
      <c r="F2552" s="54"/>
      <c r="G2552" s="54"/>
      <c r="H2552" s="54"/>
      <c r="I2552" s="53"/>
      <c r="J2552" s="53"/>
      <c r="K2552" s="23"/>
      <c r="L2552" s="53"/>
      <c r="M2552" s="54"/>
    </row>
    <row r="2553">
      <c r="A2553" s="23"/>
      <c r="B2553" s="52"/>
      <c r="C2553" s="53"/>
      <c r="D2553" s="23"/>
      <c r="E2553" s="53"/>
      <c r="F2553" s="54"/>
      <c r="G2553" s="54"/>
      <c r="H2553" s="54"/>
      <c r="I2553" s="53"/>
      <c r="J2553" s="53"/>
      <c r="K2553" s="23"/>
      <c r="L2553" s="53"/>
      <c r="M2553" s="54"/>
    </row>
    <row r="2554">
      <c r="A2554" s="23"/>
      <c r="B2554" s="52"/>
      <c r="C2554" s="53"/>
      <c r="D2554" s="23"/>
      <c r="E2554" s="53"/>
      <c r="F2554" s="54"/>
      <c r="G2554" s="54"/>
      <c r="H2554" s="54"/>
      <c r="I2554" s="53"/>
      <c r="J2554" s="53"/>
      <c r="K2554" s="23"/>
      <c r="L2554" s="53"/>
      <c r="M2554" s="54"/>
    </row>
    <row r="2555">
      <c r="A2555" s="23"/>
      <c r="B2555" s="52"/>
      <c r="C2555" s="53"/>
      <c r="D2555" s="23"/>
      <c r="E2555" s="53"/>
      <c r="F2555" s="54"/>
      <c r="G2555" s="54"/>
      <c r="H2555" s="54"/>
      <c r="I2555" s="53"/>
      <c r="J2555" s="53"/>
      <c r="K2555" s="23"/>
      <c r="L2555" s="53"/>
      <c r="M2555" s="54"/>
    </row>
    <row r="2556">
      <c r="A2556" s="23"/>
      <c r="B2556" s="52"/>
      <c r="C2556" s="53"/>
      <c r="D2556" s="23"/>
      <c r="E2556" s="53"/>
      <c r="F2556" s="54"/>
      <c r="G2556" s="54"/>
      <c r="H2556" s="54"/>
      <c r="I2556" s="53"/>
      <c r="J2556" s="53"/>
      <c r="K2556" s="23"/>
      <c r="L2556" s="53"/>
      <c r="M2556" s="54"/>
    </row>
    <row r="2557">
      <c r="A2557" s="23"/>
      <c r="B2557" s="52"/>
      <c r="C2557" s="53"/>
      <c r="D2557" s="23"/>
      <c r="E2557" s="53"/>
      <c r="F2557" s="54"/>
      <c r="G2557" s="54"/>
      <c r="H2557" s="54"/>
      <c r="I2557" s="53"/>
      <c r="J2557" s="53"/>
      <c r="K2557" s="23"/>
      <c r="L2557" s="53"/>
      <c r="M2557" s="54"/>
    </row>
    <row r="2558">
      <c r="A2558" s="23"/>
      <c r="B2558" s="52"/>
      <c r="C2558" s="53"/>
      <c r="D2558" s="23"/>
      <c r="E2558" s="53"/>
      <c r="F2558" s="54"/>
      <c r="G2558" s="23"/>
      <c r="H2558" s="54"/>
      <c r="I2558" s="53"/>
      <c r="J2558" s="53"/>
      <c r="K2558" s="23"/>
      <c r="L2558" s="53"/>
      <c r="M2558" s="54"/>
    </row>
    <row r="2559">
      <c r="A2559" s="23"/>
      <c r="B2559" s="52"/>
      <c r="C2559" s="53"/>
      <c r="D2559" s="23"/>
      <c r="E2559" s="53"/>
      <c r="F2559" s="54"/>
      <c r="G2559" s="23"/>
      <c r="H2559" s="54"/>
      <c r="I2559" s="53"/>
      <c r="J2559" s="53"/>
      <c r="K2559" s="23"/>
      <c r="L2559" s="53"/>
      <c r="M2559" s="54"/>
    </row>
    <row r="2560">
      <c r="A2560" s="23"/>
      <c r="B2560" s="52"/>
      <c r="C2560" s="53"/>
      <c r="D2560" s="23"/>
      <c r="E2560" s="53"/>
      <c r="F2560" s="54"/>
      <c r="G2560" s="23"/>
      <c r="H2560" s="54"/>
      <c r="I2560" s="53"/>
      <c r="J2560" s="53"/>
      <c r="K2560" s="23"/>
      <c r="L2560" s="53"/>
      <c r="M2560" s="54"/>
    </row>
    <row r="2561">
      <c r="A2561" s="23"/>
      <c r="B2561" s="52"/>
      <c r="C2561" s="53"/>
      <c r="D2561" s="23"/>
      <c r="E2561" s="53"/>
      <c r="F2561" s="54"/>
      <c r="G2561" s="54"/>
      <c r="H2561" s="54"/>
      <c r="I2561" s="53"/>
      <c r="J2561" s="53"/>
      <c r="K2561" s="23"/>
      <c r="L2561" s="53"/>
      <c r="M2561" s="54"/>
    </row>
    <row r="2562">
      <c r="A2562" s="23"/>
      <c r="B2562" s="52"/>
      <c r="C2562" s="53"/>
      <c r="D2562" s="23"/>
      <c r="E2562" s="53"/>
      <c r="F2562" s="54"/>
      <c r="G2562" s="54"/>
      <c r="H2562" s="54"/>
      <c r="I2562" s="53"/>
      <c r="J2562" s="53"/>
      <c r="K2562" s="23"/>
      <c r="L2562" s="53"/>
      <c r="M2562" s="54"/>
    </row>
    <row r="2563">
      <c r="A2563" s="23"/>
      <c r="B2563" s="52"/>
      <c r="C2563" s="53"/>
      <c r="D2563" s="23"/>
      <c r="E2563" s="53"/>
      <c r="F2563" s="54"/>
      <c r="G2563" s="54"/>
      <c r="H2563" s="54"/>
      <c r="I2563" s="53"/>
      <c r="J2563" s="53"/>
      <c r="K2563" s="23"/>
      <c r="L2563" s="53"/>
      <c r="M2563" s="54"/>
    </row>
    <row r="2564">
      <c r="A2564" s="23"/>
      <c r="B2564" s="52"/>
      <c r="C2564" s="53"/>
      <c r="D2564" s="23"/>
      <c r="E2564" s="53"/>
      <c r="F2564" s="54"/>
      <c r="G2564" s="23"/>
      <c r="H2564" s="54"/>
      <c r="I2564" s="53"/>
      <c r="J2564" s="53"/>
      <c r="K2564" s="23"/>
      <c r="L2564" s="53"/>
      <c r="M2564" s="54"/>
    </row>
    <row r="2565">
      <c r="A2565" s="23"/>
      <c r="B2565" s="52"/>
      <c r="C2565" s="53"/>
      <c r="D2565" s="23"/>
      <c r="E2565" s="53"/>
      <c r="F2565" s="54"/>
      <c r="G2565" s="54"/>
      <c r="H2565" s="54"/>
      <c r="I2565" s="53"/>
      <c r="J2565" s="53"/>
      <c r="K2565" s="23"/>
      <c r="L2565" s="53"/>
      <c r="M2565" s="54"/>
    </row>
    <row r="2566">
      <c r="A2566" s="23"/>
      <c r="B2566" s="52"/>
      <c r="C2566" s="53"/>
      <c r="D2566" s="23"/>
      <c r="E2566" s="53"/>
      <c r="F2566" s="54"/>
      <c r="G2566" s="54"/>
      <c r="H2566" s="54"/>
      <c r="I2566" s="53"/>
      <c r="J2566" s="53"/>
      <c r="K2566" s="23"/>
      <c r="L2566" s="53"/>
      <c r="M2566" s="54"/>
    </row>
    <row r="2567">
      <c r="A2567" s="23"/>
      <c r="B2567" s="52"/>
      <c r="C2567" s="53"/>
      <c r="D2567" s="23"/>
      <c r="E2567" s="53"/>
      <c r="F2567" s="54"/>
      <c r="G2567" s="54"/>
      <c r="H2567" s="54"/>
      <c r="I2567" s="53"/>
      <c r="J2567" s="53"/>
      <c r="K2567" s="23"/>
      <c r="L2567" s="53"/>
      <c r="M2567" s="54"/>
    </row>
    <row r="2568">
      <c r="A2568" s="23"/>
      <c r="B2568" s="52"/>
      <c r="C2568" s="53"/>
      <c r="D2568" s="23"/>
      <c r="E2568" s="53"/>
      <c r="F2568" s="54"/>
      <c r="G2568" s="23"/>
      <c r="H2568" s="54"/>
      <c r="I2568" s="53"/>
      <c r="J2568" s="53"/>
      <c r="K2568" s="23"/>
      <c r="L2568" s="53"/>
      <c r="M2568" s="54"/>
    </row>
    <row r="2569">
      <c r="A2569" s="23"/>
      <c r="B2569" s="52"/>
      <c r="C2569" s="53"/>
      <c r="D2569" s="23"/>
      <c r="E2569" s="53"/>
      <c r="F2569" s="54"/>
      <c r="G2569" s="54"/>
      <c r="H2569" s="54"/>
      <c r="I2569" s="53"/>
      <c r="J2569" s="53"/>
      <c r="K2569" s="23"/>
      <c r="L2569" s="53"/>
      <c r="M2569" s="54"/>
    </row>
    <row r="2570">
      <c r="A2570" s="23"/>
      <c r="B2570" s="52"/>
      <c r="C2570" s="53"/>
      <c r="D2570" s="23"/>
      <c r="E2570" s="53"/>
      <c r="F2570" s="54"/>
      <c r="G2570" s="23"/>
      <c r="H2570" s="54"/>
      <c r="I2570" s="53"/>
      <c r="J2570" s="53"/>
      <c r="K2570" s="23"/>
      <c r="L2570" s="53"/>
      <c r="M2570" s="54"/>
    </row>
    <row r="2571">
      <c r="A2571" s="23"/>
      <c r="B2571" s="52"/>
      <c r="C2571" s="53"/>
      <c r="D2571" s="23"/>
      <c r="E2571" s="53"/>
      <c r="F2571" s="54"/>
      <c r="G2571" s="54"/>
      <c r="H2571" s="54"/>
      <c r="I2571" s="53"/>
      <c r="J2571" s="53"/>
      <c r="K2571" s="23"/>
      <c r="L2571" s="53"/>
      <c r="M2571" s="54"/>
    </row>
    <row r="2572">
      <c r="A2572" s="23"/>
      <c r="B2572" s="52"/>
      <c r="C2572" s="53"/>
      <c r="D2572" s="23"/>
      <c r="E2572" s="53"/>
      <c r="F2572" s="54"/>
      <c r="G2572" s="23"/>
      <c r="H2572" s="54"/>
      <c r="I2572" s="53"/>
      <c r="J2572" s="53"/>
      <c r="K2572" s="23"/>
      <c r="L2572" s="53"/>
      <c r="M2572" s="54"/>
    </row>
    <row r="2573">
      <c r="A2573" s="23"/>
      <c r="B2573" s="52"/>
      <c r="C2573" s="53"/>
      <c r="D2573" s="23"/>
      <c r="E2573" s="53"/>
      <c r="F2573" s="54"/>
      <c r="G2573" s="54"/>
      <c r="H2573" s="54"/>
      <c r="I2573" s="53"/>
      <c r="J2573" s="53"/>
      <c r="K2573" s="23"/>
      <c r="L2573" s="53"/>
      <c r="M2573" s="54"/>
    </row>
    <row r="2574">
      <c r="A2574" s="23"/>
      <c r="B2574" s="52"/>
      <c r="C2574" s="53"/>
      <c r="D2574" s="23"/>
      <c r="E2574" s="53"/>
      <c r="F2574" s="54"/>
      <c r="G2574" s="54"/>
      <c r="H2574" s="54"/>
      <c r="I2574" s="53"/>
      <c r="J2574" s="53"/>
      <c r="K2574" s="23"/>
      <c r="L2574" s="53"/>
      <c r="M2574" s="54"/>
    </row>
    <row r="2575">
      <c r="A2575" s="23"/>
      <c r="B2575" s="52"/>
      <c r="C2575" s="53"/>
      <c r="D2575" s="23"/>
      <c r="E2575" s="53"/>
      <c r="F2575" s="54"/>
      <c r="G2575" s="54"/>
      <c r="H2575" s="54"/>
      <c r="I2575" s="53"/>
      <c r="J2575" s="53"/>
      <c r="K2575" s="23"/>
      <c r="L2575" s="53"/>
      <c r="M2575" s="54"/>
    </row>
    <row r="2576">
      <c r="A2576" s="23"/>
      <c r="B2576" s="52"/>
      <c r="C2576" s="53"/>
      <c r="D2576" s="23"/>
      <c r="E2576" s="53"/>
      <c r="F2576" s="54"/>
      <c r="G2576" s="54"/>
      <c r="H2576" s="54"/>
      <c r="I2576" s="53"/>
      <c r="J2576" s="53"/>
      <c r="K2576" s="23"/>
      <c r="L2576" s="53"/>
      <c r="M2576" s="54"/>
    </row>
    <row r="2577">
      <c r="A2577" s="23"/>
      <c r="B2577" s="52"/>
      <c r="C2577" s="53"/>
      <c r="D2577" s="23"/>
      <c r="E2577" s="53"/>
      <c r="F2577" s="54"/>
      <c r="G2577" s="54"/>
      <c r="H2577" s="54"/>
      <c r="I2577" s="53"/>
      <c r="J2577" s="53"/>
      <c r="K2577" s="23"/>
      <c r="L2577" s="53"/>
      <c r="M2577" s="54"/>
    </row>
    <row r="2578">
      <c r="A2578" s="23"/>
      <c r="B2578" s="52"/>
      <c r="C2578" s="53"/>
      <c r="D2578" s="23"/>
      <c r="E2578" s="53"/>
      <c r="F2578" s="54"/>
      <c r="G2578" s="23"/>
      <c r="H2578" s="54"/>
      <c r="I2578" s="53"/>
      <c r="J2578" s="53"/>
      <c r="K2578" s="23"/>
      <c r="L2578" s="53"/>
      <c r="M2578" s="54"/>
    </row>
    <row r="2579">
      <c r="A2579" s="23"/>
      <c r="B2579" s="52"/>
      <c r="C2579" s="53"/>
      <c r="D2579" s="23"/>
      <c r="E2579" s="53"/>
      <c r="F2579" s="54"/>
      <c r="G2579" s="54"/>
      <c r="H2579" s="54"/>
      <c r="I2579" s="53"/>
      <c r="J2579" s="53"/>
      <c r="K2579" s="23"/>
      <c r="L2579" s="53"/>
      <c r="M2579" s="54"/>
    </row>
    <row r="2580">
      <c r="A2580" s="23"/>
      <c r="B2580" s="52"/>
      <c r="C2580" s="53"/>
      <c r="D2580" s="23"/>
      <c r="E2580" s="53"/>
      <c r="F2580" s="54"/>
      <c r="G2580" s="23"/>
      <c r="H2580" s="54"/>
      <c r="I2580" s="53"/>
      <c r="J2580" s="53"/>
      <c r="K2580" s="23"/>
      <c r="L2580" s="53"/>
      <c r="M2580" s="54"/>
    </row>
    <row r="2581">
      <c r="A2581" s="23"/>
      <c r="B2581" s="52"/>
      <c r="C2581" s="53"/>
      <c r="D2581" s="23"/>
      <c r="E2581" s="53"/>
      <c r="F2581" s="54"/>
      <c r="G2581" s="23"/>
      <c r="H2581" s="54"/>
      <c r="I2581" s="53"/>
      <c r="J2581" s="53"/>
      <c r="K2581" s="23"/>
      <c r="L2581" s="53"/>
      <c r="M2581" s="54"/>
    </row>
    <row r="2582">
      <c r="A2582" s="23"/>
      <c r="B2582" s="52"/>
      <c r="C2582" s="53"/>
      <c r="D2582" s="23"/>
      <c r="E2582" s="53"/>
      <c r="F2582" s="54"/>
      <c r="G2582" s="54"/>
      <c r="H2582" s="54"/>
      <c r="I2582" s="53"/>
      <c r="J2582" s="53"/>
      <c r="K2582" s="23"/>
      <c r="L2582" s="53"/>
      <c r="M2582" s="54"/>
    </row>
    <row r="2583">
      <c r="A2583" s="23"/>
      <c r="B2583" s="52"/>
      <c r="C2583" s="53"/>
      <c r="D2583" s="23"/>
      <c r="E2583" s="53"/>
      <c r="F2583" s="54"/>
      <c r="G2583" s="23"/>
      <c r="H2583" s="54"/>
      <c r="I2583" s="53"/>
      <c r="J2583" s="53"/>
      <c r="K2583" s="23"/>
      <c r="L2583" s="53"/>
      <c r="M2583" s="54"/>
    </row>
    <row r="2584">
      <c r="A2584" s="23"/>
      <c r="B2584" s="52"/>
      <c r="C2584" s="53"/>
      <c r="D2584" s="23"/>
      <c r="E2584" s="53"/>
      <c r="F2584" s="54"/>
      <c r="G2584" s="54"/>
      <c r="H2584" s="54"/>
      <c r="I2584" s="53"/>
      <c r="J2584" s="53"/>
      <c r="K2584" s="23"/>
      <c r="L2584" s="53"/>
      <c r="M2584" s="54"/>
    </row>
    <row r="2585">
      <c r="A2585" s="23"/>
      <c r="B2585" s="52"/>
      <c r="C2585" s="53"/>
      <c r="D2585" s="23"/>
      <c r="E2585" s="53"/>
      <c r="F2585" s="54"/>
      <c r="G2585" s="54"/>
      <c r="H2585" s="54"/>
      <c r="I2585" s="53"/>
      <c r="J2585" s="53"/>
      <c r="K2585" s="23"/>
      <c r="L2585" s="53"/>
      <c r="M2585" s="54"/>
    </row>
    <row r="2586">
      <c r="A2586" s="23"/>
      <c r="B2586" s="52"/>
      <c r="C2586" s="53"/>
      <c r="D2586" s="23"/>
      <c r="E2586" s="53"/>
      <c r="F2586" s="54"/>
      <c r="G2586" s="54"/>
      <c r="H2586" s="54"/>
      <c r="I2586" s="53"/>
      <c r="J2586" s="53"/>
      <c r="K2586" s="23"/>
      <c r="L2586" s="53"/>
      <c r="M2586" s="54"/>
    </row>
    <row r="2587">
      <c r="A2587" s="23"/>
      <c r="B2587" s="52"/>
      <c r="C2587" s="53"/>
      <c r="D2587" s="23"/>
      <c r="E2587" s="53"/>
      <c r="F2587" s="54"/>
      <c r="G2587" s="23"/>
      <c r="H2587" s="54"/>
      <c r="I2587" s="53"/>
      <c r="J2587" s="53"/>
      <c r="K2587" s="23"/>
      <c r="L2587" s="53"/>
      <c r="M2587" s="54"/>
    </row>
    <row r="2588">
      <c r="A2588" s="23"/>
      <c r="B2588" s="52"/>
      <c r="C2588" s="53"/>
      <c r="D2588" s="23"/>
      <c r="E2588" s="53"/>
      <c r="F2588" s="54"/>
      <c r="G2588" s="23"/>
      <c r="H2588" s="54"/>
      <c r="I2588" s="53"/>
      <c r="J2588" s="53"/>
      <c r="K2588" s="23"/>
      <c r="L2588" s="53"/>
      <c r="M2588" s="54"/>
    </row>
    <row r="2589">
      <c r="A2589" s="23"/>
      <c r="B2589" s="52"/>
      <c r="C2589" s="53"/>
      <c r="D2589" s="23"/>
      <c r="E2589" s="53"/>
      <c r="F2589" s="54"/>
      <c r="G2589" s="54"/>
      <c r="H2589" s="54"/>
      <c r="I2589" s="53"/>
      <c r="J2589" s="53"/>
      <c r="K2589" s="23"/>
      <c r="L2589" s="53"/>
      <c r="M2589" s="54"/>
    </row>
    <row r="2590">
      <c r="A2590" s="23"/>
      <c r="B2590" s="52"/>
      <c r="C2590" s="53"/>
      <c r="D2590" s="23"/>
      <c r="E2590" s="53"/>
      <c r="F2590" s="54"/>
      <c r="G2590" s="54"/>
      <c r="H2590" s="54"/>
      <c r="I2590" s="53"/>
      <c r="J2590" s="53"/>
      <c r="K2590" s="23"/>
      <c r="L2590" s="53"/>
      <c r="M2590" s="54"/>
    </row>
    <row r="2591">
      <c r="A2591" s="23"/>
      <c r="B2591" s="52"/>
      <c r="C2591" s="53"/>
      <c r="D2591" s="23"/>
      <c r="E2591" s="53"/>
      <c r="F2591" s="54"/>
      <c r="G2591" s="54"/>
      <c r="H2591" s="54"/>
      <c r="I2591" s="53"/>
      <c r="J2591" s="53"/>
      <c r="K2591" s="23"/>
      <c r="L2591" s="53"/>
      <c r="M2591" s="54"/>
    </row>
    <row r="2592">
      <c r="A2592" s="23"/>
      <c r="B2592" s="52"/>
      <c r="C2592" s="53"/>
      <c r="D2592" s="23"/>
      <c r="E2592" s="53"/>
      <c r="F2592" s="54"/>
      <c r="G2592" s="54"/>
      <c r="H2592" s="54"/>
      <c r="I2592" s="53"/>
      <c r="J2592" s="53"/>
      <c r="K2592" s="23"/>
      <c r="L2592" s="53"/>
      <c r="M2592" s="54"/>
    </row>
    <row r="2593">
      <c r="A2593" s="23"/>
      <c r="B2593" s="52"/>
      <c r="C2593" s="53"/>
      <c r="D2593" s="23"/>
      <c r="E2593" s="53"/>
      <c r="F2593" s="54"/>
      <c r="G2593" s="54"/>
      <c r="H2593" s="54"/>
      <c r="I2593" s="53"/>
      <c r="J2593" s="53"/>
      <c r="K2593" s="23"/>
      <c r="L2593" s="53"/>
      <c r="M2593" s="54"/>
    </row>
    <row r="2594">
      <c r="A2594" s="23"/>
      <c r="B2594" s="52"/>
      <c r="C2594" s="53"/>
      <c r="D2594" s="23"/>
      <c r="E2594" s="53"/>
      <c r="F2594" s="54"/>
      <c r="G2594" s="54"/>
      <c r="H2594" s="54"/>
      <c r="I2594" s="53"/>
      <c r="J2594" s="53"/>
      <c r="K2594" s="23"/>
      <c r="L2594" s="53"/>
      <c r="M2594" s="54"/>
    </row>
    <row r="2595">
      <c r="A2595" s="23"/>
      <c r="B2595" s="52"/>
      <c r="C2595" s="53"/>
      <c r="D2595" s="23"/>
      <c r="E2595" s="53"/>
      <c r="F2595" s="54"/>
      <c r="G2595" s="54"/>
      <c r="H2595" s="54"/>
      <c r="I2595" s="53"/>
      <c r="J2595" s="53"/>
      <c r="K2595" s="23"/>
      <c r="L2595" s="53"/>
      <c r="M2595" s="54"/>
    </row>
    <row r="2596">
      <c r="A2596" s="23"/>
      <c r="B2596" s="52"/>
      <c r="C2596" s="53"/>
      <c r="D2596" s="23"/>
      <c r="E2596" s="53"/>
      <c r="F2596" s="54"/>
      <c r="G2596" s="54"/>
      <c r="H2596" s="54"/>
      <c r="I2596" s="53"/>
      <c r="J2596" s="53"/>
      <c r="K2596" s="23"/>
      <c r="L2596" s="53"/>
      <c r="M2596" s="54"/>
    </row>
    <row r="2597">
      <c r="A2597" s="23"/>
      <c r="B2597" s="52"/>
      <c r="C2597" s="53"/>
      <c r="D2597" s="23"/>
      <c r="E2597" s="53"/>
      <c r="F2597" s="54"/>
      <c r="G2597" s="54"/>
      <c r="H2597" s="54"/>
      <c r="I2597" s="53"/>
      <c r="J2597" s="53"/>
      <c r="K2597" s="23"/>
      <c r="L2597" s="53"/>
      <c r="M2597" s="54"/>
    </row>
    <row r="2598">
      <c r="A2598" s="23"/>
      <c r="B2598" s="52"/>
      <c r="C2598" s="53"/>
      <c r="D2598" s="23"/>
      <c r="E2598" s="53"/>
      <c r="F2598" s="54"/>
      <c r="G2598" s="54"/>
      <c r="H2598" s="54"/>
      <c r="I2598" s="53"/>
      <c r="J2598" s="53"/>
      <c r="K2598" s="23"/>
      <c r="L2598" s="53"/>
      <c r="M2598" s="54"/>
    </row>
    <row r="2599">
      <c r="A2599" s="23"/>
      <c r="B2599" s="52"/>
      <c r="C2599" s="53"/>
      <c r="D2599" s="23"/>
      <c r="E2599" s="53"/>
      <c r="F2599" s="54"/>
      <c r="G2599" s="54"/>
      <c r="H2599" s="54"/>
      <c r="I2599" s="53"/>
      <c r="J2599" s="53"/>
      <c r="K2599" s="23"/>
      <c r="L2599" s="53"/>
      <c r="M2599" s="54"/>
    </row>
    <row r="2600">
      <c r="A2600" s="23"/>
      <c r="B2600" s="52"/>
      <c r="C2600" s="53"/>
      <c r="D2600" s="23"/>
      <c r="E2600" s="53"/>
      <c r="F2600" s="54"/>
      <c r="G2600" s="54"/>
      <c r="H2600" s="54"/>
      <c r="I2600" s="53"/>
      <c r="J2600" s="53"/>
      <c r="K2600" s="23"/>
      <c r="L2600" s="53"/>
      <c r="M2600" s="54"/>
    </row>
    <row r="2601">
      <c r="A2601" s="23"/>
      <c r="B2601" s="52"/>
      <c r="C2601" s="53"/>
      <c r="D2601" s="23"/>
      <c r="E2601" s="53"/>
      <c r="F2601" s="54"/>
      <c r="G2601" s="23"/>
      <c r="H2601" s="54"/>
      <c r="I2601" s="53"/>
      <c r="J2601" s="53"/>
      <c r="K2601" s="23"/>
      <c r="L2601" s="53"/>
      <c r="M2601" s="54"/>
    </row>
    <row r="2602">
      <c r="A2602" s="23"/>
      <c r="B2602" s="52"/>
      <c r="C2602" s="53"/>
      <c r="D2602" s="23"/>
      <c r="E2602" s="53"/>
      <c r="F2602" s="54"/>
      <c r="G2602" s="54"/>
      <c r="H2602" s="54"/>
      <c r="I2602" s="53"/>
      <c r="J2602" s="53"/>
      <c r="K2602" s="23"/>
      <c r="L2602" s="53"/>
      <c r="M2602" s="54"/>
    </row>
    <row r="2603">
      <c r="A2603" s="23"/>
      <c r="B2603" s="52"/>
      <c r="C2603" s="53"/>
      <c r="D2603" s="23"/>
      <c r="E2603" s="53"/>
      <c r="F2603" s="54"/>
      <c r="G2603" s="54"/>
      <c r="H2603" s="54"/>
      <c r="I2603" s="53"/>
      <c r="J2603" s="53"/>
      <c r="K2603" s="23"/>
      <c r="L2603" s="53"/>
      <c r="M2603" s="54"/>
    </row>
    <row r="2604">
      <c r="A2604" s="23"/>
      <c r="B2604" s="52"/>
      <c r="C2604" s="53"/>
      <c r="D2604" s="23"/>
      <c r="E2604" s="53"/>
      <c r="F2604" s="54"/>
      <c r="G2604" s="54"/>
      <c r="H2604" s="54"/>
      <c r="I2604" s="53"/>
      <c r="J2604" s="53"/>
      <c r="K2604" s="23"/>
      <c r="L2604" s="53"/>
      <c r="M2604" s="54"/>
    </row>
    <row r="2605">
      <c r="A2605" s="23"/>
      <c r="B2605" s="52"/>
      <c r="C2605" s="53"/>
      <c r="D2605" s="23"/>
      <c r="E2605" s="53"/>
      <c r="F2605" s="54"/>
      <c r="G2605" s="23"/>
      <c r="H2605" s="54"/>
      <c r="I2605" s="53"/>
      <c r="J2605" s="53"/>
      <c r="K2605" s="23"/>
      <c r="L2605" s="53"/>
      <c r="M2605" s="54"/>
    </row>
    <row r="2606">
      <c r="A2606" s="23"/>
      <c r="B2606" s="52"/>
      <c r="C2606" s="53"/>
      <c r="D2606" s="23"/>
      <c r="E2606" s="53"/>
      <c r="F2606" s="54"/>
      <c r="G2606" s="23"/>
      <c r="H2606" s="54"/>
      <c r="I2606" s="53"/>
      <c r="J2606" s="53"/>
      <c r="K2606" s="23"/>
      <c r="L2606" s="53"/>
      <c r="M2606" s="54"/>
    </row>
    <row r="2607">
      <c r="A2607" s="23"/>
      <c r="B2607" s="52"/>
      <c r="C2607" s="53"/>
      <c r="D2607" s="23"/>
      <c r="E2607" s="53"/>
      <c r="F2607" s="54"/>
      <c r="G2607" s="54"/>
      <c r="H2607" s="54"/>
      <c r="I2607" s="53"/>
      <c r="J2607" s="53"/>
      <c r="K2607" s="23"/>
      <c r="L2607" s="53"/>
      <c r="M2607" s="54"/>
    </row>
    <row r="2608">
      <c r="A2608" s="23"/>
      <c r="B2608" s="52"/>
      <c r="C2608" s="53"/>
      <c r="D2608" s="23"/>
      <c r="E2608" s="53"/>
      <c r="F2608" s="54"/>
      <c r="G2608" s="54"/>
      <c r="H2608" s="54"/>
      <c r="I2608" s="53"/>
      <c r="J2608" s="53"/>
      <c r="K2608" s="23"/>
      <c r="L2608" s="53"/>
      <c r="M2608" s="54"/>
    </row>
    <row r="2609">
      <c r="A2609" s="23"/>
      <c r="B2609" s="52"/>
      <c r="C2609" s="53"/>
      <c r="D2609" s="23"/>
      <c r="E2609" s="53"/>
      <c r="F2609" s="54"/>
      <c r="G2609" s="54"/>
      <c r="H2609" s="54"/>
      <c r="I2609" s="53"/>
      <c r="J2609" s="53"/>
      <c r="K2609" s="23"/>
      <c r="L2609" s="53"/>
      <c r="M2609" s="54"/>
    </row>
    <row r="2610">
      <c r="A2610" s="23"/>
      <c r="B2610" s="52"/>
      <c r="C2610" s="53"/>
      <c r="D2610" s="23"/>
      <c r="E2610" s="53"/>
      <c r="F2610" s="54"/>
      <c r="G2610" s="54"/>
      <c r="H2610" s="54"/>
      <c r="I2610" s="53"/>
      <c r="J2610" s="53"/>
      <c r="K2610" s="23"/>
      <c r="L2610" s="53"/>
      <c r="M2610" s="54"/>
    </row>
    <row r="2611">
      <c r="A2611" s="23"/>
      <c r="B2611" s="52"/>
      <c r="C2611" s="53"/>
      <c r="D2611" s="23"/>
      <c r="E2611" s="53"/>
      <c r="F2611" s="54"/>
      <c r="G2611" s="54"/>
      <c r="H2611" s="54"/>
      <c r="I2611" s="53"/>
      <c r="J2611" s="53"/>
      <c r="K2611" s="23"/>
      <c r="L2611" s="53"/>
      <c r="M2611" s="54"/>
    </row>
    <row r="2612">
      <c r="A2612" s="23"/>
      <c r="B2612" s="52"/>
      <c r="C2612" s="53"/>
      <c r="D2612" s="23"/>
      <c r="E2612" s="53"/>
      <c r="F2612" s="54"/>
      <c r="G2612" s="23"/>
      <c r="H2612" s="54"/>
      <c r="I2612" s="53"/>
      <c r="J2612" s="53"/>
      <c r="K2612" s="23"/>
      <c r="L2612" s="53"/>
      <c r="M2612" s="54"/>
    </row>
    <row r="2613">
      <c r="A2613" s="23"/>
      <c r="B2613" s="52"/>
      <c r="C2613" s="53"/>
      <c r="D2613" s="23"/>
      <c r="E2613" s="53"/>
      <c r="F2613" s="54"/>
      <c r="G2613" s="54"/>
      <c r="H2613" s="54"/>
      <c r="I2613" s="53"/>
      <c r="J2613" s="53"/>
      <c r="K2613" s="23"/>
      <c r="L2613" s="53"/>
      <c r="M2613" s="54"/>
    </row>
    <row r="2614">
      <c r="A2614" s="23"/>
      <c r="B2614" s="52"/>
      <c r="C2614" s="53"/>
      <c r="D2614" s="23"/>
      <c r="E2614" s="53"/>
      <c r="F2614" s="54"/>
      <c r="G2614" s="54"/>
      <c r="H2614" s="54"/>
      <c r="I2614" s="53"/>
      <c r="J2614" s="53"/>
      <c r="K2614" s="23"/>
      <c r="L2614" s="53"/>
      <c r="M2614" s="54"/>
    </row>
    <row r="2615">
      <c r="A2615" s="23"/>
      <c r="B2615" s="52"/>
      <c r="C2615" s="53"/>
      <c r="D2615" s="23"/>
      <c r="E2615" s="53"/>
      <c r="F2615" s="54"/>
      <c r="G2615" s="54"/>
      <c r="H2615" s="54"/>
      <c r="I2615" s="53"/>
      <c r="J2615" s="53"/>
      <c r="K2615" s="23"/>
      <c r="L2615" s="53"/>
      <c r="M2615" s="54"/>
    </row>
    <row r="2616">
      <c r="A2616" s="23"/>
      <c r="B2616" s="52"/>
      <c r="C2616" s="53"/>
      <c r="D2616" s="23"/>
      <c r="E2616" s="53"/>
      <c r="F2616" s="54"/>
      <c r="G2616" s="54"/>
      <c r="H2616" s="54"/>
      <c r="I2616" s="53"/>
      <c r="J2616" s="53"/>
      <c r="K2616" s="23"/>
      <c r="L2616" s="53"/>
      <c r="M2616" s="54"/>
    </row>
    <row r="2617">
      <c r="A2617" s="23"/>
      <c r="B2617" s="52"/>
      <c r="C2617" s="53"/>
      <c r="D2617" s="23"/>
      <c r="E2617" s="53"/>
      <c r="F2617" s="54"/>
      <c r="G2617" s="54"/>
      <c r="H2617" s="54"/>
      <c r="I2617" s="53"/>
      <c r="J2617" s="53"/>
      <c r="K2617" s="23"/>
      <c r="L2617" s="53"/>
      <c r="M2617" s="54"/>
    </row>
    <row r="2618">
      <c r="A2618" s="23"/>
      <c r="B2618" s="52"/>
      <c r="C2618" s="53"/>
      <c r="D2618" s="23"/>
      <c r="E2618" s="53"/>
      <c r="F2618" s="54"/>
      <c r="G2618" s="54"/>
      <c r="H2618" s="54"/>
      <c r="I2618" s="53"/>
      <c r="J2618" s="53"/>
      <c r="K2618" s="23"/>
      <c r="L2618" s="53"/>
      <c r="M2618" s="54"/>
    </row>
    <row r="2619">
      <c r="A2619" s="23"/>
      <c r="B2619" s="52"/>
      <c r="C2619" s="53"/>
      <c r="D2619" s="23"/>
      <c r="E2619" s="53"/>
      <c r="F2619" s="54"/>
      <c r="G2619" s="54"/>
      <c r="H2619" s="54"/>
      <c r="I2619" s="53"/>
      <c r="J2619" s="53"/>
      <c r="K2619" s="23"/>
      <c r="L2619" s="53"/>
      <c r="M2619" s="54"/>
    </row>
    <row r="2620">
      <c r="A2620" s="23"/>
      <c r="B2620" s="52"/>
      <c r="C2620" s="53"/>
      <c r="D2620" s="23"/>
      <c r="E2620" s="53"/>
      <c r="F2620" s="54"/>
      <c r="G2620" s="54"/>
      <c r="H2620" s="54"/>
      <c r="I2620" s="53"/>
      <c r="J2620" s="53"/>
      <c r="K2620" s="23"/>
      <c r="L2620" s="53"/>
      <c r="M2620" s="54"/>
    </row>
    <row r="2621">
      <c r="A2621" s="23"/>
      <c r="B2621" s="52"/>
      <c r="C2621" s="53"/>
      <c r="D2621" s="23"/>
      <c r="E2621" s="53"/>
      <c r="F2621" s="54"/>
      <c r="G2621" s="54"/>
      <c r="H2621" s="54"/>
      <c r="I2621" s="53"/>
      <c r="J2621" s="53"/>
      <c r="K2621" s="23"/>
      <c r="L2621" s="53"/>
      <c r="M2621" s="54"/>
    </row>
    <row r="2622">
      <c r="A2622" s="23"/>
      <c r="B2622" s="52"/>
      <c r="C2622" s="53"/>
      <c r="D2622" s="23"/>
      <c r="E2622" s="53"/>
      <c r="F2622" s="54"/>
      <c r="G2622" s="54"/>
      <c r="H2622" s="54"/>
      <c r="I2622" s="53"/>
      <c r="J2622" s="53"/>
      <c r="K2622" s="23"/>
      <c r="L2622" s="53"/>
      <c r="M2622" s="54"/>
    </row>
    <row r="2623">
      <c r="A2623" s="23"/>
      <c r="B2623" s="52"/>
      <c r="C2623" s="53"/>
      <c r="D2623" s="23"/>
      <c r="E2623" s="53"/>
      <c r="F2623" s="54"/>
      <c r="G2623" s="54"/>
      <c r="H2623" s="54"/>
      <c r="I2623" s="53"/>
      <c r="J2623" s="53"/>
      <c r="K2623" s="23"/>
      <c r="L2623" s="53"/>
      <c r="M2623" s="54"/>
    </row>
    <row r="2624">
      <c r="A2624" s="23"/>
      <c r="B2624" s="52"/>
      <c r="C2624" s="53"/>
      <c r="D2624" s="23"/>
      <c r="E2624" s="53"/>
      <c r="F2624" s="54"/>
      <c r="G2624" s="23"/>
      <c r="H2624" s="54"/>
      <c r="I2624" s="53"/>
      <c r="J2624" s="53"/>
      <c r="K2624" s="23"/>
      <c r="L2624" s="53"/>
      <c r="M2624" s="54"/>
    </row>
    <row r="2625">
      <c r="A2625" s="23"/>
      <c r="B2625" s="52"/>
      <c r="C2625" s="53"/>
      <c r="D2625" s="23"/>
      <c r="E2625" s="53"/>
      <c r="F2625" s="54"/>
      <c r="G2625" s="54"/>
      <c r="H2625" s="54"/>
      <c r="I2625" s="53"/>
      <c r="J2625" s="53"/>
      <c r="K2625" s="23"/>
      <c r="L2625" s="53"/>
      <c r="M2625" s="54"/>
    </row>
    <row r="2626">
      <c r="A2626" s="23"/>
      <c r="B2626" s="52"/>
      <c r="C2626" s="53"/>
      <c r="D2626" s="23"/>
      <c r="E2626" s="53"/>
      <c r="F2626" s="54"/>
      <c r="G2626" s="54"/>
      <c r="H2626" s="54"/>
      <c r="I2626" s="53"/>
      <c r="J2626" s="53"/>
      <c r="K2626" s="23"/>
      <c r="L2626" s="53"/>
      <c r="M2626" s="54"/>
    </row>
    <row r="2627">
      <c r="A2627" s="23"/>
      <c r="B2627" s="52"/>
      <c r="C2627" s="53"/>
      <c r="D2627" s="23"/>
      <c r="E2627" s="53"/>
      <c r="F2627" s="54"/>
      <c r="G2627" s="54"/>
      <c r="H2627" s="54"/>
      <c r="I2627" s="53"/>
      <c r="J2627" s="53"/>
      <c r="K2627" s="23"/>
      <c r="L2627" s="53"/>
      <c r="M2627" s="54"/>
    </row>
    <row r="2628">
      <c r="A2628" s="23"/>
      <c r="B2628" s="52"/>
      <c r="C2628" s="53"/>
      <c r="D2628" s="23"/>
      <c r="E2628" s="53"/>
      <c r="F2628" s="54"/>
      <c r="G2628" s="54"/>
      <c r="H2628" s="54"/>
      <c r="I2628" s="53"/>
      <c r="J2628" s="53"/>
      <c r="K2628" s="23"/>
      <c r="L2628" s="53"/>
      <c r="M2628" s="54"/>
    </row>
    <row r="2629">
      <c r="A2629" s="23"/>
      <c r="B2629" s="52"/>
      <c r="C2629" s="53"/>
      <c r="D2629" s="23"/>
      <c r="E2629" s="53"/>
      <c r="F2629" s="54"/>
      <c r="G2629" s="54"/>
      <c r="H2629" s="54"/>
      <c r="I2629" s="53"/>
      <c r="J2629" s="53"/>
      <c r="K2629" s="23"/>
      <c r="L2629" s="53"/>
      <c r="M2629" s="54"/>
    </row>
    <row r="2630">
      <c r="A2630" s="23"/>
      <c r="B2630" s="52"/>
      <c r="C2630" s="56"/>
      <c r="D2630" s="23"/>
      <c r="E2630" s="56"/>
      <c r="F2630" s="54"/>
      <c r="G2630" s="23"/>
      <c r="H2630" s="54"/>
      <c r="I2630" s="53"/>
      <c r="J2630" s="53"/>
      <c r="K2630" s="23"/>
      <c r="L2630" s="53"/>
      <c r="M2630" s="54"/>
    </row>
    <row r="2631">
      <c r="A2631" s="23"/>
      <c r="B2631" s="52"/>
      <c r="C2631" s="53"/>
      <c r="D2631" s="23"/>
      <c r="E2631" s="53"/>
      <c r="F2631" s="54"/>
      <c r="G2631" s="23"/>
      <c r="H2631" s="54"/>
      <c r="I2631" s="53"/>
      <c r="J2631" s="53"/>
      <c r="K2631" s="23"/>
      <c r="L2631" s="53"/>
      <c r="M2631" s="54"/>
    </row>
    <row r="2632">
      <c r="A2632" s="23"/>
      <c r="B2632" s="52"/>
      <c r="C2632" s="53"/>
      <c r="D2632" s="23"/>
      <c r="E2632" s="53"/>
      <c r="F2632" s="54"/>
      <c r="G2632" s="54"/>
      <c r="H2632" s="54"/>
      <c r="I2632" s="53"/>
      <c r="J2632" s="53"/>
      <c r="K2632" s="23"/>
      <c r="L2632" s="53"/>
      <c r="M2632" s="54"/>
    </row>
    <row r="2633">
      <c r="A2633" s="23"/>
      <c r="B2633" s="52"/>
      <c r="C2633" s="53"/>
      <c r="D2633" s="23"/>
      <c r="E2633" s="53"/>
      <c r="F2633" s="54"/>
      <c r="G2633" s="54"/>
      <c r="H2633" s="54"/>
      <c r="I2633" s="53"/>
      <c r="J2633" s="53"/>
      <c r="K2633" s="23"/>
      <c r="L2633" s="53"/>
      <c r="M2633" s="54"/>
    </row>
    <row r="2634">
      <c r="A2634" s="23"/>
      <c r="B2634" s="52"/>
      <c r="C2634" s="53"/>
      <c r="D2634" s="23"/>
      <c r="E2634" s="53"/>
      <c r="F2634" s="54"/>
      <c r="G2634" s="54"/>
      <c r="H2634" s="54"/>
      <c r="I2634" s="53"/>
      <c r="J2634" s="53"/>
      <c r="K2634" s="23"/>
      <c r="L2634" s="53"/>
      <c r="M2634" s="54"/>
    </row>
    <row r="2635">
      <c r="A2635" s="23"/>
      <c r="B2635" s="52"/>
      <c r="C2635" s="53"/>
      <c r="D2635" s="23"/>
      <c r="E2635" s="53"/>
      <c r="F2635" s="54"/>
      <c r="G2635" s="23"/>
      <c r="H2635" s="54"/>
      <c r="I2635" s="53"/>
      <c r="J2635" s="53"/>
      <c r="K2635" s="23"/>
      <c r="L2635" s="53"/>
      <c r="M2635" s="54"/>
    </row>
    <row r="2636">
      <c r="A2636" s="23"/>
      <c r="B2636" s="52"/>
      <c r="C2636" s="53"/>
      <c r="D2636" s="23"/>
      <c r="E2636" s="53"/>
      <c r="F2636" s="54"/>
      <c r="G2636" s="23"/>
      <c r="H2636" s="54"/>
      <c r="I2636" s="53"/>
      <c r="J2636" s="53"/>
      <c r="K2636" s="23"/>
      <c r="L2636" s="53"/>
      <c r="M2636" s="54"/>
    </row>
    <row r="2637">
      <c r="A2637" s="23"/>
      <c r="B2637" s="52"/>
      <c r="C2637" s="53"/>
      <c r="D2637" s="23"/>
      <c r="E2637" s="53"/>
      <c r="F2637" s="54"/>
      <c r="G2637" s="54"/>
      <c r="H2637" s="54"/>
      <c r="I2637" s="53"/>
      <c r="J2637" s="53"/>
      <c r="K2637" s="23"/>
      <c r="L2637" s="53"/>
      <c r="M2637" s="54"/>
    </row>
    <row r="2638">
      <c r="A2638" s="23"/>
      <c r="B2638" s="52"/>
      <c r="C2638" s="53"/>
      <c r="D2638" s="23"/>
      <c r="E2638" s="53"/>
      <c r="F2638" s="54"/>
      <c r="G2638" s="23"/>
      <c r="H2638" s="54"/>
      <c r="I2638" s="53"/>
      <c r="J2638" s="23"/>
      <c r="K2638" s="23"/>
      <c r="L2638" s="53"/>
      <c r="M2638" s="54"/>
    </row>
    <row r="2639">
      <c r="A2639" s="23"/>
      <c r="B2639" s="52"/>
      <c r="C2639" s="53"/>
      <c r="D2639" s="23"/>
      <c r="E2639" s="53"/>
      <c r="F2639" s="54"/>
      <c r="G2639" s="23"/>
      <c r="H2639" s="54"/>
      <c r="I2639" s="53"/>
      <c r="J2639" s="23"/>
      <c r="K2639" s="23"/>
      <c r="L2639" s="53"/>
      <c r="M2639" s="54"/>
    </row>
    <row r="2640">
      <c r="A2640" s="23"/>
      <c r="B2640" s="52"/>
      <c r="C2640" s="53"/>
      <c r="D2640" s="23"/>
      <c r="E2640" s="53"/>
      <c r="F2640" s="54"/>
      <c r="G2640" s="54"/>
      <c r="H2640" s="54"/>
      <c r="I2640" s="53"/>
      <c r="J2640" s="53"/>
      <c r="K2640" s="23"/>
      <c r="L2640" s="53"/>
      <c r="M2640" s="54"/>
    </row>
    <row r="2641">
      <c r="A2641" s="23"/>
      <c r="B2641" s="52"/>
      <c r="C2641" s="53"/>
      <c r="D2641" s="23"/>
      <c r="E2641" s="53"/>
      <c r="F2641" s="54"/>
      <c r="G2641" s="54"/>
      <c r="H2641" s="54"/>
      <c r="I2641" s="53"/>
      <c r="J2641" s="53"/>
      <c r="K2641" s="23"/>
      <c r="L2641" s="53"/>
      <c r="M2641" s="54"/>
    </row>
    <row r="2642">
      <c r="A2642" s="23"/>
      <c r="B2642" s="52"/>
      <c r="C2642" s="53"/>
      <c r="D2642" s="23"/>
      <c r="E2642" s="53"/>
      <c r="F2642" s="54"/>
      <c r="G2642" s="54"/>
      <c r="H2642" s="54"/>
      <c r="I2642" s="53"/>
      <c r="J2642" s="53"/>
      <c r="K2642" s="23"/>
      <c r="L2642" s="53"/>
      <c r="M2642" s="54"/>
    </row>
    <row r="2643">
      <c r="A2643" s="23"/>
      <c r="B2643" s="52"/>
      <c r="C2643" s="53"/>
      <c r="D2643" s="23"/>
      <c r="E2643" s="53"/>
      <c r="F2643" s="54"/>
      <c r="G2643" s="23"/>
      <c r="H2643" s="54"/>
      <c r="I2643" s="53"/>
      <c r="J2643" s="23"/>
      <c r="K2643" s="23"/>
      <c r="L2643" s="53"/>
      <c r="M2643" s="54"/>
    </row>
    <row r="2644">
      <c r="A2644" s="23"/>
      <c r="B2644" s="52"/>
      <c r="C2644" s="53"/>
      <c r="D2644" s="23"/>
      <c r="E2644" s="53"/>
      <c r="F2644" s="54"/>
      <c r="G2644" s="23"/>
      <c r="H2644" s="54"/>
      <c r="I2644" s="53"/>
      <c r="J2644" s="53"/>
      <c r="K2644" s="23"/>
      <c r="L2644" s="53"/>
      <c r="M2644" s="54"/>
    </row>
    <row r="2645">
      <c r="A2645" s="23"/>
      <c r="B2645" s="52"/>
      <c r="C2645" s="53"/>
      <c r="D2645" s="23"/>
      <c r="E2645" s="53"/>
      <c r="F2645" s="54"/>
      <c r="G2645" s="54"/>
      <c r="H2645" s="54"/>
      <c r="I2645" s="53"/>
      <c r="J2645" s="53"/>
      <c r="K2645" s="23"/>
      <c r="L2645" s="53"/>
      <c r="M2645" s="54"/>
    </row>
    <row r="2646">
      <c r="A2646" s="23"/>
      <c r="B2646" s="52"/>
      <c r="C2646" s="53"/>
      <c r="D2646" s="23"/>
      <c r="E2646" s="53"/>
      <c r="F2646" s="54"/>
      <c r="G2646" s="54"/>
      <c r="H2646" s="54"/>
      <c r="I2646" s="53"/>
      <c r="J2646" s="53"/>
      <c r="K2646" s="23"/>
      <c r="L2646" s="53"/>
      <c r="M2646" s="54"/>
    </row>
    <row r="2647">
      <c r="A2647" s="23"/>
      <c r="B2647" s="52"/>
      <c r="C2647" s="53"/>
      <c r="D2647" s="23"/>
      <c r="E2647" s="53"/>
      <c r="F2647" s="54"/>
      <c r="G2647" s="54"/>
      <c r="H2647" s="54"/>
      <c r="I2647" s="53"/>
      <c r="J2647" s="53"/>
      <c r="K2647" s="23"/>
      <c r="L2647" s="53"/>
      <c r="M2647" s="54"/>
    </row>
    <row r="2648">
      <c r="A2648" s="23"/>
      <c r="B2648" s="52"/>
      <c r="C2648" s="53"/>
      <c r="D2648" s="23"/>
      <c r="E2648" s="53"/>
      <c r="F2648" s="54"/>
      <c r="G2648" s="54"/>
      <c r="H2648" s="54"/>
      <c r="I2648" s="53"/>
      <c r="J2648" s="53"/>
      <c r="K2648" s="23"/>
      <c r="L2648" s="53"/>
      <c r="M2648" s="54"/>
    </row>
    <row r="2649">
      <c r="A2649" s="23"/>
      <c r="B2649" s="52"/>
      <c r="C2649" s="53"/>
      <c r="D2649" s="23"/>
      <c r="E2649" s="53"/>
      <c r="F2649" s="54"/>
      <c r="G2649" s="54"/>
      <c r="H2649" s="54"/>
      <c r="I2649" s="53"/>
      <c r="J2649" s="53"/>
      <c r="K2649" s="23"/>
      <c r="L2649" s="53"/>
      <c r="M2649" s="54"/>
    </row>
    <row r="2650">
      <c r="A2650" s="23"/>
      <c r="B2650" s="52"/>
      <c r="C2650" s="53"/>
      <c r="D2650" s="23"/>
      <c r="E2650" s="53"/>
      <c r="F2650" s="54"/>
      <c r="G2650" s="54"/>
      <c r="H2650" s="54"/>
      <c r="I2650" s="53"/>
      <c r="J2650" s="53"/>
      <c r="K2650" s="23"/>
      <c r="L2650" s="53"/>
      <c r="M2650" s="54"/>
    </row>
    <row r="2651">
      <c r="A2651" s="23"/>
      <c r="B2651" s="52"/>
      <c r="C2651" s="53"/>
      <c r="D2651" s="23"/>
      <c r="E2651" s="53"/>
      <c r="F2651" s="54"/>
      <c r="G2651" s="23"/>
      <c r="H2651" s="54"/>
      <c r="I2651" s="53"/>
      <c r="J2651" s="53"/>
      <c r="K2651" s="23"/>
      <c r="L2651" s="53"/>
      <c r="M2651" s="54"/>
    </row>
    <row r="2652">
      <c r="A2652" s="23"/>
      <c r="B2652" s="52"/>
      <c r="C2652" s="53"/>
      <c r="D2652" s="23"/>
      <c r="E2652" s="53"/>
      <c r="F2652" s="54"/>
      <c r="G2652" s="54"/>
      <c r="H2652" s="54"/>
      <c r="I2652" s="53"/>
      <c r="J2652" s="53"/>
      <c r="K2652" s="23"/>
      <c r="L2652" s="53"/>
      <c r="M2652" s="54"/>
    </row>
    <row r="2653">
      <c r="A2653" s="23"/>
      <c r="B2653" s="52"/>
      <c r="C2653" s="53"/>
      <c r="D2653" s="23"/>
      <c r="E2653" s="53"/>
      <c r="F2653" s="54"/>
      <c r="G2653" s="54"/>
      <c r="H2653" s="54"/>
      <c r="I2653" s="53"/>
      <c r="J2653" s="53"/>
      <c r="K2653" s="23"/>
      <c r="L2653" s="53"/>
      <c r="M2653" s="54"/>
    </row>
    <row r="2654">
      <c r="A2654" s="23"/>
      <c r="B2654" s="52"/>
      <c r="C2654" s="53"/>
      <c r="D2654" s="23"/>
      <c r="E2654" s="53"/>
      <c r="F2654" s="54"/>
      <c r="G2654" s="54"/>
      <c r="H2654" s="54"/>
      <c r="I2654" s="53"/>
      <c r="J2654" s="53"/>
      <c r="K2654" s="23"/>
      <c r="L2654" s="53"/>
      <c r="M2654" s="54"/>
    </row>
    <row r="2655">
      <c r="A2655" s="23"/>
      <c r="B2655" s="52"/>
      <c r="C2655" s="53"/>
      <c r="D2655" s="23"/>
      <c r="E2655" s="53"/>
      <c r="F2655" s="54"/>
      <c r="G2655" s="54"/>
      <c r="H2655" s="54"/>
      <c r="I2655" s="53"/>
      <c r="J2655" s="53"/>
      <c r="K2655" s="23"/>
      <c r="L2655" s="53"/>
      <c r="M2655" s="54"/>
    </row>
    <row r="2656">
      <c r="A2656" s="23"/>
      <c r="B2656" s="52"/>
      <c r="C2656" s="53"/>
      <c r="D2656" s="23"/>
      <c r="E2656" s="53"/>
      <c r="F2656" s="54"/>
      <c r="G2656" s="54"/>
      <c r="H2656" s="54"/>
      <c r="I2656" s="53"/>
      <c r="J2656" s="53"/>
      <c r="K2656" s="23"/>
      <c r="L2656" s="53"/>
      <c r="M2656" s="54"/>
    </row>
    <row r="2657">
      <c r="A2657" s="23"/>
      <c r="B2657" s="52"/>
      <c r="C2657" s="53"/>
      <c r="D2657" s="23"/>
      <c r="E2657" s="53"/>
      <c r="F2657" s="54"/>
      <c r="G2657" s="23"/>
      <c r="H2657" s="54"/>
      <c r="I2657" s="53"/>
      <c r="J2657" s="53"/>
      <c r="K2657" s="23"/>
      <c r="L2657" s="53"/>
      <c r="M2657" s="54"/>
    </row>
    <row r="2658">
      <c r="A2658" s="23"/>
      <c r="B2658" s="52"/>
      <c r="C2658" s="53"/>
      <c r="D2658" s="23"/>
      <c r="E2658" s="53"/>
      <c r="F2658" s="54"/>
      <c r="G2658" s="54"/>
      <c r="H2658" s="54"/>
      <c r="I2658" s="53"/>
      <c r="J2658" s="53"/>
      <c r="K2658" s="23"/>
      <c r="L2658" s="53"/>
      <c r="M2658" s="54"/>
    </row>
    <row r="2659">
      <c r="A2659" s="23"/>
      <c r="B2659" s="52"/>
      <c r="C2659" s="53"/>
      <c r="D2659" s="23"/>
      <c r="E2659" s="53"/>
      <c r="F2659" s="54"/>
      <c r="G2659" s="54"/>
      <c r="H2659" s="54"/>
      <c r="I2659" s="53"/>
      <c r="J2659" s="53"/>
      <c r="K2659" s="23"/>
      <c r="L2659" s="53"/>
      <c r="M2659" s="54"/>
    </row>
    <row r="2660">
      <c r="A2660" s="23"/>
      <c r="B2660" s="52"/>
      <c r="C2660" s="53"/>
      <c r="D2660" s="23"/>
      <c r="E2660" s="53"/>
      <c r="F2660" s="54"/>
      <c r="G2660" s="23"/>
      <c r="H2660" s="54"/>
      <c r="I2660" s="53"/>
      <c r="J2660" s="53"/>
      <c r="K2660" s="23"/>
      <c r="L2660" s="53"/>
      <c r="M2660" s="54"/>
    </row>
    <row r="2661">
      <c r="A2661" s="23"/>
      <c r="B2661" s="52"/>
      <c r="C2661" s="53"/>
      <c r="D2661" s="23"/>
      <c r="E2661" s="53"/>
      <c r="F2661" s="54"/>
      <c r="G2661" s="54"/>
      <c r="H2661" s="54"/>
      <c r="I2661" s="53"/>
      <c r="J2661" s="53"/>
      <c r="K2661" s="23"/>
      <c r="L2661" s="53"/>
      <c r="M2661" s="54"/>
    </row>
    <row r="2662">
      <c r="A2662" s="23"/>
      <c r="B2662" s="52"/>
      <c r="C2662" s="53"/>
      <c r="D2662" s="23"/>
      <c r="E2662" s="53"/>
      <c r="F2662" s="54"/>
      <c r="G2662" s="54"/>
      <c r="H2662" s="54"/>
      <c r="I2662" s="53"/>
      <c r="J2662" s="53"/>
      <c r="K2662" s="23"/>
      <c r="L2662" s="53"/>
      <c r="M2662" s="54"/>
    </row>
    <row r="2663">
      <c r="A2663" s="23"/>
      <c r="B2663" s="52"/>
      <c r="C2663" s="53"/>
      <c r="D2663" s="23"/>
      <c r="E2663" s="53"/>
      <c r="F2663" s="54"/>
      <c r="G2663" s="54"/>
      <c r="H2663" s="54"/>
      <c r="I2663" s="53"/>
      <c r="J2663" s="53"/>
      <c r="K2663" s="23"/>
      <c r="L2663" s="53"/>
      <c r="M2663" s="54"/>
    </row>
    <row r="2664">
      <c r="A2664" s="23"/>
      <c r="B2664" s="52"/>
      <c r="C2664" s="53"/>
      <c r="D2664" s="23"/>
      <c r="E2664" s="53"/>
      <c r="F2664" s="54"/>
      <c r="G2664" s="54"/>
      <c r="H2664" s="54"/>
      <c r="I2664" s="53"/>
      <c r="J2664" s="53"/>
      <c r="K2664" s="23"/>
      <c r="L2664" s="53"/>
      <c r="M2664" s="54"/>
    </row>
    <row r="2665">
      <c r="A2665" s="23"/>
      <c r="B2665" s="52"/>
      <c r="C2665" s="53"/>
      <c r="D2665" s="23"/>
      <c r="E2665" s="53"/>
      <c r="F2665" s="54"/>
      <c r="G2665" s="54"/>
      <c r="H2665" s="54"/>
      <c r="I2665" s="53"/>
      <c r="J2665" s="53"/>
      <c r="K2665" s="23"/>
      <c r="L2665" s="53"/>
      <c r="M2665" s="54"/>
    </row>
    <row r="2666">
      <c r="A2666" s="23"/>
      <c r="B2666" s="52"/>
      <c r="C2666" s="53"/>
      <c r="D2666" s="23"/>
      <c r="E2666" s="53"/>
      <c r="F2666" s="54"/>
      <c r="G2666" s="54"/>
      <c r="H2666" s="54"/>
      <c r="I2666" s="53"/>
      <c r="J2666" s="53"/>
      <c r="K2666" s="23"/>
      <c r="L2666" s="53"/>
      <c r="M2666" s="54"/>
    </row>
    <row r="2667">
      <c r="A2667" s="23"/>
      <c r="B2667" s="52"/>
      <c r="C2667" s="53"/>
      <c r="D2667" s="23"/>
      <c r="E2667" s="53"/>
      <c r="F2667" s="54"/>
      <c r="G2667" s="54"/>
      <c r="H2667" s="54"/>
      <c r="I2667" s="53"/>
      <c r="J2667" s="53"/>
      <c r="K2667" s="23"/>
      <c r="L2667" s="53"/>
      <c r="M2667" s="54"/>
    </row>
    <row r="2668">
      <c r="A2668" s="23"/>
      <c r="B2668" s="52"/>
      <c r="C2668" s="53"/>
      <c r="D2668" s="23"/>
      <c r="E2668" s="53"/>
      <c r="F2668" s="54"/>
      <c r="G2668" s="54"/>
      <c r="H2668" s="54"/>
      <c r="I2668" s="53"/>
      <c r="J2668" s="53"/>
      <c r="K2668" s="23"/>
      <c r="L2668" s="53"/>
      <c r="M2668" s="54"/>
    </row>
    <row r="2669">
      <c r="A2669" s="23"/>
      <c r="B2669" s="52"/>
      <c r="C2669" s="53"/>
      <c r="D2669" s="23"/>
      <c r="E2669" s="53"/>
      <c r="F2669" s="54"/>
      <c r="G2669" s="54"/>
      <c r="H2669" s="54"/>
      <c r="I2669" s="53"/>
      <c r="J2669" s="53"/>
      <c r="K2669" s="23"/>
      <c r="L2669" s="53"/>
      <c r="M2669" s="54"/>
    </row>
    <row r="2670">
      <c r="A2670" s="23"/>
      <c r="B2670" s="52"/>
      <c r="C2670" s="53"/>
      <c r="D2670" s="23"/>
      <c r="E2670" s="53"/>
      <c r="F2670" s="54"/>
      <c r="G2670" s="23"/>
      <c r="H2670" s="54"/>
      <c r="I2670" s="53"/>
      <c r="J2670" s="23"/>
      <c r="K2670" s="23"/>
      <c r="L2670" s="53"/>
      <c r="M2670" s="54"/>
    </row>
    <row r="2671">
      <c r="A2671" s="23"/>
      <c r="B2671" s="52"/>
      <c r="C2671" s="53"/>
      <c r="D2671" s="23"/>
      <c r="E2671" s="53"/>
      <c r="F2671" s="54"/>
      <c r="G2671" s="23"/>
      <c r="H2671" s="54"/>
      <c r="I2671" s="53"/>
      <c r="J2671" s="23"/>
      <c r="K2671" s="23"/>
      <c r="L2671" s="53"/>
      <c r="M2671" s="54"/>
    </row>
    <row r="2672">
      <c r="A2672" s="23"/>
      <c r="B2672" s="52"/>
      <c r="C2672" s="53"/>
      <c r="D2672" s="23"/>
      <c r="E2672" s="53"/>
      <c r="F2672" s="54"/>
      <c r="G2672" s="23"/>
      <c r="H2672" s="54"/>
      <c r="I2672" s="53"/>
      <c r="J2672" s="53"/>
      <c r="K2672" s="23"/>
      <c r="L2672" s="53"/>
      <c r="M2672" s="54"/>
    </row>
    <row r="2673">
      <c r="A2673" s="23"/>
      <c r="B2673" s="52"/>
      <c r="C2673" s="53"/>
      <c r="D2673" s="23"/>
      <c r="E2673" s="53"/>
      <c r="F2673" s="54"/>
      <c r="G2673" s="23"/>
      <c r="H2673" s="54"/>
      <c r="I2673" s="53"/>
      <c r="J2673" s="53"/>
      <c r="K2673" s="23"/>
      <c r="L2673" s="53"/>
      <c r="M2673" s="54"/>
    </row>
    <row r="2674">
      <c r="A2674" s="23"/>
      <c r="B2674" s="52"/>
      <c r="C2674" s="53"/>
      <c r="D2674" s="23"/>
      <c r="E2674" s="53"/>
      <c r="F2674" s="54"/>
      <c r="G2674" s="54"/>
      <c r="H2674" s="54"/>
      <c r="I2674" s="53"/>
      <c r="J2674" s="53"/>
      <c r="K2674" s="23"/>
      <c r="L2674" s="53"/>
      <c r="M2674" s="54"/>
    </row>
    <row r="2675">
      <c r="A2675" s="23"/>
      <c r="B2675" s="52"/>
      <c r="C2675" s="53"/>
      <c r="D2675" s="23"/>
      <c r="E2675" s="53"/>
      <c r="F2675" s="54"/>
      <c r="G2675" s="54"/>
      <c r="H2675" s="54"/>
      <c r="I2675" s="53"/>
      <c r="J2675" s="53"/>
      <c r="K2675" s="23"/>
      <c r="L2675" s="53"/>
      <c r="M2675" s="54"/>
    </row>
    <row r="2676">
      <c r="A2676" s="23"/>
      <c r="B2676" s="52"/>
      <c r="C2676" s="53"/>
      <c r="D2676" s="23"/>
      <c r="E2676" s="53"/>
      <c r="F2676" s="54"/>
      <c r="G2676" s="54"/>
      <c r="H2676" s="54"/>
      <c r="I2676" s="53"/>
      <c r="J2676" s="53"/>
      <c r="K2676" s="23"/>
      <c r="L2676" s="53"/>
      <c r="M2676" s="54"/>
    </row>
    <row r="2677">
      <c r="A2677" s="23"/>
      <c r="B2677" s="52"/>
      <c r="C2677" s="53"/>
      <c r="D2677" s="23"/>
      <c r="E2677" s="53"/>
      <c r="F2677" s="54"/>
      <c r="G2677" s="23"/>
      <c r="H2677" s="54"/>
      <c r="I2677" s="53"/>
      <c r="J2677" s="53"/>
      <c r="K2677" s="23"/>
      <c r="L2677" s="53"/>
      <c r="M2677" s="54"/>
    </row>
    <row r="2678">
      <c r="A2678" s="23"/>
      <c r="B2678" s="52"/>
      <c r="C2678" s="53"/>
      <c r="D2678" s="23"/>
      <c r="E2678" s="53"/>
      <c r="F2678" s="54"/>
      <c r="G2678" s="54"/>
      <c r="H2678" s="54"/>
      <c r="I2678" s="53"/>
      <c r="J2678" s="53"/>
      <c r="K2678" s="23"/>
      <c r="L2678" s="53"/>
      <c r="M2678" s="54"/>
    </row>
    <row r="2679">
      <c r="A2679" s="23"/>
      <c r="B2679" s="52"/>
      <c r="C2679" s="53"/>
      <c r="D2679" s="23"/>
      <c r="E2679" s="53"/>
      <c r="F2679" s="54"/>
      <c r="G2679" s="23"/>
      <c r="H2679" s="54"/>
      <c r="I2679" s="53"/>
      <c r="J2679" s="23"/>
      <c r="K2679" s="23"/>
      <c r="L2679" s="53"/>
      <c r="M2679" s="54"/>
    </row>
    <row r="2680">
      <c r="A2680" s="23"/>
      <c r="B2680" s="52"/>
      <c r="C2680" s="53"/>
      <c r="D2680" s="23"/>
      <c r="E2680" s="53"/>
      <c r="F2680" s="54"/>
      <c r="G2680" s="54"/>
      <c r="H2680" s="54"/>
      <c r="I2680" s="53"/>
      <c r="J2680" s="53"/>
      <c r="K2680" s="23"/>
      <c r="L2680" s="53"/>
      <c r="M2680" s="54"/>
    </row>
    <row r="2681">
      <c r="A2681" s="23"/>
      <c r="B2681" s="52"/>
      <c r="C2681" s="53"/>
      <c r="D2681" s="23"/>
      <c r="E2681" s="53"/>
      <c r="F2681" s="54"/>
      <c r="G2681" s="54"/>
      <c r="H2681" s="54"/>
      <c r="I2681" s="53"/>
      <c r="J2681" s="53"/>
      <c r="K2681" s="23"/>
      <c r="L2681" s="53"/>
      <c r="M2681" s="54"/>
    </row>
    <row r="2682">
      <c r="A2682" s="23"/>
      <c r="B2682" s="52"/>
      <c r="C2682" s="53"/>
      <c r="D2682" s="23"/>
      <c r="E2682" s="53"/>
      <c r="F2682" s="54"/>
      <c r="G2682" s="54"/>
      <c r="H2682" s="54"/>
      <c r="I2682" s="53"/>
      <c r="J2682" s="53"/>
      <c r="K2682" s="23"/>
      <c r="L2682" s="53"/>
      <c r="M2682" s="54"/>
    </row>
    <row r="2683">
      <c r="A2683" s="23"/>
      <c r="B2683" s="52"/>
      <c r="C2683" s="53"/>
      <c r="D2683" s="23"/>
      <c r="E2683" s="53"/>
      <c r="F2683" s="54"/>
      <c r="G2683" s="54"/>
      <c r="H2683" s="54"/>
      <c r="I2683" s="53"/>
      <c r="J2683" s="53"/>
      <c r="K2683" s="23"/>
      <c r="L2683" s="53"/>
      <c r="M2683" s="54"/>
    </row>
    <row r="2684">
      <c r="A2684" s="23"/>
      <c r="B2684" s="52"/>
      <c r="C2684" s="53"/>
      <c r="D2684" s="23"/>
      <c r="E2684" s="53"/>
      <c r="F2684" s="54"/>
      <c r="G2684" s="23"/>
      <c r="H2684" s="54"/>
      <c r="I2684" s="53"/>
      <c r="J2684" s="23"/>
      <c r="K2684" s="23"/>
      <c r="L2684" s="53"/>
      <c r="M2684" s="54"/>
    </row>
    <row r="2685">
      <c r="A2685" s="23"/>
      <c r="B2685" s="52"/>
      <c r="C2685" s="53"/>
      <c r="D2685" s="23"/>
      <c r="E2685" s="53"/>
      <c r="F2685" s="54"/>
      <c r="G2685" s="23"/>
      <c r="H2685" s="54"/>
      <c r="I2685" s="53"/>
      <c r="J2685" s="23"/>
      <c r="K2685" s="23"/>
      <c r="L2685" s="53"/>
      <c r="M2685" s="54"/>
    </row>
    <row r="2686">
      <c r="A2686" s="23"/>
      <c r="B2686" s="52"/>
      <c r="C2686" s="53"/>
      <c r="D2686" s="23"/>
      <c r="E2686" s="53"/>
      <c r="F2686" s="54"/>
      <c r="G2686" s="54"/>
      <c r="H2686" s="54"/>
      <c r="I2686" s="53"/>
      <c r="J2686" s="53"/>
      <c r="K2686" s="23"/>
      <c r="L2686" s="53"/>
      <c r="M2686" s="54"/>
    </row>
    <row r="2687">
      <c r="A2687" s="23"/>
      <c r="B2687" s="52"/>
      <c r="C2687" s="53"/>
      <c r="D2687" s="23"/>
      <c r="E2687" s="53"/>
      <c r="F2687" s="54"/>
      <c r="G2687" s="54"/>
      <c r="H2687" s="54"/>
      <c r="I2687" s="53"/>
      <c r="J2687" s="53"/>
      <c r="K2687" s="23"/>
      <c r="L2687" s="53"/>
      <c r="M2687" s="54"/>
    </row>
    <row r="2688">
      <c r="A2688" s="23"/>
      <c r="B2688" s="52"/>
      <c r="C2688" s="53"/>
      <c r="D2688" s="23"/>
      <c r="E2688" s="53"/>
      <c r="F2688" s="54"/>
      <c r="G2688" s="54"/>
      <c r="H2688" s="54"/>
      <c r="I2688" s="53"/>
      <c r="J2688" s="53"/>
      <c r="K2688" s="23"/>
      <c r="L2688" s="53"/>
      <c r="M2688" s="54"/>
    </row>
    <row r="2689">
      <c r="A2689" s="23"/>
      <c r="B2689" s="52"/>
      <c r="C2689" s="53"/>
      <c r="D2689" s="23"/>
      <c r="E2689" s="53"/>
      <c r="F2689" s="54"/>
      <c r="G2689" s="23"/>
      <c r="H2689" s="54"/>
      <c r="I2689" s="53"/>
      <c r="J2689" s="23"/>
      <c r="K2689" s="23"/>
      <c r="L2689" s="53"/>
      <c r="M2689" s="54"/>
    </row>
    <row r="2690">
      <c r="A2690" s="23"/>
      <c r="B2690" s="52"/>
      <c r="C2690" s="53"/>
      <c r="D2690" s="23"/>
      <c r="E2690" s="53"/>
      <c r="F2690" s="54"/>
      <c r="G2690" s="54"/>
      <c r="H2690" s="54"/>
      <c r="I2690" s="53"/>
      <c r="J2690" s="53"/>
      <c r="K2690" s="23"/>
      <c r="L2690" s="53"/>
      <c r="M2690" s="54"/>
    </row>
    <row r="2691">
      <c r="A2691" s="23"/>
      <c r="B2691" s="52"/>
      <c r="C2691" s="53"/>
      <c r="D2691" s="23"/>
      <c r="E2691" s="53"/>
      <c r="F2691" s="54"/>
      <c r="G2691" s="54"/>
      <c r="H2691" s="54"/>
      <c r="I2691" s="53"/>
      <c r="J2691" s="53"/>
      <c r="K2691" s="23"/>
      <c r="L2691" s="53"/>
      <c r="M2691" s="54"/>
    </row>
    <row r="2692">
      <c r="A2692" s="23"/>
      <c r="B2692" s="52"/>
      <c r="C2692" s="53"/>
      <c r="D2692" s="23"/>
      <c r="E2692" s="53"/>
      <c r="F2692" s="54"/>
      <c r="G2692" s="54"/>
      <c r="H2692" s="54"/>
      <c r="I2692" s="53"/>
      <c r="J2692" s="53"/>
      <c r="K2692" s="23"/>
      <c r="L2692" s="53"/>
      <c r="M2692" s="54"/>
    </row>
    <row r="2693">
      <c r="A2693" s="23"/>
      <c r="B2693" s="52"/>
      <c r="C2693" s="53"/>
      <c r="D2693" s="23"/>
      <c r="E2693" s="53"/>
      <c r="F2693" s="54"/>
      <c r="G2693" s="54"/>
      <c r="H2693" s="54"/>
      <c r="I2693" s="53"/>
      <c r="J2693" s="53"/>
      <c r="K2693" s="23"/>
      <c r="L2693" s="53"/>
      <c r="M2693" s="54"/>
    </row>
    <row r="2694">
      <c r="A2694" s="23"/>
      <c r="B2694" s="52"/>
      <c r="C2694" s="53"/>
      <c r="D2694" s="23"/>
      <c r="E2694" s="53"/>
      <c r="F2694" s="54"/>
      <c r="G2694" s="23"/>
      <c r="H2694" s="54"/>
      <c r="I2694" s="53"/>
      <c r="J2694" s="53"/>
      <c r="K2694" s="23"/>
      <c r="L2694" s="53"/>
      <c r="M2694" s="54"/>
    </row>
    <row r="2695">
      <c r="A2695" s="23"/>
      <c r="B2695" s="52"/>
      <c r="C2695" s="53"/>
      <c r="D2695" s="23"/>
      <c r="E2695" s="53"/>
      <c r="F2695" s="54"/>
      <c r="G2695" s="54"/>
      <c r="H2695" s="54"/>
      <c r="I2695" s="53"/>
      <c r="J2695" s="53"/>
      <c r="K2695" s="23"/>
      <c r="L2695" s="53"/>
      <c r="M2695" s="54"/>
    </row>
    <row r="2696">
      <c r="A2696" s="23"/>
      <c r="B2696" s="52"/>
      <c r="C2696" s="53"/>
      <c r="D2696" s="23"/>
      <c r="E2696" s="53"/>
      <c r="F2696" s="54"/>
      <c r="G2696" s="54"/>
      <c r="H2696" s="54"/>
      <c r="I2696" s="53"/>
      <c r="J2696" s="53"/>
      <c r="K2696" s="23"/>
      <c r="L2696" s="53"/>
      <c r="M2696" s="54"/>
    </row>
    <row r="2697">
      <c r="A2697" s="23"/>
      <c r="B2697" s="52"/>
      <c r="C2697" s="53"/>
      <c r="D2697" s="23"/>
      <c r="E2697" s="53"/>
      <c r="F2697" s="54"/>
      <c r="G2697" s="54"/>
      <c r="H2697" s="54"/>
      <c r="I2697" s="53"/>
      <c r="J2697" s="53"/>
      <c r="K2697" s="23"/>
      <c r="L2697" s="53"/>
      <c r="M2697" s="54"/>
    </row>
    <row r="2698">
      <c r="A2698" s="23"/>
      <c r="B2698" s="52"/>
      <c r="C2698" s="53"/>
      <c r="D2698" s="23"/>
      <c r="E2698" s="53"/>
      <c r="F2698" s="54"/>
      <c r="G2698" s="54"/>
      <c r="H2698" s="54"/>
      <c r="I2698" s="53"/>
      <c r="J2698" s="53"/>
      <c r="K2698" s="23"/>
      <c r="L2698" s="53"/>
      <c r="M2698" s="54"/>
    </row>
    <row r="2699">
      <c r="A2699" s="23"/>
      <c r="B2699" s="52"/>
      <c r="C2699" s="53"/>
      <c r="D2699" s="23"/>
      <c r="E2699" s="53"/>
      <c r="F2699" s="54"/>
      <c r="G2699" s="54"/>
      <c r="H2699" s="54"/>
      <c r="I2699" s="53"/>
      <c r="J2699" s="53"/>
      <c r="K2699" s="23"/>
      <c r="L2699" s="53"/>
      <c r="M2699" s="54"/>
    </row>
    <row r="2700">
      <c r="A2700" s="23"/>
      <c r="B2700" s="52"/>
      <c r="C2700" s="53"/>
      <c r="D2700" s="23"/>
      <c r="E2700" s="53"/>
      <c r="F2700" s="54"/>
      <c r="G2700" s="54"/>
      <c r="H2700" s="54"/>
      <c r="I2700" s="53"/>
      <c r="J2700" s="53"/>
      <c r="K2700" s="23"/>
      <c r="L2700" s="53"/>
      <c r="M2700" s="54"/>
    </row>
    <row r="2701">
      <c r="A2701" s="23"/>
      <c r="B2701" s="52"/>
      <c r="C2701" s="53"/>
      <c r="D2701" s="23"/>
      <c r="E2701" s="53"/>
      <c r="F2701" s="54"/>
      <c r="G2701" s="54"/>
      <c r="H2701" s="54"/>
      <c r="I2701" s="53"/>
      <c r="J2701" s="53"/>
      <c r="K2701" s="23"/>
      <c r="L2701" s="53"/>
      <c r="M2701" s="54"/>
    </row>
    <row r="2702">
      <c r="A2702" s="23"/>
      <c r="B2702" s="52"/>
      <c r="C2702" s="53"/>
      <c r="D2702" s="23"/>
      <c r="E2702" s="53"/>
      <c r="F2702" s="54"/>
      <c r="G2702" s="54"/>
      <c r="H2702" s="54"/>
      <c r="I2702" s="53"/>
      <c r="J2702" s="53"/>
      <c r="K2702" s="23"/>
      <c r="L2702" s="53"/>
      <c r="M2702" s="54"/>
    </row>
    <row r="2703">
      <c r="A2703" s="23"/>
      <c r="B2703" s="52"/>
      <c r="C2703" s="53"/>
      <c r="D2703" s="23"/>
      <c r="E2703" s="53"/>
      <c r="F2703" s="54"/>
      <c r="G2703" s="54"/>
      <c r="H2703" s="54"/>
      <c r="I2703" s="53"/>
      <c r="J2703" s="53"/>
      <c r="K2703" s="23"/>
      <c r="L2703" s="53"/>
      <c r="M2703" s="54"/>
    </row>
    <row r="2704">
      <c r="A2704" s="23"/>
      <c r="B2704" s="52"/>
      <c r="C2704" s="53"/>
      <c r="D2704" s="23"/>
      <c r="E2704" s="53"/>
      <c r="F2704" s="54"/>
      <c r="G2704" s="23"/>
      <c r="H2704" s="54"/>
      <c r="I2704" s="53"/>
      <c r="J2704" s="23"/>
      <c r="K2704" s="23"/>
      <c r="L2704" s="53"/>
      <c r="M2704" s="54"/>
    </row>
    <row r="2705">
      <c r="A2705" s="23"/>
      <c r="B2705" s="52"/>
      <c r="C2705" s="53"/>
      <c r="D2705" s="23"/>
      <c r="E2705" s="53"/>
      <c r="F2705" s="54"/>
      <c r="G2705" s="54"/>
      <c r="H2705" s="54"/>
      <c r="I2705" s="53"/>
      <c r="J2705" s="53"/>
      <c r="K2705" s="23"/>
      <c r="L2705" s="53"/>
      <c r="M2705" s="54"/>
    </row>
    <row r="2706">
      <c r="A2706" s="23"/>
      <c r="B2706" s="52"/>
      <c r="C2706" s="53"/>
      <c r="D2706" s="23"/>
      <c r="E2706" s="53"/>
      <c r="F2706" s="54"/>
      <c r="G2706" s="54"/>
      <c r="H2706" s="54"/>
      <c r="I2706" s="53"/>
      <c r="J2706" s="53"/>
      <c r="K2706" s="23"/>
      <c r="L2706" s="53"/>
      <c r="M2706" s="54"/>
    </row>
    <row r="2707">
      <c r="A2707" s="23"/>
      <c r="B2707" s="52"/>
      <c r="C2707" s="53"/>
      <c r="D2707" s="23"/>
      <c r="E2707" s="53"/>
      <c r="F2707" s="54"/>
      <c r="G2707" s="54"/>
      <c r="H2707" s="54"/>
      <c r="I2707" s="53"/>
      <c r="J2707" s="53"/>
      <c r="K2707" s="23"/>
      <c r="L2707" s="53"/>
      <c r="M2707" s="54"/>
    </row>
    <row r="2708">
      <c r="A2708" s="23"/>
      <c r="B2708" s="52"/>
      <c r="C2708" s="53"/>
      <c r="D2708" s="23"/>
      <c r="E2708" s="53"/>
      <c r="F2708" s="54"/>
      <c r="G2708" s="54"/>
      <c r="H2708" s="54"/>
      <c r="I2708" s="53"/>
      <c r="J2708" s="53"/>
      <c r="K2708" s="23"/>
      <c r="L2708" s="53"/>
      <c r="M2708" s="54"/>
    </row>
    <row r="2709">
      <c r="A2709" s="23"/>
      <c r="B2709" s="52"/>
      <c r="C2709" s="53"/>
      <c r="D2709" s="23"/>
      <c r="E2709" s="53"/>
      <c r="F2709" s="54"/>
      <c r="G2709" s="54"/>
      <c r="H2709" s="54"/>
      <c r="I2709" s="53"/>
      <c r="J2709" s="53"/>
      <c r="K2709" s="23"/>
      <c r="L2709" s="53"/>
      <c r="M2709" s="54"/>
    </row>
    <row r="2710">
      <c r="A2710" s="23"/>
      <c r="B2710" s="52"/>
      <c r="C2710" s="53"/>
      <c r="D2710" s="23"/>
      <c r="E2710" s="53"/>
      <c r="F2710" s="54"/>
      <c r="G2710" s="23"/>
      <c r="H2710" s="54"/>
      <c r="I2710" s="53"/>
      <c r="J2710" s="53"/>
      <c r="K2710" s="23"/>
      <c r="L2710" s="53"/>
      <c r="M2710" s="54"/>
    </row>
    <row r="2711">
      <c r="A2711" s="23"/>
      <c r="B2711" s="52"/>
      <c r="C2711" s="53"/>
      <c r="D2711" s="23"/>
      <c r="E2711" s="53"/>
      <c r="F2711" s="54"/>
      <c r="G2711" s="54"/>
      <c r="H2711" s="54"/>
      <c r="I2711" s="53"/>
      <c r="J2711" s="53"/>
      <c r="K2711" s="23"/>
      <c r="L2711" s="53"/>
      <c r="M2711" s="54"/>
    </row>
    <row r="2712">
      <c r="A2712" s="23"/>
      <c r="B2712" s="52"/>
      <c r="C2712" s="53"/>
      <c r="D2712" s="23"/>
      <c r="E2712" s="53"/>
      <c r="F2712" s="54"/>
      <c r="G2712" s="54"/>
      <c r="H2712" s="54"/>
      <c r="I2712" s="53"/>
      <c r="J2712" s="53"/>
      <c r="K2712" s="23"/>
      <c r="L2712" s="53"/>
      <c r="M2712" s="54"/>
    </row>
    <row r="2713">
      <c r="A2713" s="23"/>
      <c r="B2713" s="52"/>
      <c r="C2713" s="53"/>
      <c r="D2713" s="23"/>
      <c r="E2713" s="53"/>
      <c r="F2713" s="54"/>
      <c r="G2713" s="54"/>
      <c r="H2713" s="54"/>
      <c r="I2713" s="53"/>
      <c r="J2713" s="53"/>
      <c r="K2713" s="23"/>
      <c r="L2713" s="53"/>
      <c r="M2713" s="54"/>
    </row>
    <row r="2714">
      <c r="A2714" s="23"/>
      <c r="B2714" s="52"/>
      <c r="C2714" s="53"/>
      <c r="D2714" s="23"/>
      <c r="E2714" s="53"/>
      <c r="F2714" s="54"/>
      <c r="G2714" s="54"/>
      <c r="H2714" s="54"/>
      <c r="I2714" s="53"/>
      <c r="J2714" s="53"/>
      <c r="K2714" s="23"/>
      <c r="L2714" s="53"/>
      <c r="M2714" s="54"/>
    </row>
    <row r="2715">
      <c r="A2715" s="23"/>
      <c r="B2715" s="52"/>
      <c r="C2715" s="53"/>
      <c r="D2715" s="23"/>
      <c r="E2715" s="53"/>
      <c r="F2715" s="54"/>
      <c r="G2715" s="23"/>
      <c r="H2715" s="54"/>
      <c r="I2715" s="53"/>
      <c r="J2715" s="53"/>
      <c r="K2715" s="23"/>
      <c r="L2715" s="53"/>
      <c r="M2715" s="54"/>
    </row>
    <row r="2716">
      <c r="A2716" s="23"/>
      <c r="B2716" s="52"/>
      <c r="C2716" s="53"/>
      <c r="D2716" s="23"/>
      <c r="E2716" s="53"/>
      <c r="F2716" s="54"/>
      <c r="G2716" s="23"/>
      <c r="H2716" s="54"/>
      <c r="I2716" s="53"/>
      <c r="J2716" s="23"/>
      <c r="K2716" s="23"/>
      <c r="L2716" s="53"/>
      <c r="M2716" s="54"/>
    </row>
    <row r="2717">
      <c r="A2717" s="23"/>
      <c r="B2717" s="52"/>
      <c r="C2717" s="53"/>
      <c r="D2717" s="23"/>
      <c r="E2717" s="53"/>
      <c r="F2717" s="54"/>
      <c r="G2717" s="54"/>
      <c r="H2717" s="54"/>
      <c r="I2717" s="53"/>
      <c r="J2717" s="53"/>
      <c r="K2717" s="23"/>
      <c r="L2717" s="53"/>
      <c r="M2717" s="54"/>
    </row>
    <row r="2718">
      <c r="A2718" s="23"/>
      <c r="B2718" s="52"/>
      <c r="C2718" s="53"/>
      <c r="D2718" s="23"/>
      <c r="E2718" s="53"/>
      <c r="F2718" s="54"/>
      <c r="G2718" s="23"/>
      <c r="H2718" s="54"/>
      <c r="I2718" s="53"/>
      <c r="J2718" s="23"/>
      <c r="K2718" s="23"/>
      <c r="L2718" s="53"/>
      <c r="M2718" s="54"/>
    </row>
    <row r="2719">
      <c r="A2719" s="23"/>
      <c r="B2719" s="52"/>
      <c r="C2719" s="53"/>
      <c r="D2719" s="23"/>
      <c r="E2719" s="53"/>
      <c r="F2719" s="54"/>
      <c r="G2719" s="54"/>
      <c r="H2719" s="54"/>
      <c r="I2719" s="53"/>
      <c r="J2719" s="53"/>
      <c r="K2719" s="23"/>
      <c r="L2719" s="53"/>
      <c r="M2719" s="54"/>
    </row>
    <row r="2720">
      <c r="A2720" s="23"/>
      <c r="B2720" s="52"/>
      <c r="C2720" s="53"/>
      <c r="D2720" s="23"/>
      <c r="E2720" s="53"/>
      <c r="F2720" s="54"/>
      <c r="G2720" s="23"/>
      <c r="H2720" s="54"/>
      <c r="I2720" s="53"/>
      <c r="J2720" s="53"/>
      <c r="K2720" s="23"/>
      <c r="L2720" s="53"/>
      <c r="M2720" s="54"/>
    </row>
    <row r="2721">
      <c r="A2721" s="23"/>
      <c r="B2721" s="52"/>
      <c r="C2721" s="53"/>
      <c r="D2721" s="23"/>
      <c r="E2721" s="53"/>
      <c r="F2721" s="54"/>
      <c r="G2721" s="54"/>
      <c r="H2721" s="54"/>
      <c r="I2721" s="53"/>
      <c r="J2721" s="53"/>
      <c r="K2721" s="23"/>
      <c r="L2721" s="53"/>
      <c r="M2721" s="54"/>
    </row>
    <row r="2722">
      <c r="A2722" s="23"/>
      <c r="B2722" s="52"/>
      <c r="C2722" s="53"/>
      <c r="D2722" s="23"/>
      <c r="E2722" s="53"/>
      <c r="F2722" s="54"/>
      <c r="G2722" s="54"/>
      <c r="H2722" s="54"/>
      <c r="I2722" s="53"/>
      <c r="J2722" s="53"/>
      <c r="K2722" s="23"/>
      <c r="L2722" s="53"/>
      <c r="M2722" s="54"/>
    </row>
    <row r="2723">
      <c r="A2723" s="23"/>
      <c r="B2723" s="52"/>
      <c r="C2723" s="53"/>
      <c r="D2723" s="23"/>
      <c r="E2723" s="53"/>
      <c r="F2723" s="54"/>
      <c r="G2723" s="54"/>
      <c r="H2723" s="54"/>
      <c r="I2723" s="53"/>
      <c r="J2723" s="53"/>
      <c r="K2723" s="23"/>
      <c r="L2723" s="53"/>
      <c r="M2723" s="54"/>
    </row>
    <row r="2724">
      <c r="A2724" s="23"/>
      <c r="B2724" s="52"/>
      <c r="C2724" s="53"/>
      <c r="D2724" s="23"/>
      <c r="E2724" s="53"/>
      <c r="F2724" s="54"/>
      <c r="G2724" s="54"/>
      <c r="H2724" s="54"/>
      <c r="I2724" s="53"/>
      <c r="J2724" s="53"/>
      <c r="K2724" s="23"/>
      <c r="L2724" s="53"/>
      <c r="M2724" s="54"/>
    </row>
    <row r="2725">
      <c r="A2725" s="23"/>
      <c r="B2725" s="52"/>
      <c r="C2725" s="53"/>
      <c r="D2725" s="23"/>
      <c r="E2725" s="53"/>
      <c r="F2725" s="54"/>
      <c r="G2725" s="54"/>
      <c r="H2725" s="54"/>
      <c r="I2725" s="53"/>
      <c r="J2725" s="53"/>
      <c r="K2725" s="23"/>
      <c r="L2725" s="53"/>
      <c r="M2725" s="54"/>
    </row>
    <row r="2726">
      <c r="A2726" s="23"/>
      <c r="B2726" s="52"/>
      <c r="C2726" s="53"/>
      <c r="D2726" s="23"/>
      <c r="E2726" s="53"/>
      <c r="F2726" s="54"/>
      <c r="G2726" s="54"/>
      <c r="H2726" s="54"/>
      <c r="I2726" s="53"/>
      <c r="J2726" s="53"/>
      <c r="K2726" s="23"/>
      <c r="L2726" s="53"/>
      <c r="M2726" s="54"/>
    </row>
    <row r="2727">
      <c r="A2727" s="23"/>
      <c r="B2727" s="52"/>
      <c r="C2727" s="53"/>
      <c r="D2727" s="23"/>
      <c r="E2727" s="53"/>
      <c r="F2727" s="54"/>
      <c r="G2727" s="23"/>
      <c r="H2727" s="54"/>
      <c r="I2727" s="53"/>
      <c r="J2727" s="23"/>
      <c r="K2727" s="23"/>
      <c r="L2727" s="53"/>
      <c r="M2727" s="54"/>
    </row>
    <row r="2728">
      <c r="A2728" s="23"/>
      <c r="B2728" s="52"/>
      <c r="C2728" s="53"/>
      <c r="D2728" s="23"/>
      <c r="E2728" s="53"/>
      <c r="F2728" s="54"/>
      <c r="G2728" s="23"/>
      <c r="H2728" s="54"/>
      <c r="I2728" s="53"/>
      <c r="J2728" s="53"/>
      <c r="K2728" s="23"/>
      <c r="L2728" s="53"/>
      <c r="M2728" s="54"/>
    </row>
    <row r="2729">
      <c r="A2729" s="23"/>
      <c r="B2729" s="52"/>
      <c r="C2729" s="53"/>
      <c r="D2729" s="23"/>
      <c r="E2729" s="53"/>
      <c r="F2729" s="54"/>
      <c r="G2729" s="54"/>
      <c r="H2729" s="54"/>
      <c r="I2729" s="53"/>
      <c r="J2729" s="53"/>
      <c r="K2729" s="23"/>
      <c r="L2729" s="53"/>
      <c r="M2729" s="54"/>
    </row>
    <row r="2730">
      <c r="A2730" s="23"/>
      <c r="B2730" s="52"/>
      <c r="C2730" s="53"/>
      <c r="D2730" s="23"/>
      <c r="E2730" s="53"/>
      <c r="F2730" s="54"/>
      <c r="G2730" s="54"/>
      <c r="H2730" s="54"/>
      <c r="I2730" s="53"/>
      <c r="J2730" s="53"/>
      <c r="K2730" s="23"/>
      <c r="L2730" s="53"/>
      <c r="M2730" s="54"/>
    </row>
    <row r="2731">
      <c r="A2731" s="23"/>
      <c r="B2731" s="52"/>
      <c r="C2731" s="53"/>
      <c r="D2731" s="23"/>
      <c r="E2731" s="53"/>
      <c r="F2731" s="54"/>
      <c r="G2731" s="54"/>
      <c r="H2731" s="54"/>
      <c r="I2731" s="53"/>
      <c r="J2731" s="53"/>
      <c r="K2731" s="23"/>
      <c r="L2731" s="53"/>
      <c r="M2731" s="54"/>
    </row>
    <row r="2732">
      <c r="A2732" s="23"/>
      <c r="B2732" s="52"/>
      <c r="C2732" s="53"/>
      <c r="D2732" s="23"/>
      <c r="E2732" s="53"/>
      <c r="F2732" s="54"/>
      <c r="G2732" s="23"/>
      <c r="H2732" s="54"/>
      <c r="I2732" s="53"/>
      <c r="J2732" s="23"/>
      <c r="K2732" s="23"/>
      <c r="L2732" s="53"/>
      <c r="M2732" s="54"/>
    </row>
    <row r="2733">
      <c r="A2733" s="23"/>
      <c r="B2733" s="52"/>
      <c r="C2733" s="53"/>
      <c r="D2733" s="23"/>
      <c r="E2733" s="53"/>
      <c r="F2733" s="54"/>
      <c r="G2733" s="54"/>
      <c r="H2733" s="54"/>
      <c r="I2733" s="53"/>
      <c r="J2733" s="53"/>
      <c r="K2733" s="23"/>
      <c r="L2733" s="53"/>
      <c r="M2733" s="54"/>
    </row>
    <row r="2734">
      <c r="A2734" s="23"/>
      <c r="B2734" s="52"/>
      <c r="C2734" s="53"/>
      <c r="D2734" s="23"/>
      <c r="E2734" s="53"/>
      <c r="F2734" s="54"/>
      <c r="G2734" s="23"/>
      <c r="H2734" s="54"/>
      <c r="I2734" s="53"/>
      <c r="J2734" s="53"/>
      <c r="K2734" s="23"/>
      <c r="L2734" s="53"/>
      <c r="M2734" s="54"/>
    </row>
    <row r="2735">
      <c r="A2735" s="23"/>
      <c r="B2735" s="52"/>
      <c r="C2735" s="53"/>
      <c r="D2735" s="23"/>
      <c r="E2735" s="53"/>
      <c r="F2735" s="54"/>
      <c r="G2735" s="54"/>
      <c r="H2735" s="54"/>
      <c r="I2735" s="53"/>
      <c r="J2735" s="53"/>
      <c r="K2735" s="23"/>
      <c r="L2735" s="53"/>
      <c r="M2735" s="54"/>
    </row>
    <row r="2736">
      <c r="A2736" s="23"/>
      <c r="B2736" s="52"/>
      <c r="C2736" s="53"/>
      <c r="D2736" s="23"/>
      <c r="E2736" s="53"/>
      <c r="F2736" s="54"/>
      <c r="G2736" s="23"/>
      <c r="H2736" s="54"/>
      <c r="I2736" s="53"/>
      <c r="J2736" s="53"/>
      <c r="K2736" s="23"/>
      <c r="L2736" s="53"/>
      <c r="M2736" s="54"/>
    </row>
    <row r="2737">
      <c r="A2737" s="23"/>
      <c r="B2737" s="52"/>
      <c r="C2737" s="53"/>
      <c r="D2737" s="23"/>
      <c r="E2737" s="53"/>
      <c r="F2737" s="54"/>
      <c r="G2737" s="23"/>
      <c r="H2737" s="54"/>
      <c r="I2737" s="53"/>
      <c r="J2737" s="23"/>
      <c r="K2737" s="23"/>
      <c r="L2737" s="53"/>
      <c r="M2737" s="54"/>
    </row>
    <row r="2738">
      <c r="A2738" s="23"/>
      <c r="B2738" s="52"/>
      <c r="C2738" s="53"/>
      <c r="D2738" s="23"/>
      <c r="E2738" s="53"/>
      <c r="F2738" s="54"/>
      <c r="G2738" s="23"/>
      <c r="H2738" s="54"/>
      <c r="I2738" s="53"/>
      <c r="J2738" s="53"/>
      <c r="K2738" s="23"/>
      <c r="L2738" s="53"/>
      <c r="M2738" s="54"/>
    </row>
    <row r="2739">
      <c r="A2739" s="23"/>
      <c r="B2739" s="52"/>
      <c r="C2739" s="53"/>
      <c r="D2739" s="23"/>
      <c r="E2739" s="53"/>
      <c r="F2739" s="54"/>
      <c r="G2739" s="54"/>
      <c r="H2739" s="54"/>
      <c r="I2739" s="53"/>
      <c r="J2739" s="53"/>
      <c r="K2739" s="23"/>
      <c r="L2739" s="53"/>
      <c r="M2739" s="54"/>
    </row>
    <row r="2740">
      <c r="A2740" s="23"/>
      <c r="B2740" s="52"/>
      <c r="C2740" s="53"/>
      <c r="D2740" s="23"/>
      <c r="E2740" s="53"/>
      <c r="F2740" s="54"/>
      <c r="G2740" s="54"/>
      <c r="H2740" s="54"/>
      <c r="I2740" s="53"/>
      <c r="J2740" s="53"/>
      <c r="K2740" s="23"/>
      <c r="L2740" s="53"/>
      <c r="M2740" s="54"/>
    </row>
    <row r="2741">
      <c r="A2741" s="23"/>
      <c r="B2741" s="52"/>
      <c r="C2741" s="53"/>
      <c r="D2741" s="23"/>
      <c r="E2741" s="53"/>
      <c r="F2741" s="54"/>
      <c r="G2741" s="54"/>
      <c r="H2741" s="54"/>
      <c r="I2741" s="53"/>
      <c r="J2741" s="53"/>
      <c r="K2741" s="23"/>
      <c r="L2741" s="53"/>
      <c r="M2741" s="54"/>
    </row>
    <row r="2742">
      <c r="A2742" s="23"/>
      <c r="B2742" s="52"/>
      <c r="C2742" s="53"/>
      <c r="D2742" s="23"/>
      <c r="E2742" s="53"/>
      <c r="F2742" s="54"/>
      <c r="G2742" s="23"/>
      <c r="H2742" s="54"/>
      <c r="I2742" s="53"/>
      <c r="J2742" s="53"/>
      <c r="K2742" s="23"/>
      <c r="L2742" s="53"/>
      <c r="M2742" s="54"/>
    </row>
    <row r="2743">
      <c r="A2743" s="23"/>
      <c r="B2743" s="52"/>
      <c r="C2743" s="53"/>
      <c r="D2743" s="23"/>
      <c r="E2743" s="53"/>
      <c r="F2743" s="54"/>
      <c r="G2743" s="23"/>
      <c r="H2743" s="54"/>
      <c r="I2743" s="53"/>
      <c r="J2743" s="53"/>
      <c r="K2743" s="23"/>
      <c r="L2743" s="53"/>
      <c r="M2743" s="54"/>
    </row>
    <row r="2744">
      <c r="A2744" s="23"/>
      <c r="B2744" s="52"/>
      <c r="C2744" s="53"/>
      <c r="D2744" s="23"/>
      <c r="E2744" s="53"/>
      <c r="F2744" s="54"/>
      <c r="G2744" s="23"/>
      <c r="H2744" s="54"/>
      <c r="I2744" s="53"/>
      <c r="J2744" s="53"/>
      <c r="K2744" s="23"/>
      <c r="L2744" s="53"/>
      <c r="M2744" s="54"/>
    </row>
    <row r="2745">
      <c r="A2745" s="23"/>
      <c r="B2745" s="52"/>
      <c r="C2745" s="53"/>
      <c r="D2745" s="23"/>
      <c r="E2745" s="53"/>
      <c r="F2745" s="54"/>
      <c r="G2745" s="54"/>
      <c r="H2745" s="54"/>
      <c r="I2745" s="53"/>
      <c r="J2745" s="53"/>
      <c r="K2745" s="23"/>
      <c r="L2745" s="53"/>
      <c r="M2745" s="54"/>
    </row>
    <row r="2746">
      <c r="A2746" s="23"/>
      <c r="B2746" s="52"/>
      <c r="C2746" s="53"/>
      <c r="D2746" s="23"/>
      <c r="E2746" s="53"/>
      <c r="F2746" s="54"/>
      <c r="G2746" s="54"/>
      <c r="H2746" s="54"/>
      <c r="I2746" s="53"/>
      <c r="J2746" s="53"/>
      <c r="K2746" s="23"/>
      <c r="L2746" s="53"/>
      <c r="M2746" s="54"/>
    </row>
    <row r="2747">
      <c r="A2747" s="23"/>
      <c r="B2747" s="52"/>
      <c r="C2747" s="53"/>
      <c r="D2747" s="23"/>
      <c r="E2747" s="53"/>
      <c r="F2747" s="54"/>
      <c r="G2747" s="54"/>
      <c r="H2747" s="54"/>
      <c r="I2747" s="53"/>
      <c r="J2747" s="53"/>
      <c r="K2747" s="23"/>
      <c r="L2747" s="53"/>
      <c r="M2747" s="54"/>
    </row>
    <row r="2748">
      <c r="A2748" s="23"/>
      <c r="B2748" s="52"/>
      <c r="C2748" s="53"/>
      <c r="D2748" s="23"/>
      <c r="E2748" s="53"/>
      <c r="F2748" s="54"/>
      <c r="G2748" s="23"/>
      <c r="H2748" s="54"/>
      <c r="I2748" s="53"/>
      <c r="J2748" s="23"/>
      <c r="K2748" s="23"/>
      <c r="L2748" s="53"/>
      <c r="M2748" s="54"/>
    </row>
    <row r="2749">
      <c r="A2749" s="23"/>
      <c r="B2749" s="52"/>
      <c r="C2749" s="53"/>
      <c r="D2749" s="23"/>
      <c r="E2749" s="53"/>
      <c r="F2749" s="54"/>
      <c r="G2749" s="23"/>
      <c r="H2749" s="54"/>
      <c r="I2749" s="53"/>
      <c r="J2749" s="23"/>
      <c r="K2749" s="23"/>
      <c r="L2749" s="53"/>
      <c r="M2749" s="54"/>
    </row>
    <row r="2750">
      <c r="A2750" s="23"/>
      <c r="B2750" s="52"/>
      <c r="C2750" s="53"/>
      <c r="D2750" s="23"/>
      <c r="E2750" s="53"/>
      <c r="F2750" s="54"/>
      <c r="G2750" s="54"/>
      <c r="H2750" s="54"/>
      <c r="I2750" s="53"/>
      <c r="J2750" s="53"/>
      <c r="K2750" s="23"/>
      <c r="L2750" s="53"/>
      <c r="M2750" s="54"/>
    </row>
    <row r="2751">
      <c r="A2751" s="23"/>
      <c r="B2751" s="52"/>
      <c r="C2751" s="53"/>
      <c r="D2751" s="23"/>
      <c r="E2751" s="53"/>
      <c r="F2751" s="54"/>
      <c r="G2751" s="23"/>
      <c r="H2751" s="54"/>
      <c r="I2751" s="53"/>
      <c r="J2751" s="53"/>
      <c r="K2751" s="23"/>
      <c r="L2751" s="53"/>
      <c r="M2751" s="54"/>
    </row>
    <row r="2752">
      <c r="A2752" s="23"/>
      <c r="B2752" s="52"/>
      <c r="C2752" s="53"/>
      <c r="D2752" s="23"/>
      <c r="E2752" s="53"/>
      <c r="F2752" s="54"/>
      <c r="G2752" s="54"/>
      <c r="H2752" s="54"/>
      <c r="I2752" s="53"/>
      <c r="J2752" s="53"/>
      <c r="K2752" s="23"/>
      <c r="L2752" s="53"/>
      <c r="M2752" s="54"/>
    </row>
    <row r="2753">
      <c r="A2753" s="23"/>
      <c r="B2753" s="52"/>
      <c r="C2753" s="53"/>
      <c r="D2753" s="23"/>
      <c r="E2753" s="53"/>
      <c r="F2753" s="54"/>
      <c r="G2753" s="23"/>
      <c r="H2753" s="54"/>
      <c r="I2753" s="53"/>
      <c r="J2753" s="23"/>
      <c r="K2753" s="23"/>
      <c r="L2753" s="53"/>
      <c r="M2753" s="54"/>
    </row>
    <row r="2754">
      <c r="A2754" s="23"/>
      <c r="B2754" s="52"/>
      <c r="C2754" s="53"/>
      <c r="D2754" s="23"/>
      <c r="E2754" s="53"/>
      <c r="F2754" s="54"/>
      <c r="G2754" s="54"/>
      <c r="H2754" s="54"/>
      <c r="I2754" s="53"/>
      <c r="J2754" s="53"/>
      <c r="K2754" s="23"/>
      <c r="L2754" s="53"/>
      <c r="M2754" s="54"/>
    </row>
    <row r="2755">
      <c r="A2755" s="23"/>
      <c r="B2755" s="52"/>
      <c r="C2755" s="53"/>
      <c r="D2755" s="23"/>
      <c r="E2755" s="53"/>
      <c r="F2755" s="54"/>
      <c r="G2755" s="23"/>
      <c r="H2755" s="54"/>
      <c r="I2755" s="53"/>
      <c r="J2755" s="53"/>
      <c r="K2755" s="23"/>
      <c r="L2755" s="53"/>
      <c r="M2755" s="54"/>
    </row>
    <row r="2756">
      <c r="A2756" s="23"/>
      <c r="B2756" s="52"/>
      <c r="C2756" s="53"/>
      <c r="D2756" s="23"/>
      <c r="E2756" s="53"/>
      <c r="F2756" s="54"/>
      <c r="G2756" s="54"/>
      <c r="H2756" s="54"/>
      <c r="I2756" s="53"/>
      <c r="J2756" s="53"/>
      <c r="K2756" s="23"/>
      <c r="L2756" s="53"/>
      <c r="M2756" s="54"/>
    </row>
    <row r="2757">
      <c r="A2757" s="23"/>
      <c r="B2757" s="52"/>
      <c r="C2757" s="53"/>
      <c r="D2757" s="23"/>
      <c r="E2757" s="53"/>
      <c r="F2757" s="54"/>
      <c r="G2757" s="54"/>
      <c r="H2757" s="54"/>
      <c r="I2757" s="53"/>
      <c r="J2757" s="53"/>
      <c r="K2757" s="23"/>
      <c r="L2757" s="53"/>
      <c r="M2757" s="54"/>
    </row>
    <row r="2758">
      <c r="A2758" s="23"/>
      <c r="B2758" s="52"/>
      <c r="C2758" s="53"/>
      <c r="D2758" s="23"/>
      <c r="E2758" s="53"/>
      <c r="F2758" s="54"/>
      <c r="G2758" s="23"/>
      <c r="H2758" s="54"/>
      <c r="I2758" s="53"/>
      <c r="J2758" s="23"/>
      <c r="K2758" s="23"/>
      <c r="L2758" s="53"/>
      <c r="M2758" s="54"/>
    </row>
    <row r="2759">
      <c r="A2759" s="23"/>
      <c r="B2759" s="52"/>
      <c r="C2759" s="53"/>
      <c r="D2759" s="23"/>
      <c r="E2759" s="53"/>
      <c r="F2759" s="54"/>
      <c r="G2759" s="23"/>
      <c r="H2759" s="54"/>
      <c r="I2759" s="53"/>
      <c r="J2759" s="53"/>
      <c r="K2759" s="23"/>
      <c r="L2759" s="53"/>
      <c r="M2759" s="54"/>
    </row>
    <row r="2760">
      <c r="A2760" s="23"/>
      <c r="B2760" s="52"/>
      <c r="C2760" s="53"/>
      <c r="D2760" s="23"/>
      <c r="E2760" s="53"/>
      <c r="F2760" s="54"/>
      <c r="G2760" s="54"/>
      <c r="H2760" s="54"/>
      <c r="I2760" s="53"/>
      <c r="J2760" s="53"/>
      <c r="K2760" s="23"/>
      <c r="L2760" s="53"/>
      <c r="M2760" s="54"/>
    </row>
    <row r="2761">
      <c r="A2761" s="23"/>
      <c r="B2761" s="52"/>
      <c r="C2761" s="53"/>
      <c r="D2761" s="23"/>
      <c r="E2761" s="53"/>
      <c r="F2761" s="54"/>
      <c r="G2761" s="54"/>
      <c r="H2761" s="54"/>
      <c r="I2761" s="53"/>
      <c r="J2761" s="53"/>
      <c r="K2761" s="23"/>
      <c r="L2761" s="53"/>
      <c r="M2761" s="54"/>
    </row>
    <row r="2762">
      <c r="A2762" s="23"/>
      <c r="B2762" s="52"/>
      <c r="C2762" s="53"/>
      <c r="D2762" s="23"/>
      <c r="E2762" s="53"/>
      <c r="F2762" s="54"/>
      <c r="G2762" s="23"/>
      <c r="H2762" s="54"/>
      <c r="I2762" s="53"/>
      <c r="J2762" s="53"/>
      <c r="K2762" s="23"/>
      <c r="L2762" s="53"/>
      <c r="M2762" s="54"/>
    </row>
    <row r="2763">
      <c r="A2763" s="23"/>
      <c r="B2763" s="52"/>
      <c r="C2763" s="53"/>
      <c r="D2763" s="23"/>
      <c r="E2763" s="53"/>
      <c r="F2763" s="54"/>
      <c r="G2763" s="54"/>
      <c r="H2763" s="54"/>
      <c r="I2763" s="53"/>
      <c r="J2763" s="53"/>
      <c r="K2763" s="23"/>
      <c r="L2763" s="53"/>
      <c r="M2763" s="54"/>
    </row>
    <row r="2764">
      <c r="A2764" s="23"/>
      <c r="B2764" s="52"/>
      <c r="C2764" s="53"/>
      <c r="D2764" s="23"/>
      <c r="E2764" s="53"/>
      <c r="F2764" s="54"/>
      <c r="G2764" s="54"/>
      <c r="H2764" s="54"/>
      <c r="I2764" s="53"/>
      <c r="J2764" s="53"/>
      <c r="K2764" s="23"/>
      <c r="L2764" s="53"/>
      <c r="M2764" s="54"/>
    </row>
    <row r="2765">
      <c r="A2765" s="23"/>
      <c r="B2765" s="52"/>
      <c r="C2765" s="53"/>
      <c r="D2765" s="23"/>
      <c r="E2765" s="53"/>
      <c r="F2765" s="54"/>
      <c r="G2765" s="23"/>
      <c r="H2765" s="54"/>
      <c r="I2765" s="53"/>
      <c r="J2765" s="53"/>
      <c r="K2765" s="23"/>
      <c r="L2765" s="53"/>
      <c r="M2765" s="54"/>
    </row>
    <row r="2766">
      <c r="A2766" s="23"/>
      <c r="B2766" s="52"/>
      <c r="C2766" s="53"/>
      <c r="D2766" s="23"/>
      <c r="E2766" s="53"/>
      <c r="F2766" s="54"/>
      <c r="G2766" s="54"/>
      <c r="H2766" s="54"/>
      <c r="I2766" s="53"/>
      <c r="J2766" s="53"/>
      <c r="K2766" s="23"/>
      <c r="L2766" s="53"/>
      <c r="M2766" s="54"/>
    </row>
    <row r="2767">
      <c r="A2767" s="23"/>
      <c r="B2767" s="52"/>
      <c r="C2767" s="53"/>
      <c r="D2767" s="23"/>
      <c r="E2767" s="53"/>
      <c r="F2767" s="54"/>
      <c r="G2767" s="54"/>
      <c r="H2767" s="54"/>
      <c r="I2767" s="53"/>
      <c r="J2767" s="53"/>
      <c r="K2767" s="23"/>
      <c r="L2767" s="53"/>
      <c r="M2767" s="54"/>
    </row>
    <row r="2768">
      <c r="A2768" s="23"/>
      <c r="B2768" s="52"/>
      <c r="C2768" s="53"/>
      <c r="D2768" s="23"/>
      <c r="E2768" s="53"/>
      <c r="F2768" s="54"/>
      <c r="G2768" s="54"/>
      <c r="H2768" s="54"/>
      <c r="I2768" s="53"/>
      <c r="J2768" s="53"/>
      <c r="K2768" s="23"/>
      <c r="L2768" s="53"/>
      <c r="M2768" s="54"/>
    </row>
    <row r="2769">
      <c r="A2769" s="23"/>
      <c r="B2769" s="52"/>
      <c r="C2769" s="53"/>
      <c r="D2769" s="23"/>
      <c r="E2769" s="53"/>
      <c r="F2769" s="54"/>
      <c r="G2769" s="23"/>
      <c r="H2769" s="54"/>
      <c r="I2769" s="53"/>
      <c r="J2769" s="23"/>
      <c r="K2769" s="23"/>
      <c r="L2769" s="53"/>
      <c r="M2769" s="54"/>
    </row>
    <row r="2770">
      <c r="A2770" s="23"/>
      <c r="B2770" s="52"/>
      <c r="C2770" s="53"/>
      <c r="D2770" s="23"/>
      <c r="E2770" s="53"/>
      <c r="F2770" s="54"/>
      <c r="G2770" s="54"/>
      <c r="H2770" s="54"/>
      <c r="I2770" s="53"/>
      <c r="J2770" s="53"/>
      <c r="K2770" s="23"/>
      <c r="L2770" s="53"/>
      <c r="M2770" s="54"/>
    </row>
    <row r="2771">
      <c r="A2771" s="23"/>
      <c r="B2771" s="52"/>
      <c r="C2771" s="53"/>
      <c r="D2771" s="23"/>
      <c r="E2771" s="53"/>
      <c r="F2771" s="54"/>
      <c r="G2771" s="54"/>
      <c r="H2771" s="54"/>
      <c r="I2771" s="53"/>
      <c r="J2771" s="53"/>
      <c r="K2771" s="23"/>
      <c r="L2771" s="53"/>
      <c r="M2771" s="54"/>
    </row>
    <row r="2772">
      <c r="A2772" s="23"/>
      <c r="B2772" s="52"/>
      <c r="C2772" s="53"/>
      <c r="D2772" s="23"/>
      <c r="E2772" s="53"/>
      <c r="F2772" s="54"/>
      <c r="G2772" s="23"/>
      <c r="H2772" s="54"/>
      <c r="I2772" s="53"/>
      <c r="J2772" s="23"/>
      <c r="K2772" s="23"/>
      <c r="L2772" s="53"/>
      <c r="M2772" s="54"/>
    </row>
    <row r="2773">
      <c r="A2773" s="23"/>
      <c r="B2773" s="52"/>
      <c r="C2773" s="53"/>
      <c r="D2773" s="23"/>
      <c r="E2773" s="53"/>
      <c r="F2773" s="54"/>
      <c r="G2773" s="54"/>
      <c r="H2773" s="54"/>
      <c r="I2773" s="53"/>
      <c r="J2773" s="53"/>
      <c r="K2773" s="23"/>
      <c r="L2773" s="53"/>
      <c r="M2773" s="54"/>
    </row>
    <row r="2774">
      <c r="A2774" s="23"/>
      <c r="B2774" s="52"/>
      <c r="C2774" s="53"/>
      <c r="D2774" s="23"/>
      <c r="E2774" s="53"/>
      <c r="F2774" s="54"/>
      <c r="G2774" s="54"/>
      <c r="H2774" s="54"/>
      <c r="I2774" s="53"/>
      <c r="J2774" s="53"/>
      <c r="K2774" s="23"/>
      <c r="L2774" s="53"/>
      <c r="M2774" s="54"/>
    </row>
    <row r="2775">
      <c r="A2775" s="23"/>
      <c r="B2775" s="52"/>
      <c r="C2775" s="53"/>
      <c r="D2775" s="23"/>
      <c r="E2775" s="53"/>
      <c r="F2775" s="54"/>
      <c r="G2775" s="54"/>
      <c r="H2775" s="54"/>
      <c r="I2775" s="53"/>
      <c r="J2775" s="53"/>
      <c r="K2775" s="23"/>
      <c r="L2775" s="53"/>
      <c r="M2775" s="54"/>
    </row>
    <row r="2776">
      <c r="A2776" s="23"/>
      <c r="B2776" s="52"/>
      <c r="C2776" s="53"/>
      <c r="D2776" s="23"/>
      <c r="E2776" s="53"/>
      <c r="F2776" s="54"/>
      <c r="G2776" s="54"/>
      <c r="H2776" s="54"/>
      <c r="I2776" s="53"/>
      <c r="J2776" s="53"/>
      <c r="K2776" s="23"/>
      <c r="L2776" s="53"/>
      <c r="M2776" s="54"/>
    </row>
    <row r="2777">
      <c r="A2777" s="23"/>
      <c r="B2777" s="52"/>
      <c r="C2777" s="53"/>
      <c r="D2777" s="23"/>
      <c r="E2777" s="53"/>
      <c r="F2777" s="54"/>
      <c r="G2777" s="23"/>
      <c r="H2777" s="54"/>
      <c r="I2777" s="53"/>
      <c r="J2777" s="53"/>
      <c r="K2777" s="23"/>
      <c r="L2777" s="53"/>
      <c r="M2777" s="54"/>
    </row>
    <row r="2778">
      <c r="A2778" s="23"/>
      <c r="B2778" s="52"/>
      <c r="C2778" s="53"/>
      <c r="D2778" s="23"/>
      <c r="E2778" s="53"/>
      <c r="F2778" s="54"/>
      <c r="G2778" s="54"/>
      <c r="H2778" s="54"/>
      <c r="I2778" s="53"/>
      <c r="J2778" s="53"/>
      <c r="K2778" s="23"/>
      <c r="L2778" s="53"/>
      <c r="M2778" s="54"/>
    </row>
    <row r="2779">
      <c r="A2779" s="23"/>
      <c r="B2779" s="52"/>
      <c r="C2779" s="53"/>
      <c r="D2779" s="23"/>
      <c r="E2779" s="53"/>
      <c r="F2779" s="54"/>
      <c r="G2779" s="23"/>
      <c r="H2779" s="54"/>
      <c r="I2779" s="53"/>
      <c r="J2779" s="53"/>
      <c r="K2779" s="23"/>
      <c r="L2779" s="53"/>
      <c r="M2779" s="54"/>
    </row>
    <row r="2780">
      <c r="A2780" s="23"/>
      <c r="B2780" s="52"/>
      <c r="C2780" s="53"/>
      <c r="D2780" s="23"/>
      <c r="E2780" s="53"/>
      <c r="F2780" s="54"/>
      <c r="G2780" s="23"/>
      <c r="H2780" s="54"/>
      <c r="I2780" s="53"/>
      <c r="J2780" s="23"/>
      <c r="K2780" s="23"/>
      <c r="L2780" s="53"/>
      <c r="M2780" s="54"/>
    </row>
    <row r="2781">
      <c r="A2781" s="23"/>
      <c r="B2781" s="52"/>
      <c r="C2781" s="53"/>
      <c r="D2781" s="23"/>
      <c r="E2781" s="53"/>
      <c r="F2781" s="54"/>
      <c r="G2781" s="54"/>
      <c r="H2781" s="54"/>
      <c r="I2781" s="53"/>
      <c r="J2781" s="53"/>
      <c r="K2781" s="23"/>
      <c r="L2781" s="53"/>
      <c r="M2781" s="54"/>
    </row>
    <row r="2782">
      <c r="A2782" s="23"/>
      <c r="B2782" s="52"/>
      <c r="C2782" s="53"/>
      <c r="D2782" s="23"/>
      <c r="E2782" s="53"/>
      <c r="F2782" s="54"/>
      <c r="G2782" s="54"/>
      <c r="H2782" s="54"/>
      <c r="I2782" s="53"/>
      <c r="J2782" s="53"/>
      <c r="K2782" s="23"/>
      <c r="L2782" s="53"/>
      <c r="M2782" s="54"/>
    </row>
    <row r="2783">
      <c r="A2783" s="23"/>
      <c r="B2783" s="52"/>
      <c r="C2783" s="53"/>
      <c r="D2783" s="23"/>
      <c r="E2783" s="53"/>
      <c r="F2783" s="54"/>
      <c r="G2783" s="54"/>
      <c r="H2783" s="54"/>
      <c r="I2783" s="53"/>
      <c r="J2783" s="53"/>
      <c r="K2783" s="23"/>
      <c r="L2783" s="53"/>
      <c r="M2783" s="54"/>
    </row>
    <row r="2784">
      <c r="A2784" s="23"/>
      <c r="B2784" s="52"/>
      <c r="C2784" s="53"/>
      <c r="D2784" s="23"/>
      <c r="E2784" s="53"/>
      <c r="F2784" s="54"/>
      <c r="G2784" s="23"/>
      <c r="H2784" s="54"/>
      <c r="I2784" s="53"/>
      <c r="J2784" s="53"/>
      <c r="K2784" s="23"/>
      <c r="L2784" s="53"/>
      <c r="M2784" s="54"/>
    </row>
    <row r="2785">
      <c r="A2785" s="23"/>
      <c r="B2785" s="52"/>
      <c r="C2785" s="53"/>
      <c r="D2785" s="23"/>
      <c r="E2785" s="53"/>
      <c r="F2785" s="54"/>
      <c r="G2785" s="54"/>
      <c r="H2785" s="54"/>
      <c r="I2785" s="53"/>
      <c r="J2785" s="53"/>
      <c r="K2785" s="23"/>
      <c r="L2785" s="53"/>
      <c r="M2785" s="54"/>
    </row>
    <row r="2786">
      <c r="A2786" s="23"/>
      <c r="B2786" s="52"/>
      <c r="C2786" s="53"/>
      <c r="D2786" s="23"/>
      <c r="E2786" s="53"/>
      <c r="F2786" s="54"/>
      <c r="G2786" s="54"/>
      <c r="H2786" s="54"/>
      <c r="I2786" s="53"/>
      <c r="J2786" s="53"/>
      <c r="K2786" s="23"/>
      <c r="L2786" s="53"/>
      <c r="M2786" s="54"/>
    </row>
    <row r="2787">
      <c r="A2787" s="23"/>
      <c r="B2787" s="52"/>
      <c r="C2787" s="53"/>
      <c r="D2787" s="23"/>
      <c r="E2787" s="53"/>
      <c r="F2787" s="54"/>
      <c r="G2787" s="54"/>
      <c r="H2787" s="54"/>
      <c r="I2787" s="53"/>
      <c r="J2787" s="53"/>
      <c r="K2787" s="23"/>
      <c r="L2787" s="53"/>
      <c r="M2787" s="54"/>
    </row>
    <row r="2788">
      <c r="A2788" s="23"/>
      <c r="B2788" s="52"/>
      <c r="C2788" s="53"/>
      <c r="D2788" s="23"/>
      <c r="E2788" s="53"/>
      <c r="F2788" s="54"/>
      <c r="G2788" s="23"/>
      <c r="H2788" s="54"/>
      <c r="I2788" s="53"/>
      <c r="J2788" s="53"/>
      <c r="K2788" s="23"/>
      <c r="L2788" s="53"/>
      <c r="M2788" s="54"/>
    </row>
    <row r="2789">
      <c r="A2789" s="23"/>
      <c r="B2789" s="52"/>
      <c r="C2789" s="53"/>
      <c r="D2789" s="23"/>
      <c r="E2789" s="53"/>
      <c r="F2789" s="54"/>
      <c r="G2789" s="54"/>
      <c r="H2789" s="54"/>
      <c r="I2789" s="53"/>
      <c r="J2789" s="53"/>
      <c r="K2789" s="23"/>
      <c r="L2789" s="53"/>
      <c r="M2789" s="54"/>
    </row>
    <row r="2790">
      <c r="A2790" s="23"/>
      <c r="B2790" s="52"/>
      <c r="C2790" s="53"/>
      <c r="D2790" s="23"/>
      <c r="E2790" s="53"/>
      <c r="F2790" s="54"/>
      <c r="G2790" s="54"/>
      <c r="H2790" s="54"/>
      <c r="I2790" s="53"/>
      <c r="J2790" s="53"/>
      <c r="K2790" s="23"/>
      <c r="L2790" s="53"/>
      <c r="M2790" s="54"/>
    </row>
    <row r="2791">
      <c r="A2791" s="23"/>
      <c r="B2791" s="52"/>
      <c r="C2791" s="53"/>
      <c r="D2791" s="23"/>
      <c r="E2791" s="53"/>
      <c r="F2791" s="54"/>
      <c r="G2791" s="23"/>
      <c r="H2791" s="54"/>
      <c r="I2791" s="53"/>
      <c r="J2791" s="23"/>
      <c r="K2791" s="23"/>
      <c r="L2791" s="53"/>
      <c r="M2791" s="54"/>
    </row>
    <row r="2792">
      <c r="A2792" s="23"/>
      <c r="B2792" s="52"/>
      <c r="C2792" s="53"/>
      <c r="D2792" s="23"/>
      <c r="E2792" s="53"/>
      <c r="F2792" s="54"/>
      <c r="G2792" s="54"/>
      <c r="H2792" s="54"/>
      <c r="I2792" s="53"/>
      <c r="J2792" s="53"/>
      <c r="K2792" s="23"/>
      <c r="L2792" s="53"/>
      <c r="M2792" s="54"/>
    </row>
    <row r="2793">
      <c r="A2793" s="23"/>
      <c r="B2793" s="52"/>
      <c r="C2793" s="53"/>
      <c r="D2793" s="23"/>
      <c r="E2793" s="53"/>
      <c r="F2793" s="54"/>
      <c r="G2793" s="54"/>
      <c r="H2793" s="54"/>
      <c r="I2793" s="53"/>
      <c r="J2793" s="53"/>
      <c r="K2793" s="23"/>
      <c r="L2793" s="53"/>
      <c r="M2793" s="54"/>
    </row>
    <row r="2794">
      <c r="A2794" s="23"/>
      <c r="B2794" s="52"/>
      <c r="C2794" s="53"/>
      <c r="D2794" s="23"/>
      <c r="E2794" s="53"/>
      <c r="F2794" s="54"/>
      <c r="G2794" s="54"/>
      <c r="H2794" s="54"/>
      <c r="I2794" s="53"/>
      <c r="J2794" s="53"/>
      <c r="K2794" s="23"/>
      <c r="L2794" s="53"/>
      <c r="M2794" s="54"/>
    </row>
    <row r="2795">
      <c r="A2795" s="23"/>
      <c r="B2795" s="52"/>
      <c r="C2795" s="53"/>
      <c r="D2795" s="23"/>
      <c r="E2795" s="53"/>
      <c r="F2795" s="54"/>
      <c r="G2795" s="54"/>
      <c r="H2795" s="54"/>
      <c r="I2795" s="53"/>
      <c r="J2795" s="53"/>
      <c r="K2795" s="23"/>
      <c r="L2795" s="53"/>
      <c r="M2795" s="54"/>
    </row>
    <row r="2796">
      <c r="A2796" s="23"/>
      <c r="B2796" s="52"/>
      <c r="C2796" s="53"/>
      <c r="D2796" s="23"/>
      <c r="E2796" s="53"/>
      <c r="F2796" s="54"/>
      <c r="G2796" s="54"/>
      <c r="H2796" s="54"/>
      <c r="I2796" s="53"/>
      <c r="J2796" s="53"/>
      <c r="K2796" s="23"/>
      <c r="L2796" s="53"/>
      <c r="M2796" s="54"/>
    </row>
    <row r="2797">
      <c r="A2797" s="23"/>
      <c r="B2797" s="52"/>
      <c r="C2797" s="53"/>
      <c r="D2797" s="23"/>
      <c r="E2797" s="53"/>
      <c r="F2797" s="54"/>
      <c r="G2797" s="54"/>
      <c r="H2797" s="54"/>
      <c r="I2797" s="53"/>
      <c r="J2797" s="53"/>
      <c r="K2797" s="23"/>
      <c r="L2797" s="53"/>
      <c r="M2797" s="54"/>
    </row>
    <row r="2798">
      <c r="A2798" s="23"/>
      <c r="B2798" s="52"/>
      <c r="C2798" s="53"/>
      <c r="D2798" s="23"/>
      <c r="E2798" s="53"/>
      <c r="F2798" s="54"/>
      <c r="G2798" s="54"/>
      <c r="H2798" s="54"/>
      <c r="I2798" s="53"/>
      <c r="J2798" s="53"/>
      <c r="K2798" s="23"/>
      <c r="L2798" s="53"/>
      <c r="M2798" s="54"/>
    </row>
    <row r="2799">
      <c r="A2799" s="23"/>
      <c r="B2799" s="52"/>
      <c r="C2799" s="53"/>
      <c r="D2799" s="23"/>
      <c r="E2799" s="53"/>
      <c r="F2799" s="54"/>
      <c r="G2799" s="23"/>
      <c r="H2799" s="54"/>
      <c r="I2799" s="53"/>
      <c r="J2799" s="53"/>
      <c r="K2799" s="23"/>
      <c r="L2799" s="53"/>
      <c r="M2799" s="54"/>
    </row>
    <row r="2800">
      <c r="A2800" s="23"/>
      <c r="B2800" s="52"/>
      <c r="C2800" s="53"/>
      <c r="D2800" s="23"/>
      <c r="E2800" s="53"/>
      <c r="F2800" s="54"/>
      <c r="G2800" s="54"/>
      <c r="H2800" s="54"/>
      <c r="I2800" s="53"/>
      <c r="J2800" s="53"/>
      <c r="K2800" s="23"/>
      <c r="L2800" s="53"/>
      <c r="M2800" s="54"/>
    </row>
    <row r="2801">
      <c r="A2801" s="23"/>
      <c r="B2801" s="52"/>
      <c r="C2801" s="53"/>
      <c r="D2801" s="23"/>
      <c r="E2801" s="53"/>
      <c r="F2801" s="54"/>
      <c r="G2801" s="54"/>
      <c r="H2801" s="54"/>
      <c r="I2801" s="53"/>
      <c r="J2801" s="53"/>
      <c r="K2801" s="23"/>
      <c r="L2801" s="53"/>
      <c r="M2801" s="54"/>
    </row>
    <row r="2802">
      <c r="A2802" s="23"/>
      <c r="B2802" s="52"/>
      <c r="C2802" s="53"/>
      <c r="D2802" s="23"/>
      <c r="E2802" s="53"/>
      <c r="F2802" s="54"/>
      <c r="G2802" s="23"/>
      <c r="H2802" s="54"/>
      <c r="I2802" s="53"/>
      <c r="J2802" s="53"/>
      <c r="K2802" s="23"/>
      <c r="L2802" s="53"/>
      <c r="M2802" s="54"/>
    </row>
    <row r="2803">
      <c r="A2803" s="23"/>
      <c r="B2803" s="52"/>
      <c r="C2803" s="53"/>
      <c r="D2803" s="23"/>
      <c r="E2803" s="53"/>
      <c r="F2803" s="54"/>
      <c r="G2803" s="54"/>
      <c r="H2803" s="54"/>
      <c r="I2803" s="53"/>
      <c r="J2803" s="53"/>
      <c r="K2803" s="23"/>
      <c r="L2803" s="53"/>
      <c r="M2803" s="54"/>
    </row>
    <row r="2804">
      <c r="A2804" s="23"/>
      <c r="B2804" s="52"/>
      <c r="C2804" s="53"/>
      <c r="D2804" s="23"/>
      <c r="E2804" s="53"/>
      <c r="F2804" s="54"/>
      <c r="G2804" s="54"/>
      <c r="H2804" s="54"/>
      <c r="I2804" s="53"/>
      <c r="J2804" s="53"/>
      <c r="K2804" s="23"/>
      <c r="L2804" s="53"/>
      <c r="M2804" s="54"/>
    </row>
    <row r="2805">
      <c r="A2805" s="23"/>
      <c r="B2805" s="52"/>
      <c r="C2805" s="53"/>
      <c r="D2805" s="23"/>
      <c r="E2805" s="53"/>
      <c r="F2805" s="54"/>
      <c r="G2805" s="54"/>
      <c r="H2805" s="54"/>
      <c r="I2805" s="53"/>
      <c r="J2805" s="53"/>
      <c r="K2805" s="23"/>
      <c r="L2805" s="53"/>
      <c r="M2805" s="54"/>
    </row>
    <row r="2806">
      <c r="A2806" s="23"/>
      <c r="B2806" s="52"/>
      <c r="C2806" s="53"/>
      <c r="D2806" s="23"/>
      <c r="E2806" s="53"/>
      <c r="F2806" s="54"/>
      <c r="G2806" s="54"/>
      <c r="H2806" s="54"/>
      <c r="I2806" s="53"/>
      <c r="J2806" s="53"/>
      <c r="K2806" s="23"/>
      <c r="L2806" s="53"/>
      <c r="M2806" s="54"/>
    </row>
    <row r="2807">
      <c r="A2807" s="23"/>
      <c r="B2807" s="52"/>
      <c r="C2807" s="53"/>
      <c r="D2807" s="23"/>
      <c r="E2807" s="53"/>
      <c r="F2807" s="54"/>
      <c r="G2807" s="54"/>
      <c r="H2807" s="54"/>
      <c r="I2807" s="53"/>
      <c r="J2807" s="53"/>
      <c r="K2807" s="23"/>
      <c r="L2807" s="53"/>
      <c r="M2807" s="54"/>
    </row>
    <row r="2808">
      <c r="A2808" s="23"/>
      <c r="B2808" s="52"/>
      <c r="C2808" s="53"/>
      <c r="D2808" s="23"/>
      <c r="E2808" s="53"/>
      <c r="F2808" s="54"/>
      <c r="G2808" s="54"/>
      <c r="H2808" s="54"/>
      <c r="I2808" s="53"/>
      <c r="J2808" s="53"/>
      <c r="K2808" s="23"/>
      <c r="L2808" s="53"/>
      <c r="M2808" s="54"/>
    </row>
    <row r="2809">
      <c r="A2809" s="23"/>
      <c r="B2809" s="52"/>
      <c r="C2809" s="53"/>
      <c r="D2809" s="23"/>
      <c r="E2809" s="53"/>
      <c r="F2809" s="54"/>
      <c r="G2809" s="54"/>
      <c r="H2809" s="54"/>
      <c r="I2809" s="53"/>
      <c r="J2809" s="53"/>
      <c r="K2809" s="23"/>
      <c r="L2809" s="53"/>
      <c r="M2809" s="54"/>
    </row>
    <row r="2810">
      <c r="A2810" s="23"/>
      <c r="B2810" s="52"/>
      <c r="C2810" s="53"/>
      <c r="D2810" s="23"/>
      <c r="E2810" s="53"/>
      <c r="F2810" s="54"/>
      <c r="G2810" s="23"/>
      <c r="H2810" s="54"/>
      <c r="I2810" s="53"/>
      <c r="J2810" s="53"/>
      <c r="K2810" s="23"/>
      <c r="L2810" s="53"/>
      <c r="M2810" s="54"/>
    </row>
    <row r="2811">
      <c r="A2811" s="23"/>
      <c r="B2811" s="52"/>
      <c r="C2811" s="53"/>
      <c r="D2811" s="23"/>
      <c r="E2811" s="53"/>
      <c r="F2811" s="54"/>
      <c r="G2811" s="54"/>
      <c r="H2811" s="54"/>
      <c r="I2811" s="53"/>
      <c r="J2811" s="53"/>
      <c r="K2811" s="23"/>
      <c r="L2811" s="53"/>
      <c r="M2811" s="54"/>
    </row>
    <row r="2812">
      <c r="A2812" s="23"/>
      <c r="B2812" s="52"/>
      <c r="C2812" s="53"/>
      <c r="D2812" s="23"/>
      <c r="E2812" s="53"/>
      <c r="F2812" s="54"/>
      <c r="G2812" s="54"/>
      <c r="H2812" s="54"/>
      <c r="I2812" s="53"/>
      <c r="J2812" s="53"/>
      <c r="K2812" s="23"/>
      <c r="L2812" s="53"/>
      <c r="M2812" s="54"/>
    </row>
    <row r="2813">
      <c r="A2813" s="23"/>
      <c r="B2813" s="52"/>
      <c r="C2813" s="53"/>
      <c r="D2813" s="23"/>
      <c r="E2813" s="53"/>
      <c r="F2813" s="54"/>
      <c r="G2813" s="23"/>
      <c r="H2813" s="54"/>
      <c r="I2813" s="53"/>
      <c r="J2813" s="53"/>
      <c r="K2813" s="23"/>
      <c r="L2813" s="53"/>
      <c r="M2813" s="54"/>
    </row>
    <row r="2814">
      <c r="A2814" s="23"/>
      <c r="B2814" s="52"/>
      <c r="C2814" s="53"/>
      <c r="D2814" s="23"/>
      <c r="E2814" s="53"/>
      <c r="F2814" s="54"/>
      <c r="G2814" s="54"/>
      <c r="H2814" s="54"/>
      <c r="I2814" s="53"/>
      <c r="J2814" s="53"/>
      <c r="K2814" s="23"/>
      <c r="L2814" s="53"/>
      <c r="M2814" s="54"/>
    </row>
    <row r="2815">
      <c r="A2815" s="23"/>
      <c r="B2815" s="52"/>
      <c r="C2815" s="53"/>
      <c r="D2815" s="23"/>
      <c r="E2815" s="53"/>
      <c r="F2815" s="54"/>
      <c r="G2815" s="23"/>
      <c r="H2815" s="54"/>
      <c r="I2815" s="53"/>
      <c r="J2815" s="23"/>
      <c r="K2815" s="23"/>
      <c r="L2815" s="53"/>
      <c r="M2815" s="54"/>
    </row>
    <row r="2816">
      <c r="A2816" s="23"/>
      <c r="B2816" s="52"/>
      <c r="C2816" s="53"/>
      <c r="D2816" s="23"/>
      <c r="E2816" s="53"/>
      <c r="F2816" s="54"/>
      <c r="G2816" s="54"/>
      <c r="H2816" s="54"/>
      <c r="I2816" s="53"/>
      <c r="J2816" s="53"/>
      <c r="K2816" s="23"/>
      <c r="L2816" s="53"/>
      <c r="M2816" s="54"/>
    </row>
    <row r="2817">
      <c r="A2817" s="23"/>
      <c r="B2817" s="52"/>
      <c r="C2817" s="53"/>
      <c r="D2817" s="23"/>
      <c r="E2817" s="53"/>
      <c r="F2817" s="54"/>
      <c r="G2817" s="23"/>
      <c r="H2817" s="54"/>
      <c r="I2817" s="53"/>
      <c r="J2817" s="53"/>
      <c r="K2817" s="23"/>
      <c r="L2817" s="53"/>
      <c r="M2817" s="54"/>
    </row>
    <row r="2818">
      <c r="A2818" s="23"/>
      <c r="B2818" s="52"/>
      <c r="C2818" s="53"/>
      <c r="D2818" s="23"/>
      <c r="E2818" s="53"/>
      <c r="F2818" s="54"/>
      <c r="G2818" s="23"/>
      <c r="H2818" s="54"/>
      <c r="I2818" s="53"/>
      <c r="J2818" s="23"/>
      <c r="K2818" s="23"/>
      <c r="L2818" s="53"/>
      <c r="M2818" s="54"/>
    </row>
    <row r="2819">
      <c r="A2819" s="23"/>
      <c r="B2819" s="52"/>
      <c r="C2819" s="53"/>
      <c r="D2819" s="23"/>
      <c r="E2819" s="53"/>
      <c r="F2819" s="54"/>
      <c r="G2819" s="54"/>
      <c r="H2819" s="54"/>
      <c r="I2819" s="53"/>
      <c r="J2819" s="53"/>
      <c r="K2819" s="23"/>
      <c r="L2819" s="53"/>
      <c r="M2819" s="54"/>
    </row>
    <row r="2820">
      <c r="A2820" s="23"/>
      <c r="B2820" s="52"/>
      <c r="C2820" s="53"/>
      <c r="D2820" s="23"/>
      <c r="E2820" s="53"/>
      <c r="F2820" s="54"/>
      <c r="G2820" s="54"/>
      <c r="H2820" s="54"/>
      <c r="I2820" s="53"/>
      <c r="J2820" s="53"/>
      <c r="K2820" s="23"/>
      <c r="L2820" s="53"/>
      <c r="M2820" s="54"/>
    </row>
    <row r="2821">
      <c r="A2821" s="23"/>
      <c r="B2821" s="52"/>
      <c r="C2821" s="53"/>
      <c r="D2821" s="23"/>
      <c r="E2821" s="53"/>
      <c r="F2821" s="54"/>
      <c r="G2821" s="54"/>
      <c r="H2821" s="54"/>
      <c r="I2821" s="53"/>
      <c r="J2821" s="53"/>
      <c r="K2821" s="23"/>
      <c r="L2821" s="53"/>
      <c r="M2821" s="54"/>
    </row>
    <row r="2822">
      <c r="A2822" s="23"/>
      <c r="B2822" s="52"/>
      <c r="C2822" s="53"/>
      <c r="D2822" s="23"/>
      <c r="E2822" s="53"/>
      <c r="F2822" s="54"/>
      <c r="G2822" s="54"/>
      <c r="H2822" s="54"/>
      <c r="I2822" s="53"/>
      <c r="J2822" s="53"/>
      <c r="K2822" s="23"/>
      <c r="L2822" s="53"/>
      <c r="M2822" s="54"/>
    </row>
    <row r="2823">
      <c r="A2823" s="23"/>
      <c r="B2823" s="52"/>
      <c r="C2823" s="53"/>
      <c r="D2823" s="23"/>
      <c r="E2823" s="53"/>
      <c r="F2823" s="54"/>
      <c r="G2823" s="54"/>
      <c r="H2823" s="54"/>
      <c r="I2823" s="53"/>
      <c r="J2823" s="53"/>
      <c r="K2823" s="23"/>
      <c r="L2823" s="53"/>
      <c r="M2823" s="54"/>
    </row>
    <row r="2824">
      <c r="A2824" s="23"/>
      <c r="B2824" s="52"/>
      <c r="C2824" s="53"/>
      <c r="D2824" s="23"/>
      <c r="E2824" s="53"/>
      <c r="F2824" s="54"/>
      <c r="G2824" s="23"/>
      <c r="H2824" s="54"/>
      <c r="I2824" s="53"/>
      <c r="J2824" s="53"/>
      <c r="K2824" s="23"/>
      <c r="L2824" s="53"/>
      <c r="M2824" s="54"/>
    </row>
    <row r="2825">
      <c r="A2825" s="23"/>
      <c r="B2825" s="52"/>
      <c r="C2825" s="53"/>
      <c r="D2825" s="23"/>
      <c r="E2825" s="53"/>
      <c r="F2825" s="54"/>
      <c r="G2825" s="54"/>
      <c r="H2825" s="54"/>
      <c r="I2825" s="53"/>
      <c r="J2825" s="53"/>
      <c r="K2825" s="23"/>
      <c r="L2825" s="53"/>
      <c r="M2825" s="54"/>
    </row>
    <row r="2826">
      <c r="A2826" s="23"/>
      <c r="B2826" s="52"/>
      <c r="C2826" s="53"/>
      <c r="D2826" s="23"/>
      <c r="E2826" s="53"/>
      <c r="F2826" s="54"/>
      <c r="G2826" s="54"/>
      <c r="H2826" s="54"/>
      <c r="I2826" s="53"/>
      <c r="J2826" s="53"/>
      <c r="K2826" s="23"/>
      <c r="L2826" s="53"/>
      <c r="M2826" s="54"/>
    </row>
    <row r="2827">
      <c r="A2827" s="23"/>
      <c r="B2827" s="52"/>
      <c r="C2827" s="53"/>
      <c r="D2827" s="23"/>
      <c r="E2827" s="53"/>
      <c r="F2827" s="54"/>
      <c r="G2827" s="54"/>
      <c r="H2827" s="54"/>
      <c r="I2827" s="53"/>
      <c r="J2827" s="53"/>
      <c r="K2827" s="23"/>
      <c r="L2827" s="53"/>
      <c r="M2827" s="54"/>
    </row>
    <row r="2828">
      <c r="A2828" s="23"/>
      <c r="B2828" s="52"/>
      <c r="C2828" s="53"/>
      <c r="D2828" s="23"/>
      <c r="E2828" s="53"/>
      <c r="F2828" s="54"/>
      <c r="G2828" s="23"/>
      <c r="H2828" s="54"/>
      <c r="I2828" s="53"/>
      <c r="J2828" s="53"/>
      <c r="K2828" s="23"/>
      <c r="L2828" s="53"/>
      <c r="M2828" s="54"/>
    </row>
    <row r="2829">
      <c r="A2829" s="23"/>
      <c r="B2829" s="52"/>
      <c r="C2829" s="53"/>
      <c r="D2829" s="23"/>
      <c r="E2829" s="53"/>
      <c r="F2829" s="54"/>
      <c r="G2829" s="23"/>
      <c r="H2829" s="54"/>
      <c r="I2829" s="53"/>
      <c r="J2829" s="53"/>
      <c r="K2829" s="23"/>
      <c r="L2829" s="53"/>
      <c r="M2829" s="54"/>
    </row>
    <row r="2830">
      <c r="A2830" s="23"/>
      <c r="B2830" s="52"/>
      <c r="C2830" s="53"/>
      <c r="D2830" s="23"/>
      <c r="E2830" s="53"/>
      <c r="F2830" s="54"/>
      <c r="G2830" s="23"/>
      <c r="H2830" s="54"/>
      <c r="I2830" s="53"/>
      <c r="J2830" s="23"/>
      <c r="K2830" s="23"/>
      <c r="L2830" s="53"/>
      <c r="M2830" s="54"/>
    </row>
    <row r="2831">
      <c r="A2831" s="23"/>
      <c r="B2831" s="52"/>
      <c r="C2831" s="53"/>
      <c r="D2831" s="23"/>
      <c r="E2831" s="53"/>
      <c r="F2831" s="54"/>
      <c r="G2831" s="54"/>
      <c r="H2831" s="54"/>
      <c r="I2831" s="53"/>
      <c r="J2831" s="53"/>
      <c r="K2831" s="23"/>
      <c r="L2831" s="53"/>
      <c r="M2831" s="54"/>
    </row>
    <row r="2832">
      <c r="A2832" s="23"/>
      <c r="B2832" s="52"/>
      <c r="C2832" s="53"/>
      <c r="D2832" s="23"/>
      <c r="E2832" s="53"/>
      <c r="F2832" s="54"/>
      <c r="G2832" s="23"/>
      <c r="H2832" s="54"/>
      <c r="I2832" s="53"/>
      <c r="J2832" s="23"/>
      <c r="K2832" s="23"/>
      <c r="L2832" s="53"/>
      <c r="M2832" s="54"/>
    </row>
    <row r="2833">
      <c r="A2833" s="23"/>
      <c r="B2833" s="52"/>
      <c r="C2833" s="53"/>
      <c r="D2833" s="23"/>
      <c r="E2833" s="53"/>
      <c r="F2833" s="54"/>
      <c r="G2833" s="23"/>
      <c r="H2833" s="54"/>
      <c r="I2833" s="53"/>
      <c r="J2833" s="53"/>
      <c r="K2833" s="23"/>
      <c r="L2833" s="53"/>
      <c r="M2833" s="54"/>
    </row>
    <row r="2834">
      <c r="A2834" s="23"/>
      <c r="B2834" s="52"/>
      <c r="C2834" s="53"/>
      <c r="D2834" s="23"/>
      <c r="E2834" s="53"/>
      <c r="F2834" s="54"/>
      <c r="G2834" s="54"/>
      <c r="H2834" s="54"/>
      <c r="I2834" s="53"/>
      <c r="J2834" s="53"/>
      <c r="K2834" s="23"/>
      <c r="L2834" s="53"/>
      <c r="M2834" s="54"/>
    </row>
    <row r="2835">
      <c r="A2835" s="23"/>
      <c r="B2835" s="52"/>
      <c r="C2835" s="53"/>
      <c r="D2835" s="23"/>
      <c r="E2835" s="53"/>
      <c r="F2835" s="54"/>
      <c r="G2835" s="54"/>
      <c r="H2835" s="54"/>
      <c r="I2835" s="53"/>
      <c r="J2835" s="53"/>
      <c r="K2835" s="23"/>
      <c r="L2835" s="53"/>
      <c r="M2835" s="54"/>
    </row>
    <row r="2836">
      <c r="A2836" s="23"/>
      <c r="B2836" s="52"/>
      <c r="C2836" s="53"/>
      <c r="D2836" s="23"/>
      <c r="E2836" s="53"/>
      <c r="F2836" s="54"/>
      <c r="G2836" s="23"/>
      <c r="H2836" s="54"/>
      <c r="I2836" s="53"/>
      <c r="J2836" s="53"/>
      <c r="K2836" s="53"/>
      <c r="L2836" s="53"/>
      <c r="M2836" s="54"/>
    </row>
    <row r="2837">
      <c r="A2837" s="23"/>
      <c r="B2837" s="52"/>
      <c r="C2837" s="53"/>
      <c r="D2837" s="23"/>
      <c r="E2837" s="53"/>
      <c r="F2837" s="54"/>
      <c r="G2837" s="23"/>
      <c r="H2837" s="54"/>
      <c r="I2837" s="53"/>
      <c r="J2837" s="23"/>
      <c r="K2837" s="23"/>
      <c r="L2837" s="53"/>
      <c r="M2837" s="54"/>
    </row>
    <row r="2838">
      <c r="A2838" s="23"/>
      <c r="B2838" s="52"/>
      <c r="C2838" s="53"/>
      <c r="D2838" s="23"/>
      <c r="E2838" s="53"/>
      <c r="F2838" s="54"/>
      <c r="G2838" s="54"/>
      <c r="H2838" s="54"/>
      <c r="I2838" s="53"/>
      <c r="J2838" s="53"/>
      <c r="K2838" s="23"/>
      <c r="L2838" s="53"/>
      <c r="M2838" s="54"/>
    </row>
    <row r="2839">
      <c r="A2839" s="23"/>
      <c r="B2839" s="52"/>
      <c r="C2839" s="53"/>
      <c r="D2839" s="23"/>
      <c r="E2839" s="53"/>
      <c r="F2839" s="54"/>
      <c r="G2839" s="23"/>
      <c r="H2839" s="54"/>
      <c r="I2839" s="53"/>
      <c r="J2839" s="53"/>
      <c r="K2839" s="23"/>
      <c r="L2839" s="53"/>
      <c r="M2839" s="54"/>
    </row>
    <row r="2840">
      <c r="A2840" s="23"/>
      <c r="B2840" s="52"/>
      <c r="C2840" s="53"/>
      <c r="D2840" s="23"/>
      <c r="E2840" s="53"/>
      <c r="F2840" s="54"/>
      <c r="G2840" s="54"/>
      <c r="H2840" s="54"/>
      <c r="I2840" s="53"/>
      <c r="J2840" s="53"/>
      <c r="K2840" s="23"/>
      <c r="L2840" s="53"/>
      <c r="M2840" s="54"/>
    </row>
    <row r="2841">
      <c r="A2841" s="23"/>
      <c r="B2841" s="52"/>
      <c r="C2841" s="53"/>
      <c r="D2841" s="23"/>
      <c r="E2841" s="53"/>
      <c r="F2841" s="54"/>
      <c r="G2841" s="54"/>
      <c r="H2841" s="54"/>
      <c r="I2841" s="53"/>
      <c r="J2841" s="53"/>
      <c r="K2841" s="23"/>
      <c r="L2841" s="53"/>
      <c r="M2841" s="54"/>
    </row>
    <row r="2842">
      <c r="A2842" s="23"/>
      <c r="B2842" s="52"/>
      <c r="C2842" s="53"/>
      <c r="D2842" s="23"/>
      <c r="E2842" s="53"/>
      <c r="F2842" s="54"/>
      <c r="G2842" s="54"/>
      <c r="H2842" s="54"/>
      <c r="I2842" s="53"/>
      <c r="J2842" s="53"/>
      <c r="K2842" s="23"/>
      <c r="L2842" s="53"/>
      <c r="M2842" s="54"/>
    </row>
    <row r="2843">
      <c r="A2843" s="23"/>
      <c r="B2843" s="52"/>
      <c r="C2843" s="53"/>
      <c r="D2843" s="23"/>
      <c r="E2843" s="53"/>
      <c r="F2843" s="54"/>
      <c r="G2843" s="54"/>
      <c r="H2843" s="54"/>
      <c r="I2843" s="53"/>
      <c r="J2843" s="53"/>
      <c r="K2843" s="23"/>
      <c r="L2843" s="53"/>
      <c r="M2843" s="54"/>
    </row>
    <row r="2844">
      <c r="A2844" s="23"/>
      <c r="B2844" s="52"/>
      <c r="C2844" s="53"/>
      <c r="D2844" s="23"/>
      <c r="E2844" s="53"/>
      <c r="F2844" s="54"/>
      <c r="G2844" s="54"/>
      <c r="H2844" s="54"/>
      <c r="I2844" s="53"/>
      <c r="J2844" s="53"/>
      <c r="K2844" s="23"/>
      <c r="L2844" s="53"/>
      <c r="M2844" s="54"/>
    </row>
    <row r="2845">
      <c r="A2845" s="23"/>
      <c r="B2845" s="52"/>
      <c r="C2845" s="53"/>
      <c r="D2845" s="23"/>
      <c r="E2845" s="53"/>
      <c r="F2845" s="54"/>
      <c r="G2845" s="54"/>
      <c r="H2845" s="54"/>
      <c r="I2845" s="53"/>
      <c r="J2845" s="53"/>
      <c r="K2845" s="23"/>
      <c r="L2845" s="53"/>
      <c r="M2845" s="54"/>
    </row>
    <row r="2846">
      <c r="A2846" s="23"/>
      <c r="B2846" s="52"/>
      <c r="C2846" s="53"/>
      <c r="D2846" s="23"/>
      <c r="E2846" s="53"/>
      <c r="F2846" s="54"/>
      <c r="G2846" s="54"/>
      <c r="H2846" s="54"/>
      <c r="I2846" s="53"/>
      <c r="J2846" s="53"/>
      <c r="K2846" s="23"/>
      <c r="L2846" s="53"/>
      <c r="M2846" s="54"/>
    </row>
    <row r="2847">
      <c r="A2847" s="23"/>
      <c r="B2847" s="52"/>
      <c r="C2847" s="53"/>
      <c r="D2847" s="23"/>
      <c r="E2847" s="53"/>
      <c r="F2847" s="54"/>
      <c r="G2847" s="54"/>
      <c r="H2847" s="54"/>
      <c r="I2847" s="53"/>
      <c r="J2847" s="53"/>
      <c r="K2847" s="23"/>
      <c r="L2847" s="53"/>
      <c r="M2847" s="54"/>
    </row>
    <row r="2848">
      <c r="A2848" s="23"/>
      <c r="B2848" s="52"/>
      <c r="C2848" s="53"/>
      <c r="D2848" s="23"/>
      <c r="E2848" s="53"/>
      <c r="F2848" s="54"/>
      <c r="G2848" s="54"/>
      <c r="H2848" s="54"/>
      <c r="I2848" s="53"/>
      <c r="J2848" s="53"/>
      <c r="K2848" s="23"/>
      <c r="L2848" s="53"/>
      <c r="M2848" s="54"/>
    </row>
    <row r="2849">
      <c r="A2849" s="23"/>
      <c r="B2849" s="52"/>
      <c r="C2849" s="53"/>
      <c r="D2849" s="23"/>
      <c r="E2849" s="53"/>
      <c r="F2849" s="54"/>
      <c r="G2849" s="54"/>
      <c r="H2849" s="54"/>
      <c r="I2849" s="53"/>
      <c r="J2849" s="53"/>
      <c r="K2849" s="23"/>
      <c r="L2849" s="53"/>
      <c r="M2849" s="54"/>
    </row>
    <row r="2850">
      <c r="A2850" s="23"/>
      <c r="B2850" s="52"/>
      <c r="C2850" s="53"/>
      <c r="D2850" s="23"/>
      <c r="E2850" s="53"/>
      <c r="F2850" s="54"/>
      <c r="G2850" s="54"/>
      <c r="H2850" s="54"/>
      <c r="I2850" s="53"/>
      <c r="J2850" s="53"/>
      <c r="K2850" s="23"/>
      <c r="L2850" s="53"/>
      <c r="M2850" s="54"/>
    </row>
    <row r="2851">
      <c r="A2851" s="23"/>
      <c r="B2851" s="52"/>
      <c r="C2851" s="53"/>
      <c r="D2851" s="23"/>
      <c r="E2851" s="53"/>
      <c r="F2851" s="54"/>
      <c r="G2851" s="54"/>
      <c r="H2851" s="54"/>
      <c r="I2851" s="53"/>
      <c r="J2851" s="53"/>
      <c r="K2851" s="23"/>
      <c r="L2851" s="53"/>
      <c r="M2851" s="54"/>
    </row>
    <row r="2852">
      <c r="A2852" s="23"/>
      <c r="B2852" s="52"/>
      <c r="C2852" s="53"/>
      <c r="D2852" s="23"/>
      <c r="E2852" s="53"/>
      <c r="F2852" s="54"/>
      <c r="G2852" s="23"/>
      <c r="H2852" s="54"/>
      <c r="I2852" s="53"/>
      <c r="J2852" s="53"/>
      <c r="K2852" s="23"/>
      <c r="L2852" s="53"/>
      <c r="M2852" s="54"/>
    </row>
    <row r="2853">
      <c r="A2853" s="23"/>
      <c r="B2853" s="52"/>
      <c r="C2853" s="53"/>
      <c r="D2853" s="23"/>
      <c r="E2853" s="53"/>
      <c r="F2853" s="54"/>
      <c r="G2853" s="23"/>
      <c r="H2853" s="54"/>
      <c r="I2853" s="53"/>
      <c r="J2853" s="53"/>
      <c r="K2853" s="23"/>
      <c r="L2853" s="53"/>
      <c r="M2853" s="54"/>
    </row>
    <row r="2854">
      <c r="A2854" s="23"/>
      <c r="B2854" s="52"/>
      <c r="C2854" s="53"/>
      <c r="D2854" s="23"/>
      <c r="E2854" s="53"/>
      <c r="F2854" s="54"/>
      <c r="G2854" s="54"/>
      <c r="H2854" s="54"/>
      <c r="I2854" s="53"/>
      <c r="J2854" s="53"/>
      <c r="K2854" s="23"/>
      <c r="L2854" s="53"/>
      <c r="M2854" s="54"/>
    </row>
    <row r="2855">
      <c r="A2855" s="23"/>
      <c r="B2855" s="52"/>
      <c r="C2855" s="53"/>
      <c r="D2855" s="23"/>
      <c r="E2855" s="53"/>
      <c r="F2855" s="54"/>
      <c r="G2855" s="54"/>
      <c r="H2855" s="54"/>
      <c r="I2855" s="53"/>
      <c r="J2855" s="53"/>
      <c r="K2855" s="23"/>
      <c r="L2855" s="53"/>
      <c r="M2855" s="54"/>
    </row>
    <row r="2856">
      <c r="A2856" s="23"/>
      <c r="B2856" s="52"/>
      <c r="C2856" s="53"/>
      <c r="D2856" s="23"/>
      <c r="E2856" s="53"/>
      <c r="F2856" s="54"/>
      <c r="G2856" s="54"/>
      <c r="H2856" s="54"/>
      <c r="I2856" s="53"/>
      <c r="J2856" s="53"/>
      <c r="K2856" s="23"/>
      <c r="L2856" s="53"/>
      <c r="M2856" s="54"/>
    </row>
    <row r="2857">
      <c r="A2857" s="23"/>
      <c r="B2857" s="52"/>
      <c r="C2857" s="53"/>
      <c r="D2857" s="23"/>
      <c r="E2857" s="53"/>
      <c r="F2857" s="54"/>
      <c r="G2857" s="23"/>
      <c r="H2857" s="54"/>
      <c r="I2857" s="53"/>
      <c r="J2857" s="23"/>
      <c r="K2857" s="23"/>
      <c r="L2857" s="53"/>
      <c r="M2857" s="54"/>
    </row>
    <row r="2858">
      <c r="A2858" s="23"/>
      <c r="B2858" s="52"/>
      <c r="C2858" s="53"/>
      <c r="D2858" s="23"/>
      <c r="E2858" s="53"/>
      <c r="F2858" s="54"/>
      <c r="G2858" s="54"/>
      <c r="H2858" s="54"/>
      <c r="I2858" s="53"/>
      <c r="J2858" s="53"/>
      <c r="K2858" s="23"/>
      <c r="L2858" s="53"/>
      <c r="M2858" s="54"/>
    </row>
    <row r="2859">
      <c r="A2859" s="23"/>
      <c r="B2859" s="52"/>
      <c r="C2859" s="53"/>
      <c r="D2859" s="23"/>
      <c r="E2859" s="53"/>
      <c r="F2859" s="54"/>
      <c r="G2859" s="54"/>
      <c r="H2859" s="54"/>
      <c r="I2859" s="53"/>
      <c r="J2859" s="53"/>
      <c r="K2859" s="23"/>
      <c r="L2859" s="53"/>
      <c r="M2859" s="54"/>
    </row>
    <row r="2860">
      <c r="A2860" s="23"/>
      <c r="B2860" s="52"/>
      <c r="C2860" s="53"/>
      <c r="D2860" s="23"/>
      <c r="E2860" s="53"/>
      <c r="F2860" s="54"/>
      <c r="G2860" s="54"/>
      <c r="H2860" s="54"/>
      <c r="I2860" s="53"/>
      <c r="J2860" s="53"/>
      <c r="K2860" s="23"/>
      <c r="L2860" s="53"/>
      <c r="M2860" s="54"/>
    </row>
    <row r="2861">
      <c r="A2861" s="23"/>
      <c r="B2861" s="52"/>
      <c r="C2861" s="53"/>
      <c r="D2861" s="23"/>
      <c r="E2861" s="53"/>
      <c r="F2861" s="54"/>
      <c r="G2861" s="54"/>
      <c r="H2861" s="54"/>
      <c r="I2861" s="53"/>
      <c r="J2861" s="53"/>
      <c r="K2861" s="23"/>
      <c r="L2861" s="53"/>
      <c r="M2861" s="54"/>
    </row>
    <row r="2862">
      <c r="A2862" s="23"/>
      <c r="B2862" s="52"/>
      <c r="C2862" s="53"/>
      <c r="D2862" s="23"/>
      <c r="E2862" s="53"/>
      <c r="F2862" s="54"/>
      <c r="G2862" s="23"/>
      <c r="H2862" s="54"/>
      <c r="I2862" s="53"/>
      <c r="J2862" s="53"/>
      <c r="K2862" s="23"/>
      <c r="L2862" s="53"/>
      <c r="M2862" s="54"/>
    </row>
    <row r="2863">
      <c r="A2863" s="23"/>
      <c r="B2863" s="52"/>
      <c r="C2863" s="53"/>
      <c r="D2863" s="23"/>
      <c r="E2863" s="53"/>
      <c r="F2863" s="54"/>
      <c r="G2863" s="54"/>
      <c r="H2863" s="54"/>
      <c r="I2863" s="53"/>
      <c r="J2863" s="53"/>
      <c r="K2863" s="23"/>
      <c r="L2863" s="53"/>
      <c r="M2863" s="54"/>
    </row>
    <row r="2864">
      <c r="A2864" s="23"/>
      <c r="B2864" s="52"/>
      <c r="C2864" s="53"/>
      <c r="D2864" s="23"/>
      <c r="E2864" s="53"/>
      <c r="F2864" s="54"/>
      <c r="G2864" s="23"/>
      <c r="H2864" s="54"/>
      <c r="I2864" s="53"/>
      <c r="J2864" s="23"/>
      <c r="K2864" s="23"/>
      <c r="L2864" s="53"/>
      <c r="M2864" s="54"/>
    </row>
    <row r="2865">
      <c r="A2865" s="23"/>
      <c r="B2865" s="52"/>
      <c r="C2865" s="53"/>
      <c r="D2865" s="23"/>
      <c r="E2865" s="53"/>
      <c r="F2865" s="54"/>
      <c r="G2865" s="54"/>
      <c r="H2865" s="54"/>
      <c r="I2865" s="53"/>
      <c r="J2865" s="53"/>
      <c r="K2865" s="23"/>
      <c r="L2865" s="53"/>
      <c r="M2865" s="54"/>
    </row>
    <row r="2866">
      <c r="A2866" s="23"/>
      <c r="B2866" s="52"/>
      <c r="C2866" s="53"/>
      <c r="D2866" s="23"/>
      <c r="E2866" s="53"/>
      <c r="F2866" s="54"/>
      <c r="G2866" s="23"/>
      <c r="H2866" s="54"/>
      <c r="I2866" s="53"/>
      <c r="J2866" s="53"/>
      <c r="K2866" s="23"/>
      <c r="L2866" s="53"/>
      <c r="M2866" s="54"/>
    </row>
    <row r="2867">
      <c r="A2867" s="23"/>
      <c r="B2867" s="52"/>
      <c r="C2867" s="53"/>
      <c r="D2867" s="23"/>
      <c r="E2867" s="53"/>
      <c r="F2867" s="54"/>
      <c r="G2867" s="23"/>
      <c r="H2867" s="54"/>
      <c r="I2867" s="53"/>
      <c r="J2867" s="53"/>
      <c r="K2867" s="23"/>
      <c r="L2867" s="53"/>
      <c r="M2867" s="54"/>
    </row>
    <row r="2868">
      <c r="A2868" s="23"/>
      <c r="B2868" s="52"/>
      <c r="C2868" s="53"/>
      <c r="D2868" s="23"/>
      <c r="E2868" s="53"/>
      <c r="F2868" s="54"/>
      <c r="G2868" s="23"/>
      <c r="H2868" s="54"/>
      <c r="I2868" s="53"/>
      <c r="J2868" s="23"/>
      <c r="K2868" s="23"/>
      <c r="L2868" s="53"/>
      <c r="M2868" s="54"/>
    </row>
    <row r="2869">
      <c r="A2869" s="23"/>
      <c r="B2869" s="52"/>
      <c r="C2869" s="53"/>
      <c r="D2869" s="23"/>
      <c r="E2869" s="53"/>
      <c r="F2869" s="54"/>
      <c r="G2869" s="23"/>
      <c r="H2869" s="54"/>
      <c r="I2869" s="53"/>
      <c r="J2869" s="23"/>
      <c r="K2869" s="23"/>
      <c r="L2869" s="53"/>
      <c r="M2869" s="54"/>
    </row>
    <row r="2870">
      <c r="A2870" s="23"/>
      <c r="B2870" s="52"/>
      <c r="C2870" s="53"/>
      <c r="D2870" s="23"/>
      <c r="E2870" s="53"/>
      <c r="F2870" s="54"/>
      <c r="G2870" s="54"/>
      <c r="H2870" s="54"/>
      <c r="I2870" s="53"/>
      <c r="J2870" s="53"/>
      <c r="K2870" s="23"/>
      <c r="L2870" s="53"/>
      <c r="M2870" s="54"/>
    </row>
    <row r="2871">
      <c r="A2871" s="23"/>
      <c r="B2871" s="52"/>
      <c r="C2871" s="53"/>
      <c r="D2871" s="23"/>
      <c r="E2871" s="53"/>
      <c r="F2871" s="54"/>
      <c r="G2871" s="54"/>
      <c r="H2871" s="54"/>
      <c r="I2871" s="53"/>
      <c r="J2871" s="53"/>
      <c r="K2871" s="23"/>
      <c r="L2871" s="53"/>
      <c r="M2871" s="54"/>
    </row>
    <row r="2872">
      <c r="A2872" s="23"/>
      <c r="B2872" s="52"/>
      <c r="C2872" s="53"/>
      <c r="D2872" s="23"/>
      <c r="E2872" s="53"/>
      <c r="F2872" s="54"/>
      <c r="G2872" s="23"/>
      <c r="H2872" s="54"/>
      <c r="I2872" s="53"/>
      <c r="J2872" s="23"/>
      <c r="K2872" s="23"/>
      <c r="L2872" s="53"/>
      <c r="M2872" s="54"/>
    </row>
    <row r="2873">
      <c r="A2873" s="23"/>
      <c r="B2873" s="52"/>
      <c r="C2873" s="53"/>
      <c r="D2873" s="23"/>
      <c r="E2873" s="53"/>
      <c r="F2873" s="54"/>
      <c r="G2873" s="54"/>
      <c r="H2873" s="54"/>
      <c r="I2873" s="53"/>
      <c r="J2873" s="53"/>
      <c r="K2873" s="23"/>
      <c r="L2873" s="53"/>
      <c r="M2873" s="54"/>
    </row>
    <row r="2874">
      <c r="A2874" s="23"/>
      <c r="B2874" s="52"/>
      <c r="C2874" s="53"/>
      <c r="D2874" s="23"/>
      <c r="E2874" s="53"/>
      <c r="F2874" s="54"/>
      <c r="G2874" s="54"/>
      <c r="H2874" s="54"/>
      <c r="I2874" s="53"/>
      <c r="J2874" s="53"/>
      <c r="K2874" s="23"/>
      <c r="L2874" s="53"/>
      <c r="M2874" s="54"/>
    </row>
    <row r="2875">
      <c r="A2875" s="23"/>
      <c r="B2875" s="52"/>
      <c r="C2875" s="53"/>
      <c r="D2875" s="23"/>
      <c r="E2875" s="53"/>
      <c r="F2875" s="54"/>
      <c r="G2875" s="54"/>
      <c r="H2875" s="54"/>
      <c r="I2875" s="53"/>
      <c r="J2875" s="53"/>
      <c r="K2875" s="23"/>
      <c r="L2875" s="53"/>
      <c r="M2875" s="54"/>
    </row>
    <row r="2876">
      <c r="A2876" s="23"/>
      <c r="B2876" s="52"/>
      <c r="C2876" s="53"/>
      <c r="D2876" s="23"/>
      <c r="E2876" s="53"/>
      <c r="F2876" s="54"/>
      <c r="G2876" s="23"/>
      <c r="H2876" s="54"/>
      <c r="I2876" s="53"/>
      <c r="J2876" s="53"/>
      <c r="K2876" s="23"/>
      <c r="L2876" s="53"/>
      <c r="M2876" s="54"/>
    </row>
    <row r="2877">
      <c r="A2877" s="23"/>
      <c r="B2877" s="52"/>
      <c r="C2877" s="53"/>
      <c r="D2877" s="23"/>
      <c r="E2877" s="53"/>
      <c r="F2877" s="54"/>
      <c r="G2877" s="23"/>
      <c r="H2877" s="54"/>
      <c r="I2877" s="53"/>
      <c r="J2877" s="53"/>
      <c r="K2877" s="23"/>
      <c r="L2877" s="53"/>
      <c r="M2877" s="54"/>
    </row>
    <row r="2878">
      <c r="A2878" s="23"/>
      <c r="B2878" s="52"/>
      <c r="C2878" s="53"/>
      <c r="D2878" s="23"/>
      <c r="E2878" s="53"/>
      <c r="F2878" s="54"/>
      <c r="G2878" s="23"/>
      <c r="H2878" s="54"/>
      <c r="I2878" s="53"/>
      <c r="J2878" s="23"/>
      <c r="K2878" s="23"/>
      <c r="L2878" s="53"/>
      <c r="M2878" s="54"/>
    </row>
    <row r="2879">
      <c r="A2879" s="23"/>
      <c r="B2879" s="52"/>
      <c r="C2879" s="53"/>
      <c r="D2879" s="23"/>
      <c r="E2879" s="53"/>
      <c r="F2879" s="54"/>
      <c r="G2879" s="23"/>
      <c r="H2879" s="54"/>
      <c r="I2879" s="53"/>
      <c r="J2879" s="23"/>
      <c r="K2879" s="23"/>
      <c r="L2879" s="53"/>
      <c r="M2879" s="54"/>
    </row>
    <row r="2880">
      <c r="A2880" s="23"/>
      <c r="B2880" s="52"/>
      <c r="C2880" s="53"/>
      <c r="D2880" s="23"/>
      <c r="E2880" s="53"/>
      <c r="F2880" s="54"/>
      <c r="G2880" s="23"/>
      <c r="H2880" s="54"/>
      <c r="I2880" s="53"/>
      <c r="J2880" s="53"/>
      <c r="K2880" s="23"/>
      <c r="L2880" s="53"/>
      <c r="M2880" s="54"/>
    </row>
    <row r="2881">
      <c r="A2881" s="23"/>
      <c r="B2881" s="52"/>
      <c r="C2881" s="53"/>
      <c r="D2881" s="23"/>
      <c r="E2881" s="53"/>
      <c r="F2881" s="54"/>
      <c r="G2881" s="23"/>
      <c r="H2881" s="54"/>
      <c r="I2881" s="53"/>
      <c r="J2881" s="53"/>
      <c r="K2881" s="23"/>
      <c r="L2881" s="53"/>
      <c r="M2881" s="54"/>
    </row>
    <row r="2882">
      <c r="A2882" s="23"/>
      <c r="B2882" s="52"/>
      <c r="C2882" s="53"/>
      <c r="D2882" s="23"/>
      <c r="E2882" s="53"/>
      <c r="F2882" s="54"/>
      <c r="G2882" s="23"/>
      <c r="H2882" s="54"/>
      <c r="I2882" s="53"/>
      <c r="J2882" s="53"/>
      <c r="K2882" s="23"/>
      <c r="L2882" s="53"/>
      <c r="M2882" s="54"/>
    </row>
    <row r="2883">
      <c r="A2883" s="23"/>
      <c r="B2883" s="52"/>
      <c r="C2883" s="53"/>
      <c r="D2883" s="23"/>
      <c r="E2883" s="53"/>
      <c r="F2883" s="54"/>
      <c r="G2883" s="23"/>
      <c r="H2883" s="54"/>
      <c r="I2883" s="53"/>
      <c r="J2883" s="53"/>
      <c r="K2883" s="23"/>
      <c r="L2883" s="53"/>
      <c r="M2883" s="54"/>
    </row>
    <row r="2884">
      <c r="A2884" s="23"/>
      <c r="B2884" s="52"/>
      <c r="C2884" s="53"/>
      <c r="D2884" s="23"/>
      <c r="E2884" s="53"/>
      <c r="F2884" s="54"/>
      <c r="G2884" s="54"/>
      <c r="H2884" s="54"/>
      <c r="I2884" s="53"/>
      <c r="J2884" s="53"/>
      <c r="K2884" s="23"/>
      <c r="L2884" s="53"/>
      <c r="M2884" s="54"/>
    </row>
    <row r="2885">
      <c r="A2885" s="23"/>
      <c r="B2885" s="52"/>
      <c r="C2885" s="53"/>
      <c r="D2885" s="23"/>
      <c r="E2885" s="53"/>
      <c r="F2885" s="54"/>
      <c r="G2885" s="54"/>
      <c r="H2885" s="54"/>
      <c r="I2885" s="53"/>
      <c r="J2885" s="53"/>
      <c r="K2885" s="23"/>
      <c r="L2885" s="53"/>
      <c r="M2885" s="54"/>
    </row>
    <row r="2886">
      <c r="A2886" s="23"/>
      <c r="B2886" s="52"/>
      <c r="C2886" s="53"/>
      <c r="D2886" s="23"/>
      <c r="E2886" s="53"/>
      <c r="F2886" s="54"/>
      <c r="G2886" s="23"/>
      <c r="H2886" s="54"/>
      <c r="I2886" s="53"/>
      <c r="J2886" s="53"/>
      <c r="K2886" s="23"/>
      <c r="L2886" s="53"/>
      <c r="M2886" s="54"/>
    </row>
    <row r="2887">
      <c r="A2887" s="23"/>
      <c r="B2887" s="52"/>
      <c r="C2887" s="53"/>
      <c r="D2887" s="23"/>
      <c r="E2887" s="53"/>
      <c r="F2887" s="54"/>
      <c r="G2887" s="54"/>
      <c r="H2887" s="54"/>
      <c r="I2887" s="53"/>
      <c r="J2887" s="53"/>
      <c r="K2887" s="23"/>
      <c r="L2887" s="53"/>
      <c r="M2887" s="54"/>
    </row>
    <row r="2888">
      <c r="A2888" s="23"/>
      <c r="B2888" s="52"/>
      <c r="C2888" s="53"/>
      <c r="D2888" s="23"/>
      <c r="E2888" s="53"/>
      <c r="F2888" s="54"/>
      <c r="G2888" s="54"/>
      <c r="H2888" s="54"/>
      <c r="I2888" s="53"/>
      <c r="J2888" s="53"/>
      <c r="K2888" s="23"/>
      <c r="L2888" s="53"/>
      <c r="M2888" s="54"/>
    </row>
    <row r="2889">
      <c r="A2889" s="23"/>
      <c r="B2889" s="52"/>
      <c r="C2889" s="53"/>
      <c r="D2889" s="23"/>
      <c r="E2889" s="53"/>
      <c r="F2889" s="54"/>
      <c r="G2889" s="23"/>
      <c r="H2889" s="54"/>
      <c r="I2889" s="53"/>
      <c r="J2889" s="23"/>
      <c r="K2889" s="23"/>
      <c r="L2889" s="53"/>
      <c r="M2889" s="54"/>
    </row>
    <row r="2890">
      <c r="A2890" s="23"/>
      <c r="B2890" s="52"/>
      <c r="C2890" s="53"/>
      <c r="D2890" s="23"/>
      <c r="E2890" s="53"/>
      <c r="F2890" s="54"/>
      <c r="G2890" s="23"/>
      <c r="H2890" s="54"/>
      <c r="I2890" s="53"/>
      <c r="J2890" s="53"/>
      <c r="K2890" s="23"/>
      <c r="L2890" s="53"/>
      <c r="M2890" s="54"/>
    </row>
    <row r="2891">
      <c r="A2891" s="23"/>
      <c r="B2891" s="52"/>
      <c r="C2891" s="53"/>
      <c r="D2891" s="23"/>
      <c r="E2891" s="53"/>
      <c r="F2891" s="54"/>
      <c r="G2891" s="23"/>
      <c r="H2891" s="54"/>
      <c r="I2891" s="53"/>
      <c r="J2891" s="23"/>
      <c r="K2891" s="23"/>
      <c r="L2891" s="53"/>
      <c r="M2891" s="54"/>
    </row>
    <row r="2892">
      <c r="A2892" s="23"/>
      <c r="B2892" s="52"/>
      <c r="C2892" s="53"/>
      <c r="D2892" s="23"/>
      <c r="E2892" s="53"/>
      <c r="F2892" s="54"/>
      <c r="G2892" s="23"/>
      <c r="H2892" s="54"/>
      <c r="I2892" s="53"/>
      <c r="J2892" s="53"/>
      <c r="K2892" s="23"/>
      <c r="L2892" s="53"/>
      <c r="M2892" s="54"/>
    </row>
    <row r="2893">
      <c r="A2893" s="23"/>
      <c r="B2893" s="52"/>
      <c r="C2893" s="53"/>
      <c r="D2893" s="23"/>
      <c r="E2893" s="53"/>
      <c r="F2893" s="54"/>
      <c r="G2893" s="23"/>
      <c r="H2893" s="54"/>
      <c r="I2893" s="53"/>
      <c r="J2893" s="23"/>
      <c r="K2893" s="23"/>
      <c r="L2893" s="53"/>
      <c r="M2893" s="54"/>
    </row>
    <row r="2894">
      <c r="A2894" s="23"/>
      <c r="B2894" s="52"/>
      <c r="C2894" s="53"/>
      <c r="D2894" s="23"/>
      <c r="E2894" s="53"/>
      <c r="F2894" s="54"/>
      <c r="G2894" s="23"/>
      <c r="H2894" s="54"/>
      <c r="I2894" s="53"/>
      <c r="J2894" s="23"/>
      <c r="K2894" s="23"/>
      <c r="L2894" s="53"/>
      <c r="M2894" s="54"/>
    </row>
    <row r="2895">
      <c r="A2895" s="23"/>
      <c r="B2895" s="52"/>
      <c r="C2895" s="53"/>
      <c r="D2895" s="23"/>
      <c r="E2895" s="53"/>
      <c r="F2895" s="54"/>
      <c r="G2895" s="54"/>
      <c r="H2895" s="54"/>
      <c r="I2895" s="53"/>
      <c r="J2895" s="53"/>
      <c r="K2895" s="23"/>
      <c r="L2895" s="53"/>
      <c r="M2895" s="54"/>
    </row>
    <row r="2896">
      <c r="A2896" s="23"/>
      <c r="B2896" s="52"/>
      <c r="C2896" s="53"/>
      <c r="D2896" s="23"/>
      <c r="E2896" s="53"/>
      <c r="F2896" s="54"/>
      <c r="G2896" s="23"/>
      <c r="H2896" s="54"/>
      <c r="I2896" s="53"/>
      <c r="J2896" s="23"/>
      <c r="K2896" s="23"/>
      <c r="L2896" s="53"/>
      <c r="M2896" s="54"/>
    </row>
    <row r="2897">
      <c r="A2897" s="23"/>
      <c r="B2897" s="52"/>
      <c r="C2897" s="53"/>
      <c r="D2897" s="23"/>
      <c r="E2897" s="53"/>
      <c r="F2897" s="54"/>
      <c r="G2897" s="54"/>
      <c r="H2897" s="54"/>
      <c r="I2897" s="53"/>
      <c r="J2897" s="53"/>
      <c r="K2897" s="23"/>
      <c r="L2897" s="53"/>
      <c r="M2897" s="54"/>
    </row>
    <row r="2898">
      <c r="A2898" s="23"/>
      <c r="B2898" s="52"/>
      <c r="C2898" s="53"/>
      <c r="D2898" s="23"/>
      <c r="E2898" s="53"/>
      <c r="F2898" s="54"/>
      <c r="G2898" s="54"/>
      <c r="H2898" s="54"/>
      <c r="I2898" s="53"/>
      <c r="J2898" s="53"/>
      <c r="K2898" s="23"/>
      <c r="L2898" s="53"/>
      <c r="M2898" s="54"/>
    </row>
    <row r="2899">
      <c r="A2899" s="23"/>
      <c r="B2899" s="52"/>
      <c r="C2899" s="53"/>
      <c r="D2899" s="23"/>
      <c r="E2899" s="53"/>
      <c r="F2899" s="54"/>
      <c r="G2899" s="54"/>
      <c r="H2899" s="54"/>
      <c r="I2899" s="53"/>
      <c r="J2899" s="53"/>
      <c r="K2899" s="23"/>
      <c r="L2899" s="53"/>
      <c r="M2899" s="54"/>
    </row>
    <row r="2900">
      <c r="A2900" s="23"/>
      <c r="B2900" s="52"/>
      <c r="C2900" s="53"/>
      <c r="D2900" s="23"/>
      <c r="E2900" s="53"/>
      <c r="F2900" s="54"/>
      <c r="G2900" s="54"/>
      <c r="H2900" s="54"/>
      <c r="I2900" s="53"/>
      <c r="J2900" s="53"/>
      <c r="K2900" s="23"/>
      <c r="L2900" s="53"/>
      <c r="M2900" s="54"/>
    </row>
    <row r="2901">
      <c r="A2901" s="23"/>
      <c r="B2901" s="52"/>
      <c r="C2901" s="53"/>
      <c r="D2901" s="23"/>
      <c r="E2901" s="53"/>
      <c r="F2901" s="54"/>
      <c r="G2901" s="23"/>
      <c r="H2901" s="54"/>
      <c r="I2901" s="53"/>
      <c r="J2901" s="23"/>
      <c r="K2901" s="23"/>
      <c r="L2901" s="53"/>
      <c r="M2901" s="54"/>
    </row>
    <row r="2902">
      <c r="A2902" s="23"/>
      <c r="B2902" s="52"/>
      <c r="C2902" s="53"/>
      <c r="D2902" s="23"/>
      <c r="E2902" s="53"/>
      <c r="F2902" s="54"/>
      <c r="G2902" s="23"/>
      <c r="H2902" s="54"/>
      <c r="I2902" s="53"/>
      <c r="J2902" s="53"/>
      <c r="K2902" s="23"/>
      <c r="L2902" s="53"/>
      <c r="M2902" s="54"/>
    </row>
    <row r="2903">
      <c r="A2903" s="23"/>
      <c r="B2903" s="52"/>
      <c r="C2903" s="53"/>
      <c r="D2903" s="23"/>
      <c r="E2903" s="53"/>
      <c r="F2903" s="54"/>
      <c r="G2903" s="54"/>
      <c r="H2903" s="54"/>
      <c r="I2903" s="53"/>
      <c r="J2903" s="53"/>
      <c r="K2903" s="23"/>
      <c r="L2903" s="53"/>
      <c r="M2903" s="54"/>
    </row>
    <row r="2904">
      <c r="A2904" s="23"/>
      <c r="B2904" s="52"/>
      <c r="C2904" s="53"/>
      <c r="D2904" s="23"/>
      <c r="E2904" s="53"/>
      <c r="F2904" s="54"/>
      <c r="G2904" s="54"/>
      <c r="H2904" s="54"/>
      <c r="I2904" s="53"/>
      <c r="J2904" s="53"/>
      <c r="K2904" s="23"/>
      <c r="L2904" s="53"/>
      <c r="M2904" s="54"/>
    </row>
    <row r="2905">
      <c r="A2905" s="23"/>
      <c r="B2905" s="52"/>
      <c r="C2905" s="53"/>
      <c r="D2905" s="23"/>
      <c r="E2905" s="53"/>
      <c r="F2905" s="54"/>
      <c r="G2905" s="54"/>
      <c r="H2905" s="54"/>
      <c r="I2905" s="53"/>
      <c r="J2905" s="53"/>
      <c r="K2905" s="23"/>
      <c r="L2905" s="53"/>
      <c r="M2905" s="54"/>
    </row>
    <row r="2906">
      <c r="A2906" s="23"/>
      <c r="B2906" s="52"/>
      <c r="C2906" s="53"/>
      <c r="D2906" s="23"/>
      <c r="E2906" s="53"/>
      <c r="F2906" s="54"/>
      <c r="G2906" s="54"/>
      <c r="H2906" s="54"/>
      <c r="I2906" s="53"/>
      <c r="J2906" s="53"/>
      <c r="K2906" s="23"/>
      <c r="L2906" s="53"/>
      <c r="M2906" s="54"/>
    </row>
    <row r="2907">
      <c r="A2907" s="23"/>
      <c r="B2907" s="52"/>
      <c r="C2907" s="53"/>
      <c r="D2907" s="23"/>
      <c r="E2907" s="53"/>
      <c r="F2907" s="54"/>
      <c r="G2907" s="54"/>
      <c r="H2907" s="54"/>
      <c r="I2907" s="53"/>
      <c r="J2907" s="53"/>
      <c r="K2907" s="23"/>
      <c r="L2907" s="53"/>
      <c r="M2907" s="54"/>
    </row>
    <row r="2908">
      <c r="A2908" s="23"/>
      <c r="B2908" s="52"/>
      <c r="C2908" s="53"/>
      <c r="D2908" s="23"/>
      <c r="E2908" s="53"/>
      <c r="F2908" s="54"/>
      <c r="G2908" s="23"/>
      <c r="H2908" s="54"/>
      <c r="I2908" s="53"/>
      <c r="J2908" s="23"/>
      <c r="K2908" s="23"/>
      <c r="L2908" s="53"/>
      <c r="M2908" s="54"/>
    </row>
    <row r="2909">
      <c r="A2909" s="23"/>
      <c r="B2909" s="52"/>
      <c r="C2909" s="53"/>
      <c r="D2909" s="23"/>
      <c r="E2909" s="53"/>
      <c r="F2909" s="54"/>
      <c r="G2909" s="54"/>
      <c r="H2909" s="54"/>
      <c r="I2909" s="53"/>
      <c r="J2909" s="53"/>
      <c r="K2909" s="23"/>
      <c r="L2909" s="53"/>
      <c r="M2909" s="54"/>
    </row>
    <row r="2910">
      <c r="A2910" s="23"/>
      <c r="B2910" s="52"/>
      <c r="C2910" s="53"/>
      <c r="D2910" s="23"/>
      <c r="E2910" s="53"/>
      <c r="F2910" s="54"/>
      <c r="G2910" s="23"/>
      <c r="H2910" s="54"/>
      <c r="I2910" s="53"/>
      <c r="J2910" s="23"/>
      <c r="K2910" s="23"/>
      <c r="L2910" s="53"/>
      <c r="M2910" s="54"/>
    </row>
    <row r="2911">
      <c r="A2911" s="23"/>
      <c r="B2911" s="52"/>
      <c r="C2911" s="53"/>
      <c r="D2911" s="23"/>
      <c r="E2911" s="53"/>
      <c r="F2911" s="54"/>
      <c r="G2911" s="54"/>
      <c r="H2911" s="54"/>
      <c r="I2911" s="53"/>
      <c r="J2911" s="53"/>
      <c r="K2911" s="23"/>
      <c r="L2911" s="53"/>
      <c r="M2911" s="54"/>
    </row>
    <row r="2912">
      <c r="A2912" s="23"/>
      <c r="B2912" s="52"/>
      <c r="C2912" s="53"/>
      <c r="D2912" s="23"/>
      <c r="E2912" s="53"/>
      <c r="F2912" s="54"/>
      <c r="G2912" s="23"/>
      <c r="H2912" s="54"/>
      <c r="I2912" s="53"/>
      <c r="J2912" s="23"/>
      <c r="K2912" s="23"/>
      <c r="L2912" s="53"/>
      <c r="M2912" s="54"/>
    </row>
    <row r="2913">
      <c r="A2913" s="23"/>
      <c r="B2913" s="52"/>
      <c r="C2913" s="53"/>
      <c r="D2913" s="23"/>
      <c r="E2913" s="53"/>
      <c r="F2913" s="54"/>
      <c r="G2913" s="54"/>
      <c r="H2913" s="54"/>
      <c r="I2913" s="53"/>
      <c r="J2913" s="53"/>
      <c r="K2913" s="23"/>
      <c r="L2913" s="53"/>
      <c r="M2913" s="54"/>
    </row>
    <row r="2914">
      <c r="A2914" s="23"/>
      <c r="B2914" s="52"/>
      <c r="C2914" s="53"/>
      <c r="D2914" s="23"/>
      <c r="E2914" s="53"/>
      <c r="F2914" s="54"/>
      <c r="G2914" s="23"/>
      <c r="H2914" s="54"/>
      <c r="I2914" s="53"/>
      <c r="J2914" s="53"/>
      <c r="K2914" s="23"/>
      <c r="L2914" s="53"/>
      <c r="M2914" s="54"/>
    </row>
    <row r="2915">
      <c r="A2915" s="23"/>
      <c r="B2915" s="52"/>
      <c r="C2915" s="53"/>
      <c r="D2915" s="23"/>
      <c r="E2915" s="53"/>
      <c r="F2915" s="54"/>
      <c r="G2915" s="23"/>
      <c r="H2915" s="54"/>
      <c r="I2915" s="53"/>
      <c r="J2915" s="53"/>
      <c r="K2915" s="23"/>
      <c r="L2915" s="53"/>
      <c r="M2915" s="54"/>
    </row>
    <row r="2916">
      <c r="A2916" s="23"/>
      <c r="B2916" s="52"/>
      <c r="C2916" s="53"/>
      <c r="D2916" s="23"/>
      <c r="E2916" s="53"/>
      <c r="F2916" s="54"/>
      <c r="G2916" s="54"/>
      <c r="H2916" s="54"/>
      <c r="I2916" s="53"/>
      <c r="J2916" s="53"/>
      <c r="K2916" s="23"/>
      <c r="L2916" s="53"/>
      <c r="M2916" s="54"/>
    </row>
    <row r="2917">
      <c r="A2917" s="23"/>
      <c r="B2917" s="52"/>
      <c r="C2917" s="53"/>
      <c r="D2917" s="23"/>
      <c r="E2917" s="53"/>
      <c r="F2917" s="54"/>
      <c r="G2917" s="54"/>
      <c r="H2917" s="54"/>
      <c r="I2917" s="53"/>
      <c r="J2917" s="53"/>
      <c r="K2917" s="23"/>
      <c r="L2917" s="53"/>
      <c r="M2917" s="54"/>
    </row>
    <row r="2918">
      <c r="A2918" s="23"/>
      <c r="B2918" s="52"/>
      <c r="C2918" s="53"/>
      <c r="D2918" s="23"/>
      <c r="E2918" s="53"/>
      <c r="F2918" s="54"/>
      <c r="G2918" s="54"/>
      <c r="H2918" s="54"/>
      <c r="I2918" s="53"/>
      <c r="J2918" s="53"/>
      <c r="K2918" s="23"/>
      <c r="L2918" s="53"/>
      <c r="M2918" s="54"/>
    </row>
    <row r="2919">
      <c r="A2919" s="23"/>
      <c r="B2919" s="52"/>
      <c r="C2919" s="53"/>
      <c r="D2919" s="23"/>
      <c r="E2919" s="53"/>
      <c r="F2919" s="54"/>
      <c r="G2919" s="23"/>
      <c r="H2919" s="54"/>
      <c r="I2919" s="53"/>
      <c r="J2919" s="23"/>
      <c r="K2919" s="23"/>
      <c r="L2919" s="53"/>
      <c r="M2919" s="54"/>
    </row>
    <row r="2920">
      <c r="A2920" s="23"/>
      <c r="B2920" s="52"/>
      <c r="C2920" s="53"/>
      <c r="D2920" s="23"/>
      <c r="E2920" s="53"/>
      <c r="F2920" s="54"/>
      <c r="G2920" s="54"/>
      <c r="H2920" s="54"/>
      <c r="I2920" s="53"/>
      <c r="J2920" s="53"/>
      <c r="K2920" s="23"/>
      <c r="L2920" s="53"/>
      <c r="M2920" s="54"/>
    </row>
    <row r="2921">
      <c r="A2921" s="23"/>
      <c r="B2921" s="52"/>
      <c r="C2921" s="53"/>
      <c r="D2921" s="23"/>
      <c r="E2921" s="53"/>
      <c r="F2921" s="54"/>
      <c r="G2921" s="23"/>
      <c r="H2921" s="54"/>
      <c r="I2921" s="53"/>
      <c r="J2921" s="53"/>
      <c r="K2921" s="23"/>
      <c r="L2921" s="53"/>
      <c r="M2921" s="54"/>
    </row>
    <row r="2922">
      <c r="A2922" s="23"/>
      <c r="B2922" s="52"/>
      <c r="C2922" s="53"/>
      <c r="D2922" s="23"/>
      <c r="E2922" s="53"/>
      <c r="F2922" s="54"/>
      <c r="G2922" s="54"/>
      <c r="H2922" s="54"/>
      <c r="I2922" s="53"/>
      <c r="J2922" s="53"/>
      <c r="K2922" s="23"/>
      <c r="L2922" s="53"/>
      <c r="M2922" s="54"/>
    </row>
    <row r="2923">
      <c r="A2923" s="23"/>
      <c r="B2923" s="52"/>
      <c r="C2923" s="53"/>
      <c r="D2923" s="23"/>
      <c r="E2923" s="53"/>
      <c r="F2923" s="54"/>
      <c r="G2923" s="23"/>
      <c r="H2923" s="54"/>
      <c r="I2923" s="53"/>
      <c r="J2923" s="23"/>
      <c r="K2923" s="53"/>
      <c r="L2923" s="53"/>
      <c r="M2923" s="54"/>
    </row>
    <row r="2924">
      <c r="A2924" s="23"/>
      <c r="B2924" s="52"/>
      <c r="C2924" s="53"/>
      <c r="D2924" s="23"/>
      <c r="E2924" s="53"/>
      <c r="F2924" s="54"/>
      <c r="G2924" s="23"/>
      <c r="H2924" s="54"/>
      <c r="I2924" s="53"/>
      <c r="J2924" s="53"/>
      <c r="K2924" s="23"/>
      <c r="L2924" s="53"/>
      <c r="M2924" s="54"/>
    </row>
    <row r="2925">
      <c r="A2925" s="23"/>
      <c r="B2925" s="52"/>
      <c r="C2925" s="53"/>
      <c r="D2925" s="23"/>
      <c r="E2925" s="53"/>
      <c r="F2925" s="54"/>
      <c r="G2925" s="54"/>
      <c r="H2925" s="54"/>
      <c r="I2925" s="53"/>
      <c r="J2925" s="53"/>
      <c r="K2925" s="23"/>
      <c r="L2925" s="53"/>
      <c r="M2925" s="54"/>
    </row>
    <row r="2926">
      <c r="A2926" s="23"/>
      <c r="B2926" s="52"/>
      <c r="C2926" s="53"/>
      <c r="D2926" s="23"/>
      <c r="E2926" s="53"/>
      <c r="F2926" s="54"/>
      <c r="G2926" s="23"/>
      <c r="H2926" s="54"/>
      <c r="I2926" s="53"/>
      <c r="J2926" s="53"/>
      <c r="K2926" s="53"/>
      <c r="L2926" s="53"/>
      <c r="M2926" s="54"/>
    </row>
    <row r="2927">
      <c r="A2927" s="23"/>
      <c r="B2927" s="52"/>
      <c r="C2927" s="53"/>
      <c r="D2927" s="23"/>
      <c r="E2927" s="53"/>
      <c r="F2927" s="54"/>
      <c r="G2927" s="54"/>
      <c r="H2927" s="54"/>
      <c r="I2927" s="53"/>
      <c r="J2927" s="53"/>
      <c r="K2927" s="23"/>
      <c r="L2927" s="53"/>
      <c r="M2927" s="54"/>
    </row>
    <row r="2928">
      <c r="A2928" s="23"/>
      <c r="B2928" s="52"/>
      <c r="C2928" s="53"/>
      <c r="D2928" s="23"/>
      <c r="E2928" s="53"/>
      <c r="F2928" s="54"/>
      <c r="G2928" s="54"/>
      <c r="H2928" s="54"/>
      <c r="I2928" s="53"/>
      <c r="J2928" s="23"/>
      <c r="K2928" s="23"/>
      <c r="L2928" s="53"/>
      <c r="M2928" s="54"/>
    </row>
    <row r="2929">
      <c r="A2929" s="23"/>
      <c r="B2929" s="52"/>
      <c r="C2929" s="53"/>
      <c r="D2929" s="23"/>
      <c r="E2929" s="53"/>
      <c r="F2929" s="54"/>
      <c r="G2929" s="23"/>
      <c r="H2929" s="54"/>
      <c r="I2929" s="53"/>
      <c r="J2929" s="53"/>
      <c r="K2929" s="23"/>
      <c r="L2929" s="53"/>
      <c r="M2929" s="54"/>
    </row>
    <row r="2930">
      <c r="A2930" s="23"/>
      <c r="B2930" s="52"/>
      <c r="C2930" s="53"/>
      <c r="D2930" s="23"/>
      <c r="E2930" s="53"/>
      <c r="F2930" s="54"/>
      <c r="G2930" s="54"/>
      <c r="H2930" s="54"/>
      <c r="I2930" s="53"/>
      <c r="J2930" s="23"/>
      <c r="K2930" s="23"/>
      <c r="L2930" s="53"/>
      <c r="M2930" s="54"/>
    </row>
    <row r="2931">
      <c r="A2931" s="23"/>
      <c r="B2931" s="52"/>
      <c r="C2931" s="53"/>
      <c r="D2931" s="23"/>
      <c r="E2931" s="53"/>
      <c r="F2931" s="54"/>
      <c r="G2931" s="54"/>
      <c r="H2931" s="54"/>
      <c r="I2931" s="53"/>
      <c r="J2931" s="53"/>
      <c r="K2931" s="23"/>
      <c r="L2931" s="53"/>
      <c r="M2931" s="54"/>
    </row>
    <row r="2932">
      <c r="A2932" s="23"/>
      <c r="B2932" s="52"/>
      <c r="C2932" s="53"/>
      <c r="D2932" s="23"/>
      <c r="E2932" s="53"/>
      <c r="F2932" s="54"/>
      <c r="G2932" s="23"/>
      <c r="H2932" s="54"/>
      <c r="I2932" s="53"/>
      <c r="J2932" s="53"/>
      <c r="K2932" s="53"/>
      <c r="L2932" s="53"/>
      <c r="M2932" s="54"/>
    </row>
    <row r="2933">
      <c r="A2933" s="23"/>
      <c r="B2933" s="52"/>
      <c r="C2933" s="53"/>
      <c r="D2933" s="23"/>
      <c r="E2933" s="53"/>
      <c r="F2933" s="54"/>
      <c r="G2933" s="54"/>
      <c r="H2933" s="54"/>
      <c r="I2933" s="53"/>
      <c r="J2933" s="53"/>
      <c r="K2933" s="23"/>
      <c r="L2933" s="53"/>
      <c r="M2933" s="54"/>
    </row>
    <row r="2934">
      <c r="A2934" s="23"/>
      <c r="B2934" s="52"/>
      <c r="C2934" s="53"/>
      <c r="D2934" s="23"/>
      <c r="E2934" s="53"/>
      <c r="F2934" s="54"/>
      <c r="G2934" s="23"/>
      <c r="H2934" s="54"/>
      <c r="I2934" s="53"/>
      <c r="J2934" s="53"/>
      <c r="K2934" s="23"/>
      <c r="L2934" s="53"/>
      <c r="M2934" s="54"/>
    </row>
    <row r="2935">
      <c r="A2935" s="23"/>
      <c r="B2935" s="52"/>
      <c r="C2935" s="53"/>
      <c r="D2935" s="23"/>
      <c r="E2935" s="53"/>
      <c r="F2935" s="54"/>
      <c r="G2935" s="23"/>
      <c r="H2935" s="54"/>
      <c r="I2935" s="53"/>
      <c r="J2935" s="23"/>
      <c r="K2935" s="23"/>
      <c r="L2935" s="53"/>
      <c r="M2935" s="54"/>
    </row>
    <row r="2936">
      <c r="A2936" s="23"/>
      <c r="B2936" s="52"/>
      <c r="C2936" s="53"/>
      <c r="D2936" s="23"/>
      <c r="E2936" s="53"/>
      <c r="F2936" s="54"/>
      <c r="G2936" s="54"/>
      <c r="H2936" s="54"/>
      <c r="I2936" s="53"/>
      <c r="J2936" s="53"/>
      <c r="K2936" s="23"/>
      <c r="L2936" s="53"/>
      <c r="M2936" s="54"/>
    </row>
    <row r="2937">
      <c r="A2937" s="23"/>
      <c r="B2937" s="52"/>
      <c r="C2937" s="53"/>
      <c r="D2937" s="23"/>
      <c r="E2937" s="53"/>
      <c r="F2937" s="54"/>
      <c r="G2937" s="54"/>
      <c r="H2937" s="54"/>
      <c r="I2937" s="53"/>
      <c r="J2937" s="53"/>
      <c r="K2937" s="23"/>
      <c r="L2937" s="53"/>
      <c r="M2937" s="54"/>
    </row>
    <row r="2938">
      <c r="A2938" s="23"/>
      <c r="B2938" s="52"/>
      <c r="C2938" s="53"/>
      <c r="D2938" s="23"/>
      <c r="E2938" s="53"/>
      <c r="F2938" s="54"/>
      <c r="G2938" s="54"/>
      <c r="H2938" s="54"/>
      <c r="I2938" s="53"/>
      <c r="J2938" s="53"/>
      <c r="K2938" s="23"/>
      <c r="L2938" s="53"/>
      <c r="M2938" s="54"/>
    </row>
    <row r="2939">
      <c r="A2939" s="23"/>
      <c r="B2939" s="52"/>
      <c r="C2939" s="53"/>
      <c r="D2939" s="23"/>
      <c r="E2939" s="53"/>
      <c r="F2939" s="54"/>
      <c r="G2939" s="23"/>
      <c r="H2939" s="54"/>
      <c r="I2939" s="53"/>
      <c r="J2939" s="23"/>
      <c r="K2939" s="23"/>
      <c r="L2939" s="53"/>
      <c r="M2939" s="54"/>
    </row>
    <row r="2940">
      <c r="A2940" s="23"/>
      <c r="B2940" s="52"/>
      <c r="C2940" s="53"/>
      <c r="D2940" s="23"/>
      <c r="E2940" s="53"/>
      <c r="F2940" s="54"/>
      <c r="G2940" s="54"/>
      <c r="H2940" s="54"/>
      <c r="I2940" s="53"/>
      <c r="J2940" s="53"/>
      <c r="K2940" s="23"/>
      <c r="L2940" s="53"/>
      <c r="M2940" s="54"/>
    </row>
    <row r="2941">
      <c r="A2941" s="23"/>
      <c r="B2941" s="52"/>
      <c r="C2941" s="53"/>
      <c r="D2941" s="23"/>
      <c r="E2941" s="53"/>
      <c r="F2941" s="54"/>
      <c r="G2941" s="54"/>
      <c r="H2941" s="54"/>
      <c r="I2941" s="53"/>
      <c r="J2941" s="53"/>
      <c r="K2941" s="23"/>
      <c r="L2941" s="53"/>
      <c r="M2941" s="54"/>
    </row>
    <row r="2942">
      <c r="A2942" s="23"/>
      <c r="B2942" s="52"/>
      <c r="C2942" s="53"/>
      <c r="D2942" s="23"/>
      <c r="E2942" s="53"/>
      <c r="F2942" s="54"/>
      <c r="G2942" s="23"/>
      <c r="H2942" s="54"/>
      <c r="I2942" s="53"/>
      <c r="J2942" s="53"/>
      <c r="K2942" s="23"/>
      <c r="L2942" s="53"/>
      <c r="M2942" s="54"/>
    </row>
    <row r="2943">
      <c r="A2943" s="23"/>
      <c r="B2943" s="52"/>
      <c r="C2943" s="53"/>
      <c r="D2943" s="23"/>
      <c r="E2943" s="53"/>
      <c r="F2943" s="54"/>
      <c r="G2943" s="23"/>
      <c r="H2943" s="54"/>
      <c r="I2943" s="53"/>
      <c r="J2943" s="53"/>
      <c r="K2943" s="23"/>
      <c r="L2943" s="53"/>
      <c r="M2943" s="54"/>
    </row>
    <row r="2944">
      <c r="A2944" s="23"/>
      <c r="B2944" s="52"/>
      <c r="C2944" s="53"/>
      <c r="D2944" s="23"/>
      <c r="E2944" s="53"/>
      <c r="F2944" s="54"/>
      <c r="G2944" s="54"/>
      <c r="H2944" s="54"/>
      <c r="I2944" s="53"/>
      <c r="J2944" s="53"/>
      <c r="K2944" s="23"/>
      <c r="L2944" s="53"/>
      <c r="M2944" s="54"/>
    </row>
    <row r="2945">
      <c r="A2945" s="23"/>
      <c r="B2945" s="52"/>
      <c r="C2945" s="53"/>
      <c r="D2945" s="23"/>
      <c r="E2945" s="53"/>
      <c r="F2945" s="54"/>
      <c r="G2945" s="23"/>
      <c r="H2945" s="54"/>
      <c r="I2945" s="53"/>
      <c r="J2945" s="53"/>
      <c r="K2945" s="23"/>
      <c r="L2945" s="53"/>
      <c r="M2945" s="54"/>
    </row>
    <row r="2946">
      <c r="A2946" s="23"/>
      <c r="B2946" s="52"/>
      <c r="C2946" s="53"/>
      <c r="D2946" s="23"/>
      <c r="E2946" s="53"/>
      <c r="F2946" s="54"/>
      <c r="G2946" s="54"/>
      <c r="H2946" s="54"/>
      <c r="I2946" s="53"/>
      <c r="J2946" s="53"/>
      <c r="K2946" s="23"/>
      <c r="L2946" s="53"/>
      <c r="M2946" s="54"/>
    </row>
    <row r="2947">
      <c r="A2947" s="23"/>
      <c r="B2947" s="52"/>
      <c r="C2947" s="53"/>
      <c r="D2947" s="23"/>
      <c r="E2947" s="53"/>
      <c r="F2947" s="54"/>
      <c r="G2947" s="23"/>
      <c r="H2947" s="54"/>
      <c r="I2947" s="53"/>
      <c r="J2947" s="53"/>
      <c r="K2947" s="23"/>
      <c r="L2947" s="53"/>
      <c r="M2947" s="54"/>
    </row>
    <row r="2948">
      <c r="A2948" s="23"/>
      <c r="B2948" s="52"/>
      <c r="C2948" s="53"/>
      <c r="D2948" s="23"/>
      <c r="E2948" s="53"/>
      <c r="F2948" s="54"/>
      <c r="G2948" s="54"/>
      <c r="H2948" s="54"/>
      <c r="I2948" s="53"/>
      <c r="J2948" s="53"/>
      <c r="K2948" s="23"/>
      <c r="L2948" s="53"/>
      <c r="M2948" s="54"/>
    </row>
    <row r="2949">
      <c r="A2949" s="23"/>
      <c r="B2949" s="52"/>
      <c r="C2949" s="53"/>
      <c r="D2949" s="23"/>
      <c r="E2949" s="53"/>
      <c r="F2949" s="54"/>
      <c r="G2949" s="54"/>
      <c r="H2949" s="54"/>
      <c r="I2949" s="53"/>
      <c r="J2949" s="53"/>
      <c r="K2949" s="23"/>
      <c r="L2949" s="53"/>
      <c r="M2949" s="54"/>
    </row>
    <row r="2950">
      <c r="A2950" s="23"/>
      <c r="B2950" s="52"/>
      <c r="C2950" s="53"/>
      <c r="D2950" s="23"/>
      <c r="E2950" s="53"/>
      <c r="F2950" s="54"/>
      <c r="G2950" s="54"/>
      <c r="H2950" s="54"/>
      <c r="I2950" s="53"/>
      <c r="J2950" s="53"/>
      <c r="K2950" s="23"/>
      <c r="L2950" s="53"/>
      <c r="M2950" s="54"/>
    </row>
    <row r="2951">
      <c r="A2951" s="23"/>
      <c r="B2951" s="52"/>
      <c r="C2951" s="53"/>
      <c r="D2951" s="23"/>
      <c r="E2951" s="53"/>
      <c r="F2951" s="54"/>
      <c r="G2951" s="23"/>
      <c r="H2951" s="54"/>
      <c r="I2951" s="53"/>
      <c r="J2951" s="23"/>
      <c r="K2951" s="23"/>
      <c r="L2951" s="53"/>
      <c r="M2951" s="54"/>
    </row>
    <row r="2952">
      <c r="A2952" s="23"/>
      <c r="B2952" s="52"/>
      <c r="C2952" s="53"/>
      <c r="D2952" s="23"/>
      <c r="E2952" s="53"/>
      <c r="F2952" s="54"/>
      <c r="G2952" s="23"/>
      <c r="H2952" s="54"/>
      <c r="I2952" s="53"/>
      <c r="J2952" s="53"/>
      <c r="K2952" s="53"/>
      <c r="L2952" s="53"/>
      <c r="M2952" s="54"/>
    </row>
    <row r="2953">
      <c r="A2953" s="23"/>
      <c r="B2953" s="52"/>
      <c r="C2953" s="53"/>
      <c r="D2953" s="23"/>
      <c r="E2953" s="53"/>
      <c r="F2953" s="54"/>
      <c r="G2953" s="54"/>
      <c r="H2953" s="54"/>
      <c r="I2953" s="53"/>
      <c r="J2953" s="53"/>
      <c r="K2953" s="23"/>
      <c r="L2953" s="53"/>
      <c r="M2953" s="54"/>
    </row>
    <row r="2954">
      <c r="A2954" s="23"/>
      <c r="B2954" s="52"/>
      <c r="C2954" s="53"/>
      <c r="D2954" s="23"/>
      <c r="E2954" s="53"/>
      <c r="F2954" s="54"/>
      <c r="G2954" s="54"/>
      <c r="H2954" s="54"/>
      <c r="I2954" s="53"/>
      <c r="J2954" s="53"/>
      <c r="K2954" s="23"/>
      <c r="L2954" s="53"/>
      <c r="M2954" s="54"/>
    </row>
    <row r="2955">
      <c r="A2955" s="23"/>
      <c r="B2955" s="52"/>
      <c r="C2955" s="53"/>
      <c r="D2955" s="23"/>
      <c r="E2955" s="53"/>
      <c r="F2955" s="54"/>
      <c r="G2955" s="23"/>
      <c r="H2955" s="54"/>
      <c r="I2955" s="53"/>
      <c r="J2955" s="53"/>
      <c r="K2955" s="23"/>
      <c r="L2955" s="53"/>
      <c r="M2955" s="54"/>
    </row>
    <row r="2956">
      <c r="A2956" s="23"/>
      <c r="B2956" s="52"/>
      <c r="C2956" s="53"/>
      <c r="D2956" s="23"/>
      <c r="E2956" s="53"/>
      <c r="F2956" s="54"/>
      <c r="G2956" s="54"/>
      <c r="H2956" s="54"/>
      <c r="I2956" s="53"/>
      <c r="J2956" s="53"/>
      <c r="K2956" s="23"/>
      <c r="L2956" s="53"/>
      <c r="M2956" s="54"/>
    </row>
    <row r="2957">
      <c r="A2957" s="23"/>
      <c r="B2957" s="52"/>
      <c r="C2957" s="53"/>
      <c r="D2957" s="23"/>
      <c r="E2957" s="53"/>
      <c r="F2957" s="54"/>
      <c r="G2957" s="23"/>
      <c r="H2957" s="54"/>
      <c r="I2957" s="53"/>
      <c r="J2957" s="23"/>
      <c r="K2957" s="23"/>
      <c r="L2957" s="53"/>
      <c r="M2957" s="54"/>
    </row>
    <row r="2958">
      <c r="A2958" s="23"/>
      <c r="B2958" s="52"/>
      <c r="C2958" s="53"/>
      <c r="D2958" s="23"/>
      <c r="E2958" s="53"/>
      <c r="F2958" s="54"/>
      <c r="G2958" s="54"/>
      <c r="H2958" s="54"/>
      <c r="I2958" s="53"/>
      <c r="J2958" s="53"/>
      <c r="K2958" s="23"/>
      <c r="L2958" s="53"/>
      <c r="M2958" s="54"/>
    </row>
    <row r="2959">
      <c r="A2959" s="23"/>
      <c r="B2959" s="52"/>
      <c r="C2959" s="53"/>
      <c r="D2959" s="23"/>
      <c r="E2959" s="53"/>
      <c r="F2959" s="54"/>
      <c r="G2959" s="23"/>
      <c r="H2959" s="54"/>
      <c r="I2959" s="53"/>
      <c r="J2959" s="53"/>
      <c r="K2959" s="23"/>
      <c r="L2959" s="53"/>
      <c r="M2959" s="54"/>
    </row>
    <row r="2960">
      <c r="A2960" s="23"/>
      <c r="B2960" s="52"/>
      <c r="C2960" s="53"/>
      <c r="D2960" s="23"/>
      <c r="E2960" s="53"/>
      <c r="F2960" s="54"/>
      <c r="G2960" s="54"/>
      <c r="H2960" s="54"/>
      <c r="I2960" s="53"/>
      <c r="J2960" s="53"/>
      <c r="K2960" s="23"/>
      <c r="L2960" s="53"/>
      <c r="M2960" s="54"/>
    </row>
    <row r="2961">
      <c r="A2961" s="23"/>
      <c r="B2961" s="52"/>
      <c r="C2961" s="53"/>
      <c r="D2961" s="23"/>
      <c r="E2961" s="53"/>
      <c r="F2961" s="54"/>
      <c r="G2961" s="54"/>
      <c r="H2961" s="54"/>
      <c r="I2961" s="53"/>
      <c r="J2961" s="53"/>
      <c r="K2961" s="23"/>
      <c r="L2961" s="53"/>
      <c r="M2961" s="54"/>
    </row>
    <row r="2962">
      <c r="A2962" s="23"/>
      <c r="B2962" s="52"/>
      <c r="C2962" s="53"/>
      <c r="D2962" s="23"/>
      <c r="E2962" s="53"/>
      <c r="F2962" s="54"/>
      <c r="G2962" s="23"/>
      <c r="H2962" s="54"/>
      <c r="I2962" s="53"/>
      <c r="J2962" s="53"/>
      <c r="K2962" s="23"/>
      <c r="L2962" s="53"/>
      <c r="M2962" s="54"/>
    </row>
    <row r="2963">
      <c r="A2963" s="23"/>
      <c r="B2963" s="52"/>
      <c r="C2963" s="53"/>
      <c r="D2963" s="23"/>
      <c r="E2963" s="53"/>
      <c r="F2963" s="54"/>
      <c r="G2963" s="54"/>
      <c r="H2963" s="54"/>
      <c r="I2963" s="53"/>
      <c r="J2963" s="53"/>
      <c r="K2963" s="23"/>
      <c r="L2963" s="53"/>
      <c r="M2963" s="54"/>
    </row>
    <row r="2964">
      <c r="A2964" s="23"/>
      <c r="B2964" s="52"/>
      <c r="C2964" s="53"/>
      <c r="D2964" s="23"/>
      <c r="E2964" s="53"/>
      <c r="F2964" s="54"/>
      <c r="G2964" s="54"/>
      <c r="H2964" s="54"/>
      <c r="I2964" s="53"/>
      <c r="J2964" s="53"/>
      <c r="K2964" s="23"/>
      <c r="L2964" s="53"/>
      <c r="M2964" s="54"/>
    </row>
    <row r="2965">
      <c r="A2965" s="23"/>
      <c r="B2965" s="52"/>
      <c r="C2965" s="53"/>
      <c r="D2965" s="23"/>
      <c r="E2965" s="53"/>
      <c r="F2965" s="54"/>
      <c r="G2965" s="23"/>
      <c r="H2965" s="54"/>
      <c r="I2965" s="53"/>
      <c r="J2965" s="23"/>
      <c r="K2965" s="23"/>
      <c r="L2965" s="53"/>
      <c r="M2965" s="54"/>
    </row>
    <row r="2966">
      <c r="A2966" s="23"/>
      <c r="B2966" s="52"/>
      <c r="C2966" s="53"/>
      <c r="D2966" s="23"/>
      <c r="E2966" s="53"/>
      <c r="F2966" s="54"/>
      <c r="G2966" s="54"/>
      <c r="H2966" s="54"/>
      <c r="I2966" s="53"/>
      <c r="J2966" s="53"/>
      <c r="K2966" s="23"/>
      <c r="L2966" s="53"/>
      <c r="M2966" s="54"/>
    </row>
    <row r="2967">
      <c r="A2967" s="23"/>
      <c r="B2967" s="52"/>
      <c r="C2967" s="53"/>
      <c r="D2967" s="23"/>
      <c r="E2967" s="53"/>
      <c r="F2967" s="54"/>
      <c r="G2967" s="54"/>
      <c r="H2967" s="54"/>
      <c r="I2967" s="53"/>
      <c r="J2967" s="53"/>
      <c r="K2967" s="23"/>
      <c r="L2967" s="53"/>
      <c r="M2967" s="54"/>
    </row>
    <row r="2968">
      <c r="A2968" s="23"/>
      <c r="B2968" s="52"/>
      <c r="C2968" s="53"/>
      <c r="D2968" s="23"/>
      <c r="E2968" s="53"/>
      <c r="F2968" s="54"/>
      <c r="G2968" s="54"/>
      <c r="H2968" s="54"/>
      <c r="I2968" s="53"/>
      <c r="J2968" s="53"/>
      <c r="K2968" s="23"/>
      <c r="L2968" s="53"/>
      <c r="M2968" s="54"/>
    </row>
    <row r="2969">
      <c r="A2969" s="23"/>
      <c r="B2969" s="52"/>
      <c r="C2969" s="53"/>
      <c r="D2969" s="23"/>
      <c r="E2969" s="53"/>
      <c r="F2969" s="54"/>
      <c r="G2969" s="54"/>
      <c r="H2969" s="54"/>
      <c r="I2969" s="53"/>
      <c r="J2969" s="53"/>
      <c r="K2969" s="23"/>
      <c r="L2969" s="53"/>
      <c r="M2969" s="54"/>
    </row>
    <row r="2970">
      <c r="A2970" s="23"/>
      <c r="B2970" s="52"/>
      <c r="C2970" s="53"/>
      <c r="D2970" s="23"/>
      <c r="E2970" s="53"/>
      <c r="F2970" s="54"/>
      <c r="G2970" s="54"/>
      <c r="H2970" s="54"/>
      <c r="I2970" s="53"/>
      <c r="J2970" s="53"/>
      <c r="K2970" s="23"/>
      <c r="L2970" s="53"/>
      <c r="M2970" s="54"/>
    </row>
    <row r="2971">
      <c r="A2971" s="23"/>
      <c r="B2971" s="52"/>
      <c r="C2971" s="53"/>
      <c r="D2971" s="23"/>
      <c r="E2971" s="53"/>
      <c r="F2971" s="54"/>
      <c r="G2971" s="54"/>
      <c r="H2971" s="54"/>
      <c r="I2971" s="53"/>
      <c r="J2971" s="53"/>
      <c r="K2971" s="23"/>
      <c r="L2971" s="53"/>
      <c r="M2971" s="54"/>
    </row>
    <row r="2972">
      <c r="A2972" s="23"/>
      <c r="B2972" s="52"/>
      <c r="C2972" s="53"/>
      <c r="D2972" s="23"/>
      <c r="E2972" s="53"/>
      <c r="F2972" s="54"/>
      <c r="G2972" s="54"/>
      <c r="H2972" s="54"/>
      <c r="I2972" s="53"/>
      <c r="J2972" s="53"/>
      <c r="K2972" s="23"/>
      <c r="L2972" s="53"/>
      <c r="M2972" s="54"/>
    </row>
    <row r="2973">
      <c r="A2973" s="23"/>
      <c r="B2973" s="52"/>
      <c r="C2973" s="53"/>
      <c r="D2973" s="23"/>
      <c r="E2973" s="53"/>
      <c r="F2973" s="54"/>
      <c r="G2973" s="54"/>
      <c r="H2973" s="54"/>
      <c r="I2973" s="53"/>
      <c r="J2973" s="53"/>
      <c r="K2973" s="23"/>
      <c r="L2973" s="53"/>
      <c r="M2973" s="54"/>
    </row>
    <row r="2974">
      <c r="A2974" s="23"/>
      <c r="B2974" s="52"/>
      <c r="C2974" s="53"/>
      <c r="D2974" s="23"/>
      <c r="E2974" s="53"/>
      <c r="F2974" s="54"/>
      <c r="G2974" s="54"/>
      <c r="H2974" s="54"/>
      <c r="I2974" s="53"/>
      <c r="J2974" s="53"/>
      <c r="K2974" s="23"/>
      <c r="L2974" s="53"/>
      <c r="M2974" s="54"/>
    </row>
    <row r="2975">
      <c r="A2975" s="23"/>
      <c r="B2975" s="52"/>
      <c r="C2975" s="53"/>
      <c r="D2975" s="23"/>
      <c r="E2975" s="53"/>
      <c r="F2975" s="54"/>
      <c r="G2975" s="54"/>
      <c r="H2975" s="54"/>
      <c r="I2975" s="53"/>
      <c r="J2975" s="53"/>
      <c r="K2975" s="23"/>
      <c r="L2975" s="53"/>
      <c r="M2975" s="54"/>
    </row>
    <row r="2976">
      <c r="A2976" s="23"/>
      <c r="B2976" s="52"/>
      <c r="C2976" s="53"/>
      <c r="D2976" s="23"/>
      <c r="E2976" s="53"/>
      <c r="F2976" s="54"/>
      <c r="G2976" s="54"/>
      <c r="H2976" s="54"/>
      <c r="I2976" s="53"/>
      <c r="J2976" s="53"/>
      <c r="K2976" s="23"/>
      <c r="L2976" s="53"/>
      <c r="M2976" s="54"/>
    </row>
    <row r="2977">
      <c r="A2977" s="23"/>
      <c r="B2977" s="52"/>
      <c r="C2977" s="53"/>
      <c r="D2977" s="23"/>
      <c r="E2977" s="53"/>
      <c r="F2977" s="54"/>
      <c r="G2977" s="23"/>
      <c r="H2977" s="54"/>
      <c r="I2977" s="53"/>
      <c r="J2977" s="53"/>
      <c r="K2977" s="23"/>
      <c r="L2977" s="53"/>
      <c r="M2977" s="54"/>
    </row>
    <row r="2978">
      <c r="A2978" s="23"/>
      <c r="B2978" s="52"/>
      <c r="C2978" s="53"/>
      <c r="D2978" s="23"/>
      <c r="E2978" s="53"/>
      <c r="F2978" s="54"/>
      <c r="G2978" s="54"/>
      <c r="H2978" s="54"/>
      <c r="I2978" s="53"/>
      <c r="J2978" s="53"/>
      <c r="K2978" s="23"/>
      <c r="L2978" s="53"/>
      <c r="M2978" s="54"/>
    </row>
    <row r="2979">
      <c r="A2979" s="23"/>
      <c r="B2979" s="52"/>
      <c r="C2979" s="53"/>
      <c r="D2979" s="23"/>
      <c r="E2979" s="53"/>
      <c r="F2979" s="54"/>
      <c r="G2979" s="54"/>
      <c r="H2979" s="54"/>
      <c r="I2979" s="53"/>
      <c r="J2979" s="53"/>
      <c r="K2979" s="23"/>
      <c r="L2979" s="53"/>
      <c r="M2979" s="54"/>
    </row>
    <row r="2980">
      <c r="A2980" s="23"/>
      <c r="B2980" s="52"/>
      <c r="C2980" s="53"/>
      <c r="D2980" s="23"/>
      <c r="E2980" s="53"/>
      <c r="F2980" s="54"/>
      <c r="G2980" s="23"/>
      <c r="H2980" s="54"/>
      <c r="I2980" s="53"/>
      <c r="J2980" s="53"/>
      <c r="K2980" s="23"/>
      <c r="L2980" s="53"/>
      <c r="M2980" s="54"/>
    </row>
    <row r="2981">
      <c r="A2981" s="23"/>
      <c r="B2981" s="52"/>
      <c r="C2981" s="53"/>
      <c r="D2981" s="23"/>
      <c r="E2981" s="53"/>
      <c r="F2981" s="54"/>
      <c r="G2981" s="23"/>
      <c r="H2981" s="54"/>
      <c r="I2981" s="53"/>
      <c r="J2981" s="23"/>
      <c r="K2981" s="23"/>
      <c r="L2981" s="53"/>
      <c r="M2981" s="54"/>
    </row>
    <row r="2982">
      <c r="A2982" s="23"/>
      <c r="B2982" s="52"/>
      <c r="C2982" s="53"/>
      <c r="D2982" s="23"/>
      <c r="E2982" s="53"/>
      <c r="F2982" s="54"/>
      <c r="G2982" s="54"/>
      <c r="H2982" s="54"/>
      <c r="I2982" s="53"/>
      <c r="J2982" s="53"/>
      <c r="K2982" s="23"/>
      <c r="L2982" s="53"/>
      <c r="M2982" s="54"/>
    </row>
    <row r="2983">
      <c r="A2983" s="23"/>
      <c r="B2983" s="52"/>
      <c r="C2983" s="53"/>
      <c r="D2983" s="23"/>
      <c r="E2983" s="53"/>
      <c r="F2983" s="54"/>
      <c r="G2983" s="23"/>
      <c r="H2983" s="54"/>
      <c r="I2983" s="53"/>
      <c r="J2983" s="23"/>
      <c r="K2983" s="23"/>
      <c r="L2983" s="53"/>
      <c r="M2983" s="54"/>
    </row>
    <row r="2984">
      <c r="A2984" s="23"/>
      <c r="B2984" s="52"/>
      <c r="C2984" s="53"/>
      <c r="D2984" s="23"/>
      <c r="E2984" s="53"/>
      <c r="F2984" s="54"/>
      <c r="G2984" s="23"/>
      <c r="H2984" s="54"/>
      <c r="I2984" s="53"/>
      <c r="J2984" s="53"/>
      <c r="K2984" s="23"/>
      <c r="L2984" s="53"/>
      <c r="M2984" s="54"/>
    </row>
    <row r="2985">
      <c r="A2985" s="23"/>
      <c r="B2985" s="52"/>
      <c r="C2985" s="53"/>
      <c r="D2985" s="23"/>
      <c r="E2985" s="53"/>
      <c r="F2985" s="54"/>
      <c r="G2985" s="23"/>
      <c r="H2985" s="54"/>
      <c r="I2985" s="53"/>
      <c r="J2985" s="53"/>
      <c r="K2985" s="23"/>
      <c r="L2985" s="53"/>
      <c r="M2985" s="54"/>
    </row>
    <row r="2986">
      <c r="A2986" s="23"/>
      <c r="B2986" s="52"/>
      <c r="C2986" s="53"/>
      <c r="D2986" s="23"/>
      <c r="E2986" s="53"/>
      <c r="F2986" s="54"/>
      <c r="G2986" s="54"/>
      <c r="H2986" s="54"/>
      <c r="I2986" s="53"/>
      <c r="J2986" s="53"/>
      <c r="K2986" s="23"/>
      <c r="L2986" s="53"/>
      <c r="M2986" s="54"/>
    </row>
    <row r="2987">
      <c r="A2987" s="23"/>
      <c r="B2987" s="52"/>
      <c r="C2987" s="53"/>
      <c r="D2987" s="23"/>
      <c r="E2987" s="53"/>
      <c r="F2987" s="54"/>
      <c r="G2987" s="23"/>
      <c r="H2987" s="54"/>
      <c r="I2987" s="53"/>
      <c r="J2987" s="23"/>
      <c r="K2987" s="23"/>
      <c r="L2987" s="53"/>
      <c r="M2987" s="54"/>
    </row>
    <row r="2988">
      <c r="A2988" s="23"/>
      <c r="B2988" s="52"/>
      <c r="C2988" s="53"/>
      <c r="D2988" s="23"/>
      <c r="E2988" s="53"/>
      <c r="F2988" s="54"/>
      <c r="G2988" s="54"/>
      <c r="H2988" s="54"/>
      <c r="I2988" s="53"/>
      <c r="J2988" s="53"/>
      <c r="K2988" s="23"/>
      <c r="L2988" s="53"/>
      <c r="M2988" s="54"/>
    </row>
    <row r="2989">
      <c r="A2989" s="23"/>
      <c r="B2989" s="52"/>
      <c r="C2989" s="53"/>
      <c r="D2989" s="23"/>
      <c r="E2989" s="53"/>
      <c r="F2989" s="54"/>
      <c r="G2989" s="54"/>
      <c r="H2989" s="54"/>
      <c r="I2989" s="53"/>
      <c r="J2989" s="53"/>
      <c r="K2989" s="23"/>
      <c r="L2989" s="53"/>
      <c r="M2989" s="54"/>
    </row>
    <row r="2990">
      <c r="A2990" s="23"/>
      <c r="B2990" s="52"/>
      <c r="C2990" s="53"/>
      <c r="D2990" s="23"/>
      <c r="E2990" s="53"/>
      <c r="F2990" s="54"/>
      <c r="G2990" s="54"/>
      <c r="H2990" s="54"/>
      <c r="I2990" s="53"/>
      <c r="J2990" s="53"/>
      <c r="K2990" s="23"/>
      <c r="L2990" s="53"/>
      <c r="M2990" s="54"/>
    </row>
    <row r="2991">
      <c r="A2991" s="23"/>
      <c r="B2991" s="52"/>
      <c r="C2991" s="53"/>
      <c r="D2991" s="23"/>
      <c r="E2991" s="53"/>
      <c r="F2991" s="54"/>
      <c r="G2991" s="54"/>
      <c r="H2991" s="54"/>
      <c r="I2991" s="53"/>
      <c r="J2991" s="53"/>
      <c r="K2991" s="23"/>
      <c r="L2991" s="53"/>
      <c r="M2991" s="54"/>
    </row>
    <row r="2992">
      <c r="A2992" s="23"/>
      <c r="B2992" s="52"/>
      <c r="C2992" s="53"/>
      <c r="D2992" s="23"/>
      <c r="E2992" s="53"/>
      <c r="F2992" s="54"/>
      <c r="G2992" s="54"/>
      <c r="H2992" s="54"/>
      <c r="I2992" s="53"/>
      <c r="J2992" s="53"/>
      <c r="K2992" s="23"/>
      <c r="L2992" s="53"/>
      <c r="M2992" s="54"/>
    </row>
    <row r="2993">
      <c r="A2993" s="23"/>
      <c r="B2993" s="52"/>
      <c r="C2993" s="53"/>
      <c r="D2993" s="23"/>
      <c r="E2993" s="53"/>
      <c r="F2993" s="54"/>
      <c r="G2993" s="54"/>
      <c r="H2993" s="54"/>
      <c r="I2993" s="53"/>
      <c r="J2993" s="53"/>
      <c r="K2993" s="23"/>
      <c r="L2993" s="53"/>
      <c r="M2993" s="54"/>
    </row>
    <row r="2994">
      <c r="A2994" s="23"/>
      <c r="B2994" s="52"/>
      <c r="C2994" s="53"/>
      <c r="D2994" s="23"/>
      <c r="E2994" s="53"/>
      <c r="F2994" s="54"/>
      <c r="G2994" s="23"/>
      <c r="H2994" s="54"/>
      <c r="I2994" s="53"/>
      <c r="J2994" s="53"/>
      <c r="K2994" s="53"/>
      <c r="L2994" s="53"/>
      <c r="M2994" s="54"/>
    </row>
    <row r="2995">
      <c r="A2995" s="23"/>
      <c r="B2995" s="52"/>
      <c r="C2995" s="53"/>
      <c r="D2995" s="23"/>
      <c r="E2995" s="53"/>
      <c r="F2995" s="54"/>
      <c r="G2995" s="23"/>
      <c r="H2995" s="54"/>
      <c r="I2995" s="53"/>
      <c r="J2995" s="53"/>
      <c r="K2995" s="23"/>
      <c r="L2995" s="53"/>
      <c r="M2995" s="54"/>
    </row>
    <row r="2996">
      <c r="A2996" s="23"/>
      <c r="B2996" s="52"/>
      <c r="C2996" s="53"/>
      <c r="D2996" s="23"/>
      <c r="E2996" s="53"/>
      <c r="F2996" s="54"/>
      <c r="G2996" s="54"/>
      <c r="H2996" s="54"/>
      <c r="I2996" s="53"/>
      <c r="J2996" s="53"/>
      <c r="K2996" s="23"/>
      <c r="L2996" s="53"/>
      <c r="M2996" s="54"/>
    </row>
    <row r="2997">
      <c r="A2997" s="23"/>
      <c r="B2997" s="52"/>
      <c r="C2997" s="53"/>
      <c r="D2997" s="23"/>
      <c r="E2997" s="53"/>
      <c r="F2997" s="54"/>
      <c r="G2997" s="54"/>
      <c r="H2997" s="54"/>
      <c r="I2997" s="53"/>
      <c r="J2997" s="53"/>
      <c r="K2997" s="23"/>
      <c r="L2997" s="53"/>
      <c r="M2997" s="54"/>
    </row>
    <row r="2998">
      <c r="A2998" s="23"/>
      <c r="B2998" s="52"/>
      <c r="C2998" s="53"/>
      <c r="D2998" s="23"/>
      <c r="E2998" s="53"/>
      <c r="F2998" s="54"/>
      <c r="G2998" s="54"/>
      <c r="H2998" s="54"/>
      <c r="I2998" s="53"/>
      <c r="J2998" s="53"/>
      <c r="K2998" s="23"/>
      <c r="L2998" s="53"/>
      <c r="M2998" s="54"/>
    </row>
    <row r="2999">
      <c r="A2999" s="23"/>
      <c r="B2999" s="52"/>
      <c r="C2999" s="53"/>
      <c r="D2999" s="23"/>
      <c r="E2999" s="53"/>
      <c r="F2999" s="54"/>
      <c r="G2999" s="23"/>
      <c r="H2999" s="54"/>
      <c r="I2999" s="53"/>
      <c r="J2999" s="53"/>
      <c r="K2999" s="23"/>
      <c r="L2999" s="53"/>
      <c r="M2999" s="54"/>
    </row>
    <row r="3000">
      <c r="A3000" s="23"/>
      <c r="B3000" s="52"/>
      <c r="C3000" s="53"/>
      <c r="D3000" s="23"/>
      <c r="E3000" s="53"/>
      <c r="F3000" s="54"/>
      <c r="G3000" s="54"/>
      <c r="H3000" s="54"/>
      <c r="I3000" s="53"/>
      <c r="J3000" s="53"/>
      <c r="K3000" s="23"/>
      <c r="L3000" s="53"/>
      <c r="M3000" s="54"/>
    </row>
    <row r="3001">
      <c r="A3001" s="23"/>
      <c r="B3001" s="52"/>
      <c r="C3001" s="53"/>
      <c r="D3001" s="23"/>
      <c r="E3001" s="53"/>
      <c r="F3001" s="54"/>
      <c r="G3001" s="54"/>
      <c r="H3001" s="54"/>
      <c r="I3001" s="53"/>
      <c r="J3001" s="53"/>
      <c r="K3001" s="23"/>
      <c r="L3001" s="53"/>
      <c r="M3001" s="54"/>
    </row>
    <row r="3002">
      <c r="A3002" s="23"/>
      <c r="B3002" s="52"/>
      <c r="C3002" s="53"/>
      <c r="D3002" s="23"/>
      <c r="E3002" s="53"/>
      <c r="F3002" s="54"/>
      <c r="G3002" s="54"/>
      <c r="H3002" s="54"/>
      <c r="I3002" s="53"/>
      <c r="J3002" s="53"/>
      <c r="K3002" s="23"/>
      <c r="L3002" s="53"/>
      <c r="M3002" s="54"/>
    </row>
    <row r="3003">
      <c r="A3003" s="23"/>
      <c r="B3003" s="52"/>
      <c r="C3003" s="53"/>
      <c r="D3003" s="23"/>
      <c r="E3003" s="53"/>
      <c r="F3003" s="54"/>
      <c r="G3003" s="23"/>
      <c r="H3003" s="54"/>
      <c r="I3003" s="53"/>
      <c r="J3003" s="53"/>
      <c r="K3003" s="23"/>
      <c r="L3003" s="53"/>
      <c r="M3003" s="54"/>
    </row>
    <row r="3004">
      <c r="A3004" s="23"/>
      <c r="B3004" s="52"/>
      <c r="C3004" s="53"/>
      <c r="D3004" s="23"/>
      <c r="E3004" s="53"/>
      <c r="F3004" s="54"/>
      <c r="G3004" s="23"/>
      <c r="H3004" s="54"/>
      <c r="I3004" s="53"/>
      <c r="J3004" s="53"/>
      <c r="K3004" s="23"/>
      <c r="L3004" s="53"/>
      <c r="M3004" s="54"/>
    </row>
    <row r="3005">
      <c r="A3005" s="23"/>
      <c r="B3005" s="52"/>
      <c r="C3005" s="53"/>
      <c r="D3005" s="23"/>
      <c r="E3005" s="53"/>
      <c r="F3005" s="54"/>
      <c r="G3005" s="23"/>
      <c r="H3005" s="54"/>
      <c r="I3005" s="53"/>
      <c r="J3005" s="53"/>
      <c r="K3005" s="23"/>
      <c r="L3005" s="53"/>
      <c r="M3005" s="54"/>
    </row>
    <row r="3006">
      <c r="A3006" s="23"/>
      <c r="B3006" s="52"/>
      <c r="C3006" s="53"/>
      <c r="D3006" s="23"/>
      <c r="E3006" s="53"/>
      <c r="F3006" s="54"/>
      <c r="G3006" s="54"/>
      <c r="H3006" s="54"/>
      <c r="I3006" s="53"/>
      <c r="J3006" s="53"/>
      <c r="K3006" s="23"/>
      <c r="L3006" s="53"/>
      <c r="M3006" s="54"/>
    </row>
    <row r="3007">
      <c r="A3007" s="23"/>
      <c r="B3007" s="52"/>
      <c r="C3007" s="53"/>
      <c r="D3007" s="23"/>
      <c r="E3007" s="53"/>
      <c r="F3007" s="54"/>
      <c r="G3007" s="23"/>
      <c r="H3007" s="54"/>
      <c r="I3007" s="53"/>
      <c r="J3007" s="23"/>
      <c r="K3007" s="23"/>
      <c r="L3007" s="53"/>
      <c r="M3007" s="54"/>
    </row>
    <row r="3008">
      <c r="A3008" s="23"/>
      <c r="B3008" s="52"/>
      <c r="C3008" s="53"/>
      <c r="D3008" s="23"/>
      <c r="E3008" s="53"/>
      <c r="F3008" s="54"/>
      <c r="G3008" s="23"/>
      <c r="H3008" s="54"/>
      <c r="I3008" s="53"/>
      <c r="J3008" s="53"/>
      <c r="K3008" s="23"/>
      <c r="L3008" s="53"/>
      <c r="M3008" s="54"/>
    </row>
    <row r="3009">
      <c r="A3009" s="23"/>
      <c r="B3009" s="52"/>
      <c r="C3009" s="53"/>
      <c r="D3009" s="23"/>
      <c r="E3009" s="53"/>
      <c r="F3009" s="54"/>
      <c r="G3009" s="54"/>
      <c r="H3009" s="54"/>
      <c r="I3009" s="53"/>
      <c r="J3009" s="53"/>
      <c r="K3009" s="23"/>
      <c r="L3009" s="53"/>
      <c r="M3009" s="54"/>
    </row>
    <row r="3010">
      <c r="A3010" s="23"/>
      <c r="B3010" s="52"/>
      <c r="C3010" s="53"/>
      <c r="D3010" s="23"/>
      <c r="E3010" s="53"/>
      <c r="F3010" s="54"/>
      <c r="G3010" s="23"/>
      <c r="H3010" s="54"/>
      <c r="I3010" s="53"/>
      <c r="J3010" s="23"/>
      <c r="K3010" s="23"/>
      <c r="L3010" s="53"/>
      <c r="M3010" s="54"/>
    </row>
    <row r="3011">
      <c r="A3011" s="23"/>
      <c r="B3011" s="52"/>
      <c r="C3011" s="53"/>
      <c r="D3011" s="23"/>
      <c r="E3011" s="53"/>
      <c r="F3011" s="54"/>
      <c r="G3011" s="23"/>
      <c r="H3011" s="54"/>
      <c r="I3011" s="53"/>
      <c r="J3011" s="53"/>
      <c r="K3011" s="23"/>
      <c r="L3011" s="53"/>
      <c r="M3011" s="54"/>
    </row>
    <row r="3012">
      <c r="A3012" s="23"/>
      <c r="B3012" s="52"/>
      <c r="C3012" s="53"/>
      <c r="D3012" s="23"/>
      <c r="E3012" s="53"/>
      <c r="F3012" s="54"/>
      <c r="G3012" s="54"/>
      <c r="H3012" s="54"/>
      <c r="I3012" s="53"/>
      <c r="J3012" s="53"/>
      <c r="K3012" s="23"/>
      <c r="L3012" s="53"/>
      <c r="M3012" s="54"/>
    </row>
    <row r="3013">
      <c r="A3013" s="23"/>
      <c r="B3013" s="52"/>
      <c r="C3013" s="53"/>
      <c r="D3013" s="23"/>
      <c r="E3013" s="53"/>
      <c r="F3013" s="54"/>
      <c r="G3013" s="23"/>
      <c r="H3013" s="54"/>
      <c r="I3013" s="53"/>
      <c r="J3013" s="23"/>
      <c r="K3013" s="23"/>
      <c r="L3013" s="53"/>
      <c r="M3013" s="54"/>
    </row>
    <row r="3014">
      <c r="A3014" s="23"/>
      <c r="B3014" s="52"/>
      <c r="C3014" s="53"/>
      <c r="D3014" s="23"/>
      <c r="E3014" s="53"/>
      <c r="F3014" s="54"/>
      <c r="G3014" s="54"/>
      <c r="H3014" s="54"/>
      <c r="I3014" s="53"/>
      <c r="J3014" s="53"/>
      <c r="K3014" s="23"/>
      <c r="L3014" s="53"/>
      <c r="M3014" s="54"/>
    </row>
    <row r="3015">
      <c r="A3015" s="23"/>
      <c r="B3015" s="52"/>
      <c r="C3015" s="53"/>
      <c r="D3015" s="23"/>
      <c r="E3015" s="53"/>
      <c r="F3015" s="54"/>
      <c r="G3015" s="54"/>
      <c r="H3015" s="54"/>
      <c r="I3015" s="53"/>
      <c r="J3015" s="53"/>
      <c r="K3015" s="23"/>
      <c r="L3015" s="53"/>
      <c r="M3015" s="54"/>
    </row>
    <row r="3016">
      <c r="A3016" s="23"/>
      <c r="B3016" s="52"/>
      <c r="C3016" s="53"/>
      <c r="D3016" s="23"/>
      <c r="E3016" s="53"/>
      <c r="F3016" s="54"/>
      <c r="G3016" s="23"/>
      <c r="H3016" s="54"/>
      <c r="I3016" s="53"/>
      <c r="J3016" s="23"/>
      <c r="K3016" s="23"/>
      <c r="L3016" s="53"/>
      <c r="M3016" s="54"/>
    </row>
    <row r="3017">
      <c r="A3017" s="23"/>
      <c r="B3017" s="52"/>
      <c r="C3017" s="53"/>
      <c r="D3017" s="23"/>
      <c r="E3017" s="53"/>
      <c r="F3017" s="54"/>
      <c r="G3017" s="54"/>
      <c r="H3017" s="54"/>
      <c r="I3017" s="53"/>
      <c r="J3017" s="53"/>
      <c r="K3017" s="23"/>
      <c r="L3017" s="53"/>
      <c r="M3017" s="54"/>
    </row>
    <row r="3018">
      <c r="A3018" s="23"/>
      <c r="B3018" s="52"/>
      <c r="C3018" s="53"/>
      <c r="D3018" s="23"/>
      <c r="E3018" s="53"/>
      <c r="F3018" s="54"/>
      <c r="G3018" s="54"/>
      <c r="H3018" s="54"/>
      <c r="I3018" s="53"/>
      <c r="J3018" s="53"/>
      <c r="K3018" s="23"/>
      <c r="L3018" s="53"/>
      <c r="M3018" s="54"/>
    </row>
    <row r="3019">
      <c r="A3019" s="23"/>
      <c r="B3019" s="52"/>
      <c r="C3019" s="53"/>
      <c r="D3019" s="23"/>
      <c r="E3019" s="56"/>
      <c r="F3019" s="54"/>
      <c r="G3019" s="23"/>
      <c r="H3019" s="54"/>
      <c r="I3019" s="53"/>
      <c r="J3019" s="23"/>
      <c r="K3019" s="23"/>
      <c r="L3019" s="53"/>
      <c r="M3019" s="54"/>
    </row>
    <row r="3020">
      <c r="A3020" s="23"/>
      <c r="B3020" s="52"/>
      <c r="C3020" s="53"/>
      <c r="D3020" s="23"/>
      <c r="E3020" s="56"/>
      <c r="F3020" s="54"/>
      <c r="G3020" s="23"/>
      <c r="H3020" s="54"/>
      <c r="I3020" s="53"/>
      <c r="J3020" s="23"/>
      <c r="K3020" s="23"/>
      <c r="L3020" s="53"/>
      <c r="M3020" s="54"/>
    </row>
    <row r="3021">
      <c r="A3021" s="23"/>
      <c r="B3021" s="52"/>
      <c r="C3021" s="53"/>
      <c r="D3021" s="23"/>
      <c r="E3021" s="56"/>
      <c r="F3021" s="54"/>
      <c r="G3021" s="54"/>
      <c r="H3021" s="54"/>
      <c r="I3021" s="53"/>
      <c r="J3021" s="53"/>
      <c r="K3021" s="23"/>
      <c r="L3021" s="53"/>
      <c r="M3021" s="54"/>
    </row>
    <row r="3022">
      <c r="A3022" s="23"/>
      <c r="B3022" s="52"/>
      <c r="C3022" s="53"/>
      <c r="D3022" s="23"/>
      <c r="E3022" s="53"/>
      <c r="F3022" s="54"/>
      <c r="G3022" s="23"/>
      <c r="H3022" s="54"/>
      <c r="I3022" s="53"/>
      <c r="J3022" s="53"/>
      <c r="K3022" s="23"/>
      <c r="L3022" s="53"/>
      <c r="M3022" s="54"/>
    </row>
    <row r="3023">
      <c r="A3023" s="23"/>
      <c r="B3023" s="52"/>
      <c r="C3023" s="53"/>
      <c r="D3023" s="23"/>
      <c r="E3023" s="53"/>
      <c r="F3023" s="54"/>
      <c r="G3023" s="54"/>
      <c r="H3023" s="54"/>
      <c r="I3023" s="53"/>
      <c r="J3023" s="53"/>
      <c r="K3023" s="23"/>
      <c r="L3023" s="53"/>
      <c r="M3023" s="54"/>
    </row>
    <row r="3024">
      <c r="A3024" s="23"/>
      <c r="B3024" s="52"/>
      <c r="C3024" s="53"/>
      <c r="D3024" s="23"/>
      <c r="E3024" s="53"/>
      <c r="F3024" s="54"/>
      <c r="G3024" s="23"/>
      <c r="H3024" s="54"/>
      <c r="I3024" s="53"/>
      <c r="J3024" s="23"/>
      <c r="K3024" s="23"/>
      <c r="L3024" s="53"/>
      <c r="M3024" s="54"/>
    </row>
    <row r="3025">
      <c r="A3025" s="23"/>
      <c r="B3025" s="52"/>
      <c r="C3025" s="53"/>
      <c r="D3025" s="23"/>
      <c r="E3025" s="53"/>
      <c r="F3025" s="54"/>
      <c r="G3025" s="23"/>
      <c r="H3025" s="54"/>
      <c r="I3025" s="53"/>
      <c r="J3025" s="53"/>
      <c r="K3025" s="23"/>
      <c r="L3025" s="53"/>
      <c r="M3025" s="54"/>
    </row>
    <row r="3026">
      <c r="A3026" s="23"/>
      <c r="B3026" s="52"/>
      <c r="C3026" s="53"/>
      <c r="D3026" s="23"/>
      <c r="E3026" s="53"/>
      <c r="F3026" s="54"/>
      <c r="G3026" s="23"/>
      <c r="H3026" s="54"/>
      <c r="I3026" s="53"/>
      <c r="J3026" s="53"/>
      <c r="K3026" s="23"/>
      <c r="L3026" s="53"/>
      <c r="M3026" s="54"/>
    </row>
    <row r="3027">
      <c r="A3027" s="23"/>
      <c r="B3027" s="52"/>
      <c r="C3027" s="53"/>
      <c r="D3027" s="23"/>
      <c r="E3027" s="53"/>
      <c r="F3027" s="54"/>
      <c r="G3027" s="54"/>
      <c r="H3027" s="54"/>
      <c r="I3027" s="53"/>
      <c r="J3027" s="53"/>
      <c r="K3027" s="23"/>
      <c r="L3027" s="53"/>
      <c r="M3027" s="54"/>
    </row>
    <row r="3028">
      <c r="A3028" s="23"/>
      <c r="B3028" s="52"/>
      <c r="C3028" s="53"/>
      <c r="D3028" s="23"/>
      <c r="E3028" s="53"/>
      <c r="F3028" s="54"/>
      <c r="G3028" s="54"/>
      <c r="H3028" s="54"/>
      <c r="I3028" s="53"/>
      <c r="J3028" s="53"/>
      <c r="K3028" s="23"/>
      <c r="L3028" s="53"/>
      <c r="M3028" s="54"/>
    </row>
    <row r="3029">
      <c r="A3029" s="23"/>
      <c r="B3029" s="52"/>
      <c r="C3029" s="53"/>
      <c r="D3029" s="23"/>
      <c r="E3029" s="53"/>
      <c r="F3029" s="54"/>
      <c r="G3029" s="23"/>
      <c r="H3029" s="54"/>
      <c r="I3029" s="53"/>
      <c r="J3029" s="53"/>
      <c r="K3029" s="23"/>
      <c r="L3029" s="53"/>
      <c r="M3029" s="54"/>
    </row>
    <row r="3030">
      <c r="A3030" s="23"/>
      <c r="B3030" s="52"/>
      <c r="C3030" s="53"/>
      <c r="D3030" s="23"/>
      <c r="E3030" s="53"/>
      <c r="F3030" s="54"/>
      <c r="G3030" s="54"/>
      <c r="H3030" s="54"/>
      <c r="I3030" s="53"/>
      <c r="J3030" s="53"/>
      <c r="K3030" s="23"/>
      <c r="L3030" s="53"/>
      <c r="M3030" s="54"/>
    </row>
    <row r="3031">
      <c r="A3031" s="23"/>
      <c r="B3031" s="52"/>
      <c r="C3031" s="53"/>
      <c r="D3031" s="23"/>
      <c r="E3031" s="53"/>
      <c r="F3031" s="54"/>
      <c r="G3031" s="54"/>
      <c r="H3031" s="54"/>
      <c r="I3031" s="53"/>
      <c r="J3031" s="53"/>
      <c r="K3031" s="23"/>
      <c r="L3031" s="53"/>
      <c r="M3031" s="54"/>
    </row>
    <row r="3032">
      <c r="A3032" s="23"/>
      <c r="B3032" s="52"/>
      <c r="C3032" s="53"/>
      <c r="D3032" s="23"/>
      <c r="E3032" s="53"/>
      <c r="F3032" s="54"/>
      <c r="G3032" s="54"/>
      <c r="H3032" s="54"/>
      <c r="I3032" s="53"/>
      <c r="J3032" s="53"/>
      <c r="K3032" s="23"/>
      <c r="L3032" s="53"/>
      <c r="M3032" s="54"/>
    </row>
    <row r="3033">
      <c r="A3033" s="23"/>
      <c r="B3033" s="52"/>
      <c r="C3033" s="53"/>
      <c r="D3033" s="23"/>
      <c r="E3033" s="53"/>
      <c r="F3033" s="54"/>
      <c r="G3033" s="54"/>
      <c r="H3033" s="54"/>
      <c r="I3033" s="53"/>
      <c r="J3033" s="53"/>
      <c r="K3033" s="23"/>
      <c r="L3033" s="53"/>
      <c r="M3033" s="54"/>
    </row>
    <row r="3034">
      <c r="A3034" s="23"/>
      <c r="B3034" s="52"/>
      <c r="C3034" s="53"/>
      <c r="D3034" s="23"/>
      <c r="E3034" s="53"/>
      <c r="F3034" s="54"/>
      <c r="G3034" s="54"/>
      <c r="H3034" s="54"/>
      <c r="I3034" s="53"/>
      <c r="J3034" s="53"/>
      <c r="K3034" s="23"/>
      <c r="L3034" s="53"/>
      <c r="M3034" s="54"/>
    </row>
    <row r="3035">
      <c r="A3035" s="23"/>
      <c r="B3035" s="52"/>
      <c r="C3035" s="53"/>
      <c r="D3035" s="23"/>
      <c r="E3035" s="53"/>
      <c r="F3035" s="54"/>
      <c r="G3035" s="23"/>
      <c r="H3035" s="54"/>
      <c r="I3035" s="53"/>
      <c r="J3035" s="53"/>
      <c r="K3035" s="23"/>
      <c r="L3035" s="53"/>
      <c r="M3035" s="54"/>
    </row>
    <row r="3036">
      <c r="A3036" s="23"/>
      <c r="B3036" s="52"/>
      <c r="C3036" s="53"/>
      <c r="D3036" s="23"/>
      <c r="E3036" s="53"/>
      <c r="F3036" s="54"/>
      <c r="G3036" s="54"/>
      <c r="H3036" s="54"/>
      <c r="I3036" s="53"/>
      <c r="J3036" s="53"/>
      <c r="K3036" s="23"/>
      <c r="L3036" s="53"/>
      <c r="M3036" s="54"/>
    </row>
    <row r="3037">
      <c r="A3037" s="23"/>
      <c r="B3037" s="52"/>
      <c r="C3037" s="53"/>
      <c r="D3037" s="23"/>
      <c r="E3037" s="53"/>
      <c r="F3037" s="54"/>
      <c r="G3037" s="23"/>
      <c r="H3037" s="54"/>
      <c r="I3037" s="53"/>
      <c r="J3037" s="23"/>
      <c r="K3037" s="23"/>
      <c r="L3037" s="53"/>
      <c r="M3037" s="54"/>
    </row>
    <row r="3038">
      <c r="A3038" s="23"/>
      <c r="B3038" s="52"/>
      <c r="C3038" s="53"/>
      <c r="D3038" s="23"/>
      <c r="E3038" s="53"/>
      <c r="F3038" s="54"/>
      <c r="G3038" s="54"/>
      <c r="H3038" s="54"/>
      <c r="I3038" s="53"/>
      <c r="J3038" s="53"/>
      <c r="K3038" s="23"/>
      <c r="L3038" s="53"/>
      <c r="M3038" s="54"/>
    </row>
    <row r="3039">
      <c r="A3039" s="23"/>
      <c r="B3039" s="52"/>
      <c r="C3039" s="53"/>
      <c r="D3039" s="23"/>
      <c r="E3039" s="53"/>
      <c r="F3039" s="54"/>
      <c r="G3039" s="54"/>
      <c r="H3039" s="54"/>
      <c r="I3039" s="53"/>
      <c r="J3039" s="53"/>
      <c r="K3039" s="23"/>
      <c r="L3039" s="53"/>
      <c r="M3039" s="54"/>
    </row>
    <row r="3040">
      <c r="A3040" s="23"/>
      <c r="B3040" s="52"/>
      <c r="C3040" s="53"/>
      <c r="D3040" s="23"/>
      <c r="E3040" s="53"/>
      <c r="F3040" s="54"/>
      <c r="G3040" s="54"/>
      <c r="H3040" s="54"/>
      <c r="I3040" s="53"/>
      <c r="J3040" s="53"/>
      <c r="K3040" s="23"/>
      <c r="L3040" s="53"/>
      <c r="M3040" s="54"/>
    </row>
    <row r="3041">
      <c r="A3041" s="23"/>
      <c r="B3041" s="52"/>
      <c r="C3041" s="53"/>
      <c r="D3041" s="23"/>
      <c r="E3041" s="53"/>
      <c r="F3041" s="54"/>
      <c r="G3041" s="23"/>
      <c r="H3041" s="54"/>
      <c r="I3041" s="53"/>
      <c r="J3041" s="23"/>
      <c r="K3041" s="23"/>
      <c r="L3041" s="53"/>
      <c r="M3041" s="54"/>
    </row>
    <row r="3042">
      <c r="A3042" s="23"/>
      <c r="B3042" s="52"/>
      <c r="C3042" s="53"/>
      <c r="D3042" s="23"/>
      <c r="E3042" s="53"/>
      <c r="F3042" s="54"/>
      <c r="G3042" s="54"/>
      <c r="H3042" s="54"/>
      <c r="I3042" s="53"/>
      <c r="J3042" s="53"/>
      <c r="K3042" s="23"/>
      <c r="L3042" s="53"/>
      <c r="M3042" s="54"/>
    </row>
    <row r="3043">
      <c r="A3043" s="23"/>
      <c r="B3043" s="52"/>
      <c r="C3043" s="53"/>
      <c r="D3043" s="23"/>
      <c r="E3043" s="53"/>
      <c r="F3043" s="54"/>
      <c r="G3043" s="54"/>
      <c r="H3043" s="54"/>
      <c r="I3043" s="53"/>
      <c r="J3043" s="53"/>
      <c r="K3043" s="23"/>
      <c r="L3043" s="53"/>
      <c r="M3043" s="54"/>
    </row>
    <row r="3044">
      <c r="A3044" s="23"/>
      <c r="B3044" s="52"/>
      <c r="C3044" s="53"/>
      <c r="D3044" s="23"/>
      <c r="E3044" s="53"/>
      <c r="F3044" s="54"/>
      <c r="G3044" s="54"/>
      <c r="H3044" s="54"/>
      <c r="I3044" s="53"/>
      <c r="J3044" s="53"/>
      <c r="K3044" s="23"/>
      <c r="L3044" s="53"/>
      <c r="M3044" s="54"/>
    </row>
    <row r="3045">
      <c r="A3045" s="23"/>
      <c r="B3045" s="52"/>
      <c r="C3045" s="53"/>
      <c r="D3045" s="23"/>
      <c r="E3045" s="53"/>
      <c r="F3045" s="54"/>
      <c r="G3045" s="23"/>
      <c r="H3045" s="54"/>
      <c r="I3045" s="53"/>
      <c r="J3045" s="23"/>
      <c r="K3045" s="23"/>
      <c r="L3045" s="53"/>
      <c r="M3045" s="54"/>
    </row>
    <row r="3046">
      <c r="A3046" s="23"/>
      <c r="B3046" s="52"/>
      <c r="C3046" s="53"/>
      <c r="D3046" s="23"/>
      <c r="E3046" s="53"/>
      <c r="F3046" s="54"/>
      <c r="G3046" s="23"/>
      <c r="H3046" s="54"/>
      <c r="I3046" s="53"/>
      <c r="J3046" s="23"/>
      <c r="K3046" s="23"/>
      <c r="L3046" s="53"/>
      <c r="M3046" s="54"/>
    </row>
    <row r="3047">
      <c r="A3047" s="23"/>
      <c r="B3047" s="52"/>
      <c r="C3047" s="53"/>
      <c r="D3047" s="23"/>
      <c r="E3047" s="53"/>
      <c r="F3047" s="54"/>
      <c r="G3047" s="54"/>
      <c r="H3047" s="54"/>
      <c r="I3047" s="53"/>
      <c r="J3047" s="53"/>
      <c r="K3047" s="23"/>
      <c r="L3047" s="53"/>
      <c r="M3047" s="54"/>
    </row>
    <row r="3048">
      <c r="A3048" s="23"/>
      <c r="B3048" s="52"/>
      <c r="C3048" s="53"/>
      <c r="D3048" s="23"/>
      <c r="E3048" s="53"/>
      <c r="F3048" s="54"/>
      <c r="G3048" s="23"/>
      <c r="H3048" s="54"/>
      <c r="I3048" s="53"/>
      <c r="J3048" s="23"/>
      <c r="K3048" s="23"/>
      <c r="L3048" s="53"/>
      <c r="M3048" s="54"/>
    </row>
    <row r="3049">
      <c r="A3049" s="23"/>
      <c r="B3049" s="52"/>
      <c r="C3049" s="53"/>
      <c r="D3049" s="23"/>
      <c r="E3049" s="53"/>
      <c r="F3049" s="54"/>
      <c r="G3049" s="23"/>
      <c r="H3049" s="54"/>
      <c r="I3049" s="53"/>
      <c r="J3049" s="53"/>
      <c r="K3049" s="23"/>
      <c r="L3049" s="53"/>
      <c r="M3049" s="54"/>
    </row>
    <row r="3050">
      <c r="A3050" s="23"/>
      <c r="B3050" s="52"/>
      <c r="C3050" s="53"/>
      <c r="D3050" s="23"/>
      <c r="E3050" s="53"/>
      <c r="F3050" s="54"/>
      <c r="G3050" s="54"/>
      <c r="H3050" s="54"/>
      <c r="I3050" s="53"/>
      <c r="J3050" s="53"/>
      <c r="K3050" s="23"/>
      <c r="L3050" s="53"/>
      <c r="M3050" s="54"/>
    </row>
    <row r="3051">
      <c r="A3051" s="23"/>
      <c r="B3051" s="52"/>
      <c r="C3051" s="53"/>
      <c r="D3051" s="23"/>
      <c r="E3051" s="53"/>
      <c r="F3051" s="54"/>
      <c r="G3051" s="54"/>
      <c r="H3051" s="54"/>
      <c r="I3051" s="53"/>
      <c r="J3051" s="53"/>
      <c r="K3051" s="23"/>
      <c r="L3051" s="53"/>
      <c r="M3051" s="54"/>
    </row>
    <row r="3052">
      <c r="A3052" s="23"/>
      <c r="B3052" s="52"/>
      <c r="C3052" s="53"/>
      <c r="D3052" s="23"/>
      <c r="E3052" s="53"/>
      <c r="F3052" s="54"/>
      <c r="G3052" s="54"/>
      <c r="H3052" s="54"/>
      <c r="I3052" s="53"/>
      <c r="J3052" s="53"/>
      <c r="K3052" s="23"/>
      <c r="L3052" s="53"/>
      <c r="M3052" s="54"/>
    </row>
    <row r="3053">
      <c r="A3053" s="23"/>
      <c r="B3053" s="52"/>
      <c r="C3053" s="53"/>
      <c r="D3053" s="23"/>
      <c r="E3053" s="53"/>
      <c r="F3053" s="54"/>
      <c r="G3053" s="54"/>
      <c r="H3053" s="54"/>
      <c r="I3053" s="53"/>
      <c r="J3053" s="53"/>
      <c r="K3053" s="23"/>
      <c r="L3053" s="53"/>
      <c r="M3053" s="54"/>
    </row>
    <row r="3054">
      <c r="A3054" s="23"/>
      <c r="B3054" s="52"/>
      <c r="C3054" s="53"/>
      <c r="D3054" s="23"/>
      <c r="E3054" s="53"/>
      <c r="F3054" s="54"/>
      <c r="G3054" s="23"/>
      <c r="H3054" s="54"/>
      <c r="I3054" s="53"/>
      <c r="J3054" s="53"/>
      <c r="K3054" s="23"/>
      <c r="L3054" s="53"/>
      <c r="M3054" s="54"/>
    </row>
    <row r="3055">
      <c r="A3055" s="23"/>
      <c r="B3055" s="52"/>
      <c r="C3055" s="53"/>
      <c r="D3055" s="23"/>
      <c r="E3055" s="53"/>
      <c r="F3055" s="54"/>
      <c r="G3055" s="23"/>
      <c r="H3055" s="54"/>
      <c r="I3055" s="53"/>
      <c r="J3055" s="23"/>
      <c r="K3055" s="23"/>
      <c r="L3055" s="53"/>
      <c r="M3055" s="54"/>
    </row>
    <row r="3056">
      <c r="A3056" s="23"/>
      <c r="B3056" s="52"/>
      <c r="C3056" s="53"/>
      <c r="D3056" s="23"/>
      <c r="E3056" s="53"/>
      <c r="F3056" s="54"/>
      <c r="G3056" s="54"/>
      <c r="H3056" s="54"/>
      <c r="I3056" s="53"/>
      <c r="J3056" s="53"/>
      <c r="K3056" s="23"/>
      <c r="L3056" s="53"/>
      <c r="M3056" s="54"/>
    </row>
    <row r="3057">
      <c r="A3057" s="23"/>
      <c r="B3057" s="52"/>
      <c r="C3057" s="53"/>
      <c r="D3057" s="23"/>
      <c r="E3057" s="53"/>
      <c r="F3057" s="54"/>
      <c r="G3057" s="23"/>
      <c r="H3057" s="54"/>
      <c r="I3057" s="53"/>
      <c r="J3057" s="23"/>
      <c r="K3057" s="53"/>
      <c r="L3057" s="53"/>
      <c r="M3057" s="54"/>
    </row>
    <row r="3058">
      <c r="A3058" s="23"/>
      <c r="B3058" s="52"/>
      <c r="C3058" s="53"/>
      <c r="D3058" s="23"/>
      <c r="E3058" s="53"/>
      <c r="F3058" s="54"/>
      <c r="G3058" s="23"/>
      <c r="H3058" s="54"/>
      <c r="I3058" s="53"/>
      <c r="J3058" s="23"/>
      <c r="K3058" s="23"/>
      <c r="L3058" s="53"/>
      <c r="M3058" s="54"/>
    </row>
    <row r="3059">
      <c r="A3059" s="23"/>
      <c r="B3059" s="52"/>
      <c r="C3059" s="53"/>
      <c r="D3059" s="23"/>
      <c r="E3059" s="53"/>
      <c r="F3059" s="54"/>
      <c r="G3059" s="23"/>
      <c r="H3059" s="54"/>
      <c r="I3059" s="53"/>
      <c r="J3059" s="53"/>
      <c r="K3059" s="23"/>
      <c r="L3059" s="53"/>
      <c r="M3059" s="54"/>
    </row>
    <row r="3060">
      <c r="A3060" s="23"/>
      <c r="B3060" s="52"/>
      <c r="C3060" s="53"/>
      <c r="D3060" s="23"/>
      <c r="E3060" s="53"/>
      <c r="F3060" s="54"/>
      <c r="G3060" s="23"/>
      <c r="H3060" s="54"/>
      <c r="I3060" s="53"/>
      <c r="J3060" s="23"/>
      <c r="K3060" s="23"/>
      <c r="L3060" s="53"/>
      <c r="M3060" s="54"/>
    </row>
    <row r="3061">
      <c r="A3061" s="23"/>
      <c r="B3061" s="52"/>
      <c r="C3061" s="53"/>
      <c r="D3061" s="23"/>
      <c r="E3061" s="53"/>
      <c r="F3061" s="54"/>
      <c r="G3061" s="54"/>
      <c r="H3061" s="54"/>
      <c r="I3061" s="53"/>
      <c r="J3061" s="53"/>
      <c r="K3061" s="23"/>
      <c r="L3061" s="53"/>
      <c r="M3061" s="54"/>
    </row>
    <row r="3062">
      <c r="A3062" s="23"/>
      <c r="B3062" s="52"/>
      <c r="C3062" s="53"/>
      <c r="D3062" s="23"/>
      <c r="E3062" s="53"/>
      <c r="F3062" s="54"/>
      <c r="G3062" s="23"/>
      <c r="H3062" s="54"/>
      <c r="I3062" s="53"/>
      <c r="J3062" s="53"/>
      <c r="K3062" s="23"/>
      <c r="L3062" s="53"/>
      <c r="M3062" s="54"/>
    </row>
    <row r="3063">
      <c r="A3063" s="23"/>
      <c r="B3063" s="52"/>
      <c r="C3063" s="53"/>
      <c r="D3063" s="23"/>
      <c r="E3063" s="53"/>
      <c r="F3063" s="54"/>
      <c r="G3063" s="54"/>
      <c r="H3063" s="54"/>
      <c r="I3063" s="53"/>
      <c r="J3063" s="53"/>
      <c r="K3063" s="23"/>
      <c r="L3063" s="53"/>
      <c r="M3063" s="54"/>
    </row>
    <row r="3064">
      <c r="A3064" s="23"/>
      <c r="B3064" s="52"/>
      <c r="C3064" s="53"/>
      <c r="D3064" s="23"/>
      <c r="E3064" s="53"/>
      <c r="F3064" s="54"/>
      <c r="G3064" s="23"/>
      <c r="H3064" s="54"/>
      <c r="I3064" s="53"/>
      <c r="J3064" s="23"/>
      <c r="K3064" s="23"/>
      <c r="L3064" s="53"/>
      <c r="M3064" s="54"/>
    </row>
    <row r="3065">
      <c r="A3065" s="23"/>
      <c r="B3065" s="52"/>
      <c r="C3065" s="53"/>
      <c r="D3065" s="23"/>
      <c r="E3065" s="53"/>
      <c r="F3065" s="54"/>
      <c r="G3065" s="54"/>
      <c r="H3065" s="54"/>
      <c r="I3065" s="53"/>
      <c r="J3065" s="53"/>
      <c r="K3065" s="23"/>
      <c r="L3065" s="53"/>
      <c r="M3065" s="54"/>
    </row>
    <row r="3066">
      <c r="A3066" s="23"/>
      <c r="B3066" s="52"/>
      <c r="C3066" s="53"/>
      <c r="D3066" s="23"/>
      <c r="E3066" s="53"/>
      <c r="F3066" s="54"/>
      <c r="G3066" s="54"/>
      <c r="H3066" s="54"/>
      <c r="I3066" s="53"/>
      <c r="J3066" s="53"/>
      <c r="K3066" s="23"/>
      <c r="L3066" s="53"/>
      <c r="M3066" s="54"/>
    </row>
    <row r="3067">
      <c r="A3067" s="23"/>
      <c r="B3067" s="52"/>
      <c r="C3067" s="53"/>
      <c r="D3067" s="23"/>
      <c r="E3067" s="53"/>
      <c r="F3067" s="54"/>
      <c r="G3067" s="54"/>
      <c r="H3067" s="54"/>
      <c r="I3067" s="53"/>
      <c r="J3067" s="53"/>
      <c r="K3067" s="23"/>
      <c r="L3067" s="53"/>
      <c r="M3067" s="54"/>
    </row>
    <row r="3068">
      <c r="A3068" s="23"/>
      <c r="B3068" s="52"/>
      <c r="C3068" s="53"/>
      <c r="D3068" s="23"/>
      <c r="E3068" s="53"/>
      <c r="F3068" s="54"/>
      <c r="G3068" s="54"/>
      <c r="H3068" s="54"/>
      <c r="I3068" s="53"/>
      <c r="J3068" s="53"/>
      <c r="K3068" s="23"/>
      <c r="L3068" s="53"/>
      <c r="M3068" s="54"/>
    </row>
    <row r="3069">
      <c r="A3069" s="23"/>
      <c r="B3069" s="52"/>
      <c r="C3069" s="53"/>
      <c r="D3069" s="23"/>
      <c r="E3069" s="53"/>
      <c r="F3069" s="54"/>
      <c r="G3069" s="54"/>
      <c r="H3069" s="54"/>
      <c r="I3069" s="53"/>
      <c r="J3069" s="53"/>
      <c r="K3069" s="23"/>
      <c r="L3069" s="53"/>
      <c r="M3069" s="54"/>
    </row>
    <row r="3070">
      <c r="A3070" s="23"/>
      <c r="B3070" s="52"/>
      <c r="C3070" s="53"/>
      <c r="D3070" s="23"/>
      <c r="E3070" s="53"/>
      <c r="F3070" s="54"/>
      <c r="G3070" s="23"/>
      <c r="H3070" s="54"/>
      <c r="I3070" s="53"/>
      <c r="J3070" s="53"/>
      <c r="K3070" s="23"/>
      <c r="L3070" s="53"/>
      <c r="M3070" s="54"/>
    </row>
    <row r="3071">
      <c r="A3071" s="23"/>
      <c r="B3071" s="52"/>
      <c r="C3071" s="53"/>
      <c r="D3071" s="23"/>
      <c r="E3071" s="53"/>
      <c r="F3071" s="54"/>
      <c r="G3071" s="54"/>
      <c r="H3071" s="54"/>
      <c r="I3071" s="53"/>
      <c r="J3071" s="53"/>
      <c r="K3071" s="23"/>
      <c r="L3071" s="53"/>
      <c r="M3071" s="54"/>
    </row>
    <row r="3072">
      <c r="A3072" s="23"/>
      <c r="B3072" s="52"/>
      <c r="C3072" s="53"/>
      <c r="D3072" s="23"/>
      <c r="E3072" s="53"/>
      <c r="F3072" s="54"/>
      <c r="G3072" s="23"/>
      <c r="H3072" s="54"/>
      <c r="I3072" s="53"/>
      <c r="J3072" s="53"/>
      <c r="K3072" s="23"/>
      <c r="L3072" s="53"/>
      <c r="M3072" s="54"/>
    </row>
    <row r="3073">
      <c r="A3073" s="23"/>
      <c r="B3073" s="52"/>
      <c r="C3073" s="53"/>
      <c r="D3073" s="23"/>
      <c r="E3073" s="53"/>
      <c r="F3073" s="54"/>
      <c r="G3073" s="54"/>
      <c r="H3073" s="54"/>
      <c r="I3073" s="53"/>
      <c r="J3073" s="53"/>
      <c r="K3073" s="23"/>
      <c r="L3073" s="53"/>
      <c r="M3073" s="54"/>
    </row>
    <row r="3074">
      <c r="A3074" s="23"/>
      <c r="B3074" s="52"/>
      <c r="C3074" s="53"/>
      <c r="D3074" s="23"/>
      <c r="E3074" s="53"/>
      <c r="F3074" s="54"/>
      <c r="G3074" s="54"/>
      <c r="H3074" s="54"/>
      <c r="I3074" s="53"/>
      <c r="J3074" s="53"/>
      <c r="K3074" s="23"/>
      <c r="L3074" s="53"/>
      <c r="M3074" s="54"/>
    </row>
    <row r="3075">
      <c r="A3075" s="23"/>
      <c r="B3075" s="52"/>
      <c r="C3075" s="53"/>
      <c r="D3075" s="23"/>
      <c r="E3075" s="53"/>
      <c r="F3075" s="54"/>
      <c r="G3075" s="23"/>
      <c r="H3075" s="54"/>
      <c r="I3075" s="53"/>
      <c r="J3075" s="53"/>
      <c r="K3075" s="23"/>
      <c r="L3075" s="53"/>
      <c r="M3075" s="54"/>
    </row>
    <row r="3076">
      <c r="A3076" s="23"/>
      <c r="B3076" s="52"/>
      <c r="C3076" s="53"/>
      <c r="D3076" s="23"/>
      <c r="E3076" s="53"/>
      <c r="F3076" s="54"/>
      <c r="G3076" s="54"/>
      <c r="H3076" s="54"/>
      <c r="I3076" s="53"/>
      <c r="J3076" s="53"/>
      <c r="K3076" s="23"/>
      <c r="L3076" s="53"/>
      <c r="M3076" s="54"/>
    </row>
    <row r="3077">
      <c r="A3077" s="23"/>
      <c r="B3077" s="52"/>
      <c r="C3077" s="53"/>
      <c r="D3077" s="23"/>
      <c r="E3077" s="53"/>
      <c r="F3077" s="54"/>
      <c r="G3077" s="23"/>
      <c r="H3077" s="54"/>
      <c r="I3077" s="53"/>
      <c r="J3077" s="53"/>
      <c r="K3077" s="23"/>
      <c r="L3077" s="53"/>
      <c r="M3077" s="54"/>
    </row>
    <row r="3078">
      <c r="A3078" s="23"/>
      <c r="B3078" s="52"/>
      <c r="C3078" s="53"/>
      <c r="D3078" s="23"/>
      <c r="E3078" s="53"/>
      <c r="F3078" s="54"/>
      <c r="G3078" s="54"/>
      <c r="H3078" s="54"/>
      <c r="I3078" s="53"/>
      <c r="J3078" s="53"/>
      <c r="K3078" s="23"/>
      <c r="L3078" s="53"/>
      <c r="M3078" s="54"/>
    </row>
    <row r="3079">
      <c r="A3079" s="23"/>
      <c r="B3079" s="52"/>
      <c r="C3079" s="53"/>
      <c r="D3079" s="23"/>
      <c r="E3079" s="53"/>
      <c r="F3079" s="54"/>
      <c r="G3079" s="54"/>
      <c r="H3079" s="54"/>
      <c r="I3079" s="53"/>
      <c r="J3079" s="53"/>
      <c r="K3079" s="23"/>
      <c r="L3079" s="53"/>
      <c r="M3079" s="54"/>
    </row>
    <row r="3080">
      <c r="A3080" s="23"/>
      <c r="B3080" s="52"/>
      <c r="C3080" s="53"/>
      <c r="D3080" s="23"/>
      <c r="E3080" s="53"/>
      <c r="F3080" s="54"/>
      <c r="G3080" s="23"/>
      <c r="H3080" s="54"/>
      <c r="I3080" s="53"/>
      <c r="J3080" s="23"/>
      <c r="K3080" s="23"/>
      <c r="L3080" s="53"/>
      <c r="M3080" s="54"/>
    </row>
    <row r="3081">
      <c r="A3081" s="23"/>
      <c r="B3081" s="52"/>
      <c r="C3081" s="53"/>
      <c r="D3081" s="23"/>
      <c r="E3081" s="53"/>
      <c r="F3081" s="54"/>
      <c r="G3081" s="54"/>
      <c r="H3081" s="54"/>
      <c r="I3081" s="53"/>
      <c r="J3081" s="53"/>
      <c r="K3081" s="23"/>
      <c r="L3081" s="53"/>
      <c r="M3081" s="54"/>
    </row>
    <row r="3082">
      <c r="A3082" s="23"/>
      <c r="B3082" s="52"/>
      <c r="C3082" s="53"/>
      <c r="D3082" s="23"/>
      <c r="E3082" s="53"/>
      <c r="F3082" s="54"/>
      <c r="G3082" s="23"/>
      <c r="H3082" s="54"/>
      <c r="I3082" s="53"/>
      <c r="J3082" s="53"/>
      <c r="K3082" s="53"/>
      <c r="L3082" s="53"/>
      <c r="M3082" s="54"/>
    </row>
    <row r="3083">
      <c r="A3083" s="23"/>
      <c r="B3083" s="52"/>
      <c r="C3083" s="53"/>
      <c r="D3083" s="23"/>
      <c r="E3083" s="53"/>
      <c r="F3083" s="54"/>
      <c r="G3083" s="54"/>
      <c r="H3083" s="54"/>
      <c r="I3083" s="53"/>
      <c r="J3083" s="53"/>
      <c r="K3083" s="23"/>
      <c r="L3083" s="53"/>
      <c r="M3083" s="54"/>
    </row>
    <row r="3084">
      <c r="A3084" s="23"/>
      <c r="B3084" s="52"/>
      <c r="C3084" s="53"/>
      <c r="D3084" s="23"/>
      <c r="E3084" s="53"/>
      <c r="F3084" s="54"/>
      <c r="G3084" s="23"/>
      <c r="H3084" s="54"/>
      <c r="I3084" s="53"/>
      <c r="J3084" s="23"/>
      <c r="K3084" s="23"/>
      <c r="L3084" s="53"/>
      <c r="M3084" s="54"/>
    </row>
    <row r="3085">
      <c r="A3085" s="23"/>
      <c r="B3085" s="52"/>
      <c r="C3085" s="53"/>
      <c r="D3085" s="23"/>
      <c r="E3085" s="53"/>
      <c r="F3085" s="54"/>
      <c r="G3085" s="54"/>
      <c r="H3085" s="54"/>
      <c r="I3085" s="53"/>
      <c r="J3085" s="53"/>
      <c r="K3085" s="23"/>
      <c r="L3085" s="53"/>
      <c r="M3085" s="54"/>
    </row>
    <row r="3086">
      <c r="A3086" s="23"/>
      <c r="B3086" s="52"/>
      <c r="C3086" s="53"/>
      <c r="D3086" s="23"/>
      <c r="E3086" s="53"/>
      <c r="F3086" s="54"/>
      <c r="G3086" s="54"/>
      <c r="H3086" s="54"/>
      <c r="I3086" s="53"/>
      <c r="J3086" s="53"/>
      <c r="K3086" s="23"/>
      <c r="L3086" s="53"/>
      <c r="M3086" s="54"/>
    </row>
    <row r="3087">
      <c r="A3087" s="23"/>
      <c r="B3087" s="52"/>
      <c r="C3087" s="53"/>
      <c r="D3087" s="23"/>
      <c r="E3087" s="53"/>
      <c r="F3087" s="54"/>
      <c r="G3087" s="54"/>
      <c r="H3087" s="54"/>
      <c r="I3087" s="53"/>
      <c r="J3087" s="53"/>
      <c r="K3087" s="23"/>
      <c r="L3087" s="53"/>
      <c r="M3087" s="54"/>
    </row>
    <row r="3088">
      <c r="A3088" s="23"/>
      <c r="B3088" s="52"/>
      <c r="C3088" s="53"/>
      <c r="D3088" s="23"/>
      <c r="E3088" s="53"/>
      <c r="F3088" s="54"/>
      <c r="G3088" s="23"/>
      <c r="H3088" s="54"/>
      <c r="I3088" s="53"/>
      <c r="J3088" s="53"/>
      <c r="K3088" s="23"/>
      <c r="L3088" s="53"/>
      <c r="M3088" s="54"/>
    </row>
    <row r="3089">
      <c r="A3089" s="23"/>
      <c r="B3089" s="52"/>
      <c r="C3089" s="53"/>
      <c r="D3089" s="23"/>
      <c r="E3089" s="53"/>
      <c r="F3089" s="54"/>
      <c r="G3089" s="23"/>
      <c r="H3089" s="54"/>
      <c r="I3089" s="53"/>
      <c r="J3089" s="53"/>
      <c r="K3089" s="23"/>
      <c r="L3089" s="53"/>
      <c r="M3089" s="54"/>
    </row>
    <row r="3090">
      <c r="A3090" s="23"/>
      <c r="B3090" s="52"/>
      <c r="C3090" s="53"/>
      <c r="D3090" s="23"/>
      <c r="E3090" s="53"/>
      <c r="F3090" s="54"/>
      <c r="G3090" s="54"/>
      <c r="H3090" s="54"/>
      <c r="I3090" s="53"/>
      <c r="J3090" s="53"/>
      <c r="K3090" s="23"/>
      <c r="L3090" s="53"/>
      <c r="M3090" s="54"/>
    </row>
    <row r="3091">
      <c r="A3091" s="23"/>
      <c r="B3091" s="52"/>
      <c r="C3091" s="53"/>
      <c r="D3091" s="23"/>
      <c r="E3091" s="53"/>
      <c r="F3091" s="54"/>
      <c r="G3091" s="54"/>
      <c r="H3091" s="54"/>
      <c r="I3091" s="53"/>
      <c r="J3091" s="53"/>
      <c r="K3091" s="23"/>
      <c r="L3091" s="53"/>
      <c r="M3091" s="54"/>
    </row>
    <row r="3092">
      <c r="A3092" s="23"/>
      <c r="B3092" s="52"/>
      <c r="C3092" s="53"/>
      <c r="D3092" s="23"/>
      <c r="E3092" s="53"/>
      <c r="F3092" s="54"/>
      <c r="G3092" s="23"/>
      <c r="H3092" s="54"/>
      <c r="I3092" s="53"/>
      <c r="J3092" s="53"/>
      <c r="K3092" s="23"/>
      <c r="L3092" s="53"/>
      <c r="M3092" s="54"/>
    </row>
    <row r="3093">
      <c r="A3093" s="23"/>
      <c r="B3093" s="52"/>
      <c r="C3093" s="53"/>
      <c r="D3093" s="23"/>
      <c r="E3093" s="53"/>
      <c r="F3093" s="54"/>
      <c r="G3093" s="54"/>
      <c r="H3093" s="54"/>
      <c r="I3093" s="53"/>
      <c r="J3093" s="53"/>
      <c r="K3093" s="23"/>
      <c r="L3093" s="53"/>
      <c r="M3093" s="54"/>
    </row>
    <row r="3094">
      <c r="A3094" s="23"/>
      <c r="B3094" s="52"/>
      <c r="C3094" s="53"/>
      <c r="D3094" s="23"/>
      <c r="E3094" s="53"/>
      <c r="F3094" s="54"/>
      <c r="G3094" s="54"/>
      <c r="H3094" s="54"/>
      <c r="I3094" s="53"/>
      <c r="J3094" s="53"/>
      <c r="K3094" s="23"/>
      <c r="L3094" s="53"/>
      <c r="M3094" s="54"/>
    </row>
    <row r="3095">
      <c r="A3095" s="23"/>
      <c r="B3095" s="52"/>
      <c r="C3095" s="53"/>
      <c r="D3095" s="23"/>
      <c r="E3095" s="53"/>
      <c r="F3095" s="54"/>
      <c r="G3095" s="23"/>
      <c r="H3095" s="54"/>
      <c r="I3095" s="53"/>
      <c r="J3095" s="53"/>
      <c r="K3095" s="23"/>
      <c r="L3095" s="53"/>
      <c r="M3095" s="54"/>
    </row>
    <row r="3096">
      <c r="A3096" s="23"/>
      <c r="B3096" s="52"/>
      <c r="C3096" s="53"/>
      <c r="D3096" s="23"/>
      <c r="E3096" s="53"/>
      <c r="F3096" s="54"/>
      <c r="G3096" s="54"/>
      <c r="H3096" s="54"/>
      <c r="I3096" s="53"/>
      <c r="J3096" s="53"/>
      <c r="K3096" s="23"/>
      <c r="L3096" s="53"/>
      <c r="M3096" s="54"/>
    </row>
    <row r="3097">
      <c r="A3097" s="23"/>
      <c r="B3097" s="52"/>
      <c r="C3097" s="53"/>
      <c r="D3097" s="23"/>
      <c r="E3097" s="53"/>
      <c r="F3097" s="54"/>
      <c r="G3097" s="54"/>
      <c r="H3097" s="54"/>
      <c r="I3097" s="53"/>
      <c r="J3097" s="53"/>
      <c r="K3097" s="23"/>
      <c r="L3097" s="53"/>
      <c r="M3097" s="54"/>
    </row>
    <row r="3098">
      <c r="A3098" s="23"/>
      <c r="B3098" s="52"/>
      <c r="C3098" s="53"/>
      <c r="D3098" s="23"/>
      <c r="E3098" s="53"/>
      <c r="F3098" s="54"/>
      <c r="G3098" s="54"/>
      <c r="H3098" s="54"/>
      <c r="I3098" s="53"/>
      <c r="J3098" s="53"/>
      <c r="K3098" s="23"/>
      <c r="L3098" s="53"/>
      <c r="M3098" s="54"/>
    </row>
    <row r="3099">
      <c r="A3099" s="23"/>
      <c r="B3099" s="52"/>
      <c r="C3099" s="53"/>
      <c r="D3099" s="23"/>
      <c r="E3099" s="53"/>
      <c r="F3099" s="54"/>
      <c r="G3099" s="54"/>
      <c r="H3099" s="54"/>
      <c r="I3099" s="53"/>
      <c r="J3099" s="53"/>
      <c r="K3099" s="23"/>
      <c r="L3099" s="53"/>
      <c r="M3099" s="54"/>
    </row>
    <row r="3100">
      <c r="A3100" s="23"/>
      <c r="B3100" s="52"/>
      <c r="C3100" s="53"/>
      <c r="D3100" s="23"/>
      <c r="E3100" s="53"/>
      <c r="F3100" s="54"/>
      <c r="G3100" s="54"/>
      <c r="H3100" s="54"/>
      <c r="I3100" s="53"/>
      <c r="J3100" s="53"/>
      <c r="K3100" s="23"/>
      <c r="L3100" s="53"/>
      <c r="M3100" s="54"/>
    </row>
    <row r="3101">
      <c r="A3101" s="23"/>
      <c r="B3101" s="52"/>
      <c r="C3101" s="53"/>
      <c r="D3101" s="23"/>
      <c r="E3101" s="53"/>
      <c r="F3101" s="54"/>
      <c r="G3101" s="54"/>
      <c r="H3101" s="54"/>
      <c r="I3101" s="53"/>
      <c r="J3101" s="53"/>
      <c r="K3101" s="23"/>
      <c r="L3101" s="53"/>
      <c r="M3101" s="54"/>
    </row>
    <row r="3102">
      <c r="A3102" s="23"/>
      <c r="B3102" s="52"/>
      <c r="C3102" s="53"/>
      <c r="D3102" s="23"/>
      <c r="E3102" s="53"/>
      <c r="F3102" s="54"/>
      <c r="G3102" s="23"/>
      <c r="H3102" s="54"/>
      <c r="I3102" s="53"/>
      <c r="J3102" s="53"/>
      <c r="K3102" s="23"/>
      <c r="L3102" s="53"/>
      <c r="M3102" s="54"/>
    </row>
    <row r="3103">
      <c r="A3103" s="23"/>
      <c r="B3103" s="52"/>
      <c r="C3103" s="53"/>
      <c r="D3103" s="23"/>
      <c r="E3103" s="53"/>
      <c r="F3103" s="54"/>
      <c r="G3103" s="54"/>
      <c r="H3103" s="54"/>
      <c r="I3103" s="53"/>
      <c r="J3103" s="53"/>
      <c r="K3103" s="23"/>
      <c r="L3103" s="53"/>
      <c r="M3103" s="54"/>
    </row>
    <row r="3104">
      <c r="A3104" s="23"/>
      <c r="B3104" s="52"/>
      <c r="C3104" s="53"/>
      <c r="D3104" s="23"/>
      <c r="E3104" s="53"/>
      <c r="F3104" s="54"/>
      <c r="G3104" s="54"/>
      <c r="H3104" s="54"/>
      <c r="I3104" s="53"/>
      <c r="J3104" s="53"/>
      <c r="K3104" s="23"/>
      <c r="L3104" s="53"/>
      <c r="M3104" s="54"/>
    </row>
    <row r="3105">
      <c r="A3105" s="23"/>
      <c r="B3105" s="52"/>
      <c r="C3105" s="53"/>
      <c r="D3105" s="23"/>
      <c r="E3105" s="53"/>
      <c r="F3105" s="54"/>
      <c r="G3105" s="54"/>
      <c r="H3105" s="54"/>
      <c r="I3105" s="53"/>
      <c r="J3105" s="53"/>
      <c r="K3105" s="23"/>
      <c r="L3105" s="53"/>
      <c r="M3105" s="54"/>
    </row>
    <row r="3106">
      <c r="A3106" s="23"/>
      <c r="B3106" s="52"/>
      <c r="C3106" s="53"/>
      <c r="D3106" s="23"/>
      <c r="E3106" s="53"/>
      <c r="F3106" s="54"/>
      <c r="G3106" s="23"/>
      <c r="H3106" s="54"/>
      <c r="I3106" s="53"/>
      <c r="J3106" s="53"/>
      <c r="K3106" s="23"/>
      <c r="L3106" s="53"/>
      <c r="M3106" s="54"/>
    </row>
    <row r="3107">
      <c r="A3107" s="23"/>
      <c r="B3107" s="52"/>
      <c r="C3107" s="53"/>
      <c r="D3107" s="23"/>
      <c r="E3107" s="53"/>
      <c r="F3107" s="54"/>
      <c r="G3107" s="54"/>
      <c r="H3107" s="54"/>
      <c r="I3107" s="53"/>
      <c r="J3107" s="53"/>
      <c r="K3107" s="23"/>
      <c r="L3107" s="53"/>
      <c r="M3107" s="54"/>
    </row>
    <row r="3108">
      <c r="A3108" s="23"/>
      <c r="B3108" s="52"/>
      <c r="C3108" s="53"/>
      <c r="D3108" s="23"/>
      <c r="E3108" s="53"/>
      <c r="F3108" s="54"/>
      <c r="G3108" s="54"/>
      <c r="H3108" s="54"/>
      <c r="I3108" s="53"/>
      <c r="J3108" s="53"/>
      <c r="K3108" s="23"/>
      <c r="L3108" s="53"/>
      <c r="M3108" s="54"/>
    </row>
    <row r="3109">
      <c r="A3109" s="23"/>
      <c r="B3109" s="52"/>
      <c r="C3109" s="53"/>
      <c r="D3109" s="23"/>
      <c r="E3109" s="53"/>
      <c r="F3109" s="54"/>
      <c r="G3109" s="23"/>
      <c r="H3109" s="54"/>
      <c r="I3109" s="53"/>
      <c r="J3109" s="53"/>
      <c r="K3109" s="23"/>
      <c r="L3109" s="53"/>
      <c r="M3109" s="54"/>
    </row>
    <row r="3110">
      <c r="A3110" s="23"/>
      <c r="B3110" s="52"/>
      <c r="C3110" s="53"/>
      <c r="D3110" s="23"/>
      <c r="E3110" s="53"/>
      <c r="F3110" s="54"/>
      <c r="G3110" s="23"/>
      <c r="H3110" s="54"/>
      <c r="I3110" s="53"/>
      <c r="J3110" s="53"/>
      <c r="K3110" s="23"/>
      <c r="L3110" s="53"/>
      <c r="M3110" s="54"/>
    </row>
    <row r="3111">
      <c r="A3111" s="23"/>
      <c r="B3111" s="52"/>
      <c r="C3111" s="53"/>
      <c r="D3111" s="23"/>
      <c r="E3111" s="53"/>
      <c r="F3111" s="54"/>
      <c r="G3111" s="23"/>
      <c r="H3111" s="54"/>
      <c r="I3111" s="53"/>
      <c r="J3111" s="23"/>
      <c r="K3111" s="23"/>
      <c r="L3111" s="53"/>
      <c r="M3111" s="54"/>
    </row>
    <row r="3112">
      <c r="A3112" s="23"/>
      <c r="B3112" s="52"/>
      <c r="C3112" s="53"/>
      <c r="D3112" s="23"/>
      <c r="E3112" s="53"/>
      <c r="F3112" s="54"/>
      <c r="G3112" s="54"/>
      <c r="H3112" s="54"/>
      <c r="I3112" s="53"/>
      <c r="J3112" s="53"/>
      <c r="K3112" s="23"/>
      <c r="L3112" s="53"/>
      <c r="M3112" s="54"/>
    </row>
    <row r="3113">
      <c r="A3113" s="23"/>
      <c r="B3113" s="52"/>
      <c r="C3113" s="53"/>
      <c r="D3113" s="23"/>
      <c r="E3113" s="53"/>
      <c r="F3113" s="54"/>
      <c r="G3113" s="54"/>
      <c r="H3113" s="54"/>
      <c r="I3113" s="53"/>
      <c r="J3113" s="53"/>
      <c r="K3113" s="23"/>
      <c r="L3113" s="53"/>
      <c r="M3113" s="54"/>
    </row>
    <row r="3114">
      <c r="A3114" s="23"/>
      <c r="B3114" s="52"/>
      <c r="C3114" s="53"/>
      <c r="D3114" s="23"/>
      <c r="E3114" s="53"/>
      <c r="F3114" s="54"/>
      <c r="G3114" s="54"/>
      <c r="H3114" s="54"/>
      <c r="I3114" s="53"/>
      <c r="J3114" s="53"/>
      <c r="K3114" s="23"/>
      <c r="L3114" s="53"/>
      <c r="M3114" s="54"/>
    </row>
    <row r="3115">
      <c r="A3115" s="23"/>
      <c r="B3115" s="52"/>
      <c r="C3115" s="53"/>
      <c r="D3115" s="23"/>
      <c r="E3115" s="53"/>
      <c r="F3115" s="54"/>
      <c r="G3115" s="23"/>
      <c r="H3115" s="54"/>
      <c r="I3115" s="53"/>
      <c r="J3115" s="53"/>
      <c r="K3115" s="53"/>
      <c r="L3115" s="53"/>
      <c r="M3115" s="54"/>
    </row>
    <row r="3116">
      <c r="A3116" s="23"/>
      <c r="B3116" s="52"/>
      <c r="C3116" s="53"/>
      <c r="D3116" s="23"/>
      <c r="E3116" s="53"/>
      <c r="F3116" s="54"/>
      <c r="G3116" s="23"/>
      <c r="H3116" s="54"/>
      <c r="I3116" s="53"/>
      <c r="J3116" s="53"/>
      <c r="K3116" s="23"/>
      <c r="L3116" s="53"/>
      <c r="M3116" s="54"/>
    </row>
    <row r="3117">
      <c r="A3117" s="23"/>
      <c r="B3117" s="52"/>
      <c r="C3117" s="53"/>
      <c r="D3117" s="23"/>
      <c r="E3117" s="53"/>
      <c r="F3117" s="54"/>
      <c r="G3117" s="54"/>
      <c r="H3117" s="54"/>
      <c r="I3117" s="53"/>
      <c r="J3117" s="53"/>
      <c r="K3117" s="23"/>
      <c r="L3117" s="53"/>
      <c r="M3117" s="54"/>
    </row>
    <row r="3118">
      <c r="A3118" s="23"/>
      <c r="B3118" s="52"/>
      <c r="C3118" s="53"/>
      <c r="D3118" s="23"/>
      <c r="E3118" s="53"/>
      <c r="F3118" s="54"/>
      <c r="G3118" s="23"/>
      <c r="H3118" s="54"/>
      <c r="I3118" s="53"/>
      <c r="J3118" s="53"/>
      <c r="K3118" s="23"/>
      <c r="L3118" s="53"/>
      <c r="M3118" s="54"/>
    </row>
    <row r="3119">
      <c r="A3119" s="23"/>
      <c r="B3119" s="52"/>
      <c r="C3119" s="53"/>
      <c r="D3119" s="23"/>
      <c r="E3119" s="53"/>
      <c r="F3119" s="54"/>
      <c r="G3119" s="54"/>
      <c r="H3119" s="54"/>
      <c r="I3119" s="53"/>
      <c r="J3119" s="53"/>
      <c r="K3119" s="23"/>
      <c r="L3119" s="53"/>
      <c r="M3119" s="54"/>
    </row>
    <row r="3120">
      <c r="A3120" s="23"/>
      <c r="B3120" s="52"/>
      <c r="C3120" s="53"/>
      <c r="D3120" s="23"/>
      <c r="E3120" s="53"/>
      <c r="F3120" s="54"/>
      <c r="G3120" s="23"/>
      <c r="H3120" s="54"/>
      <c r="I3120" s="53"/>
      <c r="J3120" s="53"/>
      <c r="K3120" s="23"/>
      <c r="L3120" s="53"/>
      <c r="M3120" s="54"/>
    </row>
    <row r="3121">
      <c r="A3121" s="23"/>
      <c r="B3121" s="52"/>
      <c r="C3121" s="53"/>
      <c r="D3121" s="23"/>
      <c r="E3121" s="53"/>
      <c r="F3121" s="54"/>
      <c r="G3121" s="54"/>
      <c r="H3121" s="54"/>
      <c r="I3121" s="53"/>
      <c r="J3121" s="53"/>
      <c r="K3121" s="23"/>
      <c r="L3121" s="53"/>
      <c r="M3121" s="54"/>
    </row>
    <row r="3122">
      <c r="A3122" s="23"/>
      <c r="B3122" s="52"/>
      <c r="C3122" s="53"/>
      <c r="D3122" s="23"/>
      <c r="E3122" s="53"/>
      <c r="F3122" s="54"/>
      <c r="G3122" s="23"/>
      <c r="H3122" s="54"/>
      <c r="I3122" s="53"/>
      <c r="J3122" s="23"/>
      <c r="K3122" s="23"/>
      <c r="L3122" s="53"/>
      <c r="M3122" s="54"/>
    </row>
    <row r="3123">
      <c r="A3123" s="23"/>
      <c r="B3123" s="52"/>
      <c r="C3123" s="53"/>
      <c r="D3123" s="23"/>
      <c r="E3123" s="53"/>
      <c r="F3123" s="54"/>
      <c r="G3123" s="54"/>
      <c r="H3123" s="54"/>
      <c r="I3123" s="53"/>
      <c r="J3123" s="53"/>
      <c r="K3123" s="23"/>
      <c r="L3123" s="53"/>
      <c r="M3123" s="54"/>
    </row>
    <row r="3124">
      <c r="A3124" s="23"/>
      <c r="B3124" s="52"/>
      <c r="C3124" s="53"/>
      <c r="D3124" s="23"/>
      <c r="E3124" s="53"/>
      <c r="F3124" s="54"/>
      <c r="G3124" s="23"/>
      <c r="H3124" s="54"/>
      <c r="I3124" s="53"/>
      <c r="J3124" s="53"/>
      <c r="K3124" s="23"/>
      <c r="L3124" s="53"/>
      <c r="M3124" s="54"/>
    </row>
    <row r="3125">
      <c r="A3125" s="23"/>
      <c r="B3125" s="52"/>
      <c r="C3125" s="53"/>
      <c r="D3125" s="23"/>
      <c r="E3125" s="53"/>
      <c r="F3125" s="54"/>
      <c r="G3125" s="23"/>
      <c r="H3125" s="54"/>
      <c r="I3125" s="53"/>
      <c r="J3125" s="23"/>
      <c r="K3125" s="23"/>
      <c r="L3125" s="53"/>
      <c r="M3125" s="54"/>
    </row>
    <row r="3126">
      <c r="A3126" s="23"/>
      <c r="B3126" s="52"/>
      <c r="C3126" s="53"/>
      <c r="D3126" s="23"/>
      <c r="E3126" s="53"/>
      <c r="F3126" s="54"/>
      <c r="G3126" s="54"/>
      <c r="H3126" s="54"/>
      <c r="I3126" s="53"/>
      <c r="J3126" s="53"/>
      <c r="K3126" s="23"/>
      <c r="L3126" s="53"/>
      <c r="M3126" s="54"/>
    </row>
    <row r="3127">
      <c r="A3127" s="23"/>
      <c r="B3127" s="52"/>
      <c r="C3127" s="53"/>
      <c r="D3127" s="23"/>
      <c r="E3127" s="53"/>
      <c r="F3127" s="54"/>
      <c r="G3127" s="23"/>
      <c r="H3127" s="54"/>
      <c r="I3127" s="53"/>
      <c r="J3127" s="23"/>
      <c r="K3127" s="23"/>
      <c r="L3127" s="53"/>
      <c r="M3127" s="54"/>
    </row>
    <row r="3128">
      <c r="A3128" s="23"/>
      <c r="B3128" s="52"/>
      <c r="C3128" s="53"/>
      <c r="D3128" s="23"/>
      <c r="E3128" s="53"/>
      <c r="F3128" s="54"/>
      <c r="G3128" s="23"/>
      <c r="H3128" s="54"/>
      <c r="I3128" s="53"/>
      <c r="J3128" s="23"/>
      <c r="K3128" s="23"/>
      <c r="L3128" s="53"/>
      <c r="M3128" s="54"/>
    </row>
    <row r="3129">
      <c r="A3129" s="23"/>
      <c r="B3129" s="52"/>
      <c r="C3129" s="53"/>
      <c r="D3129" s="23"/>
      <c r="E3129" s="53"/>
      <c r="F3129" s="54"/>
      <c r="G3129" s="23"/>
      <c r="H3129" s="54"/>
      <c r="I3129" s="53"/>
      <c r="J3129" s="53"/>
      <c r="K3129" s="23"/>
      <c r="L3129" s="53"/>
      <c r="M3129" s="54"/>
    </row>
    <row r="3130">
      <c r="A3130" s="23"/>
      <c r="B3130" s="52"/>
      <c r="C3130" s="53"/>
      <c r="D3130" s="23"/>
      <c r="E3130" s="53"/>
      <c r="F3130" s="54"/>
      <c r="G3130" s="54"/>
      <c r="H3130" s="54"/>
      <c r="I3130" s="53"/>
      <c r="J3130" s="53"/>
      <c r="K3130" s="23"/>
      <c r="L3130" s="53"/>
      <c r="M3130" s="54"/>
    </row>
    <row r="3131">
      <c r="A3131" s="23"/>
      <c r="B3131" s="52"/>
      <c r="C3131" s="53"/>
      <c r="D3131" s="23"/>
      <c r="E3131" s="53"/>
      <c r="F3131" s="54"/>
      <c r="G3131" s="23"/>
      <c r="H3131" s="54"/>
      <c r="I3131" s="53"/>
      <c r="J3131" s="53"/>
      <c r="K3131" s="23"/>
      <c r="L3131" s="53"/>
      <c r="M3131" s="54"/>
    </row>
    <row r="3132">
      <c r="A3132" s="23"/>
      <c r="B3132" s="52"/>
      <c r="C3132" s="53"/>
      <c r="D3132" s="23"/>
      <c r="E3132" s="53"/>
      <c r="F3132" s="54"/>
      <c r="G3132" s="54"/>
      <c r="H3132" s="54"/>
      <c r="I3132" s="53"/>
      <c r="J3132" s="53"/>
      <c r="K3132" s="23"/>
      <c r="L3132" s="53"/>
      <c r="M3132" s="54"/>
    </row>
    <row r="3133">
      <c r="A3133" s="23"/>
      <c r="B3133" s="52"/>
      <c r="C3133" s="53"/>
      <c r="D3133" s="23"/>
      <c r="E3133" s="53"/>
      <c r="F3133" s="54"/>
      <c r="G3133" s="54"/>
      <c r="H3133" s="54"/>
      <c r="I3133" s="53"/>
      <c r="J3133" s="53"/>
      <c r="K3133" s="23"/>
      <c r="L3133" s="53"/>
      <c r="M3133" s="54"/>
    </row>
    <row r="3134">
      <c r="A3134" s="23"/>
      <c r="B3134" s="52"/>
      <c r="C3134" s="53"/>
      <c r="D3134" s="23"/>
      <c r="E3134" s="53"/>
      <c r="F3134" s="54"/>
      <c r="G3134" s="54"/>
      <c r="H3134" s="54"/>
      <c r="I3134" s="53"/>
      <c r="J3134" s="53"/>
      <c r="K3134" s="23"/>
      <c r="L3134" s="53"/>
      <c r="M3134" s="54"/>
    </row>
    <row r="3135">
      <c r="A3135" s="23"/>
      <c r="B3135" s="52"/>
      <c r="C3135" s="53"/>
      <c r="D3135" s="23"/>
      <c r="E3135" s="53"/>
      <c r="F3135" s="54"/>
      <c r="G3135" s="54"/>
      <c r="H3135" s="54"/>
      <c r="I3135" s="53"/>
      <c r="J3135" s="53"/>
      <c r="K3135" s="23"/>
      <c r="L3135" s="53"/>
      <c r="M3135" s="54"/>
    </row>
    <row r="3136">
      <c r="A3136" s="23"/>
      <c r="B3136" s="52"/>
      <c r="C3136" s="53"/>
      <c r="D3136" s="23"/>
      <c r="E3136" s="53"/>
      <c r="F3136" s="54"/>
      <c r="G3136" s="54"/>
      <c r="H3136" s="54"/>
      <c r="I3136" s="53"/>
      <c r="J3136" s="53"/>
      <c r="K3136" s="23"/>
      <c r="L3136" s="53"/>
      <c r="M3136" s="54"/>
    </row>
    <row r="3137">
      <c r="A3137" s="23"/>
      <c r="B3137" s="52"/>
      <c r="C3137" s="53"/>
      <c r="D3137" s="23"/>
      <c r="E3137" s="53"/>
      <c r="F3137" s="54"/>
      <c r="G3137" s="23"/>
      <c r="H3137" s="54"/>
      <c r="I3137" s="53"/>
      <c r="J3137" s="53"/>
      <c r="K3137" s="23"/>
      <c r="L3137" s="53"/>
      <c r="M3137" s="54"/>
    </row>
    <row r="3138">
      <c r="A3138" s="23"/>
      <c r="B3138" s="52"/>
      <c r="C3138" s="53"/>
      <c r="D3138" s="23"/>
      <c r="E3138" s="53"/>
      <c r="F3138" s="54"/>
      <c r="G3138" s="23"/>
      <c r="H3138" s="54"/>
      <c r="I3138" s="53"/>
      <c r="J3138" s="53"/>
      <c r="K3138" s="23"/>
      <c r="L3138" s="53"/>
      <c r="M3138" s="54"/>
    </row>
    <row r="3139">
      <c r="A3139" s="23"/>
      <c r="B3139" s="52"/>
      <c r="C3139" s="53"/>
      <c r="D3139" s="23"/>
      <c r="E3139" s="53"/>
      <c r="F3139" s="54"/>
      <c r="G3139" s="23"/>
      <c r="H3139" s="54"/>
      <c r="I3139" s="53"/>
      <c r="J3139" s="53"/>
      <c r="K3139" s="23"/>
      <c r="L3139" s="53"/>
      <c r="M3139" s="54"/>
    </row>
    <row r="3140">
      <c r="A3140" s="23"/>
      <c r="B3140" s="52"/>
      <c r="C3140" s="53"/>
      <c r="D3140" s="23"/>
      <c r="E3140" s="53"/>
      <c r="F3140" s="54"/>
      <c r="G3140" s="54"/>
      <c r="H3140" s="54"/>
      <c r="I3140" s="53"/>
      <c r="J3140" s="53"/>
      <c r="K3140" s="23"/>
      <c r="L3140" s="53"/>
      <c r="M3140" s="54"/>
    </row>
    <row r="3141">
      <c r="A3141" s="23"/>
      <c r="B3141" s="52"/>
      <c r="C3141" s="53"/>
      <c r="D3141" s="23"/>
      <c r="E3141" s="53"/>
      <c r="F3141" s="54"/>
      <c r="G3141" s="54"/>
      <c r="H3141" s="54"/>
      <c r="I3141" s="53"/>
      <c r="J3141" s="53"/>
      <c r="K3141" s="23"/>
      <c r="L3141" s="53"/>
      <c r="M3141" s="54"/>
    </row>
    <row r="3142">
      <c r="A3142" s="23"/>
      <c r="B3142" s="52"/>
      <c r="C3142" s="53"/>
      <c r="D3142" s="23"/>
      <c r="E3142" s="53"/>
      <c r="F3142" s="54"/>
      <c r="G3142" s="54"/>
      <c r="H3142" s="54"/>
      <c r="I3142" s="53"/>
      <c r="J3142" s="53"/>
      <c r="K3142" s="23"/>
      <c r="L3142" s="53"/>
      <c r="M3142" s="54"/>
    </row>
    <row r="3143">
      <c r="A3143" s="23"/>
      <c r="B3143" s="52"/>
      <c r="C3143" s="53"/>
      <c r="D3143" s="23"/>
      <c r="E3143" s="53"/>
      <c r="F3143" s="54"/>
      <c r="G3143" s="23"/>
      <c r="H3143" s="54"/>
      <c r="I3143" s="53"/>
      <c r="J3143" s="53"/>
      <c r="K3143" s="23"/>
      <c r="L3143" s="53"/>
      <c r="M3143" s="54"/>
    </row>
    <row r="3144">
      <c r="A3144" s="23"/>
      <c r="B3144" s="52"/>
      <c r="C3144" s="53"/>
      <c r="D3144" s="23"/>
      <c r="E3144" s="53"/>
      <c r="F3144" s="54"/>
      <c r="G3144" s="54"/>
      <c r="H3144" s="54"/>
      <c r="I3144" s="53"/>
      <c r="J3144" s="53"/>
      <c r="K3144" s="23"/>
      <c r="L3144" s="53"/>
      <c r="M3144" s="54"/>
    </row>
    <row r="3145">
      <c r="A3145" s="23"/>
      <c r="B3145" s="52"/>
      <c r="C3145" s="53"/>
      <c r="D3145" s="23"/>
      <c r="E3145" s="53"/>
      <c r="F3145" s="54"/>
      <c r="G3145" s="23"/>
      <c r="H3145" s="54"/>
      <c r="I3145" s="53"/>
      <c r="J3145" s="53"/>
      <c r="K3145" s="23"/>
      <c r="L3145" s="53"/>
      <c r="M3145" s="54"/>
    </row>
    <row r="3146">
      <c r="A3146" s="23"/>
      <c r="B3146" s="52"/>
      <c r="C3146" s="53"/>
      <c r="D3146" s="23"/>
      <c r="E3146" s="53"/>
      <c r="F3146" s="54"/>
      <c r="G3146" s="23"/>
      <c r="H3146" s="54"/>
      <c r="I3146" s="53"/>
      <c r="J3146" s="23"/>
      <c r="K3146" s="23"/>
      <c r="L3146" s="53"/>
      <c r="M3146" s="54"/>
    </row>
    <row r="3147">
      <c r="A3147" s="23"/>
      <c r="B3147" s="52"/>
      <c r="C3147" s="53"/>
      <c r="D3147" s="23"/>
      <c r="E3147" s="53"/>
      <c r="F3147" s="54"/>
      <c r="G3147" s="23"/>
      <c r="H3147" s="54"/>
      <c r="I3147" s="53"/>
      <c r="J3147" s="53"/>
      <c r="K3147" s="23"/>
      <c r="L3147" s="53"/>
      <c r="M3147" s="54"/>
    </row>
    <row r="3148">
      <c r="A3148" s="23"/>
      <c r="B3148" s="52"/>
      <c r="C3148" s="53"/>
      <c r="D3148" s="23"/>
      <c r="E3148" s="53"/>
      <c r="F3148" s="54"/>
      <c r="G3148" s="23"/>
      <c r="H3148" s="54"/>
      <c r="I3148" s="53"/>
      <c r="J3148" s="23"/>
      <c r="K3148" s="23"/>
      <c r="L3148" s="53"/>
      <c r="M3148" s="54"/>
    </row>
    <row r="3149">
      <c r="A3149" s="23"/>
      <c r="B3149" s="52"/>
      <c r="C3149" s="53"/>
      <c r="D3149" s="23"/>
      <c r="E3149" s="53"/>
      <c r="F3149" s="54"/>
      <c r="G3149" s="54"/>
      <c r="H3149" s="54"/>
      <c r="I3149" s="53"/>
      <c r="J3149" s="53"/>
      <c r="K3149" s="23"/>
      <c r="L3149" s="53"/>
      <c r="M3149" s="54"/>
    </row>
    <row r="3150">
      <c r="A3150" s="23"/>
      <c r="B3150" s="52"/>
      <c r="C3150" s="53"/>
      <c r="D3150" s="23"/>
      <c r="E3150" s="53"/>
      <c r="F3150" s="54"/>
      <c r="G3150" s="54"/>
      <c r="H3150" s="54"/>
      <c r="I3150" s="53"/>
      <c r="J3150" s="53"/>
      <c r="K3150" s="23"/>
      <c r="L3150" s="53"/>
      <c r="M3150" s="54"/>
    </row>
    <row r="3151">
      <c r="A3151" s="23"/>
      <c r="B3151" s="52"/>
      <c r="C3151" s="53"/>
      <c r="D3151" s="23"/>
      <c r="E3151" s="53"/>
      <c r="F3151" s="54"/>
      <c r="G3151" s="23"/>
      <c r="H3151" s="54"/>
      <c r="I3151" s="53"/>
      <c r="J3151" s="23"/>
      <c r="K3151" s="23"/>
      <c r="L3151" s="53"/>
      <c r="M3151" s="54"/>
    </row>
    <row r="3152">
      <c r="A3152" s="23"/>
      <c r="B3152" s="52"/>
      <c r="C3152" s="53"/>
      <c r="D3152" s="23"/>
      <c r="E3152" s="53"/>
      <c r="F3152" s="54"/>
      <c r="G3152" s="54"/>
      <c r="H3152" s="54"/>
      <c r="I3152" s="53"/>
      <c r="J3152" s="53"/>
      <c r="K3152" s="23"/>
      <c r="L3152" s="53"/>
      <c r="M3152" s="54"/>
    </row>
    <row r="3153">
      <c r="A3153" s="23"/>
      <c r="B3153" s="52"/>
      <c r="C3153" s="53"/>
      <c r="D3153" s="23"/>
      <c r="E3153" s="53"/>
      <c r="F3153" s="54"/>
      <c r="G3153" s="54"/>
      <c r="H3153" s="54"/>
      <c r="I3153" s="53"/>
      <c r="J3153" s="53"/>
      <c r="K3153" s="23"/>
      <c r="L3153" s="53"/>
      <c r="M3153" s="54"/>
    </row>
    <row r="3154">
      <c r="A3154" s="23"/>
      <c r="B3154" s="52"/>
      <c r="C3154" s="53"/>
      <c r="D3154" s="23"/>
      <c r="E3154" s="53"/>
      <c r="F3154" s="54"/>
      <c r="G3154" s="54"/>
      <c r="H3154" s="54"/>
      <c r="I3154" s="53"/>
      <c r="J3154" s="53"/>
      <c r="K3154" s="23"/>
      <c r="L3154" s="53"/>
      <c r="M3154" s="54"/>
    </row>
    <row r="3155">
      <c r="A3155" s="23"/>
      <c r="B3155" s="52"/>
      <c r="C3155" s="53"/>
      <c r="D3155" s="23"/>
      <c r="E3155" s="53"/>
      <c r="F3155" s="54"/>
      <c r="G3155" s="23"/>
      <c r="H3155" s="54"/>
      <c r="I3155" s="53"/>
      <c r="J3155" s="53"/>
      <c r="K3155" s="23"/>
      <c r="L3155" s="53"/>
      <c r="M3155" s="54"/>
    </row>
    <row r="3156">
      <c r="A3156" s="23"/>
      <c r="B3156" s="52"/>
      <c r="C3156" s="53"/>
      <c r="D3156" s="23"/>
      <c r="E3156" s="53"/>
      <c r="F3156" s="54"/>
      <c r="G3156" s="54"/>
      <c r="H3156" s="54"/>
      <c r="I3156" s="53"/>
      <c r="J3156" s="53"/>
      <c r="K3156" s="23"/>
      <c r="L3156" s="53"/>
      <c r="M3156" s="54"/>
    </row>
    <row r="3157">
      <c r="A3157" s="23"/>
      <c r="B3157" s="52"/>
      <c r="C3157" s="53"/>
      <c r="D3157" s="23"/>
      <c r="E3157" s="53"/>
      <c r="F3157" s="54"/>
      <c r="G3157" s="54"/>
      <c r="H3157" s="54"/>
      <c r="I3157" s="53"/>
      <c r="J3157" s="53"/>
      <c r="K3157" s="23"/>
      <c r="L3157" s="53"/>
      <c r="M3157" s="54"/>
    </row>
    <row r="3158">
      <c r="A3158" s="23"/>
      <c r="B3158" s="52"/>
      <c r="C3158" s="53"/>
      <c r="D3158" s="23"/>
      <c r="E3158" s="53"/>
      <c r="F3158" s="54"/>
      <c r="G3158" s="54"/>
      <c r="H3158" s="54"/>
      <c r="I3158" s="53"/>
      <c r="J3158" s="53"/>
      <c r="K3158" s="23"/>
      <c r="L3158" s="53"/>
      <c r="M3158" s="54"/>
    </row>
    <row r="3159">
      <c r="A3159" s="23"/>
      <c r="B3159" s="52"/>
      <c r="C3159" s="53"/>
      <c r="D3159" s="23"/>
      <c r="E3159" s="53"/>
      <c r="F3159" s="54"/>
      <c r="G3159" s="54"/>
      <c r="H3159" s="54"/>
      <c r="I3159" s="53"/>
      <c r="J3159" s="53"/>
      <c r="K3159" s="23"/>
      <c r="L3159" s="53"/>
      <c r="M3159" s="54"/>
    </row>
    <row r="3160">
      <c r="A3160" s="23"/>
      <c r="B3160" s="52"/>
      <c r="C3160" s="53"/>
      <c r="D3160" s="23"/>
      <c r="E3160" s="53"/>
      <c r="F3160" s="54"/>
      <c r="G3160" s="54"/>
      <c r="H3160" s="54"/>
      <c r="I3160" s="53"/>
      <c r="J3160" s="53"/>
      <c r="K3160" s="23"/>
      <c r="L3160" s="53"/>
      <c r="M3160" s="54"/>
    </row>
    <row r="3161">
      <c r="A3161" s="23"/>
      <c r="B3161" s="52"/>
      <c r="C3161" s="53"/>
      <c r="D3161" s="23"/>
      <c r="E3161" s="53"/>
      <c r="F3161" s="54"/>
      <c r="G3161" s="23"/>
      <c r="H3161" s="54"/>
      <c r="I3161" s="53"/>
      <c r="J3161" s="23"/>
      <c r="K3161" s="23"/>
      <c r="L3161" s="53"/>
      <c r="M3161" s="54"/>
    </row>
    <row r="3162">
      <c r="A3162" s="23"/>
      <c r="B3162" s="52"/>
      <c r="C3162" s="53"/>
      <c r="D3162" s="23"/>
      <c r="E3162" s="53"/>
      <c r="F3162" s="54"/>
      <c r="G3162" s="54"/>
      <c r="H3162" s="54"/>
      <c r="I3162" s="53"/>
      <c r="J3162" s="53"/>
      <c r="K3162" s="23"/>
      <c r="L3162" s="53"/>
      <c r="M3162" s="54"/>
    </row>
    <row r="3163">
      <c r="A3163" s="23"/>
      <c r="B3163" s="52"/>
      <c r="C3163" s="53"/>
      <c r="D3163" s="23"/>
      <c r="E3163" s="53"/>
      <c r="F3163" s="54"/>
      <c r="G3163" s="54"/>
      <c r="H3163" s="54"/>
      <c r="I3163" s="53"/>
      <c r="J3163" s="53"/>
      <c r="K3163" s="23"/>
      <c r="L3163" s="53"/>
      <c r="M3163" s="54"/>
    </row>
    <row r="3164">
      <c r="A3164" s="23"/>
      <c r="B3164" s="52"/>
      <c r="C3164" s="53"/>
      <c r="D3164" s="23"/>
      <c r="E3164" s="53"/>
      <c r="F3164" s="54"/>
      <c r="G3164" s="54"/>
      <c r="H3164" s="54"/>
      <c r="I3164" s="53"/>
      <c r="J3164" s="53"/>
      <c r="K3164" s="23"/>
      <c r="L3164" s="53"/>
      <c r="M3164" s="54"/>
    </row>
    <row r="3165">
      <c r="A3165" s="23"/>
      <c r="B3165" s="52"/>
      <c r="C3165" s="53"/>
      <c r="D3165" s="23"/>
      <c r="E3165" s="53"/>
      <c r="F3165" s="54"/>
      <c r="G3165" s="54"/>
      <c r="H3165" s="54"/>
      <c r="I3165" s="53"/>
      <c r="J3165" s="53"/>
      <c r="K3165" s="23"/>
      <c r="L3165" s="53"/>
      <c r="M3165" s="54"/>
    </row>
    <row r="3166">
      <c r="A3166" s="23"/>
      <c r="B3166" s="52"/>
      <c r="C3166" s="53"/>
      <c r="D3166" s="23"/>
      <c r="E3166" s="53"/>
      <c r="F3166" s="54"/>
      <c r="G3166" s="54"/>
      <c r="H3166" s="54"/>
      <c r="I3166" s="53"/>
      <c r="J3166" s="53"/>
      <c r="K3166" s="23"/>
      <c r="L3166" s="53"/>
      <c r="M3166" s="54"/>
    </row>
    <row r="3167">
      <c r="A3167" s="23"/>
      <c r="B3167" s="52"/>
      <c r="C3167" s="53"/>
      <c r="D3167" s="23"/>
      <c r="E3167" s="53"/>
      <c r="F3167" s="54"/>
      <c r="G3167" s="54"/>
      <c r="H3167" s="54"/>
      <c r="I3167" s="53"/>
      <c r="J3167" s="53"/>
      <c r="K3167" s="23"/>
      <c r="L3167" s="53"/>
      <c r="M3167" s="54"/>
    </row>
    <row r="3168">
      <c r="A3168" s="23"/>
      <c r="B3168" s="52"/>
      <c r="C3168" s="53"/>
      <c r="D3168" s="23"/>
      <c r="E3168" s="53"/>
      <c r="F3168" s="54"/>
      <c r="G3168" s="54"/>
      <c r="H3168" s="54"/>
      <c r="I3168" s="53"/>
      <c r="J3168" s="53"/>
      <c r="K3168" s="23"/>
      <c r="L3168" s="53"/>
      <c r="M3168" s="54"/>
    </row>
    <row r="3169">
      <c r="A3169" s="23"/>
      <c r="B3169" s="52"/>
      <c r="C3169" s="53"/>
      <c r="D3169" s="23"/>
      <c r="E3169" s="53"/>
      <c r="F3169" s="54"/>
      <c r="G3169" s="54"/>
      <c r="H3169" s="54"/>
      <c r="I3169" s="53"/>
      <c r="J3169" s="53"/>
      <c r="K3169" s="23"/>
      <c r="L3169" s="53"/>
      <c r="M3169" s="54"/>
    </row>
    <row r="3170">
      <c r="A3170" s="23"/>
      <c r="B3170" s="52"/>
      <c r="C3170" s="53"/>
      <c r="D3170" s="23"/>
      <c r="E3170" s="53"/>
      <c r="F3170" s="54"/>
      <c r="G3170" s="23"/>
      <c r="H3170" s="54"/>
      <c r="I3170" s="53"/>
      <c r="J3170" s="53"/>
      <c r="K3170" s="23"/>
      <c r="L3170" s="53"/>
      <c r="M3170" s="54"/>
    </row>
    <row r="3171">
      <c r="A3171" s="23"/>
      <c r="B3171" s="52"/>
      <c r="C3171" s="53"/>
      <c r="D3171" s="23"/>
      <c r="E3171" s="53"/>
      <c r="F3171" s="54"/>
      <c r="G3171" s="54"/>
      <c r="H3171" s="54"/>
      <c r="I3171" s="53"/>
      <c r="J3171" s="53"/>
      <c r="K3171" s="23"/>
      <c r="L3171" s="53"/>
      <c r="M3171" s="54"/>
    </row>
    <row r="3172">
      <c r="A3172" s="23"/>
      <c r="B3172" s="52"/>
      <c r="C3172" s="53"/>
      <c r="D3172" s="23"/>
      <c r="E3172" s="53"/>
      <c r="F3172" s="54"/>
      <c r="G3172" s="54"/>
      <c r="H3172" s="54"/>
      <c r="I3172" s="53"/>
      <c r="J3172" s="53"/>
      <c r="K3172" s="23"/>
      <c r="L3172" s="53"/>
      <c r="M3172" s="54"/>
    </row>
    <row r="3173">
      <c r="A3173" s="23"/>
      <c r="B3173" s="52"/>
      <c r="C3173" s="53"/>
      <c r="D3173" s="23"/>
      <c r="E3173" s="53"/>
      <c r="F3173" s="54"/>
      <c r="G3173" s="23"/>
      <c r="H3173" s="54"/>
      <c r="I3173" s="53"/>
      <c r="J3173" s="53"/>
      <c r="K3173" s="23"/>
      <c r="L3173" s="53"/>
      <c r="M3173" s="54"/>
    </row>
    <row r="3174">
      <c r="A3174" s="23"/>
      <c r="B3174" s="52"/>
      <c r="C3174" s="53"/>
      <c r="D3174" s="23"/>
      <c r="E3174" s="53"/>
      <c r="F3174" s="54"/>
      <c r="G3174" s="23"/>
      <c r="H3174" s="54"/>
      <c r="I3174" s="53"/>
      <c r="J3174" s="53"/>
      <c r="K3174" s="23"/>
      <c r="L3174" s="53"/>
      <c r="M3174" s="54"/>
    </row>
    <row r="3175">
      <c r="A3175" s="23"/>
      <c r="B3175" s="52"/>
      <c r="C3175" s="53"/>
      <c r="D3175" s="23"/>
      <c r="E3175" s="53"/>
      <c r="F3175" s="54"/>
      <c r="G3175" s="54"/>
      <c r="H3175" s="54"/>
      <c r="I3175" s="53"/>
      <c r="J3175" s="53"/>
      <c r="K3175" s="23"/>
      <c r="L3175" s="53"/>
      <c r="M3175" s="54"/>
    </row>
    <row r="3176">
      <c r="A3176" s="23"/>
      <c r="B3176" s="52"/>
      <c r="C3176" s="53"/>
      <c r="D3176" s="23"/>
      <c r="E3176" s="53"/>
      <c r="F3176" s="54"/>
      <c r="G3176" s="23"/>
      <c r="H3176" s="54"/>
      <c r="I3176" s="53"/>
      <c r="J3176" s="53"/>
      <c r="K3176" s="23"/>
      <c r="L3176" s="53"/>
      <c r="M3176" s="54"/>
    </row>
    <row r="3177">
      <c r="A3177" s="23"/>
      <c r="B3177" s="52"/>
      <c r="C3177" s="53"/>
      <c r="D3177" s="23"/>
      <c r="E3177" s="53"/>
      <c r="F3177" s="54"/>
      <c r="G3177" s="54"/>
      <c r="H3177" s="54"/>
      <c r="I3177" s="53"/>
      <c r="J3177" s="53"/>
      <c r="K3177" s="23"/>
      <c r="L3177" s="53"/>
      <c r="M3177" s="54"/>
    </row>
    <row r="3178">
      <c r="A3178" s="23"/>
      <c r="B3178" s="52"/>
      <c r="C3178" s="53"/>
      <c r="D3178" s="23"/>
      <c r="E3178" s="53"/>
      <c r="F3178" s="54"/>
      <c r="G3178" s="54"/>
      <c r="H3178" s="54"/>
      <c r="I3178" s="53"/>
      <c r="J3178" s="53"/>
      <c r="K3178" s="23"/>
      <c r="L3178" s="53"/>
      <c r="M3178" s="54"/>
    </row>
    <row r="3179">
      <c r="A3179" s="23"/>
      <c r="B3179" s="52"/>
      <c r="C3179" s="53"/>
      <c r="D3179" s="23"/>
      <c r="E3179" s="53"/>
      <c r="F3179" s="54"/>
      <c r="G3179" s="54"/>
      <c r="H3179" s="54"/>
      <c r="I3179" s="53"/>
      <c r="J3179" s="53"/>
      <c r="K3179" s="23"/>
      <c r="L3179" s="53"/>
      <c r="M3179" s="54"/>
    </row>
    <row r="3180">
      <c r="A3180" s="23"/>
      <c r="B3180" s="52"/>
      <c r="C3180" s="53"/>
      <c r="D3180" s="23"/>
      <c r="E3180" s="53"/>
      <c r="F3180" s="54"/>
      <c r="G3180" s="54"/>
      <c r="H3180" s="54"/>
      <c r="I3180" s="53"/>
      <c r="J3180" s="53"/>
      <c r="K3180" s="23"/>
      <c r="L3180" s="53"/>
      <c r="M3180" s="54"/>
    </row>
    <row r="3181">
      <c r="A3181" s="23"/>
      <c r="B3181" s="52"/>
      <c r="C3181" s="53"/>
      <c r="D3181" s="23"/>
      <c r="E3181" s="53"/>
      <c r="F3181" s="54"/>
      <c r="G3181" s="54"/>
      <c r="H3181" s="54"/>
      <c r="I3181" s="53"/>
      <c r="J3181" s="53"/>
      <c r="K3181" s="23"/>
      <c r="L3181" s="53"/>
      <c r="M3181" s="54"/>
    </row>
    <row r="3182">
      <c r="A3182" s="23"/>
      <c r="B3182" s="52"/>
      <c r="C3182" s="53"/>
      <c r="D3182" s="23"/>
      <c r="E3182" s="53"/>
      <c r="F3182" s="54"/>
      <c r="G3182" s="54"/>
      <c r="H3182" s="54"/>
      <c r="I3182" s="53"/>
      <c r="J3182" s="53"/>
      <c r="K3182" s="23"/>
      <c r="L3182" s="53"/>
      <c r="M3182" s="54"/>
    </row>
    <row r="3183">
      <c r="A3183" s="23"/>
      <c r="B3183" s="52"/>
      <c r="C3183" s="53"/>
      <c r="D3183" s="23"/>
      <c r="E3183" s="53"/>
      <c r="F3183" s="54"/>
      <c r="G3183" s="54"/>
      <c r="H3183" s="54"/>
      <c r="I3183" s="53"/>
      <c r="J3183" s="53"/>
      <c r="K3183" s="23"/>
      <c r="L3183" s="53"/>
      <c r="M3183" s="54"/>
    </row>
    <row r="3184">
      <c r="A3184" s="23"/>
      <c r="B3184" s="52"/>
      <c r="C3184" s="53"/>
      <c r="D3184" s="23"/>
      <c r="E3184" s="53"/>
      <c r="F3184" s="54"/>
      <c r="G3184" s="23"/>
      <c r="H3184" s="54"/>
      <c r="I3184" s="53"/>
      <c r="J3184" s="23"/>
      <c r="K3184" s="23"/>
      <c r="L3184" s="53"/>
      <c r="M3184" s="54"/>
    </row>
    <row r="3185">
      <c r="A3185" s="23"/>
      <c r="B3185" s="52"/>
      <c r="C3185" s="53"/>
      <c r="D3185" s="23"/>
      <c r="E3185" s="53"/>
      <c r="F3185" s="54"/>
      <c r="G3185" s="54"/>
      <c r="H3185" s="54"/>
      <c r="I3185" s="53"/>
      <c r="J3185" s="53"/>
      <c r="K3185" s="23"/>
      <c r="L3185" s="53"/>
      <c r="M3185" s="54"/>
    </row>
    <row r="3186">
      <c r="A3186" s="23"/>
      <c r="B3186" s="52"/>
      <c r="C3186" s="53"/>
      <c r="D3186" s="23"/>
      <c r="E3186" s="53"/>
      <c r="F3186" s="54"/>
      <c r="G3186" s="54"/>
      <c r="H3186" s="54"/>
      <c r="I3186" s="53"/>
      <c r="J3186" s="53"/>
      <c r="K3186" s="23"/>
      <c r="L3186" s="53"/>
      <c r="M3186" s="54"/>
    </row>
    <row r="3187">
      <c r="A3187" s="23"/>
      <c r="B3187" s="52"/>
      <c r="C3187" s="53"/>
      <c r="D3187" s="23"/>
      <c r="E3187" s="53"/>
      <c r="F3187" s="54"/>
      <c r="G3187" s="54"/>
      <c r="H3187" s="54"/>
      <c r="I3187" s="53"/>
      <c r="J3187" s="53"/>
      <c r="K3187" s="23"/>
      <c r="L3187" s="53"/>
      <c r="M3187" s="54"/>
    </row>
    <row r="3188">
      <c r="A3188" s="23"/>
      <c r="B3188" s="52"/>
      <c r="C3188" s="53"/>
      <c r="D3188" s="23"/>
      <c r="E3188" s="53"/>
      <c r="F3188" s="54"/>
      <c r="G3188" s="23"/>
      <c r="H3188" s="54"/>
      <c r="I3188" s="53"/>
      <c r="J3188" s="23"/>
      <c r="K3188" s="23"/>
      <c r="L3188" s="53"/>
      <c r="M3188" s="54"/>
    </row>
    <row r="3189">
      <c r="A3189" s="23"/>
      <c r="B3189" s="52"/>
      <c r="C3189" s="53"/>
      <c r="D3189" s="23"/>
      <c r="E3189" s="53"/>
      <c r="F3189" s="54"/>
      <c r="G3189" s="54"/>
      <c r="H3189" s="54"/>
      <c r="I3189" s="53"/>
      <c r="J3189" s="53"/>
      <c r="K3189" s="23"/>
      <c r="L3189" s="53"/>
      <c r="M3189" s="54"/>
    </row>
    <row r="3190">
      <c r="A3190" s="23"/>
      <c r="B3190" s="52"/>
      <c r="C3190" s="53"/>
      <c r="D3190" s="23"/>
      <c r="E3190" s="53"/>
      <c r="F3190" s="54"/>
      <c r="G3190" s="23"/>
      <c r="H3190" s="54"/>
      <c r="I3190" s="53"/>
      <c r="J3190" s="23"/>
      <c r="K3190" s="23"/>
      <c r="L3190" s="53"/>
      <c r="M3190" s="54"/>
    </row>
    <row r="3191">
      <c r="A3191" s="23"/>
      <c r="B3191" s="52"/>
      <c r="C3191" s="53"/>
      <c r="D3191" s="23"/>
      <c r="E3191" s="53"/>
      <c r="F3191" s="54"/>
      <c r="G3191" s="23"/>
      <c r="H3191" s="54"/>
      <c r="I3191" s="53"/>
      <c r="J3191" s="23"/>
      <c r="K3191" s="23"/>
      <c r="L3191" s="53"/>
      <c r="M3191" s="54"/>
    </row>
    <row r="3192">
      <c r="A3192" s="23"/>
      <c r="B3192" s="52"/>
      <c r="C3192" s="53"/>
      <c r="D3192" s="23"/>
      <c r="E3192" s="53"/>
      <c r="F3192" s="54"/>
      <c r="G3192" s="54"/>
      <c r="H3192" s="54"/>
      <c r="I3192" s="53"/>
      <c r="J3192" s="53"/>
      <c r="K3192" s="23"/>
      <c r="L3192" s="53"/>
      <c r="M3192" s="54"/>
    </row>
    <row r="3193">
      <c r="A3193" s="23"/>
      <c r="B3193" s="52"/>
      <c r="C3193" s="53"/>
      <c r="D3193" s="23"/>
      <c r="E3193" s="53"/>
      <c r="F3193" s="54"/>
      <c r="G3193" s="54"/>
      <c r="H3193" s="54"/>
      <c r="I3193" s="53"/>
      <c r="J3193" s="53"/>
      <c r="K3193" s="23"/>
      <c r="L3193" s="53"/>
      <c r="M3193" s="54"/>
    </row>
    <row r="3194">
      <c r="A3194" s="23"/>
      <c r="B3194" s="52"/>
      <c r="C3194" s="53"/>
      <c r="D3194" s="23"/>
      <c r="E3194" s="53"/>
      <c r="F3194" s="54"/>
      <c r="G3194" s="54"/>
      <c r="H3194" s="54"/>
      <c r="I3194" s="53"/>
      <c r="J3194" s="53"/>
      <c r="K3194" s="23"/>
      <c r="L3194" s="53"/>
      <c r="M3194" s="54"/>
    </row>
    <row r="3195">
      <c r="A3195" s="23"/>
      <c r="B3195" s="52"/>
      <c r="C3195" s="53"/>
      <c r="D3195" s="23"/>
      <c r="E3195" s="53"/>
      <c r="F3195" s="54"/>
      <c r="G3195" s="23"/>
      <c r="H3195" s="54"/>
      <c r="I3195" s="53"/>
      <c r="J3195" s="53"/>
      <c r="K3195" s="23"/>
      <c r="L3195" s="53"/>
      <c r="M3195" s="54"/>
    </row>
    <row r="3196">
      <c r="A3196" s="23"/>
      <c r="B3196" s="52"/>
      <c r="C3196" s="53"/>
      <c r="D3196" s="23"/>
      <c r="E3196" s="53"/>
      <c r="F3196" s="54"/>
      <c r="G3196" s="54"/>
      <c r="H3196" s="54"/>
      <c r="I3196" s="53"/>
      <c r="J3196" s="53"/>
      <c r="K3196" s="23"/>
      <c r="L3196" s="53"/>
      <c r="M3196" s="54"/>
    </row>
    <row r="3197">
      <c r="A3197" s="23"/>
      <c r="B3197" s="52"/>
      <c r="C3197" s="53"/>
      <c r="D3197" s="23"/>
      <c r="E3197" s="53"/>
      <c r="F3197" s="54"/>
      <c r="G3197" s="54"/>
      <c r="H3197" s="54"/>
      <c r="I3197" s="53"/>
      <c r="J3197" s="53"/>
      <c r="K3197" s="23"/>
      <c r="L3197" s="53"/>
      <c r="M3197" s="54"/>
    </row>
    <row r="3198">
      <c r="A3198" s="23"/>
      <c r="B3198" s="52"/>
      <c r="C3198" s="53"/>
      <c r="D3198" s="23"/>
      <c r="E3198" s="53"/>
      <c r="F3198" s="54"/>
      <c r="G3198" s="54"/>
      <c r="H3198" s="54"/>
      <c r="I3198" s="53"/>
      <c r="J3198" s="53"/>
      <c r="K3198" s="23"/>
      <c r="L3198" s="53"/>
      <c r="M3198" s="54"/>
    </row>
    <row r="3199">
      <c r="A3199" s="23"/>
      <c r="B3199" s="52"/>
      <c r="C3199" s="53"/>
      <c r="D3199" s="23"/>
      <c r="E3199" s="53"/>
      <c r="F3199" s="54"/>
      <c r="G3199" s="54"/>
      <c r="H3199" s="54"/>
      <c r="I3199" s="53"/>
      <c r="J3199" s="53"/>
      <c r="K3199" s="23"/>
      <c r="L3199" s="53"/>
      <c r="M3199" s="54"/>
    </row>
    <row r="3200">
      <c r="A3200" s="23"/>
      <c r="B3200" s="52"/>
      <c r="C3200" s="53"/>
      <c r="D3200" s="23"/>
      <c r="E3200" s="53"/>
      <c r="F3200" s="54"/>
      <c r="G3200" s="23"/>
      <c r="H3200" s="54"/>
      <c r="I3200" s="53"/>
      <c r="J3200" s="53"/>
      <c r="K3200" s="23"/>
      <c r="L3200" s="53"/>
      <c r="M3200" s="54"/>
    </row>
    <row r="3201">
      <c r="A3201" s="23"/>
      <c r="B3201" s="52"/>
      <c r="C3201" s="53"/>
      <c r="D3201" s="23"/>
      <c r="E3201" s="53"/>
      <c r="F3201" s="54"/>
      <c r="G3201" s="54"/>
      <c r="H3201" s="54"/>
      <c r="I3201" s="53"/>
      <c r="J3201" s="53"/>
      <c r="K3201" s="23"/>
      <c r="L3201" s="53"/>
      <c r="M3201" s="54"/>
    </row>
    <row r="3202">
      <c r="A3202" s="23"/>
      <c r="B3202" s="52"/>
      <c r="C3202" s="53"/>
      <c r="D3202" s="23"/>
      <c r="E3202" s="53"/>
      <c r="F3202" s="54"/>
      <c r="G3202" s="54"/>
      <c r="H3202" s="54"/>
      <c r="I3202" s="53"/>
      <c r="J3202" s="53"/>
      <c r="K3202" s="23"/>
      <c r="L3202" s="53"/>
      <c r="M3202" s="54"/>
    </row>
    <row r="3203">
      <c r="A3203" s="23"/>
      <c r="B3203" s="52"/>
      <c r="C3203" s="53"/>
      <c r="D3203" s="23"/>
      <c r="E3203" s="53"/>
      <c r="F3203" s="54"/>
      <c r="G3203" s="54"/>
      <c r="H3203" s="54"/>
      <c r="I3203" s="53"/>
      <c r="J3203" s="53"/>
      <c r="K3203" s="23"/>
      <c r="L3203" s="53"/>
      <c r="M3203" s="54"/>
    </row>
    <row r="3204">
      <c r="A3204" s="23"/>
      <c r="B3204" s="52"/>
      <c r="C3204" s="53"/>
      <c r="D3204" s="23"/>
      <c r="E3204" s="53"/>
      <c r="F3204" s="54"/>
      <c r="G3204" s="23"/>
      <c r="H3204" s="54"/>
      <c r="I3204" s="53"/>
      <c r="J3204" s="53"/>
      <c r="K3204" s="23"/>
      <c r="L3204" s="53"/>
      <c r="M3204" s="54"/>
    </row>
    <row r="3205">
      <c r="A3205" s="23"/>
      <c r="B3205" s="52"/>
      <c r="C3205" s="53"/>
      <c r="D3205" s="23"/>
      <c r="E3205" s="53"/>
      <c r="F3205" s="54"/>
      <c r="G3205" s="23"/>
      <c r="H3205" s="54"/>
      <c r="I3205" s="53"/>
      <c r="J3205" s="23"/>
      <c r="K3205" s="23"/>
      <c r="L3205" s="53"/>
      <c r="M3205" s="54"/>
    </row>
    <row r="3206">
      <c r="A3206" s="23"/>
      <c r="B3206" s="52"/>
      <c r="C3206" s="53"/>
      <c r="D3206" s="23"/>
      <c r="E3206" s="53"/>
      <c r="F3206" s="54"/>
      <c r="G3206" s="54"/>
      <c r="H3206" s="54"/>
      <c r="I3206" s="53"/>
      <c r="J3206" s="53"/>
      <c r="K3206" s="23"/>
      <c r="L3206" s="53"/>
      <c r="M3206" s="54"/>
    </row>
    <row r="3207">
      <c r="A3207" s="23"/>
      <c r="B3207" s="52"/>
      <c r="C3207" s="53"/>
      <c r="D3207" s="23"/>
      <c r="E3207" s="53"/>
      <c r="F3207" s="54"/>
      <c r="G3207" s="54"/>
      <c r="H3207" s="54"/>
      <c r="I3207" s="53"/>
      <c r="J3207" s="53"/>
      <c r="K3207" s="23"/>
      <c r="L3207" s="53"/>
      <c r="M3207" s="54"/>
    </row>
    <row r="3208">
      <c r="A3208" s="23"/>
      <c r="B3208" s="52"/>
      <c r="C3208" s="53"/>
      <c r="D3208" s="23"/>
      <c r="E3208" s="53"/>
      <c r="F3208" s="54"/>
      <c r="G3208" s="23"/>
      <c r="H3208" s="54"/>
      <c r="I3208" s="53"/>
      <c r="J3208" s="23"/>
      <c r="K3208" s="23"/>
      <c r="L3208" s="53"/>
      <c r="M3208" s="54"/>
    </row>
    <row r="3209">
      <c r="A3209" s="23"/>
      <c r="B3209" s="52"/>
      <c r="C3209" s="53"/>
      <c r="D3209" s="23"/>
      <c r="E3209" s="53"/>
      <c r="F3209" s="54"/>
      <c r="G3209" s="54"/>
      <c r="H3209" s="54"/>
      <c r="I3209" s="53"/>
      <c r="J3209" s="53"/>
      <c r="K3209" s="23"/>
      <c r="L3209" s="53"/>
      <c r="M3209" s="54"/>
    </row>
    <row r="3210">
      <c r="A3210" s="23"/>
      <c r="B3210" s="52"/>
      <c r="C3210" s="53"/>
      <c r="D3210" s="23"/>
      <c r="E3210" s="53"/>
      <c r="F3210" s="54"/>
      <c r="G3210" s="54"/>
      <c r="H3210" s="54"/>
      <c r="I3210" s="53"/>
      <c r="J3210" s="53"/>
      <c r="K3210" s="23"/>
      <c r="L3210" s="53"/>
      <c r="M3210" s="54"/>
    </row>
    <row r="3211">
      <c r="A3211" s="23"/>
      <c r="B3211" s="52"/>
      <c r="C3211" s="53"/>
      <c r="D3211" s="23"/>
      <c r="E3211" s="53"/>
      <c r="F3211" s="54"/>
      <c r="G3211" s="54"/>
      <c r="H3211" s="54"/>
      <c r="I3211" s="53"/>
      <c r="J3211" s="53"/>
      <c r="K3211" s="23"/>
      <c r="L3211" s="53"/>
      <c r="M3211" s="54"/>
    </row>
    <row r="3212">
      <c r="A3212" s="23"/>
      <c r="B3212" s="52"/>
      <c r="C3212" s="53"/>
      <c r="D3212" s="23"/>
      <c r="E3212" s="53"/>
      <c r="F3212" s="54"/>
      <c r="G3212" s="23"/>
      <c r="H3212" s="54"/>
      <c r="I3212" s="53"/>
      <c r="J3212" s="23"/>
      <c r="K3212" s="23"/>
      <c r="L3212" s="53"/>
      <c r="M3212" s="54"/>
    </row>
    <row r="3213">
      <c r="A3213" s="23"/>
      <c r="B3213" s="52"/>
      <c r="C3213" s="53"/>
      <c r="D3213" s="23"/>
      <c r="E3213" s="53"/>
      <c r="F3213" s="54"/>
      <c r="G3213" s="23"/>
      <c r="H3213" s="54"/>
      <c r="I3213" s="53"/>
      <c r="J3213" s="53"/>
      <c r="K3213" s="23"/>
      <c r="L3213" s="53"/>
      <c r="M3213" s="54"/>
    </row>
    <row r="3214">
      <c r="A3214" s="23"/>
      <c r="B3214" s="52"/>
      <c r="C3214" s="53"/>
      <c r="D3214" s="23"/>
      <c r="E3214" s="53"/>
      <c r="F3214" s="54"/>
      <c r="G3214" s="23"/>
      <c r="H3214" s="54"/>
      <c r="I3214" s="53"/>
      <c r="J3214" s="23"/>
      <c r="K3214" s="23"/>
      <c r="L3214" s="53"/>
      <c r="M3214" s="54"/>
    </row>
    <row r="3215">
      <c r="A3215" s="23"/>
      <c r="B3215" s="52"/>
      <c r="C3215" s="53"/>
      <c r="D3215" s="23"/>
      <c r="E3215" s="53"/>
      <c r="F3215" s="54"/>
      <c r="G3215" s="54"/>
      <c r="H3215" s="54"/>
      <c r="I3215" s="53"/>
      <c r="J3215" s="53"/>
      <c r="K3215" s="23"/>
      <c r="L3215" s="53"/>
      <c r="M3215" s="54"/>
    </row>
    <row r="3216">
      <c r="A3216" s="23"/>
      <c r="B3216" s="52"/>
      <c r="C3216" s="53"/>
      <c r="D3216" s="23"/>
      <c r="E3216" s="53"/>
      <c r="F3216" s="54"/>
      <c r="G3216" s="23"/>
      <c r="H3216" s="54"/>
      <c r="I3216" s="53"/>
      <c r="J3216" s="53"/>
      <c r="K3216" s="23"/>
      <c r="L3216" s="53"/>
      <c r="M3216" s="54"/>
    </row>
    <row r="3217">
      <c r="A3217" s="23"/>
      <c r="B3217" s="52"/>
      <c r="C3217" s="53"/>
      <c r="D3217" s="23"/>
      <c r="E3217" s="53"/>
      <c r="F3217" s="54"/>
      <c r="G3217" s="54"/>
      <c r="H3217" s="54"/>
      <c r="I3217" s="53"/>
      <c r="J3217" s="53"/>
      <c r="K3217" s="23"/>
      <c r="L3217" s="53"/>
      <c r="M3217" s="54"/>
    </row>
    <row r="3218">
      <c r="A3218" s="23"/>
      <c r="B3218" s="52"/>
      <c r="C3218" s="53"/>
      <c r="D3218" s="23"/>
      <c r="E3218" s="53"/>
      <c r="F3218" s="54"/>
      <c r="G3218" s="54"/>
      <c r="H3218" s="54"/>
      <c r="I3218" s="53"/>
      <c r="J3218" s="53"/>
      <c r="K3218" s="23"/>
      <c r="L3218" s="53"/>
      <c r="M3218" s="54"/>
    </row>
    <row r="3219">
      <c r="A3219" s="23"/>
      <c r="B3219" s="52"/>
      <c r="C3219" s="53"/>
      <c r="D3219" s="23"/>
      <c r="E3219" s="53"/>
      <c r="F3219" s="54"/>
      <c r="G3219" s="54"/>
      <c r="H3219" s="54"/>
      <c r="I3219" s="53"/>
      <c r="J3219" s="53"/>
      <c r="K3219" s="23"/>
      <c r="L3219" s="53"/>
      <c r="M3219" s="54"/>
    </row>
    <row r="3220">
      <c r="A3220" s="23"/>
      <c r="B3220" s="52"/>
      <c r="C3220" s="53"/>
      <c r="D3220" s="23"/>
      <c r="E3220" s="53"/>
      <c r="F3220" s="54"/>
      <c r="G3220" s="54"/>
      <c r="H3220" s="54"/>
      <c r="I3220" s="53"/>
      <c r="J3220" s="53"/>
      <c r="K3220" s="23"/>
      <c r="L3220" s="53"/>
      <c r="M3220" s="54"/>
    </row>
    <row r="3221">
      <c r="A3221" s="23"/>
      <c r="B3221" s="52"/>
      <c r="C3221" s="53"/>
      <c r="D3221" s="23"/>
      <c r="E3221" s="53"/>
      <c r="F3221" s="54"/>
      <c r="G3221" s="23"/>
      <c r="H3221" s="54"/>
      <c r="I3221" s="53"/>
      <c r="J3221" s="53"/>
      <c r="K3221" s="23"/>
      <c r="L3221" s="53"/>
      <c r="M3221" s="54"/>
    </row>
    <row r="3222">
      <c r="A3222" s="23"/>
      <c r="B3222" s="52"/>
      <c r="C3222" s="53"/>
      <c r="D3222" s="23"/>
      <c r="E3222" s="53"/>
      <c r="F3222" s="54"/>
      <c r="G3222" s="23"/>
      <c r="H3222" s="54"/>
      <c r="I3222" s="53"/>
      <c r="J3222" s="23"/>
      <c r="K3222" s="23"/>
      <c r="L3222" s="53"/>
      <c r="M3222" s="54"/>
    </row>
    <row r="3223">
      <c r="A3223" s="23"/>
      <c r="B3223" s="52"/>
      <c r="C3223" s="53"/>
      <c r="D3223" s="23"/>
      <c r="E3223" s="53"/>
      <c r="F3223" s="54"/>
      <c r="G3223" s="54"/>
      <c r="H3223" s="54"/>
      <c r="I3223" s="53"/>
      <c r="J3223" s="53"/>
      <c r="K3223" s="23"/>
      <c r="L3223" s="53"/>
      <c r="M3223" s="54"/>
    </row>
    <row r="3224">
      <c r="A3224" s="23"/>
      <c r="B3224" s="52"/>
      <c r="C3224" s="53"/>
      <c r="D3224" s="23"/>
      <c r="E3224" s="53"/>
      <c r="F3224" s="54"/>
      <c r="G3224" s="54"/>
      <c r="H3224" s="54"/>
      <c r="I3224" s="53"/>
      <c r="J3224" s="53"/>
      <c r="K3224" s="23"/>
      <c r="L3224" s="53"/>
      <c r="M3224" s="54"/>
    </row>
    <row r="3225">
      <c r="A3225" s="23"/>
      <c r="B3225" s="52"/>
      <c r="C3225" s="53"/>
      <c r="D3225" s="23"/>
      <c r="E3225" s="53"/>
      <c r="F3225" s="54"/>
      <c r="G3225" s="23"/>
      <c r="H3225" s="54"/>
      <c r="I3225" s="53"/>
      <c r="J3225" s="53"/>
      <c r="K3225" s="23"/>
      <c r="L3225" s="53"/>
      <c r="M3225" s="54"/>
    </row>
    <row r="3226">
      <c r="A3226" s="23"/>
      <c r="B3226" s="52"/>
      <c r="C3226" s="53"/>
      <c r="D3226" s="23"/>
      <c r="E3226" s="53"/>
      <c r="F3226" s="54"/>
      <c r="G3226" s="54"/>
      <c r="H3226" s="54"/>
      <c r="I3226" s="53"/>
      <c r="J3226" s="53"/>
      <c r="K3226" s="23"/>
      <c r="L3226" s="53"/>
      <c r="M3226" s="54"/>
    </row>
    <row r="3227">
      <c r="A3227" s="23"/>
      <c r="B3227" s="52"/>
      <c r="C3227" s="53"/>
      <c r="D3227" s="23"/>
      <c r="E3227" s="53"/>
      <c r="F3227" s="54"/>
      <c r="G3227" s="23"/>
      <c r="H3227" s="54"/>
      <c r="I3227" s="53"/>
      <c r="J3227" s="53"/>
      <c r="K3227" s="23"/>
      <c r="L3227" s="53"/>
      <c r="M3227" s="54"/>
    </row>
    <row r="3228">
      <c r="A3228" s="23"/>
      <c r="B3228" s="52"/>
      <c r="C3228" s="53"/>
      <c r="D3228" s="23"/>
      <c r="E3228" s="53"/>
      <c r="F3228" s="54"/>
      <c r="G3228" s="23"/>
      <c r="H3228" s="54"/>
      <c r="I3228" s="53"/>
      <c r="J3228" s="53"/>
      <c r="K3228" s="23"/>
      <c r="L3228" s="53"/>
      <c r="M3228" s="54"/>
    </row>
    <row r="3229">
      <c r="A3229" s="23"/>
      <c r="B3229" s="52"/>
      <c r="C3229" s="53"/>
      <c r="D3229" s="23"/>
      <c r="E3229" s="53"/>
      <c r="F3229" s="54"/>
      <c r="G3229" s="54"/>
      <c r="H3229" s="54"/>
      <c r="I3229" s="53"/>
      <c r="J3229" s="53"/>
      <c r="K3229" s="23"/>
      <c r="L3229" s="53"/>
      <c r="M3229" s="54"/>
    </row>
    <row r="3230">
      <c r="A3230" s="23"/>
      <c r="B3230" s="52"/>
      <c r="C3230" s="53"/>
      <c r="D3230" s="23"/>
      <c r="E3230" s="53"/>
      <c r="F3230" s="54"/>
      <c r="G3230" s="54"/>
      <c r="H3230" s="54"/>
      <c r="I3230" s="53"/>
      <c r="J3230" s="53"/>
      <c r="K3230" s="23"/>
      <c r="L3230" s="53"/>
      <c r="M3230" s="54"/>
    </row>
    <row r="3231">
      <c r="A3231" s="23"/>
      <c r="B3231" s="52"/>
      <c r="C3231" s="53"/>
      <c r="D3231" s="23"/>
      <c r="E3231" s="53"/>
      <c r="F3231" s="54"/>
      <c r="G3231" s="54"/>
      <c r="H3231" s="54"/>
      <c r="I3231" s="53"/>
      <c r="J3231" s="53"/>
      <c r="K3231" s="23"/>
      <c r="L3231" s="53"/>
      <c r="M3231" s="54"/>
    </row>
    <row r="3232">
      <c r="A3232" s="23"/>
      <c r="B3232" s="52"/>
      <c r="C3232" s="53"/>
      <c r="D3232" s="23"/>
      <c r="E3232" s="53"/>
      <c r="F3232" s="54"/>
      <c r="G3232" s="23"/>
      <c r="H3232" s="54"/>
      <c r="I3232" s="53"/>
      <c r="J3232" s="53"/>
      <c r="K3232" s="23"/>
      <c r="L3232" s="53"/>
      <c r="M3232" s="54"/>
    </row>
    <row r="3233">
      <c r="A3233" s="23"/>
      <c r="B3233" s="52"/>
      <c r="C3233" s="53"/>
      <c r="D3233" s="23"/>
      <c r="E3233" s="53"/>
      <c r="F3233" s="54"/>
      <c r="G3233" s="54"/>
      <c r="H3233" s="54"/>
      <c r="I3233" s="53"/>
      <c r="J3233" s="53"/>
      <c r="K3233" s="23"/>
      <c r="L3233" s="53"/>
      <c r="M3233" s="54"/>
    </row>
    <row r="3234">
      <c r="A3234" s="23"/>
      <c r="B3234" s="52"/>
      <c r="C3234" s="53"/>
      <c r="D3234" s="23"/>
      <c r="E3234" s="53"/>
      <c r="F3234" s="54"/>
      <c r="G3234" s="23"/>
      <c r="H3234" s="54"/>
      <c r="I3234" s="53"/>
      <c r="J3234" s="23"/>
      <c r="K3234" s="23"/>
      <c r="L3234" s="53"/>
      <c r="M3234" s="54"/>
    </row>
    <row r="3235">
      <c r="A3235" s="23"/>
      <c r="B3235" s="52"/>
      <c r="C3235" s="53"/>
      <c r="D3235" s="23"/>
      <c r="E3235" s="53"/>
      <c r="F3235" s="54"/>
      <c r="G3235" s="54"/>
      <c r="H3235" s="54"/>
      <c r="I3235" s="53"/>
      <c r="J3235" s="53"/>
      <c r="K3235" s="23"/>
      <c r="L3235" s="53"/>
      <c r="M3235" s="54"/>
    </row>
    <row r="3236">
      <c r="A3236" s="23"/>
      <c r="B3236" s="52"/>
      <c r="C3236" s="53"/>
      <c r="D3236" s="23"/>
      <c r="E3236" s="53"/>
      <c r="F3236" s="54"/>
      <c r="G3236" s="23"/>
      <c r="H3236" s="54"/>
      <c r="I3236" s="53"/>
      <c r="J3236" s="53"/>
      <c r="K3236" s="23"/>
      <c r="L3236" s="53"/>
      <c r="M3236" s="54"/>
    </row>
    <row r="3237">
      <c r="A3237" s="23"/>
      <c r="B3237" s="52"/>
      <c r="C3237" s="53"/>
      <c r="D3237" s="23"/>
      <c r="E3237" s="53"/>
      <c r="F3237" s="54"/>
      <c r="G3237" s="23"/>
      <c r="H3237" s="54"/>
      <c r="I3237" s="53"/>
      <c r="J3237" s="53"/>
      <c r="K3237" s="23"/>
      <c r="L3237" s="53"/>
      <c r="M3237" s="54"/>
    </row>
    <row r="3238">
      <c r="A3238" s="23"/>
      <c r="B3238" s="52"/>
      <c r="C3238" s="53"/>
      <c r="D3238" s="23"/>
      <c r="E3238" s="53"/>
      <c r="F3238" s="54"/>
      <c r="G3238" s="54"/>
      <c r="H3238" s="54"/>
      <c r="I3238" s="53"/>
      <c r="J3238" s="53"/>
      <c r="K3238" s="23"/>
      <c r="L3238" s="53"/>
      <c r="M3238" s="54"/>
    </row>
    <row r="3239">
      <c r="A3239" s="23"/>
      <c r="B3239" s="52"/>
      <c r="C3239" s="53"/>
      <c r="D3239" s="23"/>
      <c r="E3239" s="53"/>
      <c r="F3239" s="54"/>
      <c r="G3239" s="54"/>
      <c r="H3239" s="54"/>
      <c r="I3239" s="53"/>
      <c r="J3239" s="53"/>
      <c r="K3239" s="23"/>
      <c r="L3239" s="53"/>
      <c r="M3239" s="54"/>
    </row>
    <row r="3240">
      <c r="A3240" s="23"/>
      <c r="B3240" s="52"/>
      <c r="C3240" s="53"/>
      <c r="D3240" s="23"/>
      <c r="E3240" s="53"/>
      <c r="F3240" s="54"/>
      <c r="G3240" s="23"/>
      <c r="H3240" s="54"/>
      <c r="I3240" s="53"/>
      <c r="J3240" s="53"/>
      <c r="K3240" s="23"/>
      <c r="L3240" s="53"/>
      <c r="M3240" s="54"/>
    </row>
    <row r="3241">
      <c r="A3241" s="23"/>
      <c r="B3241" s="52"/>
      <c r="C3241" s="53"/>
      <c r="D3241" s="23"/>
      <c r="E3241" s="53"/>
      <c r="F3241" s="54"/>
      <c r="G3241" s="23"/>
      <c r="H3241" s="54"/>
      <c r="I3241" s="53"/>
      <c r="J3241" s="53"/>
      <c r="K3241" s="23"/>
      <c r="L3241" s="53"/>
      <c r="M3241" s="54"/>
    </row>
    <row r="3242">
      <c r="A3242" s="23"/>
      <c r="B3242" s="52"/>
      <c r="C3242" s="53"/>
      <c r="D3242" s="23"/>
      <c r="E3242" s="53"/>
      <c r="F3242" s="54"/>
      <c r="G3242" s="54"/>
      <c r="H3242" s="54"/>
      <c r="I3242" s="53"/>
      <c r="J3242" s="53"/>
      <c r="K3242" s="23"/>
      <c r="L3242" s="53"/>
      <c r="M3242" s="54"/>
    </row>
    <row r="3243">
      <c r="A3243" s="23"/>
      <c r="B3243" s="52"/>
      <c r="C3243" s="53"/>
      <c r="D3243" s="23"/>
      <c r="E3243" s="53"/>
      <c r="F3243" s="54"/>
      <c r="G3243" s="54"/>
      <c r="H3243" s="54"/>
      <c r="I3243" s="53"/>
      <c r="J3243" s="53"/>
      <c r="K3243" s="23"/>
      <c r="L3243" s="53"/>
      <c r="M3243" s="54"/>
    </row>
    <row r="3244">
      <c r="A3244" s="23"/>
      <c r="B3244" s="52"/>
      <c r="C3244" s="53"/>
      <c r="D3244" s="23"/>
      <c r="E3244" s="53"/>
      <c r="F3244" s="54"/>
      <c r="G3244" s="23"/>
      <c r="H3244" s="54"/>
      <c r="I3244" s="53"/>
      <c r="J3244" s="53"/>
      <c r="K3244" s="23"/>
      <c r="L3244" s="53"/>
      <c r="M3244" s="54"/>
    </row>
    <row r="3245">
      <c r="A3245" s="23"/>
      <c r="B3245" s="52"/>
      <c r="C3245" s="53"/>
      <c r="D3245" s="23"/>
      <c r="E3245" s="53"/>
      <c r="F3245" s="54"/>
      <c r="G3245" s="54"/>
      <c r="H3245" s="54"/>
      <c r="I3245" s="53"/>
      <c r="J3245" s="53"/>
      <c r="K3245" s="23"/>
      <c r="L3245" s="53"/>
      <c r="M3245" s="54"/>
    </row>
    <row r="3246">
      <c r="A3246" s="23"/>
      <c r="B3246" s="52"/>
      <c r="C3246" s="53"/>
      <c r="D3246" s="23"/>
      <c r="E3246" s="53"/>
      <c r="F3246" s="54"/>
      <c r="G3246" s="54"/>
      <c r="H3246" s="54"/>
      <c r="I3246" s="53"/>
      <c r="J3246" s="53"/>
      <c r="K3246" s="23"/>
      <c r="L3246" s="53"/>
      <c r="M3246" s="54"/>
    </row>
    <row r="3247">
      <c r="A3247" s="23"/>
      <c r="B3247" s="52"/>
      <c r="C3247" s="53"/>
      <c r="D3247" s="23"/>
      <c r="E3247" s="53"/>
      <c r="F3247" s="54"/>
      <c r="G3247" s="54"/>
      <c r="H3247" s="54"/>
      <c r="I3247" s="53"/>
      <c r="J3247" s="53"/>
      <c r="K3247" s="23"/>
      <c r="L3247" s="53"/>
      <c r="M3247" s="54"/>
    </row>
    <row r="3248">
      <c r="A3248" s="23"/>
      <c r="B3248" s="52"/>
      <c r="C3248" s="53"/>
      <c r="D3248" s="23"/>
      <c r="E3248" s="53"/>
      <c r="F3248" s="54"/>
      <c r="G3248" s="54"/>
      <c r="H3248" s="54"/>
      <c r="I3248" s="53"/>
      <c r="J3248" s="53"/>
      <c r="K3248" s="23"/>
      <c r="L3248" s="53"/>
      <c r="M3248" s="54"/>
    </row>
    <row r="3249">
      <c r="A3249" s="23"/>
      <c r="B3249" s="52"/>
      <c r="C3249" s="53"/>
      <c r="D3249" s="23"/>
      <c r="E3249" s="53"/>
      <c r="F3249" s="54"/>
      <c r="G3249" s="23"/>
      <c r="H3249" s="54"/>
      <c r="I3249" s="53"/>
      <c r="J3249" s="23"/>
      <c r="K3249" s="23"/>
      <c r="L3249" s="53"/>
      <c r="M3249" s="54"/>
    </row>
    <row r="3250">
      <c r="A3250" s="23"/>
      <c r="B3250" s="52"/>
      <c r="C3250" s="53"/>
      <c r="D3250" s="23"/>
      <c r="E3250" s="53"/>
      <c r="F3250" s="54"/>
      <c r="G3250" s="23"/>
      <c r="H3250" s="54"/>
      <c r="I3250" s="53"/>
      <c r="J3250" s="53"/>
      <c r="K3250" s="23"/>
      <c r="L3250" s="53"/>
      <c r="M3250" s="54"/>
    </row>
    <row r="3251">
      <c r="A3251" s="23"/>
      <c r="B3251" s="52"/>
      <c r="C3251" s="53"/>
      <c r="D3251" s="23"/>
      <c r="E3251" s="53"/>
      <c r="F3251" s="54"/>
      <c r="G3251" s="54"/>
      <c r="H3251" s="54"/>
      <c r="I3251" s="53"/>
      <c r="J3251" s="53"/>
      <c r="K3251" s="23"/>
      <c r="L3251" s="53"/>
      <c r="M3251" s="54"/>
    </row>
    <row r="3252">
      <c r="A3252" s="23"/>
      <c r="B3252" s="52"/>
      <c r="C3252" s="53"/>
      <c r="D3252" s="23"/>
      <c r="E3252" s="53"/>
      <c r="F3252" s="54"/>
      <c r="G3252" s="23"/>
      <c r="H3252" s="54"/>
      <c r="I3252" s="53"/>
      <c r="J3252" s="53"/>
      <c r="K3252" s="23"/>
      <c r="L3252" s="53"/>
      <c r="M3252" s="54"/>
    </row>
    <row r="3253">
      <c r="A3253" s="23"/>
      <c r="B3253" s="52"/>
      <c r="C3253" s="53"/>
      <c r="D3253" s="23"/>
      <c r="E3253" s="53"/>
      <c r="F3253" s="54"/>
      <c r="G3253" s="54"/>
      <c r="H3253" s="54"/>
      <c r="I3253" s="53"/>
      <c r="J3253" s="53"/>
      <c r="K3253" s="23"/>
      <c r="L3253" s="53"/>
      <c r="M3253" s="54"/>
    </row>
    <row r="3254">
      <c r="A3254" s="23"/>
      <c r="B3254" s="52"/>
      <c r="C3254" s="53"/>
      <c r="D3254" s="23"/>
      <c r="E3254" s="53"/>
      <c r="F3254" s="54"/>
      <c r="G3254" s="23"/>
      <c r="H3254" s="54"/>
      <c r="I3254" s="53"/>
      <c r="J3254" s="23"/>
      <c r="K3254" s="23"/>
      <c r="L3254" s="53"/>
      <c r="M3254" s="54"/>
    </row>
    <row r="3255">
      <c r="A3255" s="23"/>
      <c r="B3255" s="52"/>
      <c r="C3255" s="53"/>
      <c r="D3255" s="23"/>
      <c r="E3255" s="53"/>
      <c r="F3255" s="54"/>
      <c r="G3255" s="23"/>
      <c r="H3255" s="54"/>
      <c r="I3255" s="53"/>
      <c r="J3255" s="23"/>
      <c r="K3255" s="23"/>
      <c r="L3255" s="53"/>
      <c r="M3255" s="54"/>
    </row>
    <row r="3256">
      <c r="A3256" s="23"/>
      <c r="B3256" s="52"/>
      <c r="C3256" s="53"/>
      <c r="D3256" s="23"/>
      <c r="E3256" s="53"/>
      <c r="F3256" s="54"/>
      <c r="G3256" s="54"/>
      <c r="H3256" s="54"/>
      <c r="I3256" s="53"/>
      <c r="J3256" s="53"/>
      <c r="K3256" s="23"/>
      <c r="L3256" s="53"/>
      <c r="M3256" s="54"/>
    </row>
    <row r="3257">
      <c r="A3257" s="23"/>
      <c r="B3257" s="52"/>
      <c r="C3257" s="53"/>
      <c r="D3257" s="23"/>
      <c r="E3257" s="53"/>
      <c r="F3257" s="54"/>
      <c r="G3257" s="54"/>
      <c r="H3257" s="54"/>
      <c r="I3257" s="53"/>
      <c r="J3257" s="53"/>
      <c r="K3257" s="23"/>
      <c r="L3257" s="53"/>
      <c r="M3257" s="54"/>
    </row>
    <row r="3258">
      <c r="A3258" s="23"/>
      <c r="B3258" s="52"/>
      <c r="C3258" s="53"/>
      <c r="D3258" s="23"/>
      <c r="E3258" s="53"/>
      <c r="F3258" s="54"/>
      <c r="G3258" s="54"/>
      <c r="H3258" s="54"/>
      <c r="I3258" s="53"/>
      <c r="J3258" s="53"/>
      <c r="K3258" s="23"/>
      <c r="L3258" s="53"/>
      <c r="M3258" s="54"/>
    </row>
    <row r="3259">
      <c r="A3259" s="23"/>
      <c r="B3259" s="52"/>
      <c r="C3259" s="53"/>
      <c r="D3259" s="23"/>
      <c r="E3259" s="53"/>
      <c r="F3259" s="54"/>
      <c r="G3259" s="54"/>
      <c r="H3259" s="54"/>
      <c r="I3259" s="53"/>
      <c r="J3259" s="53"/>
      <c r="K3259" s="23"/>
      <c r="L3259" s="53"/>
      <c r="M3259" s="54"/>
    </row>
    <row r="3260">
      <c r="A3260" s="23"/>
      <c r="B3260" s="52"/>
      <c r="C3260" s="53"/>
      <c r="D3260" s="23"/>
      <c r="E3260" s="53"/>
      <c r="F3260" s="54"/>
      <c r="G3260" s="23"/>
      <c r="H3260" s="54"/>
      <c r="I3260" s="53"/>
      <c r="J3260" s="53"/>
      <c r="K3260" s="23"/>
      <c r="L3260" s="53"/>
      <c r="M3260" s="54"/>
    </row>
    <row r="3261">
      <c r="A3261" s="23"/>
      <c r="B3261" s="52"/>
      <c r="C3261" s="53"/>
      <c r="D3261" s="23"/>
      <c r="E3261" s="53"/>
      <c r="F3261" s="54"/>
      <c r="G3261" s="54"/>
      <c r="H3261" s="54"/>
      <c r="I3261" s="53"/>
      <c r="J3261" s="53"/>
      <c r="K3261" s="23"/>
      <c r="L3261" s="53"/>
      <c r="M3261" s="54"/>
    </row>
    <row r="3262">
      <c r="A3262" s="23"/>
      <c r="B3262" s="52"/>
      <c r="C3262" s="53"/>
      <c r="D3262" s="23"/>
      <c r="E3262" s="53"/>
      <c r="F3262" s="54"/>
      <c r="G3262" s="54"/>
      <c r="H3262" s="54"/>
      <c r="I3262" s="53"/>
      <c r="J3262" s="53"/>
      <c r="K3262" s="23"/>
      <c r="L3262" s="53"/>
      <c r="M3262" s="54"/>
    </row>
    <row r="3263">
      <c r="A3263" s="23"/>
      <c r="B3263" s="52"/>
      <c r="C3263" s="53"/>
      <c r="D3263" s="23"/>
      <c r="E3263" s="53"/>
      <c r="F3263" s="54"/>
      <c r="G3263" s="23"/>
      <c r="H3263" s="54"/>
      <c r="I3263" s="53"/>
      <c r="J3263" s="23"/>
      <c r="K3263" s="23"/>
      <c r="L3263" s="53"/>
      <c r="M3263" s="54"/>
    </row>
    <row r="3264">
      <c r="A3264" s="23"/>
      <c r="B3264" s="52"/>
      <c r="C3264" s="53"/>
      <c r="D3264" s="23"/>
      <c r="E3264" s="53"/>
      <c r="F3264" s="54"/>
      <c r="G3264" s="54"/>
      <c r="H3264" s="54"/>
      <c r="I3264" s="53"/>
      <c r="J3264" s="53"/>
      <c r="K3264" s="23"/>
      <c r="L3264" s="53"/>
      <c r="M3264" s="54"/>
    </row>
    <row r="3265">
      <c r="A3265" s="23"/>
      <c r="B3265" s="52"/>
      <c r="C3265" s="53"/>
      <c r="D3265" s="23"/>
      <c r="E3265" s="53"/>
      <c r="F3265" s="54"/>
      <c r="G3265" s="54"/>
      <c r="H3265" s="54"/>
      <c r="I3265" s="53"/>
      <c r="J3265" s="53"/>
      <c r="K3265" s="23"/>
      <c r="L3265" s="53"/>
      <c r="M3265" s="54"/>
    </row>
    <row r="3266">
      <c r="A3266" s="23"/>
      <c r="B3266" s="52"/>
      <c r="C3266" s="53"/>
      <c r="D3266" s="23"/>
      <c r="E3266" s="53"/>
      <c r="F3266" s="54"/>
      <c r="G3266" s="54"/>
      <c r="H3266" s="54"/>
      <c r="I3266" s="53"/>
      <c r="J3266" s="53"/>
      <c r="K3266" s="23"/>
      <c r="L3266" s="53"/>
      <c r="M3266" s="54"/>
    </row>
    <row r="3267">
      <c r="A3267" s="23"/>
      <c r="B3267" s="52"/>
      <c r="C3267" s="53"/>
      <c r="D3267" s="23"/>
      <c r="E3267" s="53"/>
      <c r="F3267" s="54"/>
      <c r="G3267" s="54"/>
      <c r="H3267" s="54"/>
      <c r="I3267" s="53"/>
      <c r="J3267" s="53"/>
      <c r="K3267" s="23"/>
      <c r="L3267" s="53"/>
      <c r="M3267" s="54"/>
    </row>
    <row r="3268">
      <c r="A3268" s="23"/>
      <c r="B3268" s="52"/>
      <c r="C3268" s="53"/>
      <c r="D3268" s="23"/>
      <c r="E3268" s="53"/>
      <c r="F3268" s="54"/>
      <c r="G3268" s="54"/>
      <c r="H3268" s="54"/>
      <c r="I3268" s="53"/>
      <c r="J3268" s="53"/>
      <c r="K3268" s="23"/>
      <c r="L3268" s="53"/>
      <c r="M3268" s="54"/>
    </row>
    <row r="3269">
      <c r="A3269" s="23"/>
      <c r="B3269" s="52"/>
      <c r="C3269" s="53"/>
      <c r="D3269" s="23"/>
      <c r="E3269" s="53"/>
      <c r="F3269" s="54"/>
      <c r="G3269" s="23"/>
      <c r="H3269" s="54"/>
      <c r="I3269" s="53"/>
      <c r="J3269" s="23"/>
      <c r="K3269" s="23"/>
      <c r="L3269" s="53"/>
      <c r="M3269" s="54"/>
    </row>
    <row r="3270">
      <c r="A3270" s="23"/>
      <c r="B3270" s="52"/>
      <c r="C3270" s="53"/>
      <c r="D3270" s="23"/>
      <c r="E3270" s="53"/>
      <c r="F3270" s="54"/>
      <c r="G3270" s="54"/>
      <c r="H3270" s="54"/>
      <c r="I3270" s="53"/>
      <c r="J3270" s="53"/>
      <c r="K3270" s="23"/>
      <c r="L3270" s="53"/>
      <c r="M3270" s="54"/>
    </row>
    <row r="3271">
      <c r="A3271" s="23"/>
      <c r="B3271" s="52"/>
      <c r="C3271" s="53"/>
      <c r="D3271" s="23"/>
      <c r="E3271" s="53"/>
      <c r="F3271" s="54"/>
      <c r="G3271" s="54"/>
      <c r="H3271" s="54"/>
      <c r="I3271" s="53"/>
      <c r="J3271" s="53"/>
      <c r="K3271" s="23"/>
      <c r="L3271" s="53"/>
      <c r="M3271" s="54"/>
    </row>
    <row r="3272">
      <c r="A3272" s="23"/>
      <c r="B3272" s="52"/>
      <c r="C3272" s="53"/>
      <c r="D3272" s="23"/>
      <c r="E3272" s="53"/>
      <c r="F3272" s="54"/>
      <c r="G3272" s="54"/>
      <c r="H3272" s="54"/>
      <c r="I3272" s="53"/>
      <c r="J3272" s="53"/>
      <c r="K3272" s="23"/>
      <c r="L3272" s="53"/>
      <c r="M3272" s="54"/>
    </row>
    <row r="3273">
      <c r="A3273" s="23"/>
      <c r="B3273" s="52"/>
      <c r="C3273" s="53"/>
      <c r="D3273" s="23"/>
      <c r="E3273" s="53"/>
      <c r="F3273" s="54"/>
      <c r="G3273" s="23"/>
      <c r="H3273" s="54"/>
      <c r="I3273" s="53"/>
      <c r="J3273" s="53"/>
      <c r="K3273" s="23"/>
      <c r="L3273" s="53"/>
      <c r="M3273" s="54"/>
    </row>
    <row r="3274">
      <c r="A3274" s="23"/>
      <c r="B3274" s="52"/>
      <c r="C3274" s="53"/>
      <c r="D3274" s="23"/>
      <c r="E3274" s="53"/>
      <c r="F3274" s="54"/>
      <c r="G3274" s="23"/>
      <c r="H3274" s="54"/>
      <c r="I3274" s="53"/>
      <c r="J3274" s="53"/>
      <c r="K3274" s="23"/>
      <c r="L3274" s="53"/>
      <c r="M3274" s="54"/>
    </row>
    <row r="3275">
      <c r="A3275" s="23"/>
      <c r="B3275" s="52"/>
      <c r="C3275" s="53"/>
      <c r="D3275" s="23"/>
      <c r="E3275" s="53"/>
      <c r="F3275" s="54"/>
      <c r="G3275" s="54"/>
      <c r="H3275" s="54"/>
      <c r="I3275" s="53"/>
      <c r="J3275" s="53"/>
      <c r="K3275" s="23"/>
      <c r="L3275" s="53"/>
      <c r="M3275" s="54"/>
    </row>
    <row r="3276">
      <c r="A3276" s="23"/>
      <c r="B3276" s="52"/>
      <c r="C3276" s="53"/>
      <c r="D3276" s="23"/>
      <c r="E3276" s="53"/>
      <c r="F3276" s="54"/>
      <c r="G3276" s="54"/>
      <c r="H3276" s="54"/>
      <c r="I3276" s="53"/>
      <c r="J3276" s="53"/>
      <c r="K3276" s="23"/>
      <c r="L3276" s="53"/>
      <c r="M3276" s="54"/>
    </row>
    <row r="3277">
      <c r="A3277" s="23"/>
      <c r="B3277" s="52"/>
      <c r="C3277" s="53"/>
      <c r="D3277" s="23"/>
      <c r="E3277" s="53"/>
      <c r="F3277" s="54"/>
      <c r="G3277" s="23"/>
      <c r="H3277" s="54"/>
      <c r="I3277" s="53"/>
      <c r="J3277" s="23"/>
      <c r="K3277" s="23"/>
      <c r="L3277" s="53"/>
      <c r="M3277" s="54"/>
    </row>
    <row r="3278">
      <c r="A3278" s="23"/>
      <c r="B3278" s="52"/>
      <c r="C3278" s="53"/>
      <c r="D3278" s="23"/>
      <c r="E3278" s="53"/>
      <c r="F3278" s="54"/>
      <c r="G3278" s="54"/>
      <c r="H3278" s="54"/>
      <c r="I3278" s="53"/>
      <c r="J3278" s="53"/>
      <c r="K3278" s="23"/>
      <c r="L3278" s="53"/>
      <c r="M3278" s="54"/>
    </row>
    <row r="3279">
      <c r="A3279" s="23"/>
      <c r="B3279" s="52"/>
      <c r="C3279" s="53"/>
      <c r="D3279" s="23"/>
      <c r="E3279" s="53"/>
      <c r="F3279" s="54"/>
      <c r="G3279" s="54"/>
      <c r="H3279" s="54"/>
      <c r="I3279" s="53"/>
      <c r="J3279" s="53"/>
      <c r="K3279" s="23"/>
      <c r="L3279" s="53"/>
      <c r="M3279" s="54"/>
    </row>
    <row r="3280">
      <c r="A3280" s="23"/>
      <c r="B3280" s="52"/>
      <c r="C3280" s="53"/>
      <c r="D3280" s="23"/>
      <c r="E3280" s="53"/>
      <c r="F3280" s="54"/>
      <c r="G3280" s="54"/>
      <c r="H3280" s="54"/>
      <c r="I3280" s="53"/>
      <c r="J3280" s="53"/>
      <c r="K3280" s="23"/>
      <c r="L3280" s="53"/>
      <c r="M3280" s="54"/>
    </row>
    <row r="3281">
      <c r="A3281" s="23"/>
      <c r="B3281" s="52"/>
      <c r="C3281" s="53"/>
      <c r="D3281" s="23"/>
      <c r="E3281" s="53"/>
      <c r="F3281" s="54"/>
      <c r="G3281" s="54"/>
      <c r="H3281" s="54"/>
      <c r="I3281" s="53"/>
      <c r="J3281" s="53"/>
      <c r="K3281" s="23"/>
      <c r="L3281" s="53"/>
      <c r="M3281" s="54"/>
    </row>
    <row r="3282">
      <c r="A3282" s="23"/>
      <c r="B3282" s="52"/>
      <c r="C3282" s="53"/>
      <c r="D3282" s="23"/>
      <c r="E3282" s="53"/>
      <c r="F3282" s="54"/>
      <c r="G3282" s="23"/>
      <c r="H3282" s="54"/>
      <c r="I3282" s="53"/>
      <c r="J3282" s="53"/>
      <c r="K3282" s="23"/>
      <c r="L3282" s="53"/>
      <c r="M3282" s="54"/>
    </row>
    <row r="3283">
      <c r="A3283" s="23"/>
      <c r="B3283" s="52"/>
      <c r="C3283" s="53"/>
      <c r="D3283" s="23"/>
      <c r="E3283" s="53"/>
      <c r="F3283" s="54"/>
      <c r="G3283" s="54"/>
      <c r="H3283" s="54"/>
      <c r="I3283" s="53"/>
      <c r="J3283" s="53"/>
      <c r="K3283" s="23"/>
      <c r="L3283" s="53"/>
      <c r="M3283" s="54"/>
    </row>
    <row r="3284">
      <c r="A3284" s="23"/>
      <c r="B3284" s="52"/>
      <c r="C3284" s="53"/>
      <c r="D3284" s="23"/>
      <c r="E3284" s="53"/>
      <c r="F3284" s="54"/>
      <c r="G3284" s="54"/>
      <c r="H3284" s="54"/>
      <c r="I3284" s="53"/>
      <c r="J3284" s="53"/>
      <c r="K3284" s="23"/>
      <c r="L3284" s="53"/>
      <c r="M3284" s="54"/>
    </row>
    <row r="3285">
      <c r="A3285" s="23"/>
      <c r="B3285" s="52"/>
      <c r="C3285" s="53"/>
      <c r="D3285" s="23"/>
      <c r="E3285" s="53"/>
      <c r="F3285" s="54"/>
      <c r="G3285" s="54"/>
      <c r="H3285" s="54"/>
      <c r="I3285" s="53"/>
      <c r="J3285" s="53"/>
      <c r="K3285" s="23"/>
      <c r="L3285" s="53"/>
      <c r="M3285" s="54"/>
    </row>
    <row r="3286">
      <c r="A3286" s="23"/>
      <c r="B3286" s="52"/>
      <c r="C3286" s="53"/>
      <c r="D3286" s="23"/>
      <c r="E3286" s="53"/>
      <c r="F3286" s="54"/>
      <c r="G3286" s="54"/>
      <c r="H3286" s="54"/>
      <c r="I3286" s="53"/>
      <c r="J3286" s="53"/>
      <c r="K3286" s="23"/>
      <c r="L3286" s="53"/>
      <c r="M3286" s="54"/>
    </row>
    <row r="3287">
      <c r="A3287" s="23"/>
      <c r="B3287" s="52"/>
      <c r="C3287" s="53"/>
      <c r="D3287" s="23"/>
      <c r="E3287" s="53"/>
      <c r="F3287" s="54"/>
      <c r="G3287" s="54"/>
      <c r="H3287" s="54"/>
      <c r="I3287" s="53"/>
      <c r="J3287" s="53"/>
      <c r="K3287" s="23"/>
      <c r="L3287" s="53"/>
      <c r="M3287" s="54"/>
    </row>
    <row r="3288">
      <c r="A3288" s="23"/>
      <c r="B3288" s="52"/>
      <c r="C3288" s="53"/>
      <c r="D3288" s="23"/>
      <c r="E3288" s="53"/>
      <c r="F3288" s="54"/>
      <c r="G3288" s="54"/>
      <c r="H3288" s="54"/>
      <c r="I3288" s="53"/>
      <c r="J3288" s="53"/>
      <c r="K3288" s="23"/>
      <c r="L3288" s="53"/>
      <c r="M3288" s="54"/>
    </row>
    <row r="3289">
      <c r="A3289" s="23"/>
      <c r="B3289" s="52"/>
      <c r="C3289" s="53"/>
      <c r="D3289" s="23"/>
      <c r="E3289" s="53"/>
      <c r="F3289" s="54"/>
      <c r="G3289" s="23"/>
      <c r="H3289" s="54"/>
      <c r="I3289" s="53"/>
      <c r="J3289" s="53"/>
      <c r="K3289" s="23"/>
      <c r="L3289" s="53"/>
      <c r="M3289" s="54"/>
    </row>
    <row r="3290">
      <c r="A3290" s="23"/>
      <c r="B3290" s="52"/>
      <c r="C3290" s="53"/>
      <c r="D3290" s="23"/>
      <c r="E3290" s="53"/>
      <c r="F3290" s="54"/>
      <c r="G3290" s="54"/>
      <c r="H3290" s="54"/>
      <c r="I3290" s="53"/>
      <c r="J3290" s="53"/>
      <c r="K3290" s="23"/>
      <c r="L3290" s="53"/>
      <c r="M3290" s="54"/>
    </row>
    <row r="3291">
      <c r="A3291" s="23"/>
      <c r="B3291" s="52"/>
      <c r="C3291" s="53"/>
      <c r="D3291" s="23"/>
      <c r="E3291" s="53"/>
      <c r="F3291" s="54"/>
      <c r="G3291" s="54"/>
      <c r="H3291" s="54"/>
      <c r="I3291" s="53"/>
      <c r="J3291" s="53"/>
      <c r="K3291" s="23"/>
      <c r="L3291" s="53"/>
      <c r="M3291" s="54"/>
    </row>
    <row r="3292">
      <c r="A3292" s="23"/>
      <c r="B3292" s="52"/>
      <c r="C3292" s="53"/>
      <c r="D3292" s="23"/>
      <c r="E3292" s="53"/>
      <c r="F3292" s="54"/>
      <c r="G3292" s="54"/>
      <c r="H3292" s="54"/>
      <c r="I3292" s="53"/>
      <c r="J3292" s="53"/>
      <c r="K3292" s="23"/>
      <c r="L3292" s="53"/>
      <c r="M3292" s="54"/>
    </row>
    <row r="3293">
      <c r="A3293" s="23"/>
      <c r="B3293" s="52"/>
      <c r="C3293" s="53"/>
      <c r="D3293" s="23"/>
      <c r="E3293" s="53"/>
      <c r="F3293" s="54"/>
      <c r="G3293" s="54"/>
      <c r="H3293" s="54"/>
      <c r="I3293" s="53"/>
      <c r="J3293" s="53"/>
      <c r="K3293" s="23"/>
      <c r="L3293" s="53"/>
      <c r="M3293" s="54"/>
    </row>
    <row r="3294">
      <c r="A3294" s="23"/>
      <c r="B3294" s="52"/>
      <c r="C3294" s="53"/>
      <c r="D3294" s="23"/>
      <c r="E3294" s="53"/>
      <c r="F3294" s="54"/>
      <c r="G3294" s="23"/>
      <c r="H3294" s="54"/>
      <c r="I3294" s="53"/>
      <c r="J3294" s="53"/>
      <c r="K3294" s="23"/>
      <c r="L3294" s="53"/>
      <c r="M3294" s="54"/>
    </row>
    <row r="3295">
      <c r="A3295" s="23"/>
      <c r="B3295" s="52"/>
      <c r="C3295" s="53"/>
      <c r="D3295" s="23"/>
      <c r="E3295" s="53"/>
      <c r="F3295" s="54"/>
      <c r="G3295" s="23"/>
      <c r="H3295" s="54"/>
      <c r="I3295" s="53"/>
      <c r="J3295" s="53"/>
      <c r="K3295" s="23"/>
      <c r="L3295" s="53"/>
      <c r="M3295" s="54"/>
    </row>
    <row r="3296">
      <c r="A3296" s="23"/>
      <c r="B3296" s="52"/>
      <c r="C3296" s="53"/>
      <c r="D3296" s="23"/>
      <c r="E3296" s="53"/>
      <c r="F3296" s="54"/>
      <c r="G3296" s="54"/>
      <c r="H3296" s="54"/>
      <c r="I3296" s="53"/>
      <c r="J3296" s="53"/>
      <c r="K3296" s="23"/>
      <c r="L3296" s="53"/>
      <c r="M3296" s="54"/>
    </row>
    <row r="3297">
      <c r="A3297" s="23"/>
      <c r="B3297" s="52"/>
      <c r="C3297" s="53"/>
      <c r="D3297" s="23"/>
      <c r="E3297" s="53"/>
      <c r="F3297" s="54"/>
      <c r="G3297" s="54"/>
      <c r="H3297" s="54"/>
      <c r="I3297" s="53"/>
      <c r="J3297" s="53"/>
      <c r="K3297" s="23"/>
      <c r="L3297" s="53"/>
      <c r="M3297" s="54"/>
    </row>
    <row r="3298">
      <c r="A3298" s="23"/>
      <c r="B3298" s="52"/>
      <c r="C3298" s="53"/>
      <c r="D3298" s="23"/>
      <c r="E3298" s="53"/>
      <c r="F3298" s="54"/>
      <c r="G3298" s="54"/>
      <c r="H3298" s="54"/>
      <c r="I3298" s="53"/>
      <c r="J3298" s="53"/>
      <c r="K3298" s="23"/>
      <c r="L3298" s="53"/>
      <c r="M3298" s="54"/>
    </row>
    <row r="3299">
      <c r="A3299" s="23"/>
      <c r="B3299" s="52"/>
      <c r="C3299" s="53"/>
      <c r="D3299" s="23"/>
      <c r="E3299" s="53"/>
      <c r="F3299" s="54"/>
      <c r="G3299" s="23"/>
      <c r="H3299" s="54"/>
      <c r="I3299" s="53"/>
      <c r="J3299" s="53"/>
      <c r="K3299" s="23"/>
      <c r="L3299" s="53"/>
      <c r="M3299" s="54"/>
    </row>
    <row r="3300">
      <c r="A3300" s="23"/>
      <c r="B3300" s="52"/>
      <c r="C3300" s="53"/>
      <c r="D3300" s="23"/>
      <c r="E3300" s="53"/>
      <c r="F3300" s="54"/>
      <c r="G3300" s="23"/>
      <c r="H3300" s="54"/>
      <c r="I3300" s="53"/>
      <c r="J3300" s="53"/>
      <c r="K3300" s="23"/>
      <c r="L3300" s="53"/>
      <c r="M3300" s="54"/>
    </row>
    <row r="3301">
      <c r="A3301" s="23"/>
      <c r="B3301" s="52"/>
      <c r="C3301" s="53"/>
      <c r="D3301" s="23"/>
      <c r="E3301" s="53"/>
      <c r="F3301" s="54"/>
      <c r="G3301" s="54"/>
      <c r="H3301" s="54"/>
      <c r="I3301" s="53"/>
      <c r="J3301" s="53"/>
      <c r="K3301" s="23"/>
      <c r="L3301" s="53"/>
      <c r="M3301" s="54"/>
    </row>
    <row r="3302">
      <c r="A3302" s="23"/>
      <c r="B3302" s="52"/>
      <c r="C3302" s="53"/>
      <c r="D3302" s="23"/>
      <c r="E3302" s="53"/>
      <c r="F3302" s="54"/>
      <c r="G3302" s="54"/>
      <c r="H3302" s="54"/>
      <c r="I3302" s="53"/>
      <c r="J3302" s="53"/>
      <c r="K3302" s="23"/>
      <c r="L3302" s="53"/>
      <c r="M3302" s="54"/>
    </row>
    <row r="3303">
      <c r="A3303" s="23"/>
      <c r="B3303" s="52"/>
      <c r="C3303" s="53"/>
      <c r="D3303" s="23"/>
      <c r="E3303" s="53"/>
      <c r="F3303" s="54"/>
      <c r="G3303" s="23"/>
      <c r="H3303" s="54"/>
      <c r="I3303" s="53"/>
      <c r="J3303" s="53"/>
      <c r="K3303" s="23"/>
      <c r="L3303" s="53"/>
      <c r="M3303" s="54"/>
    </row>
    <row r="3304">
      <c r="A3304" s="23"/>
      <c r="B3304" s="52"/>
      <c r="C3304" s="53"/>
      <c r="D3304" s="23"/>
      <c r="E3304" s="53"/>
      <c r="F3304" s="54"/>
      <c r="G3304" s="54"/>
      <c r="H3304" s="54"/>
      <c r="I3304" s="53"/>
      <c r="J3304" s="53"/>
      <c r="K3304" s="23"/>
      <c r="L3304" s="53"/>
      <c r="M3304" s="54"/>
    </row>
    <row r="3305">
      <c r="A3305" s="23"/>
      <c r="B3305" s="52"/>
      <c r="C3305" s="53"/>
      <c r="D3305" s="23"/>
      <c r="E3305" s="53"/>
      <c r="F3305" s="54"/>
      <c r="G3305" s="54"/>
      <c r="H3305" s="54"/>
      <c r="I3305" s="53"/>
      <c r="J3305" s="53"/>
      <c r="K3305" s="23"/>
      <c r="L3305" s="53"/>
      <c r="M3305" s="54"/>
    </row>
    <row r="3306">
      <c r="A3306" s="23"/>
      <c r="B3306" s="52"/>
      <c r="C3306" s="53"/>
      <c r="D3306" s="23"/>
      <c r="E3306" s="53"/>
      <c r="F3306" s="54"/>
      <c r="G3306" s="54"/>
      <c r="H3306" s="54"/>
      <c r="I3306" s="53"/>
      <c r="J3306" s="53"/>
      <c r="K3306" s="23"/>
      <c r="L3306" s="53"/>
      <c r="M3306" s="54"/>
    </row>
    <row r="3307">
      <c r="A3307" s="23"/>
      <c r="B3307" s="52"/>
      <c r="C3307" s="53"/>
      <c r="D3307" s="23"/>
      <c r="E3307" s="53"/>
      <c r="F3307" s="54"/>
      <c r="G3307" s="54"/>
      <c r="H3307" s="54"/>
      <c r="I3307" s="53"/>
      <c r="J3307" s="53"/>
      <c r="K3307" s="23"/>
      <c r="L3307" s="53"/>
      <c r="M3307" s="54"/>
    </row>
    <row r="3308">
      <c r="A3308" s="23"/>
      <c r="B3308" s="52"/>
      <c r="C3308" s="53"/>
      <c r="D3308" s="23"/>
      <c r="E3308" s="53"/>
      <c r="F3308" s="54"/>
      <c r="G3308" s="54"/>
      <c r="H3308" s="54"/>
      <c r="I3308" s="53"/>
      <c r="J3308" s="53"/>
      <c r="K3308" s="23"/>
      <c r="L3308" s="53"/>
      <c r="M3308" s="54"/>
    </row>
    <row r="3309">
      <c r="A3309" s="23"/>
      <c r="B3309" s="52"/>
      <c r="C3309" s="53"/>
      <c r="D3309" s="23"/>
      <c r="E3309" s="53"/>
      <c r="F3309" s="54"/>
      <c r="G3309" s="54"/>
      <c r="H3309" s="54"/>
      <c r="I3309" s="53"/>
      <c r="J3309" s="53"/>
      <c r="K3309" s="23"/>
      <c r="L3309" s="53"/>
      <c r="M3309" s="54"/>
    </row>
    <row r="3310">
      <c r="A3310" s="23"/>
      <c r="B3310" s="52"/>
      <c r="C3310" s="53"/>
      <c r="D3310" s="23"/>
      <c r="E3310" s="53"/>
      <c r="F3310" s="54"/>
      <c r="G3310" s="54"/>
      <c r="H3310" s="54"/>
      <c r="I3310" s="53"/>
      <c r="J3310" s="53"/>
      <c r="K3310" s="23"/>
      <c r="L3310" s="53"/>
      <c r="M3310" s="54"/>
    </row>
    <row r="3311">
      <c r="A3311" s="23"/>
      <c r="B3311" s="52"/>
      <c r="C3311" s="53"/>
      <c r="D3311" s="23"/>
      <c r="E3311" s="53"/>
      <c r="F3311" s="54"/>
      <c r="G3311" s="23"/>
      <c r="H3311" s="54"/>
      <c r="I3311" s="53"/>
      <c r="J3311" s="23"/>
      <c r="K3311" s="23"/>
      <c r="L3311" s="53"/>
      <c r="M3311" s="54"/>
    </row>
    <row r="3312">
      <c r="A3312" s="23"/>
      <c r="B3312" s="52"/>
      <c r="C3312" s="53"/>
      <c r="D3312" s="23"/>
      <c r="E3312" s="53"/>
      <c r="F3312" s="54"/>
      <c r="G3312" s="54"/>
      <c r="H3312" s="54"/>
      <c r="I3312" s="53"/>
      <c r="J3312" s="53"/>
      <c r="K3312" s="23"/>
      <c r="L3312" s="53"/>
      <c r="M3312" s="54"/>
    </row>
    <row r="3313">
      <c r="A3313" s="23"/>
      <c r="B3313" s="52"/>
      <c r="C3313" s="53"/>
      <c r="D3313" s="23"/>
      <c r="E3313" s="53"/>
      <c r="F3313" s="54"/>
      <c r="G3313" s="54"/>
      <c r="H3313" s="54"/>
      <c r="I3313" s="53"/>
      <c r="J3313" s="53"/>
      <c r="K3313" s="23"/>
      <c r="L3313" s="53"/>
      <c r="M3313" s="54"/>
    </row>
    <row r="3314">
      <c r="A3314" s="23"/>
      <c r="B3314" s="52"/>
      <c r="C3314" s="53"/>
      <c r="D3314" s="23"/>
      <c r="E3314" s="53"/>
      <c r="F3314" s="54"/>
      <c r="G3314" s="23"/>
      <c r="H3314" s="54"/>
      <c r="I3314" s="53"/>
      <c r="J3314" s="53"/>
      <c r="K3314" s="23"/>
      <c r="L3314" s="53"/>
      <c r="M3314" s="54"/>
    </row>
    <row r="3315">
      <c r="A3315" s="23"/>
      <c r="B3315" s="52"/>
      <c r="C3315" s="53"/>
      <c r="D3315" s="23"/>
      <c r="E3315" s="53"/>
      <c r="F3315" s="54"/>
      <c r="G3315" s="54"/>
      <c r="H3315" s="54"/>
      <c r="I3315" s="53"/>
      <c r="J3315" s="53"/>
      <c r="K3315" s="23"/>
      <c r="L3315" s="53"/>
      <c r="M3315" s="54"/>
    </row>
    <row r="3316">
      <c r="A3316" s="23"/>
      <c r="B3316" s="52"/>
      <c r="C3316" s="53"/>
      <c r="D3316" s="23"/>
      <c r="E3316" s="53"/>
      <c r="F3316" s="54"/>
      <c r="G3316" s="23"/>
      <c r="H3316" s="54"/>
      <c r="I3316" s="53"/>
      <c r="J3316" s="53"/>
      <c r="K3316" s="23"/>
      <c r="L3316" s="53"/>
      <c r="M3316" s="54"/>
    </row>
    <row r="3317">
      <c r="A3317" s="23"/>
      <c r="B3317" s="52"/>
      <c r="C3317" s="53"/>
      <c r="D3317" s="23"/>
      <c r="E3317" s="53"/>
      <c r="F3317" s="54"/>
      <c r="G3317" s="23"/>
      <c r="H3317" s="54"/>
      <c r="I3317" s="53"/>
      <c r="J3317" s="53"/>
      <c r="K3317" s="23"/>
      <c r="L3317" s="53"/>
      <c r="M3317" s="54"/>
    </row>
    <row r="3318">
      <c r="A3318" s="23"/>
      <c r="B3318" s="52"/>
      <c r="C3318" s="53"/>
      <c r="D3318" s="23"/>
      <c r="E3318" s="53"/>
      <c r="F3318" s="54"/>
      <c r="G3318" s="54"/>
      <c r="H3318" s="54"/>
      <c r="I3318" s="53"/>
      <c r="J3318" s="53"/>
      <c r="K3318" s="23"/>
      <c r="L3318" s="53"/>
      <c r="M3318" s="54"/>
    </row>
    <row r="3319">
      <c r="A3319" s="23"/>
      <c r="B3319" s="52"/>
      <c r="C3319" s="53"/>
      <c r="D3319" s="23"/>
      <c r="E3319" s="53"/>
      <c r="F3319" s="54"/>
      <c r="G3319" s="54"/>
      <c r="H3319" s="54"/>
      <c r="I3319" s="53"/>
      <c r="J3319" s="53"/>
      <c r="K3319" s="23"/>
      <c r="L3319" s="53"/>
      <c r="M3319" s="54"/>
    </row>
    <row r="3320">
      <c r="A3320" s="23"/>
      <c r="B3320" s="52"/>
      <c r="C3320" s="53"/>
      <c r="D3320" s="23"/>
      <c r="E3320" s="53"/>
      <c r="F3320" s="54"/>
      <c r="G3320" s="54"/>
      <c r="H3320" s="54"/>
      <c r="I3320" s="53"/>
      <c r="J3320" s="53"/>
      <c r="K3320" s="23"/>
      <c r="L3320" s="53"/>
      <c r="M3320" s="54"/>
    </row>
    <row r="3321">
      <c r="A3321" s="23"/>
      <c r="B3321" s="52"/>
      <c r="C3321" s="53"/>
      <c r="D3321" s="23"/>
      <c r="E3321" s="53"/>
      <c r="F3321" s="54"/>
      <c r="G3321" s="23"/>
      <c r="H3321" s="54"/>
      <c r="I3321" s="53"/>
      <c r="J3321" s="53"/>
      <c r="K3321" s="23"/>
      <c r="L3321" s="53"/>
      <c r="M3321" s="54"/>
    </row>
    <row r="3322">
      <c r="A3322" s="23"/>
      <c r="B3322" s="52"/>
      <c r="C3322" s="53"/>
      <c r="D3322" s="23"/>
      <c r="E3322" s="53"/>
      <c r="F3322" s="54"/>
      <c r="G3322" s="54"/>
      <c r="H3322" s="54"/>
      <c r="I3322" s="53"/>
      <c r="J3322" s="53"/>
      <c r="K3322" s="23"/>
      <c r="L3322" s="53"/>
      <c r="M3322" s="54"/>
    </row>
    <row r="3323">
      <c r="A3323" s="23"/>
      <c r="B3323" s="52"/>
      <c r="C3323" s="53"/>
      <c r="D3323" s="23"/>
      <c r="E3323" s="53"/>
      <c r="F3323" s="54"/>
      <c r="G3323" s="23"/>
      <c r="H3323" s="54"/>
      <c r="I3323" s="53"/>
      <c r="J3323" s="53"/>
      <c r="K3323" s="23"/>
      <c r="L3323" s="53"/>
      <c r="M3323" s="54"/>
    </row>
    <row r="3324">
      <c r="A3324" s="23"/>
      <c r="B3324" s="52"/>
      <c r="C3324" s="53"/>
      <c r="D3324" s="23"/>
      <c r="E3324" s="53"/>
      <c r="F3324" s="54"/>
      <c r="G3324" s="23"/>
      <c r="H3324" s="54"/>
      <c r="I3324" s="53"/>
      <c r="J3324" s="23"/>
      <c r="K3324" s="23"/>
      <c r="L3324" s="53"/>
      <c r="M3324" s="54"/>
    </row>
    <row r="3325">
      <c r="A3325" s="23"/>
      <c r="B3325" s="52"/>
      <c r="C3325" s="53"/>
      <c r="D3325" s="23"/>
      <c r="E3325" s="53"/>
      <c r="F3325" s="54"/>
      <c r="G3325" s="54"/>
      <c r="H3325" s="54"/>
      <c r="I3325" s="53"/>
      <c r="J3325" s="53"/>
      <c r="K3325" s="23"/>
      <c r="L3325" s="53"/>
      <c r="M3325" s="54"/>
    </row>
    <row r="3326">
      <c r="A3326" s="23"/>
      <c r="B3326" s="52"/>
      <c r="C3326" s="53"/>
      <c r="D3326" s="23"/>
      <c r="E3326" s="53"/>
      <c r="F3326" s="54"/>
      <c r="G3326" s="54"/>
      <c r="H3326" s="54"/>
      <c r="I3326" s="53"/>
      <c r="J3326" s="53"/>
      <c r="K3326" s="23"/>
      <c r="L3326" s="53"/>
      <c r="M3326" s="54"/>
    </row>
    <row r="3327">
      <c r="A3327" s="23"/>
      <c r="B3327" s="52"/>
      <c r="C3327" s="53"/>
      <c r="D3327" s="23"/>
      <c r="E3327" s="53"/>
      <c r="F3327" s="54"/>
      <c r="G3327" s="54"/>
      <c r="H3327" s="54"/>
      <c r="I3327" s="53"/>
      <c r="J3327" s="53"/>
      <c r="K3327" s="23"/>
      <c r="L3327" s="53"/>
      <c r="M3327" s="54"/>
    </row>
    <row r="3328">
      <c r="A3328" s="23"/>
      <c r="B3328" s="52"/>
      <c r="C3328" s="53"/>
      <c r="D3328" s="23"/>
      <c r="E3328" s="53"/>
      <c r="F3328" s="54"/>
      <c r="G3328" s="54"/>
      <c r="H3328" s="54"/>
      <c r="I3328" s="53"/>
      <c r="J3328" s="53"/>
      <c r="K3328" s="23"/>
      <c r="L3328" s="53"/>
      <c r="M3328" s="54"/>
    </row>
    <row r="3329">
      <c r="A3329" s="23"/>
      <c r="B3329" s="52"/>
      <c r="C3329" s="53"/>
      <c r="D3329" s="23"/>
      <c r="E3329" s="53"/>
      <c r="F3329" s="54"/>
      <c r="G3329" s="23"/>
      <c r="H3329" s="54"/>
      <c r="I3329" s="53"/>
      <c r="J3329" s="53"/>
      <c r="K3329" s="23"/>
      <c r="L3329" s="53"/>
      <c r="M3329" s="54"/>
    </row>
    <row r="3330">
      <c r="A3330" s="23"/>
      <c r="B3330" s="52"/>
      <c r="C3330" s="53"/>
      <c r="D3330" s="23"/>
      <c r="E3330" s="53"/>
      <c r="F3330" s="54"/>
      <c r="G3330" s="23"/>
      <c r="H3330" s="54"/>
      <c r="I3330" s="53"/>
      <c r="J3330" s="23"/>
      <c r="K3330" s="23"/>
      <c r="L3330" s="53"/>
      <c r="M3330" s="54"/>
    </row>
    <row r="3331">
      <c r="A3331" s="23"/>
      <c r="B3331" s="52"/>
      <c r="C3331" s="53"/>
      <c r="D3331" s="23"/>
      <c r="E3331" s="53"/>
      <c r="F3331" s="54"/>
      <c r="G3331" s="23"/>
      <c r="H3331" s="54"/>
      <c r="I3331" s="53"/>
      <c r="J3331" s="23"/>
      <c r="K3331" s="53"/>
      <c r="L3331" s="53"/>
      <c r="M3331" s="54"/>
    </row>
    <row r="3332">
      <c r="A3332" s="23"/>
      <c r="B3332" s="52"/>
      <c r="C3332" s="53"/>
      <c r="D3332" s="23"/>
      <c r="E3332" s="53"/>
      <c r="F3332" s="54"/>
      <c r="G3332" s="23"/>
      <c r="H3332" s="54"/>
      <c r="I3332" s="53"/>
      <c r="J3332" s="23"/>
      <c r="K3332" s="23"/>
      <c r="L3332" s="53"/>
      <c r="M3332" s="54"/>
    </row>
    <row r="3333">
      <c r="A3333" s="23"/>
      <c r="B3333" s="52"/>
      <c r="C3333" s="53"/>
      <c r="D3333" s="23"/>
      <c r="E3333" s="53"/>
      <c r="F3333" s="54"/>
      <c r="G3333" s="54"/>
      <c r="H3333" s="54"/>
      <c r="I3333" s="53"/>
      <c r="J3333" s="53"/>
      <c r="K3333" s="23"/>
      <c r="L3333" s="53"/>
      <c r="M3333" s="54"/>
    </row>
    <row r="3334">
      <c r="A3334" s="23"/>
      <c r="B3334" s="52"/>
      <c r="C3334" s="53"/>
      <c r="D3334" s="23"/>
      <c r="E3334" s="53"/>
      <c r="F3334" s="54"/>
      <c r="G3334" s="54"/>
      <c r="H3334" s="54"/>
      <c r="I3334" s="53"/>
      <c r="J3334" s="53"/>
      <c r="K3334" s="23"/>
      <c r="L3334" s="53"/>
      <c r="M3334" s="54"/>
    </row>
    <row r="3335">
      <c r="A3335" s="23"/>
      <c r="B3335" s="52"/>
      <c r="C3335" s="53"/>
      <c r="D3335" s="23"/>
      <c r="E3335" s="53"/>
      <c r="F3335" s="54"/>
      <c r="G3335" s="23"/>
      <c r="H3335" s="54"/>
      <c r="I3335" s="53"/>
      <c r="J3335" s="53"/>
      <c r="K3335" s="23"/>
      <c r="L3335" s="53"/>
      <c r="M3335" s="54"/>
    </row>
    <row r="3336">
      <c r="A3336" s="23"/>
      <c r="B3336" s="52"/>
      <c r="C3336" s="53"/>
      <c r="D3336" s="23"/>
      <c r="E3336" s="53"/>
      <c r="F3336" s="54"/>
      <c r="G3336" s="54"/>
      <c r="H3336" s="54"/>
      <c r="I3336" s="53"/>
      <c r="J3336" s="53"/>
      <c r="K3336" s="23"/>
      <c r="L3336" s="53"/>
      <c r="M3336" s="54"/>
    </row>
    <row r="3337">
      <c r="A3337" s="23"/>
      <c r="B3337" s="52"/>
      <c r="C3337" s="53"/>
      <c r="D3337" s="23"/>
      <c r="E3337" s="53"/>
      <c r="F3337" s="54"/>
      <c r="G3337" s="23"/>
      <c r="H3337" s="54"/>
      <c r="I3337" s="53"/>
      <c r="J3337" s="53"/>
      <c r="K3337" s="23"/>
      <c r="L3337" s="53"/>
      <c r="M3337" s="54"/>
    </row>
    <row r="3338">
      <c r="A3338" s="23"/>
      <c r="B3338" s="52"/>
      <c r="C3338" s="53"/>
      <c r="D3338" s="23"/>
      <c r="E3338" s="53"/>
      <c r="F3338" s="54"/>
      <c r="G3338" s="54"/>
      <c r="H3338" s="54"/>
      <c r="I3338" s="53"/>
      <c r="J3338" s="53"/>
      <c r="K3338" s="23"/>
      <c r="L3338" s="53"/>
      <c r="M3338" s="54"/>
    </row>
    <row r="3339">
      <c r="A3339" s="23"/>
      <c r="B3339" s="52"/>
      <c r="C3339" s="53"/>
      <c r="D3339" s="23"/>
      <c r="E3339" s="53"/>
      <c r="F3339" s="54"/>
      <c r="G3339" s="23"/>
      <c r="H3339" s="54"/>
      <c r="I3339" s="53"/>
      <c r="J3339" s="23"/>
      <c r="K3339" s="23"/>
      <c r="L3339" s="53"/>
      <c r="M3339" s="54"/>
    </row>
    <row r="3340">
      <c r="A3340" s="23"/>
      <c r="B3340" s="52"/>
      <c r="C3340" s="53"/>
      <c r="D3340" s="23"/>
      <c r="E3340" s="53"/>
      <c r="F3340" s="54"/>
      <c r="G3340" s="54"/>
      <c r="H3340" s="54"/>
      <c r="I3340" s="53"/>
      <c r="J3340" s="53"/>
      <c r="K3340" s="23"/>
      <c r="L3340" s="53"/>
      <c r="M3340" s="54"/>
    </row>
    <row r="3341">
      <c r="A3341" s="23"/>
      <c r="B3341" s="52"/>
      <c r="C3341" s="53"/>
      <c r="D3341" s="23"/>
      <c r="E3341" s="53"/>
      <c r="F3341" s="54"/>
      <c r="G3341" s="23"/>
      <c r="H3341" s="54"/>
      <c r="I3341" s="53"/>
      <c r="J3341" s="23"/>
      <c r="K3341" s="23"/>
      <c r="L3341" s="53"/>
      <c r="M3341" s="54"/>
    </row>
    <row r="3342">
      <c r="A3342" s="23"/>
      <c r="B3342" s="52"/>
      <c r="C3342" s="53"/>
      <c r="D3342" s="23"/>
      <c r="E3342" s="53"/>
      <c r="F3342" s="54"/>
      <c r="G3342" s="23"/>
      <c r="H3342" s="54"/>
      <c r="I3342" s="53"/>
      <c r="J3342" s="53"/>
      <c r="K3342" s="23"/>
      <c r="L3342" s="53"/>
      <c r="M3342" s="54"/>
    </row>
    <row r="3343">
      <c r="A3343" s="23"/>
      <c r="B3343" s="52"/>
      <c r="C3343" s="53"/>
      <c r="D3343" s="23"/>
      <c r="E3343" s="53"/>
      <c r="F3343" s="54"/>
      <c r="G3343" s="23"/>
      <c r="H3343" s="54"/>
      <c r="I3343" s="53"/>
      <c r="J3343" s="23"/>
      <c r="K3343" s="23"/>
      <c r="L3343" s="53"/>
      <c r="M3343" s="54"/>
    </row>
    <row r="3344">
      <c r="A3344" s="23"/>
      <c r="B3344" s="52"/>
      <c r="C3344" s="53"/>
      <c r="D3344" s="23"/>
      <c r="E3344" s="53"/>
      <c r="F3344" s="54"/>
      <c r="G3344" s="23"/>
      <c r="H3344" s="54"/>
      <c r="I3344" s="53"/>
      <c r="J3344" s="23"/>
      <c r="K3344" s="23"/>
      <c r="L3344" s="53"/>
      <c r="M3344" s="54"/>
    </row>
    <row r="3345">
      <c r="A3345" s="23"/>
      <c r="B3345" s="52"/>
      <c r="C3345" s="53"/>
      <c r="D3345" s="23"/>
      <c r="E3345" s="53"/>
      <c r="F3345" s="54"/>
      <c r="G3345" s="23"/>
      <c r="H3345" s="54"/>
      <c r="I3345" s="53"/>
      <c r="J3345" s="53"/>
      <c r="K3345" s="23"/>
      <c r="L3345" s="53"/>
      <c r="M3345" s="54"/>
    </row>
    <row r="3346">
      <c r="A3346" s="23"/>
      <c r="B3346" s="52"/>
      <c r="C3346" s="53"/>
      <c r="D3346" s="23"/>
      <c r="E3346" s="53"/>
      <c r="F3346" s="54"/>
      <c r="G3346" s="23"/>
      <c r="H3346" s="54"/>
      <c r="I3346" s="53"/>
      <c r="J3346" s="53"/>
      <c r="K3346" s="23"/>
      <c r="L3346" s="53"/>
      <c r="M3346" s="54"/>
    </row>
    <row r="3347">
      <c r="A3347" s="23"/>
      <c r="B3347" s="52"/>
      <c r="C3347" s="53"/>
      <c r="D3347" s="23"/>
      <c r="E3347" s="53"/>
      <c r="F3347" s="54"/>
      <c r="G3347" s="23"/>
      <c r="H3347" s="54"/>
      <c r="I3347" s="53"/>
      <c r="J3347" s="53"/>
      <c r="K3347" s="23"/>
      <c r="L3347" s="53"/>
      <c r="M3347" s="54"/>
    </row>
    <row r="3348">
      <c r="A3348" s="23"/>
      <c r="B3348" s="52"/>
      <c r="C3348" s="53"/>
      <c r="D3348" s="23"/>
      <c r="E3348" s="53"/>
      <c r="F3348" s="54"/>
      <c r="G3348" s="54"/>
      <c r="H3348" s="54"/>
      <c r="I3348" s="53"/>
      <c r="J3348" s="53"/>
      <c r="K3348" s="23"/>
      <c r="L3348" s="53"/>
      <c r="M3348" s="54"/>
    </row>
    <row r="3349">
      <c r="A3349" s="23"/>
      <c r="B3349" s="52"/>
      <c r="C3349" s="53"/>
      <c r="D3349" s="23"/>
      <c r="E3349" s="53"/>
      <c r="F3349" s="54"/>
      <c r="G3349" s="54"/>
      <c r="H3349" s="54"/>
      <c r="I3349" s="53"/>
      <c r="J3349" s="53"/>
      <c r="K3349" s="23"/>
      <c r="L3349" s="53"/>
      <c r="M3349" s="54"/>
    </row>
    <row r="3350">
      <c r="A3350" s="23"/>
      <c r="B3350" s="52"/>
      <c r="C3350" s="53"/>
      <c r="D3350" s="23"/>
      <c r="E3350" s="53"/>
      <c r="F3350" s="54"/>
      <c r="G3350" s="54"/>
      <c r="H3350" s="54"/>
      <c r="I3350" s="53"/>
      <c r="J3350" s="53"/>
      <c r="K3350" s="23"/>
      <c r="L3350" s="53"/>
      <c r="M3350" s="54"/>
    </row>
    <row r="3351">
      <c r="A3351" s="23"/>
      <c r="B3351" s="52"/>
      <c r="C3351" s="53"/>
      <c r="D3351" s="23"/>
      <c r="E3351" s="53"/>
      <c r="F3351" s="54"/>
      <c r="G3351" s="23"/>
      <c r="H3351" s="54"/>
      <c r="I3351" s="53"/>
      <c r="J3351" s="23"/>
      <c r="K3351" s="23"/>
      <c r="L3351" s="53"/>
      <c r="M3351" s="54"/>
    </row>
    <row r="3352">
      <c r="A3352" s="23"/>
      <c r="B3352" s="52"/>
      <c r="C3352" s="53"/>
      <c r="D3352" s="23"/>
      <c r="E3352" s="53"/>
      <c r="F3352" s="54"/>
      <c r="G3352" s="23"/>
      <c r="H3352" s="54"/>
      <c r="I3352" s="53"/>
      <c r="J3352" s="23"/>
      <c r="K3352" s="23"/>
      <c r="L3352" s="53"/>
      <c r="M3352" s="54"/>
    </row>
    <row r="3353">
      <c r="A3353" s="23"/>
      <c r="B3353" s="52"/>
      <c r="C3353" s="53"/>
      <c r="D3353" s="23"/>
      <c r="E3353" s="53"/>
      <c r="F3353" s="54"/>
      <c r="G3353" s="54"/>
      <c r="H3353" s="54"/>
      <c r="I3353" s="53"/>
      <c r="J3353" s="53"/>
      <c r="K3353" s="23"/>
      <c r="L3353" s="53"/>
      <c r="M3353" s="54"/>
    </row>
    <row r="3354">
      <c r="A3354" s="23"/>
      <c r="B3354" s="52"/>
      <c r="C3354" s="53"/>
      <c r="D3354" s="23"/>
      <c r="E3354" s="53"/>
      <c r="F3354" s="54"/>
      <c r="G3354" s="54"/>
      <c r="H3354" s="54"/>
      <c r="I3354" s="53"/>
      <c r="J3354" s="53"/>
      <c r="K3354" s="23"/>
      <c r="L3354" s="53"/>
      <c r="M3354" s="54"/>
    </row>
    <row r="3355">
      <c r="A3355" s="23"/>
      <c r="B3355" s="52"/>
      <c r="C3355" s="53"/>
      <c r="D3355" s="23"/>
      <c r="E3355" s="53"/>
      <c r="F3355" s="54"/>
      <c r="G3355" s="54"/>
      <c r="H3355" s="54"/>
      <c r="I3355" s="53"/>
      <c r="J3355" s="53"/>
      <c r="K3355" s="23"/>
      <c r="L3355" s="53"/>
      <c r="M3355" s="54"/>
    </row>
    <row r="3356">
      <c r="A3356" s="23"/>
      <c r="B3356" s="52"/>
      <c r="C3356" s="53"/>
      <c r="D3356" s="23"/>
      <c r="E3356" s="53"/>
      <c r="F3356" s="54"/>
      <c r="G3356" s="23"/>
      <c r="H3356" s="54"/>
      <c r="I3356" s="53"/>
      <c r="J3356" s="53"/>
      <c r="K3356" s="23"/>
      <c r="L3356" s="53"/>
      <c r="M3356" s="54"/>
    </row>
    <row r="3357">
      <c r="A3357" s="23"/>
      <c r="B3357" s="52"/>
      <c r="C3357" s="53"/>
      <c r="D3357" s="23"/>
      <c r="E3357" s="53"/>
      <c r="F3357" s="54"/>
      <c r="G3357" s="54"/>
      <c r="H3357" s="54"/>
      <c r="I3357" s="53"/>
      <c r="J3357" s="53"/>
      <c r="K3357" s="23"/>
      <c r="L3357" s="53"/>
      <c r="M3357" s="54"/>
    </row>
    <row r="3358">
      <c r="A3358" s="23"/>
      <c r="B3358" s="52"/>
      <c r="C3358" s="53"/>
      <c r="D3358" s="23"/>
      <c r="E3358" s="53"/>
      <c r="F3358" s="54"/>
      <c r="G3358" s="23"/>
      <c r="H3358" s="54"/>
      <c r="I3358" s="53"/>
      <c r="J3358" s="23"/>
      <c r="K3358" s="23"/>
      <c r="L3358" s="53"/>
      <c r="M3358" s="54"/>
    </row>
    <row r="3359">
      <c r="A3359" s="23"/>
      <c r="B3359" s="52"/>
      <c r="C3359" s="53"/>
      <c r="D3359" s="23"/>
      <c r="E3359" s="53"/>
      <c r="F3359" s="54"/>
      <c r="G3359" s="54"/>
      <c r="H3359" s="54"/>
      <c r="I3359" s="53"/>
      <c r="J3359" s="53"/>
      <c r="K3359" s="23"/>
      <c r="L3359" s="53"/>
      <c r="M3359" s="54"/>
    </row>
    <row r="3360">
      <c r="A3360" s="23"/>
      <c r="B3360" s="52"/>
      <c r="C3360" s="53"/>
      <c r="D3360" s="23"/>
      <c r="E3360" s="53"/>
      <c r="F3360" s="54"/>
      <c r="G3360" s="54"/>
      <c r="H3360" s="54"/>
      <c r="I3360" s="53"/>
      <c r="J3360" s="53"/>
      <c r="K3360" s="23"/>
      <c r="L3360" s="53"/>
      <c r="M3360" s="54"/>
    </row>
    <row r="3361">
      <c r="A3361" s="23"/>
      <c r="B3361" s="52"/>
      <c r="C3361" s="53"/>
      <c r="D3361" s="23"/>
      <c r="E3361" s="53"/>
      <c r="F3361" s="54"/>
      <c r="G3361" s="23"/>
      <c r="H3361" s="54"/>
      <c r="I3361" s="53"/>
      <c r="J3361" s="53"/>
      <c r="K3361" s="23"/>
      <c r="L3361" s="53"/>
      <c r="M3361" s="54"/>
    </row>
    <row r="3362">
      <c r="A3362" s="23"/>
      <c r="B3362" s="52"/>
      <c r="C3362" s="53"/>
      <c r="D3362" s="23"/>
      <c r="E3362" s="53"/>
      <c r="F3362" s="54"/>
      <c r="G3362" s="23"/>
      <c r="H3362" s="54"/>
      <c r="I3362" s="53"/>
      <c r="J3362" s="53"/>
      <c r="K3362" s="23"/>
      <c r="L3362" s="53"/>
      <c r="M3362" s="54"/>
    </row>
    <row r="3363">
      <c r="A3363" s="23"/>
      <c r="B3363" s="52"/>
      <c r="C3363" s="53"/>
      <c r="D3363" s="23"/>
      <c r="E3363" s="53"/>
      <c r="F3363" s="54"/>
      <c r="G3363" s="54"/>
      <c r="H3363" s="54"/>
      <c r="I3363" s="53"/>
      <c r="J3363" s="53"/>
      <c r="K3363" s="23"/>
      <c r="L3363" s="53"/>
      <c r="M3363" s="54"/>
    </row>
    <row r="3364">
      <c r="A3364" s="23"/>
      <c r="B3364" s="52"/>
      <c r="C3364" s="53"/>
      <c r="D3364" s="23"/>
      <c r="E3364" s="53"/>
      <c r="F3364" s="54"/>
      <c r="G3364" s="23"/>
      <c r="H3364" s="54"/>
      <c r="I3364" s="53"/>
      <c r="J3364" s="53"/>
      <c r="K3364" s="23"/>
      <c r="L3364" s="53"/>
      <c r="M3364" s="54"/>
    </row>
    <row r="3365">
      <c r="A3365" s="23"/>
      <c r="B3365" s="52"/>
      <c r="C3365" s="53"/>
      <c r="D3365" s="23"/>
      <c r="E3365" s="53"/>
      <c r="F3365" s="54"/>
      <c r="G3365" s="23"/>
      <c r="H3365" s="54"/>
      <c r="I3365" s="53"/>
      <c r="J3365" s="53"/>
      <c r="K3365" s="23"/>
      <c r="L3365" s="53"/>
      <c r="M3365" s="54"/>
    </row>
    <row r="3366">
      <c r="A3366" s="23"/>
      <c r="B3366" s="52"/>
      <c r="C3366" s="53"/>
      <c r="D3366" s="23"/>
      <c r="E3366" s="53"/>
      <c r="F3366" s="54"/>
      <c r="G3366" s="23"/>
      <c r="H3366" s="54"/>
      <c r="I3366" s="53"/>
      <c r="J3366" s="23"/>
      <c r="K3366" s="23"/>
      <c r="L3366" s="53"/>
      <c r="M3366" s="54"/>
    </row>
    <row r="3367">
      <c r="A3367" s="23"/>
      <c r="B3367" s="52"/>
      <c r="C3367" s="53"/>
      <c r="D3367" s="23"/>
      <c r="E3367" s="53"/>
      <c r="F3367" s="54"/>
      <c r="G3367" s="54"/>
      <c r="H3367" s="54"/>
      <c r="I3367" s="53"/>
      <c r="J3367" s="53"/>
      <c r="K3367" s="23"/>
      <c r="L3367" s="53"/>
      <c r="M3367" s="54"/>
    </row>
    <row r="3368">
      <c r="A3368" s="23"/>
      <c r="B3368" s="52"/>
      <c r="C3368" s="53"/>
      <c r="D3368" s="23"/>
      <c r="E3368" s="53"/>
      <c r="F3368" s="54"/>
      <c r="G3368" s="23"/>
      <c r="H3368" s="54"/>
      <c r="I3368" s="53"/>
      <c r="J3368" s="53"/>
      <c r="K3368" s="23"/>
      <c r="L3368" s="53"/>
      <c r="M3368" s="54"/>
    </row>
    <row r="3369">
      <c r="A3369" s="23"/>
      <c r="B3369" s="52"/>
      <c r="C3369" s="53"/>
      <c r="D3369" s="23"/>
      <c r="E3369" s="53"/>
      <c r="F3369" s="54"/>
      <c r="G3369" s="54"/>
      <c r="H3369" s="54"/>
      <c r="I3369" s="53"/>
      <c r="J3369" s="53"/>
      <c r="K3369" s="23"/>
      <c r="L3369" s="53"/>
      <c r="M3369" s="54"/>
    </row>
    <row r="3370">
      <c r="A3370" s="23"/>
      <c r="B3370" s="52"/>
      <c r="C3370" s="53"/>
      <c r="D3370" s="23"/>
      <c r="E3370" s="53"/>
      <c r="F3370" s="54"/>
      <c r="G3370" s="54"/>
      <c r="H3370" s="54"/>
      <c r="I3370" s="53"/>
      <c r="J3370" s="53"/>
      <c r="K3370" s="23"/>
      <c r="L3370" s="53"/>
      <c r="M3370" s="54"/>
    </row>
    <row r="3371">
      <c r="A3371" s="23"/>
      <c r="B3371" s="52"/>
      <c r="C3371" s="53"/>
      <c r="D3371" s="23"/>
      <c r="E3371" s="53"/>
      <c r="F3371" s="54"/>
      <c r="G3371" s="23"/>
      <c r="H3371" s="54"/>
      <c r="I3371" s="53"/>
      <c r="J3371" s="53"/>
      <c r="K3371" s="23"/>
      <c r="L3371" s="53"/>
      <c r="M3371" s="54"/>
    </row>
    <row r="3372">
      <c r="A3372" s="23"/>
      <c r="B3372" s="52"/>
      <c r="C3372" s="53"/>
      <c r="D3372" s="23"/>
      <c r="E3372" s="53"/>
      <c r="F3372" s="54"/>
      <c r="G3372" s="23"/>
      <c r="H3372" s="54"/>
      <c r="I3372" s="53"/>
      <c r="J3372" s="53"/>
      <c r="K3372" s="23"/>
      <c r="L3372" s="53"/>
      <c r="M3372" s="54"/>
    </row>
    <row r="3373">
      <c r="A3373" s="23"/>
      <c r="B3373" s="52"/>
      <c r="C3373" s="53"/>
      <c r="D3373" s="23"/>
      <c r="E3373" s="53"/>
      <c r="F3373" s="54"/>
      <c r="G3373" s="54"/>
      <c r="H3373" s="54"/>
      <c r="I3373" s="53"/>
      <c r="J3373" s="53"/>
      <c r="K3373" s="23"/>
      <c r="L3373" s="53"/>
      <c r="M3373" s="54"/>
    </row>
    <row r="3374">
      <c r="A3374" s="23"/>
      <c r="B3374" s="52"/>
      <c r="C3374" s="53"/>
      <c r="D3374" s="23"/>
      <c r="E3374" s="53"/>
      <c r="F3374" s="54"/>
      <c r="G3374" s="54"/>
      <c r="H3374" s="54"/>
      <c r="I3374" s="53"/>
      <c r="J3374" s="53"/>
      <c r="K3374" s="23"/>
      <c r="L3374" s="53"/>
      <c r="M3374" s="54"/>
    </row>
    <row r="3375">
      <c r="A3375" s="23"/>
      <c r="B3375" s="52"/>
      <c r="C3375" s="53"/>
      <c r="D3375" s="23"/>
      <c r="E3375" s="53"/>
      <c r="F3375" s="54"/>
      <c r="G3375" s="54"/>
      <c r="H3375" s="54"/>
      <c r="I3375" s="53"/>
      <c r="J3375" s="53"/>
      <c r="K3375" s="23"/>
      <c r="L3375" s="53"/>
      <c r="M3375" s="54"/>
    </row>
    <row r="3376">
      <c r="A3376" s="23"/>
      <c r="B3376" s="52"/>
      <c r="C3376" s="53"/>
      <c r="D3376" s="23"/>
      <c r="E3376" s="53"/>
      <c r="F3376" s="54"/>
      <c r="G3376" s="23"/>
      <c r="H3376" s="54"/>
      <c r="I3376" s="53"/>
      <c r="J3376" s="23"/>
      <c r="K3376" s="23"/>
      <c r="L3376" s="53"/>
      <c r="M3376" s="54"/>
    </row>
    <row r="3377">
      <c r="A3377" s="23"/>
      <c r="B3377" s="52"/>
      <c r="C3377" s="53"/>
      <c r="D3377" s="23"/>
      <c r="E3377" s="53"/>
      <c r="F3377" s="54"/>
      <c r="G3377" s="54"/>
      <c r="H3377" s="54"/>
      <c r="I3377" s="53"/>
      <c r="J3377" s="53"/>
      <c r="K3377" s="23"/>
      <c r="L3377" s="53"/>
      <c r="M3377" s="54"/>
    </row>
    <row r="3378">
      <c r="A3378" s="23"/>
      <c r="B3378" s="52"/>
      <c r="C3378" s="53"/>
      <c r="D3378" s="23"/>
      <c r="E3378" s="53"/>
      <c r="F3378" s="54"/>
      <c r="G3378" s="23"/>
      <c r="H3378" s="54"/>
      <c r="I3378" s="53"/>
      <c r="J3378" s="53"/>
      <c r="K3378" s="23"/>
      <c r="L3378" s="53"/>
      <c r="M3378" s="54"/>
    </row>
    <row r="3379">
      <c r="A3379" s="23"/>
      <c r="B3379" s="52"/>
      <c r="C3379" s="53"/>
      <c r="D3379" s="23"/>
      <c r="E3379" s="53"/>
      <c r="F3379" s="54"/>
      <c r="G3379" s="23"/>
      <c r="H3379" s="54"/>
      <c r="I3379" s="53"/>
      <c r="J3379" s="23"/>
      <c r="K3379" s="53"/>
      <c r="L3379" s="53"/>
      <c r="M3379" s="54"/>
    </row>
    <row r="3380">
      <c r="A3380" s="23"/>
      <c r="B3380" s="52"/>
      <c r="C3380" s="53"/>
      <c r="D3380" s="23"/>
      <c r="E3380" s="53"/>
      <c r="F3380" s="54"/>
      <c r="G3380" s="54"/>
      <c r="H3380" s="54"/>
      <c r="I3380" s="53"/>
      <c r="J3380" s="53"/>
      <c r="K3380" s="23"/>
      <c r="L3380" s="53"/>
      <c r="M3380" s="54"/>
    </row>
    <row r="3381">
      <c r="A3381" s="23"/>
      <c r="B3381" s="52"/>
      <c r="C3381" s="53"/>
      <c r="D3381" s="23"/>
      <c r="E3381" s="53"/>
      <c r="F3381" s="54"/>
      <c r="G3381" s="23"/>
      <c r="H3381" s="54"/>
      <c r="I3381" s="53"/>
      <c r="J3381" s="53"/>
      <c r="K3381" s="23"/>
      <c r="L3381" s="53"/>
      <c r="M3381" s="54"/>
    </row>
    <row r="3382">
      <c r="A3382" s="23"/>
      <c r="B3382" s="52"/>
      <c r="C3382" s="53"/>
      <c r="D3382" s="23"/>
      <c r="E3382" s="53"/>
      <c r="F3382" s="54"/>
      <c r="G3382" s="23"/>
      <c r="H3382" s="54"/>
      <c r="I3382" s="53"/>
      <c r="J3382" s="53"/>
      <c r="K3382" s="23"/>
      <c r="L3382" s="53"/>
      <c r="M3382" s="54"/>
    </row>
    <row r="3383">
      <c r="A3383" s="23"/>
      <c r="B3383" s="52"/>
      <c r="C3383" s="53"/>
      <c r="D3383" s="23"/>
      <c r="E3383" s="53"/>
      <c r="F3383" s="54"/>
      <c r="G3383" s="23"/>
      <c r="H3383" s="54"/>
      <c r="I3383" s="53"/>
      <c r="J3383" s="53"/>
      <c r="K3383" s="23"/>
      <c r="L3383" s="53"/>
      <c r="M3383" s="54"/>
    </row>
    <row r="3384">
      <c r="A3384" s="23"/>
      <c r="B3384" s="52"/>
      <c r="C3384" s="53"/>
      <c r="D3384" s="23"/>
      <c r="E3384" s="53"/>
      <c r="F3384" s="54"/>
      <c r="G3384" s="54"/>
      <c r="H3384" s="54"/>
      <c r="I3384" s="53"/>
      <c r="J3384" s="53"/>
      <c r="K3384" s="23"/>
      <c r="L3384" s="53"/>
      <c r="M3384" s="54"/>
    </row>
    <row r="3385">
      <c r="A3385" s="23"/>
      <c r="B3385" s="52"/>
      <c r="C3385" s="53"/>
      <c r="D3385" s="23"/>
      <c r="E3385" s="53"/>
      <c r="F3385" s="54"/>
      <c r="G3385" s="54"/>
      <c r="H3385" s="54"/>
      <c r="I3385" s="53"/>
      <c r="J3385" s="53"/>
      <c r="K3385" s="23"/>
      <c r="L3385" s="53"/>
      <c r="M3385" s="54"/>
    </row>
    <row r="3386">
      <c r="A3386" s="23"/>
      <c r="B3386" s="52"/>
      <c r="C3386" s="53"/>
      <c r="D3386" s="23"/>
      <c r="E3386" s="53"/>
      <c r="F3386" s="54"/>
      <c r="G3386" s="54"/>
      <c r="H3386" s="54"/>
      <c r="I3386" s="53"/>
      <c r="J3386" s="53"/>
      <c r="K3386" s="23"/>
      <c r="L3386" s="53"/>
      <c r="M3386" s="54"/>
    </row>
    <row r="3387">
      <c r="A3387" s="23"/>
      <c r="B3387" s="52"/>
      <c r="C3387" s="53"/>
      <c r="D3387" s="23"/>
      <c r="E3387" s="53"/>
      <c r="F3387" s="54"/>
      <c r="G3387" s="54"/>
      <c r="H3387" s="54"/>
      <c r="I3387" s="53"/>
      <c r="J3387" s="53"/>
      <c r="K3387" s="23"/>
      <c r="L3387" s="53"/>
      <c r="M3387" s="54"/>
    </row>
    <row r="3388">
      <c r="A3388" s="23"/>
      <c r="B3388" s="52"/>
      <c r="C3388" s="53"/>
      <c r="D3388" s="23"/>
      <c r="E3388" s="53"/>
      <c r="F3388" s="54"/>
      <c r="G3388" s="54"/>
      <c r="H3388" s="54"/>
      <c r="I3388" s="53"/>
      <c r="J3388" s="53"/>
      <c r="K3388" s="23"/>
      <c r="L3388" s="53"/>
      <c r="M3388" s="54"/>
    </row>
    <row r="3389">
      <c r="A3389" s="23"/>
      <c r="B3389" s="52"/>
      <c r="C3389" s="53"/>
      <c r="D3389" s="23"/>
      <c r="E3389" s="53"/>
      <c r="F3389" s="54"/>
      <c r="G3389" s="23"/>
      <c r="H3389" s="54"/>
      <c r="I3389" s="53"/>
      <c r="J3389" s="53"/>
      <c r="K3389" s="23"/>
      <c r="L3389" s="53"/>
      <c r="M3389" s="54"/>
    </row>
    <row r="3390">
      <c r="A3390" s="23"/>
      <c r="B3390" s="52"/>
      <c r="C3390" s="53"/>
      <c r="D3390" s="23"/>
      <c r="E3390" s="53"/>
      <c r="F3390" s="54"/>
      <c r="G3390" s="23"/>
      <c r="H3390" s="54"/>
      <c r="I3390" s="53"/>
      <c r="J3390" s="53"/>
      <c r="K3390" s="23"/>
      <c r="L3390" s="53"/>
      <c r="M3390" s="54"/>
    </row>
    <row r="3391">
      <c r="A3391" s="23"/>
      <c r="B3391" s="52"/>
      <c r="C3391" s="53"/>
      <c r="D3391" s="23"/>
      <c r="E3391" s="53"/>
      <c r="F3391" s="54"/>
      <c r="G3391" s="54"/>
      <c r="H3391" s="54"/>
      <c r="I3391" s="53"/>
      <c r="J3391" s="53"/>
      <c r="K3391" s="23"/>
      <c r="L3391" s="53"/>
      <c r="M3391" s="54"/>
    </row>
    <row r="3392">
      <c r="A3392" s="23"/>
      <c r="B3392" s="52"/>
      <c r="C3392" s="53"/>
      <c r="D3392" s="23"/>
      <c r="E3392" s="53"/>
      <c r="F3392" s="54"/>
      <c r="G3392" s="54"/>
      <c r="H3392" s="54"/>
      <c r="I3392" s="53"/>
      <c r="J3392" s="53"/>
      <c r="K3392" s="23"/>
      <c r="L3392" s="53"/>
      <c r="M3392" s="54"/>
    </row>
    <row r="3393">
      <c r="A3393" s="23"/>
      <c r="B3393" s="52"/>
      <c r="C3393" s="53"/>
      <c r="D3393" s="23"/>
      <c r="E3393" s="53"/>
      <c r="F3393" s="54"/>
      <c r="G3393" s="23"/>
      <c r="H3393" s="54"/>
      <c r="I3393" s="53"/>
      <c r="J3393" s="53"/>
      <c r="K3393" s="23"/>
      <c r="L3393" s="53"/>
      <c r="M3393" s="54"/>
    </row>
    <row r="3394">
      <c r="A3394" s="23"/>
      <c r="B3394" s="52"/>
      <c r="C3394" s="53"/>
      <c r="D3394" s="23"/>
      <c r="E3394" s="53"/>
      <c r="F3394" s="54"/>
      <c r="G3394" s="23"/>
      <c r="H3394" s="54"/>
      <c r="I3394" s="53"/>
      <c r="J3394" s="53"/>
      <c r="K3394" s="23"/>
      <c r="L3394" s="53"/>
      <c r="M3394" s="54"/>
    </row>
    <row r="3395">
      <c r="A3395" s="23"/>
      <c r="B3395" s="52"/>
      <c r="C3395" s="53"/>
      <c r="D3395" s="23"/>
      <c r="E3395" s="53"/>
      <c r="F3395" s="54"/>
      <c r="G3395" s="23"/>
      <c r="H3395" s="54"/>
      <c r="I3395" s="53"/>
      <c r="J3395" s="53"/>
      <c r="K3395" s="23"/>
      <c r="L3395" s="53"/>
      <c r="M3395" s="54"/>
    </row>
    <row r="3396">
      <c r="A3396" s="23"/>
      <c r="B3396" s="52"/>
      <c r="C3396" s="53"/>
      <c r="D3396" s="23"/>
      <c r="E3396" s="53"/>
      <c r="F3396" s="54"/>
      <c r="G3396" s="23"/>
      <c r="H3396" s="54"/>
      <c r="I3396" s="53"/>
      <c r="J3396" s="53"/>
      <c r="K3396" s="23"/>
      <c r="L3396" s="53"/>
      <c r="M3396" s="54"/>
    </row>
    <row r="3397">
      <c r="A3397" s="23"/>
      <c r="B3397" s="52"/>
      <c r="C3397" s="53"/>
      <c r="D3397" s="23"/>
      <c r="E3397" s="53"/>
      <c r="F3397" s="54"/>
      <c r="G3397" s="54"/>
      <c r="H3397" s="54"/>
      <c r="I3397" s="53"/>
      <c r="J3397" s="53"/>
      <c r="K3397" s="23"/>
      <c r="L3397" s="53"/>
      <c r="M3397" s="54"/>
    </row>
    <row r="3398">
      <c r="A3398" s="23"/>
      <c r="B3398" s="52"/>
      <c r="C3398" s="53"/>
      <c r="D3398" s="23"/>
      <c r="E3398" s="53"/>
      <c r="F3398" s="54"/>
      <c r="G3398" s="54"/>
      <c r="H3398" s="54"/>
      <c r="I3398" s="53"/>
      <c r="J3398" s="53"/>
      <c r="K3398" s="23"/>
      <c r="L3398" s="53"/>
      <c r="M3398" s="54"/>
    </row>
    <row r="3399">
      <c r="A3399" s="23"/>
      <c r="B3399" s="52"/>
      <c r="C3399" s="53"/>
      <c r="D3399" s="23"/>
      <c r="E3399" s="53"/>
      <c r="F3399" s="54"/>
      <c r="G3399" s="23"/>
      <c r="H3399" s="54"/>
      <c r="I3399" s="53"/>
      <c r="J3399" s="23"/>
      <c r="K3399" s="23"/>
      <c r="L3399" s="53"/>
      <c r="M3399" s="54"/>
    </row>
    <row r="3400">
      <c r="A3400" s="23"/>
      <c r="B3400" s="52"/>
      <c r="C3400" s="53"/>
      <c r="D3400" s="23"/>
      <c r="E3400" s="53"/>
      <c r="F3400" s="54"/>
      <c r="G3400" s="23"/>
      <c r="H3400" s="54"/>
      <c r="I3400" s="53"/>
      <c r="J3400" s="53"/>
      <c r="K3400" s="23"/>
      <c r="L3400" s="53"/>
      <c r="M3400" s="54"/>
    </row>
    <row r="3401">
      <c r="A3401" s="23"/>
      <c r="B3401" s="52"/>
      <c r="C3401" s="53"/>
      <c r="D3401" s="23"/>
      <c r="E3401" s="53"/>
      <c r="F3401" s="54"/>
      <c r="G3401" s="54"/>
      <c r="H3401" s="54"/>
      <c r="I3401" s="53"/>
      <c r="J3401" s="53"/>
      <c r="K3401" s="23"/>
      <c r="L3401" s="53"/>
      <c r="M3401" s="54"/>
    </row>
    <row r="3402">
      <c r="A3402" s="23"/>
      <c r="B3402" s="52"/>
      <c r="C3402" s="53"/>
      <c r="D3402" s="23"/>
      <c r="E3402" s="53"/>
      <c r="F3402" s="54"/>
      <c r="G3402" s="54"/>
      <c r="H3402" s="54"/>
      <c r="I3402" s="53"/>
      <c r="J3402" s="53"/>
      <c r="K3402" s="23"/>
      <c r="L3402" s="53"/>
      <c r="M3402" s="54"/>
    </row>
    <row r="3403">
      <c r="A3403" s="23"/>
      <c r="B3403" s="52"/>
      <c r="C3403" s="53"/>
      <c r="D3403" s="23"/>
      <c r="E3403" s="53"/>
      <c r="F3403" s="54"/>
      <c r="G3403" s="54"/>
      <c r="H3403" s="54"/>
      <c r="I3403" s="53"/>
      <c r="J3403" s="53"/>
      <c r="K3403" s="23"/>
      <c r="L3403" s="53"/>
      <c r="M3403" s="54"/>
    </row>
    <row r="3404">
      <c r="A3404" s="23"/>
      <c r="B3404" s="52"/>
      <c r="C3404" s="53"/>
      <c r="D3404" s="23"/>
      <c r="E3404" s="53"/>
      <c r="F3404" s="54"/>
      <c r="G3404" s="23"/>
      <c r="H3404" s="54"/>
      <c r="I3404" s="53"/>
      <c r="J3404" s="53"/>
      <c r="K3404" s="23"/>
      <c r="L3404" s="53"/>
      <c r="M3404" s="54"/>
    </row>
    <row r="3405">
      <c r="A3405" s="23"/>
      <c r="B3405" s="52"/>
      <c r="C3405" s="53"/>
      <c r="D3405" s="23"/>
      <c r="E3405" s="53"/>
      <c r="F3405" s="54"/>
      <c r="G3405" s="54"/>
      <c r="H3405" s="54"/>
      <c r="I3405" s="53"/>
      <c r="J3405" s="53"/>
      <c r="K3405" s="23"/>
      <c r="L3405" s="53"/>
      <c r="M3405" s="54"/>
    </row>
    <row r="3406">
      <c r="A3406" s="23"/>
      <c r="B3406" s="52"/>
      <c r="C3406" s="53"/>
      <c r="D3406" s="23"/>
      <c r="E3406" s="53"/>
      <c r="F3406" s="54"/>
      <c r="G3406" s="54"/>
      <c r="H3406" s="54"/>
      <c r="I3406" s="53"/>
      <c r="J3406" s="53"/>
      <c r="K3406" s="23"/>
      <c r="L3406" s="53"/>
      <c r="M3406" s="54"/>
    </row>
    <row r="3407">
      <c r="A3407" s="23"/>
      <c r="B3407" s="52"/>
      <c r="C3407" s="53"/>
      <c r="D3407" s="23"/>
      <c r="E3407" s="53"/>
      <c r="F3407" s="54"/>
      <c r="G3407" s="23"/>
      <c r="H3407" s="54"/>
      <c r="I3407" s="53"/>
      <c r="J3407" s="23"/>
      <c r="K3407" s="23"/>
      <c r="L3407" s="53"/>
      <c r="M3407" s="54"/>
    </row>
    <row r="3408">
      <c r="A3408" s="23"/>
      <c r="B3408" s="52"/>
      <c r="C3408" s="53"/>
      <c r="D3408" s="23"/>
      <c r="E3408" s="53"/>
      <c r="F3408" s="54"/>
      <c r="G3408" s="54"/>
      <c r="H3408" s="54"/>
      <c r="I3408" s="53"/>
      <c r="J3408" s="53"/>
      <c r="K3408" s="23"/>
      <c r="L3408" s="53"/>
      <c r="M3408" s="54"/>
    </row>
    <row r="3409">
      <c r="A3409" s="23"/>
      <c r="B3409" s="52"/>
      <c r="C3409" s="53"/>
      <c r="D3409" s="23"/>
      <c r="E3409" s="53"/>
      <c r="F3409" s="54"/>
      <c r="G3409" s="54"/>
      <c r="H3409" s="54"/>
      <c r="I3409" s="53"/>
      <c r="J3409" s="53"/>
      <c r="K3409" s="23"/>
      <c r="L3409" s="53"/>
      <c r="M3409" s="54"/>
    </row>
    <row r="3410">
      <c r="A3410" s="23"/>
      <c r="B3410" s="52"/>
      <c r="C3410" s="53"/>
      <c r="D3410" s="23"/>
      <c r="E3410" s="53"/>
      <c r="F3410" s="54"/>
      <c r="G3410" s="54"/>
      <c r="H3410" s="54"/>
      <c r="I3410" s="53"/>
      <c r="J3410" s="53"/>
      <c r="K3410" s="23"/>
      <c r="L3410" s="53"/>
      <c r="M3410" s="54"/>
    </row>
    <row r="3411">
      <c r="A3411" s="23"/>
      <c r="B3411" s="52"/>
      <c r="C3411" s="53"/>
      <c r="D3411" s="23"/>
      <c r="E3411" s="53"/>
      <c r="F3411" s="54"/>
      <c r="G3411" s="54"/>
      <c r="H3411" s="54"/>
      <c r="I3411" s="53"/>
      <c r="J3411" s="53"/>
      <c r="K3411" s="23"/>
      <c r="L3411" s="53"/>
      <c r="M3411" s="54"/>
    </row>
    <row r="3412">
      <c r="A3412" s="23"/>
      <c r="B3412" s="52"/>
      <c r="C3412" s="53"/>
      <c r="D3412" s="23"/>
      <c r="E3412" s="53"/>
      <c r="F3412" s="54"/>
      <c r="G3412" s="23"/>
      <c r="H3412" s="54"/>
      <c r="I3412" s="53"/>
      <c r="J3412" s="53"/>
      <c r="K3412" s="23"/>
      <c r="L3412" s="53"/>
      <c r="M3412" s="54"/>
    </row>
    <row r="3413">
      <c r="A3413" s="23"/>
      <c r="B3413" s="52"/>
      <c r="C3413" s="53"/>
      <c r="D3413" s="23"/>
      <c r="E3413" s="53"/>
      <c r="F3413" s="54"/>
      <c r="G3413" s="23"/>
      <c r="H3413" s="54"/>
      <c r="I3413" s="53"/>
      <c r="J3413" s="53"/>
      <c r="K3413" s="23"/>
      <c r="L3413" s="53"/>
      <c r="M3413" s="54"/>
    </row>
    <row r="3414">
      <c r="A3414" s="23"/>
      <c r="B3414" s="52"/>
      <c r="C3414" s="53"/>
      <c r="D3414" s="23"/>
      <c r="E3414" s="53"/>
      <c r="F3414" s="54"/>
      <c r="G3414" s="23"/>
      <c r="H3414" s="54"/>
      <c r="I3414" s="53"/>
      <c r="J3414" s="53"/>
      <c r="K3414" s="23"/>
      <c r="L3414" s="53"/>
      <c r="M3414" s="54"/>
    </row>
    <row r="3415">
      <c r="A3415" s="23"/>
      <c r="B3415" s="52"/>
      <c r="C3415" s="53"/>
      <c r="D3415" s="23"/>
      <c r="E3415" s="53"/>
      <c r="F3415" s="54"/>
      <c r="G3415" s="54"/>
      <c r="H3415" s="54"/>
      <c r="I3415" s="53"/>
      <c r="J3415" s="53"/>
      <c r="K3415" s="23"/>
      <c r="L3415" s="53"/>
      <c r="M3415" s="54"/>
    </row>
    <row r="3416">
      <c r="A3416" s="23"/>
      <c r="B3416" s="52"/>
      <c r="C3416" s="53"/>
      <c r="D3416" s="23"/>
      <c r="E3416" s="53"/>
      <c r="F3416" s="54"/>
      <c r="G3416" s="54"/>
      <c r="H3416" s="54"/>
      <c r="I3416" s="53"/>
      <c r="J3416" s="53"/>
      <c r="K3416" s="23"/>
      <c r="L3416" s="53"/>
      <c r="M3416" s="54"/>
    </row>
    <row r="3417">
      <c r="A3417" s="23"/>
      <c r="B3417" s="52"/>
      <c r="C3417" s="53"/>
      <c r="D3417" s="23"/>
      <c r="E3417" s="53"/>
      <c r="F3417" s="54"/>
      <c r="G3417" s="54"/>
      <c r="H3417" s="54"/>
      <c r="I3417" s="53"/>
      <c r="J3417" s="53"/>
      <c r="K3417" s="23"/>
      <c r="L3417" s="53"/>
      <c r="M3417" s="54"/>
    </row>
    <row r="3418">
      <c r="A3418" s="23"/>
      <c r="B3418" s="52"/>
      <c r="C3418" s="53"/>
      <c r="D3418" s="23"/>
      <c r="E3418" s="53"/>
      <c r="F3418" s="54"/>
      <c r="G3418" s="23"/>
      <c r="H3418" s="54"/>
      <c r="I3418" s="53"/>
      <c r="J3418" s="53"/>
      <c r="K3418" s="23"/>
      <c r="L3418" s="53"/>
      <c r="M3418" s="54"/>
    </row>
    <row r="3419">
      <c r="A3419" s="23"/>
      <c r="B3419" s="52"/>
      <c r="C3419" s="53"/>
      <c r="D3419" s="23"/>
      <c r="E3419" s="53"/>
      <c r="F3419" s="54"/>
      <c r="G3419" s="23"/>
      <c r="H3419" s="54"/>
      <c r="I3419" s="53"/>
      <c r="J3419" s="53"/>
      <c r="K3419" s="23"/>
      <c r="L3419" s="53"/>
      <c r="M3419" s="54"/>
    </row>
    <row r="3420">
      <c r="A3420" s="23"/>
      <c r="B3420" s="52"/>
      <c r="C3420" s="53"/>
      <c r="D3420" s="23"/>
      <c r="E3420" s="53"/>
      <c r="F3420" s="54"/>
      <c r="G3420" s="54"/>
      <c r="H3420" s="54"/>
      <c r="I3420" s="53"/>
      <c r="J3420" s="53"/>
      <c r="K3420" s="23"/>
      <c r="L3420" s="53"/>
      <c r="M3420" s="54"/>
    </row>
    <row r="3421">
      <c r="A3421" s="23"/>
      <c r="B3421" s="52"/>
      <c r="C3421" s="53"/>
      <c r="D3421" s="23"/>
      <c r="E3421" s="53"/>
      <c r="F3421" s="54"/>
      <c r="G3421" s="54"/>
      <c r="H3421" s="54"/>
      <c r="I3421" s="53"/>
      <c r="J3421" s="53"/>
      <c r="K3421" s="23"/>
      <c r="L3421" s="53"/>
      <c r="M3421" s="54"/>
    </row>
    <row r="3422">
      <c r="A3422" s="23"/>
      <c r="B3422" s="52"/>
      <c r="C3422" s="53"/>
      <c r="D3422" s="23"/>
      <c r="E3422" s="53"/>
      <c r="F3422" s="54"/>
      <c r="G3422" s="23"/>
      <c r="H3422" s="54"/>
      <c r="I3422" s="53"/>
      <c r="J3422" s="23"/>
      <c r="K3422" s="23"/>
      <c r="L3422" s="53"/>
      <c r="M3422" s="54"/>
    </row>
    <row r="3423">
      <c r="A3423" s="23"/>
      <c r="B3423" s="52"/>
      <c r="C3423" s="53"/>
      <c r="D3423" s="23"/>
      <c r="E3423" s="53"/>
      <c r="F3423" s="54"/>
      <c r="G3423" s="23"/>
      <c r="H3423" s="54"/>
      <c r="I3423" s="53"/>
      <c r="J3423" s="53"/>
      <c r="K3423" s="23"/>
      <c r="L3423" s="53"/>
      <c r="M3423" s="54"/>
    </row>
    <row r="3424">
      <c r="A3424" s="23"/>
      <c r="B3424" s="52"/>
      <c r="C3424" s="53"/>
      <c r="D3424" s="23"/>
      <c r="E3424" s="53"/>
      <c r="F3424" s="54"/>
      <c r="G3424" s="54"/>
      <c r="H3424" s="54"/>
      <c r="I3424" s="53"/>
      <c r="J3424" s="53"/>
      <c r="K3424" s="23"/>
      <c r="L3424" s="53"/>
      <c r="M3424" s="54"/>
    </row>
    <row r="3425">
      <c r="A3425" s="23"/>
      <c r="B3425" s="52"/>
      <c r="C3425" s="53"/>
      <c r="D3425" s="23"/>
      <c r="E3425" s="53"/>
      <c r="F3425" s="54"/>
      <c r="G3425" s="54"/>
      <c r="H3425" s="54"/>
      <c r="I3425" s="53"/>
      <c r="J3425" s="53"/>
      <c r="K3425" s="23"/>
      <c r="L3425" s="53"/>
      <c r="M3425" s="54"/>
    </row>
    <row r="3426">
      <c r="A3426" s="23"/>
      <c r="B3426" s="52"/>
      <c r="C3426" s="53"/>
      <c r="D3426" s="23"/>
      <c r="E3426" s="53"/>
      <c r="F3426" s="54"/>
      <c r="G3426" s="23"/>
      <c r="H3426" s="54"/>
      <c r="I3426" s="53"/>
      <c r="J3426" s="53"/>
      <c r="K3426" s="23"/>
      <c r="L3426" s="53"/>
      <c r="M3426" s="54"/>
    </row>
    <row r="3427">
      <c r="A3427" s="23"/>
      <c r="B3427" s="52"/>
      <c r="C3427" s="53"/>
      <c r="D3427" s="23"/>
      <c r="E3427" s="53"/>
      <c r="F3427" s="54"/>
      <c r="G3427" s="23"/>
      <c r="H3427" s="54"/>
      <c r="I3427" s="53"/>
      <c r="J3427" s="53"/>
      <c r="K3427" s="23"/>
      <c r="L3427" s="53"/>
      <c r="M3427" s="54"/>
    </row>
    <row r="3428">
      <c r="A3428" s="23"/>
      <c r="B3428" s="52"/>
      <c r="C3428" s="53"/>
      <c r="D3428" s="23"/>
      <c r="E3428" s="53"/>
      <c r="F3428" s="54"/>
      <c r="G3428" s="54"/>
      <c r="H3428" s="54"/>
      <c r="I3428" s="53"/>
      <c r="J3428" s="53"/>
      <c r="K3428" s="23"/>
      <c r="L3428" s="53"/>
      <c r="M3428" s="54"/>
    </row>
    <row r="3429">
      <c r="A3429" s="23"/>
      <c r="B3429" s="52"/>
      <c r="C3429" s="53"/>
      <c r="D3429" s="23"/>
      <c r="E3429" s="53"/>
      <c r="F3429" s="54"/>
      <c r="G3429" s="54"/>
      <c r="H3429" s="54"/>
      <c r="I3429" s="53"/>
      <c r="J3429" s="53"/>
      <c r="K3429" s="23"/>
      <c r="L3429" s="53"/>
      <c r="M3429" s="54"/>
    </row>
    <row r="3430">
      <c r="A3430" s="23"/>
      <c r="B3430" s="52"/>
      <c r="C3430" s="53"/>
      <c r="D3430" s="23"/>
      <c r="E3430" s="53"/>
      <c r="F3430" s="54"/>
      <c r="G3430" s="23"/>
      <c r="H3430" s="54"/>
      <c r="I3430" s="53"/>
      <c r="J3430" s="53"/>
      <c r="K3430" s="23"/>
      <c r="L3430" s="53"/>
      <c r="M3430" s="54"/>
    </row>
    <row r="3431">
      <c r="A3431" s="23"/>
      <c r="B3431" s="52"/>
      <c r="C3431" s="53"/>
      <c r="D3431" s="23"/>
      <c r="E3431" s="53"/>
      <c r="F3431" s="54"/>
      <c r="G3431" s="54"/>
      <c r="H3431" s="54"/>
      <c r="I3431" s="53"/>
      <c r="J3431" s="53"/>
      <c r="K3431" s="23"/>
      <c r="L3431" s="53"/>
      <c r="M3431" s="54"/>
    </row>
    <row r="3432">
      <c r="A3432" s="23"/>
      <c r="B3432" s="52"/>
      <c r="C3432" s="53"/>
      <c r="D3432" s="23"/>
      <c r="E3432" s="53"/>
      <c r="F3432" s="54"/>
      <c r="G3432" s="23"/>
      <c r="H3432" s="54"/>
      <c r="I3432" s="53"/>
      <c r="J3432" s="53"/>
      <c r="K3432" s="23"/>
      <c r="L3432" s="53"/>
      <c r="M3432" s="54"/>
    </row>
    <row r="3433">
      <c r="A3433" s="23"/>
      <c r="B3433" s="52"/>
      <c r="C3433" s="53"/>
      <c r="D3433" s="23"/>
      <c r="E3433" s="53"/>
      <c r="F3433" s="54"/>
      <c r="G3433" s="54"/>
      <c r="H3433" s="54"/>
      <c r="I3433" s="53"/>
      <c r="J3433" s="53"/>
      <c r="K3433" s="23"/>
      <c r="L3433" s="53"/>
      <c r="M3433" s="54"/>
    </row>
    <row r="3434">
      <c r="A3434" s="23"/>
      <c r="B3434" s="52"/>
      <c r="C3434" s="53"/>
      <c r="D3434" s="23"/>
      <c r="E3434" s="53"/>
      <c r="F3434" s="54"/>
      <c r="G3434" s="23"/>
      <c r="H3434" s="54"/>
      <c r="I3434" s="53"/>
      <c r="J3434" s="53"/>
      <c r="K3434" s="23"/>
      <c r="L3434" s="53"/>
      <c r="M3434" s="54"/>
    </row>
    <row r="3435">
      <c r="A3435" s="23"/>
      <c r="B3435" s="52"/>
      <c r="C3435" s="53"/>
      <c r="D3435" s="23"/>
      <c r="E3435" s="53"/>
      <c r="F3435" s="54"/>
      <c r="G3435" s="23"/>
      <c r="H3435" s="54"/>
      <c r="I3435" s="53"/>
      <c r="J3435" s="53"/>
      <c r="K3435" s="23"/>
      <c r="L3435" s="53"/>
      <c r="M3435" s="54"/>
    </row>
    <row r="3436">
      <c r="A3436" s="23"/>
      <c r="B3436" s="52"/>
      <c r="C3436" s="53"/>
      <c r="D3436" s="23"/>
      <c r="E3436" s="53"/>
      <c r="F3436" s="54"/>
      <c r="G3436" s="23"/>
      <c r="H3436" s="54"/>
      <c r="I3436" s="53"/>
      <c r="J3436" s="53"/>
      <c r="K3436" s="23"/>
      <c r="L3436" s="53"/>
      <c r="M3436" s="54"/>
    </row>
    <row r="3437">
      <c r="A3437" s="23"/>
      <c r="B3437" s="52"/>
      <c r="C3437" s="53"/>
      <c r="D3437" s="23"/>
      <c r="E3437" s="53"/>
      <c r="F3437" s="54"/>
      <c r="G3437" s="23"/>
      <c r="H3437" s="54"/>
      <c r="I3437" s="53"/>
      <c r="J3437" s="53"/>
      <c r="K3437" s="23"/>
      <c r="L3437" s="53"/>
      <c r="M3437" s="54"/>
    </row>
    <row r="3438">
      <c r="A3438" s="23"/>
      <c r="B3438" s="52"/>
      <c r="C3438" s="53"/>
      <c r="D3438" s="23"/>
      <c r="E3438" s="53"/>
      <c r="F3438" s="54"/>
      <c r="G3438" s="23"/>
      <c r="H3438" s="54"/>
      <c r="I3438" s="53"/>
      <c r="J3438" s="53"/>
      <c r="K3438" s="23"/>
      <c r="L3438" s="53"/>
      <c r="M3438" s="54"/>
    </row>
    <row r="3439">
      <c r="A3439" s="23"/>
      <c r="B3439" s="52"/>
      <c r="C3439" s="53"/>
      <c r="D3439" s="23"/>
      <c r="E3439" s="53"/>
      <c r="F3439" s="54"/>
      <c r="G3439" s="23"/>
      <c r="H3439" s="54"/>
      <c r="I3439" s="53"/>
      <c r="J3439" s="23"/>
      <c r="K3439" s="23"/>
      <c r="L3439" s="53"/>
      <c r="M3439" s="54"/>
    </row>
    <row r="3440">
      <c r="A3440" s="23"/>
      <c r="B3440" s="52"/>
      <c r="C3440" s="53"/>
      <c r="D3440" s="23"/>
      <c r="E3440" s="53"/>
      <c r="F3440" s="54"/>
      <c r="G3440" s="54"/>
      <c r="H3440" s="54"/>
      <c r="I3440" s="53"/>
      <c r="J3440" s="53"/>
      <c r="K3440" s="23"/>
      <c r="L3440" s="53"/>
      <c r="M3440" s="54"/>
    </row>
    <row r="3441">
      <c r="A3441" s="23"/>
      <c r="B3441" s="52"/>
      <c r="C3441" s="53"/>
      <c r="D3441" s="23"/>
      <c r="E3441" s="53"/>
      <c r="F3441" s="54"/>
      <c r="G3441" s="54"/>
      <c r="H3441" s="54"/>
      <c r="I3441" s="53"/>
      <c r="J3441" s="53"/>
      <c r="K3441" s="23"/>
      <c r="L3441" s="53"/>
      <c r="M3441" s="54"/>
    </row>
    <row r="3442">
      <c r="A3442" s="23"/>
      <c r="B3442" s="52"/>
      <c r="C3442" s="53"/>
      <c r="D3442" s="23"/>
      <c r="E3442" s="53"/>
      <c r="F3442" s="54"/>
      <c r="G3442" s="54"/>
      <c r="H3442" s="54"/>
      <c r="I3442" s="53"/>
      <c r="J3442" s="53"/>
      <c r="K3442" s="23"/>
      <c r="L3442" s="53"/>
      <c r="M3442" s="54"/>
    </row>
    <row r="3443">
      <c r="A3443" s="23"/>
      <c r="B3443" s="52"/>
      <c r="C3443" s="53"/>
      <c r="D3443" s="23"/>
      <c r="E3443" s="53"/>
      <c r="F3443" s="54"/>
      <c r="G3443" s="54"/>
      <c r="H3443" s="54"/>
      <c r="I3443" s="53"/>
      <c r="J3443" s="53"/>
      <c r="K3443" s="23"/>
      <c r="L3443" s="53"/>
      <c r="M3443" s="54"/>
    </row>
    <row r="3444">
      <c r="A3444" s="23"/>
      <c r="B3444" s="52"/>
      <c r="C3444" s="53"/>
      <c r="D3444" s="23"/>
      <c r="E3444" s="53"/>
      <c r="F3444" s="54"/>
      <c r="G3444" s="54"/>
      <c r="H3444" s="54"/>
      <c r="I3444" s="53"/>
      <c r="J3444" s="53"/>
      <c r="K3444" s="23"/>
      <c r="L3444" s="53"/>
      <c r="M3444" s="54"/>
    </row>
    <row r="3445">
      <c r="A3445" s="23"/>
      <c r="B3445" s="52"/>
      <c r="C3445" s="53"/>
      <c r="D3445" s="23"/>
      <c r="E3445" s="53"/>
      <c r="F3445" s="54"/>
      <c r="G3445" s="54"/>
      <c r="H3445" s="54"/>
      <c r="I3445" s="53"/>
      <c r="J3445" s="53"/>
      <c r="K3445" s="23"/>
      <c r="L3445" s="53"/>
      <c r="M3445" s="54"/>
    </row>
    <row r="3446">
      <c r="A3446" s="23"/>
      <c r="B3446" s="52"/>
      <c r="C3446" s="53"/>
      <c r="D3446" s="23"/>
      <c r="E3446" s="53"/>
      <c r="F3446" s="54"/>
      <c r="G3446" s="23"/>
      <c r="H3446" s="54"/>
      <c r="I3446" s="53"/>
      <c r="J3446" s="23"/>
      <c r="K3446" s="53"/>
      <c r="L3446" s="53"/>
      <c r="M3446" s="54"/>
    </row>
    <row r="3447">
      <c r="A3447" s="23"/>
      <c r="B3447" s="52"/>
      <c r="C3447" s="53"/>
      <c r="D3447" s="23"/>
      <c r="E3447" s="53"/>
      <c r="F3447" s="54"/>
      <c r="G3447" s="54"/>
      <c r="H3447" s="54"/>
      <c r="I3447" s="53"/>
      <c r="J3447" s="53"/>
      <c r="K3447" s="23"/>
      <c r="L3447" s="53"/>
      <c r="M3447" s="54"/>
    </row>
    <row r="3448">
      <c r="A3448" s="23"/>
      <c r="B3448" s="52"/>
      <c r="C3448" s="53"/>
      <c r="D3448" s="23"/>
      <c r="E3448" s="53"/>
      <c r="F3448" s="54"/>
      <c r="G3448" s="54"/>
      <c r="H3448" s="54"/>
      <c r="I3448" s="53"/>
      <c r="J3448" s="53"/>
      <c r="K3448" s="23"/>
      <c r="L3448" s="53"/>
      <c r="M3448" s="54"/>
    </row>
    <row r="3449">
      <c r="A3449" s="23"/>
      <c r="B3449" s="52"/>
      <c r="C3449" s="53"/>
      <c r="D3449" s="23"/>
      <c r="E3449" s="53"/>
      <c r="F3449" s="54"/>
      <c r="G3449" s="54"/>
      <c r="H3449" s="54"/>
      <c r="I3449" s="53"/>
      <c r="J3449" s="53"/>
      <c r="K3449" s="23"/>
      <c r="L3449" s="53"/>
      <c r="M3449" s="54"/>
    </row>
    <row r="3450">
      <c r="A3450" s="23"/>
      <c r="B3450" s="52"/>
      <c r="C3450" s="53"/>
      <c r="D3450" s="23"/>
      <c r="E3450" s="53"/>
      <c r="F3450" s="54"/>
      <c r="G3450" s="54"/>
      <c r="H3450" s="54"/>
      <c r="I3450" s="53"/>
      <c r="J3450" s="53"/>
      <c r="K3450" s="23"/>
      <c r="L3450" s="53"/>
      <c r="M3450" s="54"/>
    </row>
    <row r="3451">
      <c r="A3451" s="23"/>
      <c r="B3451" s="52"/>
      <c r="C3451" s="53"/>
      <c r="D3451" s="23"/>
      <c r="E3451" s="53"/>
      <c r="F3451" s="54"/>
      <c r="G3451" s="54"/>
      <c r="H3451" s="54"/>
      <c r="I3451" s="53"/>
      <c r="J3451" s="53"/>
      <c r="K3451" s="23"/>
      <c r="L3451" s="53"/>
      <c r="M3451" s="54"/>
    </row>
    <row r="3452">
      <c r="A3452" s="23"/>
      <c r="B3452" s="52"/>
      <c r="C3452" s="53"/>
      <c r="D3452" s="23"/>
      <c r="E3452" s="53"/>
      <c r="F3452" s="54"/>
      <c r="G3452" s="23"/>
      <c r="H3452" s="54"/>
      <c r="I3452" s="53"/>
      <c r="J3452" s="23"/>
      <c r="K3452" s="23"/>
      <c r="L3452" s="53"/>
      <c r="M3452" s="54"/>
    </row>
    <row r="3453">
      <c r="A3453" s="23"/>
      <c r="B3453" s="52"/>
      <c r="C3453" s="53"/>
      <c r="D3453" s="23"/>
      <c r="E3453" s="53"/>
      <c r="F3453" s="54"/>
      <c r="G3453" s="54"/>
      <c r="H3453" s="54"/>
      <c r="I3453" s="53"/>
      <c r="J3453" s="53"/>
      <c r="K3453" s="23"/>
      <c r="L3453" s="53"/>
      <c r="M3453" s="54"/>
    </row>
    <row r="3454">
      <c r="A3454" s="23"/>
      <c r="B3454" s="52"/>
      <c r="C3454" s="53"/>
      <c r="D3454" s="23"/>
      <c r="E3454" s="53"/>
      <c r="F3454" s="54"/>
      <c r="G3454" s="54"/>
      <c r="H3454" s="54"/>
      <c r="I3454" s="53"/>
      <c r="J3454" s="53"/>
      <c r="K3454" s="23"/>
      <c r="L3454" s="53"/>
      <c r="M3454" s="54"/>
    </row>
    <row r="3455">
      <c r="A3455" s="23"/>
      <c r="B3455" s="52"/>
      <c r="C3455" s="53"/>
      <c r="D3455" s="23"/>
      <c r="E3455" s="53"/>
      <c r="F3455" s="54"/>
      <c r="G3455" s="54"/>
      <c r="H3455" s="54"/>
      <c r="I3455" s="53"/>
      <c r="J3455" s="53"/>
      <c r="K3455" s="23"/>
      <c r="L3455" s="53"/>
      <c r="M3455" s="54"/>
    </row>
    <row r="3456">
      <c r="A3456" s="23"/>
      <c r="B3456" s="52"/>
      <c r="C3456" s="53"/>
      <c r="D3456" s="23"/>
      <c r="E3456" s="53"/>
      <c r="F3456" s="54"/>
      <c r="G3456" s="23"/>
      <c r="H3456" s="54"/>
      <c r="I3456" s="53"/>
      <c r="J3456" s="23"/>
      <c r="K3456" s="23"/>
      <c r="L3456" s="53"/>
      <c r="M3456" s="54"/>
    </row>
    <row r="3457">
      <c r="A3457" s="23"/>
      <c r="B3457" s="52"/>
      <c r="C3457" s="53"/>
      <c r="D3457" s="23"/>
      <c r="E3457" s="53"/>
      <c r="F3457" s="54"/>
      <c r="G3457" s="54"/>
      <c r="H3457" s="54"/>
      <c r="I3457" s="53"/>
      <c r="J3457" s="53"/>
      <c r="K3457" s="23"/>
      <c r="L3457" s="53"/>
      <c r="M3457" s="54"/>
    </row>
    <row r="3458">
      <c r="A3458" s="23"/>
      <c r="B3458" s="52"/>
      <c r="C3458" s="53"/>
      <c r="D3458" s="23"/>
      <c r="E3458" s="53"/>
      <c r="F3458" s="54"/>
      <c r="G3458" s="54"/>
      <c r="H3458" s="54"/>
      <c r="I3458" s="53"/>
      <c r="J3458" s="53"/>
      <c r="K3458" s="23"/>
      <c r="L3458" s="53"/>
      <c r="M3458" s="54"/>
    </row>
    <row r="3459">
      <c r="A3459" s="23"/>
      <c r="B3459" s="52"/>
      <c r="C3459" s="53"/>
      <c r="D3459" s="23"/>
      <c r="E3459" s="53"/>
      <c r="F3459" s="54"/>
      <c r="G3459" s="23"/>
      <c r="H3459" s="54"/>
      <c r="I3459" s="53"/>
      <c r="J3459" s="53"/>
      <c r="K3459" s="23"/>
      <c r="L3459" s="53"/>
      <c r="M3459" s="54"/>
    </row>
    <row r="3460">
      <c r="A3460" s="23"/>
      <c r="B3460" s="52"/>
      <c r="C3460" s="53"/>
      <c r="D3460" s="23"/>
      <c r="E3460" s="53"/>
      <c r="F3460" s="54"/>
      <c r="G3460" s="23"/>
      <c r="H3460" s="54"/>
      <c r="I3460" s="53"/>
      <c r="J3460" s="53"/>
      <c r="K3460" s="23"/>
      <c r="L3460" s="53"/>
      <c r="M3460" s="54"/>
    </row>
    <row r="3461">
      <c r="A3461" s="23"/>
      <c r="B3461" s="52"/>
      <c r="C3461" s="53"/>
      <c r="D3461" s="23"/>
      <c r="E3461" s="53"/>
      <c r="F3461" s="54"/>
      <c r="G3461" s="54"/>
      <c r="H3461" s="54"/>
      <c r="I3461" s="53"/>
      <c r="J3461" s="53"/>
      <c r="K3461" s="23"/>
      <c r="L3461" s="53"/>
      <c r="M3461" s="54"/>
    </row>
    <row r="3462">
      <c r="A3462" s="23"/>
      <c r="B3462" s="52"/>
      <c r="C3462" s="53"/>
      <c r="D3462" s="23"/>
      <c r="E3462" s="53"/>
      <c r="F3462" s="54"/>
      <c r="G3462" s="23"/>
      <c r="H3462" s="54"/>
      <c r="I3462" s="53"/>
      <c r="J3462" s="53"/>
      <c r="K3462" s="23"/>
      <c r="L3462" s="53"/>
      <c r="M3462" s="54"/>
    </row>
    <row r="3463">
      <c r="A3463" s="23"/>
      <c r="B3463" s="52"/>
      <c r="C3463" s="53"/>
      <c r="D3463" s="23"/>
      <c r="E3463" s="53"/>
      <c r="F3463" s="54"/>
      <c r="G3463" s="23"/>
      <c r="H3463" s="54"/>
      <c r="I3463" s="53"/>
      <c r="J3463" s="53"/>
      <c r="K3463" s="23"/>
      <c r="L3463" s="53"/>
      <c r="M3463" s="54"/>
    </row>
    <row r="3464">
      <c r="A3464" s="23"/>
      <c r="B3464" s="52"/>
      <c r="C3464" s="53"/>
      <c r="D3464" s="23"/>
      <c r="E3464" s="53"/>
      <c r="F3464" s="54"/>
      <c r="G3464" s="54"/>
      <c r="H3464" s="54"/>
      <c r="I3464" s="53"/>
      <c r="J3464" s="53"/>
      <c r="K3464" s="23"/>
      <c r="L3464" s="53"/>
      <c r="M3464" s="54"/>
    </row>
    <row r="3465">
      <c r="A3465" s="23"/>
      <c r="B3465" s="52"/>
      <c r="C3465" s="53"/>
      <c r="D3465" s="23"/>
      <c r="E3465" s="53"/>
      <c r="F3465" s="54"/>
      <c r="G3465" s="23"/>
      <c r="H3465" s="54"/>
      <c r="I3465" s="53"/>
      <c r="J3465" s="23"/>
      <c r="K3465" s="23"/>
      <c r="L3465" s="53"/>
      <c r="M3465" s="54"/>
    </row>
    <row r="3466">
      <c r="A3466" s="23"/>
      <c r="B3466" s="52"/>
      <c r="C3466" s="53"/>
      <c r="D3466" s="23"/>
      <c r="E3466" s="53"/>
      <c r="F3466" s="54"/>
      <c r="G3466" s="54"/>
      <c r="H3466" s="54"/>
      <c r="I3466" s="53"/>
      <c r="J3466" s="53"/>
      <c r="K3466" s="23"/>
      <c r="L3466" s="53"/>
      <c r="M3466" s="54"/>
    </row>
    <row r="3467">
      <c r="A3467" s="23"/>
      <c r="B3467" s="52"/>
      <c r="C3467" s="53"/>
      <c r="D3467" s="23"/>
      <c r="E3467" s="53"/>
      <c r="F3467" s="54"/>
      <c r="G3467" s="54"/>
      <c r="H3467" s="54"/>
      <c r="I3467" s="53"/>
      <c r="J3467" s="53"/>
      <c r="K3467" s="23"/>
      <c r="L3467" s="53"/>
      <c r="M3467" s="54"/>
    </row>
    <row r="3468">
      <c r="A3468" s="23"/>
      <c r="B3468" s="52"/>
      <c r="C3468" s="53"/>
      <c r="D3468" s="23"/>
      <c r="E3468" s="53"/>
      <c r="F3468" s="54"/>
      <c r="G3468" s="54"/>
      <c r="H3468" s="54"/>
      <c r="I3468" s="53"/>
      <c r="J3468" s="53"/>
      <c r="K3468" s="23"/>
      <c r="L3468" s="53"/>
      <c r="M3468" s="54"/>
    </row>
    <row r="3469">
      <c r="A3469" s="23"/>
      <c r="B3469" s="52"/>
      <c r="C3469" s="53"/>
      <c r="D3469" s="23"/>
      <c r="E3469" s="53"/>
      <c r="F3469" s="54"/>
      <c r="G3469" s="23"/>
      <c r="H3469" s="54"/>
      <c r="I3469" s="53"/>
      <c r="J3469" s="23"/>
      <c r="K3469" s="23"/>
      <c r="L3469" s="53"/>
      <c r="M3469" s="54"/>
    </row>
    <row r="3470">
      <c r="A3470" s="23"/>
      <c r="B3470" s="52"/>
      <c r="C3470" s="53"/>
      <c r="D3470" s="23"/>
      <c r="E3470" s="53"/>
      <c r="F3470" s="54"/>
      <c r="G3470" s="23"/>
      <c r="H3470" s="54"/>
      <c r="I3470" s="53"/>
      <c r="J3470" s="53"/>
      <c r="K3470" s="23"/>
      <c r="L3470" s="53"/>
      <c r="M3470" s="54"/>
    </row>
    <row r="3471">
      <c r="A3471" s="23"/>
      <c r="B3471" s="52"/>
      <c r="C3471" s="53"/>
      <c r="D3471" s="23"/>
      <c r="E3471" s="53"/>
      <c r="F3471" s="54"/>
      <c r="G3471" s="54"/>
      <c r="H3471" s="54"/>
      <c r="I3471" s="53"/>
      <c r="J3471" s="53"/>
      <c r="K3471" s="23"/>
      <c r="L3471" s="53"/>
      <c r="M3471" s="54"/>
    </row>
    <row r="3472">
      <c r="A3472" s="23"/>
      <c r="B3472" s="52"/>
      <c r="C3472" s="53"/>
      <c r="D3472" s="23"/>
      <c r="E3472" s="53"/>
      <c r="F3472" s="54"/>
      <c r="G3472" s="54"/>
      <c r="H3472" s="54"/>
      <c r="I3472" s="53"/>
      <c r="J3472" s="53"/>
      <c r="K3472" s="23"/>
      <c r="L3472" s="53"/>
      <c r="M3472" s="54"/>
    </row>
    <row r="3473">
      <c r="A3473" s="23"/>
      <c r="B3473" s="52"/>
      <c r="C3473" s="53"/>
      <c r="D3473" s="23"/>
      <c r="E3473" s="53"/>
      <c r="F3473" s="54"/>
      <c r="G3473" s="54"/>
      <c r="H3473" s="54"/>
      <c r="I3473" s="53"/>
      <c r="J3473" s="53"/>
      <c r="K3473" s="23"/>
      <c r="L3473" s="53"/>
      <c r="M3473" s="54"/>
    </row>
    <row r="3474">
      <c r="A3474" s="23"/>
      <c r="B3474" s="52"/>
      <c r="C3474" s="53"/>
      <c r="D3474" s="23"/>
      <c r="E3474" s="53"/>
      <c r="F3474" s="54"/>
      <c r="G3474" s="54"/>
      <c r="H3474" s="54"/>
      <c r="I3474" s="53"/>
      <c r="J3474" s="53"/>
      <c r="K3474" s="23"/>
      <c r="L3474" s="53"/>
      <c r="M3474" s="54"/>
    </row>
    <row r="3475">
      <c r="A3475" s="23"/>
      <c r="B3475" s="52"/>
      <c r="C3475" s="53"/>
      <c r="D3475" s="23"/>
      <c r="E3475" s="53"/>
      <c r="F3475" s="54"/>
      <c r="G3475" s="54"/>
      <c r="H3475" s="54"/>
      <c r="I3475" s="53"/>
      <c r="J3475" s="53"/>
      <c r="K3475" s="23"/>
      <c r="L3475" s="53"/>
      <c r="M3475" s="54"/>
    </row>
    <row r="3476">
      <c r="A3476" s="23"/>
      <c r="B3476" s="52"/>
      <c r="C3476" s="53"/>
      <c r="D3476" s="23"/>
      <c r="E3476" s="53"/>
      <c r="F3476" s="54"/>
      <c r="G3476" s="23"/>
      <c r="H3476" s="54"/>
      <c r="I3476" s="53"/>
      <c r="J3476" s="53"/>
      <c r="K3476" s="23"/>
      <c r="L3476" s="53"/>
      <c r="M3476" s="54"/>
    </row>
    <row r="3477">
      <c r="A3477" s="23"/>
      <c r="B3477" s="52"/>
      <c r="C3477" s="53"/>
      <c r="D3477" s="23"/>
      <c r="E3477" s="53"/>
      <c r="F3477" s="54"/>
      <c r="G3477" s="54"/>
      <c r="H3477" s="54"/>
      <c r="I3477" s="53"/>
      <c r="J3477" s="53"/>
      <c r="K3477" s="23"/>
      <c r="L3477" s="53"/>
      <c r="M3477" s="54"/>
    </row>
    <row r="3478">
      <c r="A3478" s="23"/>
      <c r="B3478" s="52"/>
      <c r="C3478" s="53"/>
      <c r="D3478" s="23"/>
      <c r="E3478" s="53"/>
      <c r="F3478" s="54"/>
      <c r="G3478" s="54"/>
      <c r="H3478" s="54"/>
      <c r="I3478" s="53"/>
      <c r="J3478" s="53"/>
      <c r="K3478" s="23"/>
      <c r="L3478" s="53"/>
      <c r="M3478" s="54"/>
    </row>
    <row r="3479">
      <c r="A3479" s="23"/>
      <c r="B3479" s="52"/>
      <c r="C3479" s="53"/>
      <c r="D3479" s="23"/>
      <c r="E3479" s="53"/>
      <c r="F3479" s="54"/>
      <c r="G3479" s="23"/>
      <c r="H3479" s="54"/>
      <c r="I3479" s="53"/>
      <c r="J3479" s="53"/>
      <c r="K3479" s="23"/>
      <c r="L3479" s="53"/>
      <c r="M3479" s="54"/>
    </row>
    <row r="3480">
      <c r="A3480" s="23"/>
      <c r="B3480" s="52"/>
      <c r="C3480" s="53"/>
      <c r="D3480" s="23"/>
      <c r="E3480" s="53"/>
      <c r="F3480" s="54"/>
      <c r="G3480" s="23"/>
      <c r="H3480" s="54"/>
      <c r="I3480" s="53"/>
      <c r="J3480" s="53"/>
      <c r="K3480" s="23"/>
      <c r="L3480" s="53"/>
      <c r="M3480" s="54"/>
    </row>
    <row r="3481">
      <c r="A3481" s="23"/>
      <c r="B3481" s="52"/>
      <c r="C3481" s="53"/>
      <c r="D3481" s="23"/>
      <c r="E3481" s="53"/>
      <c r="F3481" s="54"/>
      <c r="G3481" s="54"/>
      <c r="H3481" s="54"/>
      <c r="I3481" s="53"/>
      <c r="J3481" s="53"/>
      <c r="K3481" s="23"/>
      <c r="L3481" s="53"/>
      <c r="M3481" s="54"/>
    </row>
    <row r="3482">
      <c r="A3482" s="23"/>
      <c r="B3482" s="52"/>
      <c r="C3482" s="53"/>
      <c r="D3482" s="23"/>
      <c r="E3482" s="53"/>
      <c r="F3482" s="54"/>
      <c r="G3482" s="23"/>
      <c r="H3482" s="54"/>
      <c r="I3482" s="53"/>
      <c r="J3482" s="53"/>
      <c r="K3482" s="23"/>
      <c r="L3482" s="53"/>
      <c r="M3482" s="54"/>
    </row>
    <row r="3483">
      <c r="A3483" s="23"/>
      <c r="B3483" s="52"/>
      <c r="C3483" s="53"/>
      <c r="D3483" s="23"/>
      <c r="E3483" s="53"/>
      <c r="F3483" s="54"/>
      <c r="G3483" s="23"/>
      <c r="H3483" s="54"/>
      <c r="I3483" s="53"/>
      <c r="J3483" s="23"/>
      <c r="K3483" s="23"/>
      <c r="L3483" s="53"/>
      <c r="M3483" s="54"/>
    </row>
    <row r="3484">
      <c r="A3484" s="23"/>
      <c r="B3484" s="52"/>
      <c r="C3484" s="53"/>
      <c r="D3484" s="23"/>
      <c r="E3484" s="53"/>
      <c r="F3484" s="54"/>
      <c r="G3484" s="54"/>
      <c r="H3484" s="54"/>
      <c r="I3484" s="53"/>
      <c r="J3484" s="53"/>
      <c r="K3484" s="23"/>
      <c r="L3484" s="53"/>
      <c r="M3484" s="54"/>
    </row>
    <row r="3485">
      <c r="A3485" s="23"/>
      <c r="B3485" s="52"/>
      <c r="C3485" s="53"/>
      <c r="D3485" s="23"/>
      <c r="E3485" s="53"/>
      <c r="F3485" s="54"/>
      <c r="G3485" s="54"/>
      <c r="H3485" s="54"/>
      <c r="I3485" s="53"/>
      <c r="J3485" s="53"/>
      <c r="K3485" s="23"/>
      <c r="L3485" s="53"/>
      <c r="M3485" s="54"/>
    </row>
    <row r="3486">
      <c r="A3486" s="23"/>
      <c r="B3486" s="52"/>
      <c r="C3486" s="53"/>
      <c r="D3486" s="23"/>
      <c r="E3486" s="53"/>
      <c r="F3486" s="54"/>
      <c r="G3486" s="54"/>
      <c r="H3486" s="54"/>
      <c r="I3486" s="53"/>
      <c r="J3486" s="53"/>
      <c r="K3486" s="23"/>
      <c r="L3486" s="53"/>
      <c r="M3486" s="54"/>
    </row>
    <row r="3487">
      <c r="A3487" s="23"/>
      <c r="B3487" s="52"/>
      <c r="C3487" s="53"/>
      <c r="D3487" s="23"/>
      <c r="E3487" s="53"/>
      <c r="F3487" s="54"/>
      <c r="G3487" s="54"/>
      <c r="H3487" s="54"/>
      <c r="I3487" s="53"/>
      <c r="J3487" s="53"/>
      <c r="K3487" s="23"/>
      <c r="L3487" s="53"/>
      <c r="M3487" s="54"/>
    </row>
    <row r="3488">
      <c r="A3488" s="23"/>
      <c r="B3488" s="52"/>
      <c r="C3488" s="53"/>
      <c r="D3488" s="23"/>
      <c r="E3488" s="53"/>
      <c r="F3488" s="54"/>
      <c r="G3488" s="23"/>
      <c r="H3488" s="54"/>
      <c r="I3488" s="53"/>
      <c r="J3488" s="53"/>
      <c r="K3488" s="23"/>
      <c r="L3488" s="53"/>
      <c r="M3488" s="54"/>
    </row>
    <row r="3489">
      <c r="A3489" s="23"/>
      <c r="B3489" s="52"/>
      <c r="C3489" s="53"/>
      <c r="D3489" s="23"/>
      <c r="E3489" s="53"/>
      <c r="F3489" s="54"/>
      <c r="G3489" s="54"/>
      <c r="H3489" s="54"/>
      <c r="I3489" s="53"/>
      <c r="J3489" s="53"/>
      <c r="K3489" s="23"/>
      <c r="L3489" s="53"/>
      <c r="M3489" s="54"/>
    </row>
    <row r="3490">
      <c r="A3490" s="23"/>
      <c r="B3490" s="52"/>
      <c r="C3490" s="53"/>
      <c r="D3490" s="23"/>
      <c r="E3490" s="53"/>
      <c r="F3490" s="54"/>
      <c r="G3490" s="54"/>
      <c r="H3490" s="54"/>
      <c r="I3490" s="53"/>
      <c r="J3490" s="53"/>
      <c r="K3490" s="23"/>
      <c r="L3490" s="53"/>
      <c r="M3490" s="54"/>
    </row>
    <row r="3491">
      <c r="A3491" s="23"/>
      <c r="B3491" s="52"/>
      <c r="C3491" s="53"/>
      <c r="D3491" s="23"/>
      <c r="E3491" s="53"/>
      <c r="F3491" s="54"/>
      <c r="G3491" s="54"/>
      <c r="H3491" s="54"/>
      <c r="I3491" s="53"/>
      <c r="J3491" s="53"/>
      <c r="K3491" s="23"/>
      <c r="L3491" s="53"/>
      <c r="M3491" s="54"/>
    </row>
    <row r="3492">
      <c r="A3492" s="23"/>
      <c r="B3492" s="52"/>
      <c r="C3492" s="53"/>
      <c r="D3492" s="23"/>
      <c r="E3492" s="53"/>
      <c r="F3492" s="54"/>
      <c r="G3492" s="54"/>
      <c r="H3492" s="54"/>
      <c r="I3492" s="53"/>
      <c r="J3492" s="53"/>
      <c r="K3492" s="23"/>
      <c r="L3492" s="53"/>
      <c r="M3492" s="54"/>
    </row>
    <row r="3493">
      <c r="A3493" s="23"/>
      <c r="B3493" s="52"/>
      <c r="C3493" s="53"/>
      <c r="D3493" s="23"/>
      <c r="E3493" s="53"/>
      <c r="F3493" s="54"/>
      <c r="G3493" s="54"/>
      <c r="H3493" s="54"/>
      <c r="I3493" s="53"/>
      <c r="J3493" s="53"/>
      <c r="K3493" s="23"/>
      <c r="L3493" s="53"/>
      <c r="M3493" s="54"/>
    </row>
    <row r="3494">
      <c r="A3494" s="23"/>
      <c r="B3494" s="52"/>
      <c r="C3494" s="53"/>
      <c r="D3494" s="23"/>
      <c r="E3494" s="53"/>
      <c r="F3494" s="54"/>
      <c r="G3494" s="54"/>
      <c r="H3494" s="54"/>
      <c r="I3494" s="53"/>
      <c r="J3494" s="53"/>
      <c r="K3494" s="23"/>
      <c r="L3494" s="53"/>
      <c r="M3494" s="54"/>
    </row>
    <row r="3495">
      <c r="A3495" s="23"/>
      <c r="B3495" s="52"/>
      <c r="C3495" s="53"/>
      <c r="D3495" s="23"/>
      <c r="E3495" s="54"/>
      <c r="F3495" s="54"/>
      <c r="G3495" s="23"/>
      <c r="H3495" s="54"/>
      <c r="I3495" s="53"/>
      <c r="J3495" s="53"/>
      <c r="K3495" s="23"/>
      <c r="L3495" s="53"/>
      <c r="M3495" s="54"/>
    </row>
    <row r="3496">
      <c r="A3496" s="23"/>
      <c r="B3496" s="52"/>
      <c r="C3496" s="53"/>
      <c r="D3496" s="23"/>
      <c r="E3496" s="53"/>
      <c r="F3496" s="54"/>
      <c r="G3496" s="54"/>
      <c r="H3496" s="54"/>
      <c r="I3496" s="53"/>
      <c r="J3496" s="53"/>
      <c r="K3496" s="23"/>
      <c r="L3496" s="53"/>
      <c r="M3496" s="54"/>
    </row>
    <row r="3497">
      <c r="A3497" s="23"/>
      <c r="B3497" s="52"/>
      <c r="C3497" s="53"/>
      <c r="D3497" s="23"/>
      <c r="E3497" s="53"/>
      <c r="F3497" s="54"/>
      <c r="G3497" s="54"/>
      <c r="H3497" s="54"/>
      <c r="I3497" s="53"/>
      <c r="J3497" s="53"/>
      <c r="K3497" s="23"/>
      <c r="L3497" s="53"/>
      <c r="M3497" s="54"/>
    </row>
    <row r="3498">
      <c r="A3498" s="23"/>
      <c r="B3498" s="52"/>
      <c r="C3498" s="53"/>
      <c r="D3498" s="23"/>
      <c r="E3498" s="53"/>
      <c r="F3498" s="54"/>
      <c r="G3498" s="54"/>
      <c r="H3498" s="54"/>
      <c r="I3498" s="53"/>
      <c r="J3498" s="53"/>
      <c r="K3498" s="23"/>
      <c r="L3498" s="53"/>
      <c r="M3498" s="54"/>
    </row>
    <row r="3499">
      <c r="A3499" s="23"/>
      <c r="B3499" s="52"/>
      <c r="C3499" s="53"/>
      <c r="D3499" s="23"/>
      <c r="E3499" s="53"/>
      <c r="F3499" s="54"/>
      <c r="G3499" s="54"/>
      <c r="H3499" s="54"/>
      <c r="I3499" s="53"/>
      <c r="J3499" s="53"/>
      <c r="K3499" s="23"/>
      <c r="L3499" s="53"/>
      <c r="M3499" s="54"/>
    </row>
    <row r="3500">
      <c r="A3500" s="23"/>
      <c r="B3500" s="52"/>
      <c r="C3500" s="53"/>
      <c r="D3500" s="23"/>
      <c r="E3500" s="53"/>
      <c r="F3500" s="54"/>
      <c r="G3500" s="54"/>
      <c r="H3500" s="54"/>
      <c r="I3500" s="53"/>
      <c r="J3500" s="53"/>
      <c r="K3500" s="23"/>
      <c r="L3500" s="53"/>
      <c r="M3500" s="54"/>
    </row>
    <row r="3501">
      <c r="A3501" s="23"/>
      <c r="B3501" s="52"/>
      <c r="C3501" s="53"/>
      <c r="D3501" s="23"/>
      <c r="E3501" s="53"/>
      <c r="F3501" s="54"/>
      <c r="G3501" s="23"/>
      <c r="H3501" s="54"/>
      <c r="I3501" s="53"/>
      <c r="J3501" s="53"/>
      <c r="K3501" s="23"/>
      <c r="L3501" s="53"/>
      <c r="M3501" s="54"/>
    </row>
    <row r="3502">
      <c r="A3502" s="23"/>
      <c r="B3502" s="52"/>
      <c r="C3502" s="53"/>
      <c r="D3502" s="23"/>
      <c r="E3502" s="53"/>
      <c r="F3502" s="54"/>
      <c r="G3502" s="54"/>
      <c r="H3502" s="54"/>
      <c r="I3502" s="53"/>
      <c r="J3502" s="53"/>
      <c r="K3502" s="23"/>
      <c r="L3502" s="53"/>
      <c r="M3502" s="54"/>
    </row>
    <row r="3503">
      <c r="A3503" s="23"/>
      <c r="B3503" s="52"/>
      <c r="C3503" s="53"/>
      <c r="D3503" s="23"/>
      <c r="E3503" s="53"/>
      <c r="F3503" s="54"/>
      <c r="G3503" s="23"/>
      <c r="H3503" s="54"/>
      <c r="I3503" s="53"/>
      <c r="J3503" s="53"/>
      <c r="K3503" s="23"/>
      <c r="L3503" s="53"/>
      <c r="M3503" s="54"/>
    </row>
    <row r="3504">
      <c r="A3504" s="23"/>
      <c r="B3504" s="52"/>
      <c r="C3504" s="53"/>
      <c r="D3504" s="23"/>
      <c r="E3504" s="53"/>
      <c r="F3504" s="54"/>
      <c r="G3504" s="54"/>
      <c r="H3504" s="54"/>
      <c r="I3504" s="53"/>
      <c r="J3504" s="53"/>
      <c r="K3504" s="23"/>
      <c r="L3504" s="53"/>
      <c r="M3504" s="54"/>
    </row>
    <row r="3505">
      <c r="A3505" s="23"/>
      <c r="B3505" s="52"/>
      <c r="C3505" s="53"/>
      <c r="D3505" s="23"/>
      <c r="E3505" s="53"/>
      <c r="F3505" s="54"/>
      <c r="G3505" s="54"/>
      <c r="H3505" s="54"/>
      <c r="I3505" s="53"/>
      <c r="J3505" s="53"/>
      <c r="K3505" s="23"/>
      <c r="L3505" s="53"/>
      <c r="M3505" s="54"/>
    </row>
    <row r="3506">
      <c r="A3506" s="23"/>
      <c r="B3506" s="52"/>
      <c r="C3506" s="53"/>
      <c r="D3506" s="23"/>
      <c r="E3506" s="53"/>
      <c r="F3506" s="54"/>
      <c r="G3506" s="23"/>
      <c r="H3506" s="54"/>
      <c r="I3506" s="53"/>
      <c r="J3506" s="53"/>
      <c r="K3506" s="23"/>
      <c r="L3506" s="53"/>
      <c r="M3506" s="54"/>
    </row>
    <row r="3507">
      <c r="A3507" s="23"/>
      <c r="B3507" s="52"/>
      <c r="C3507" s="53"/>
      <c r="D3507" s="23"/>
      <c r="E3507" s="53"/>
      <c r="F3507" s="54"/>
      <c r="G3507" s="23"/>
      <c r="H3507" s="54"/>
      <c r="I3507" s="53"/>
      <c r="J3507" s="53"/>
      <c r="K3507" s="23"/>
      <c r="L3507" s="53"/>
      <c r="M3507" s="54"/>
    </row>
    <row r="3508">
      <c r="A3508" s="23"/>
      <c r="B3508" s="52"/>
      <c r="C3508" s="53"/>
      <c r="D3508" s="23"/>
      <c r="E3508" s="53"/>
      <c r="F3508" s="54"/>
      <c r="G3508" s="23"/>
      <c r="H3508" s="54"/>
      <c r="I3508" s="53"/>
      <c r="J3508" s="23"/>
      <c r="K3508" s="23"/>
      <c r="L3508" s="53"/>
      <c r="M3508" s="54"/>
    </row>
    <row r="3509">
      <c r="A3509" s="23"/>
      <c r="B3509" s="52"/>
      <c r="C3509" s="53"/>
      <c r="D3509" s="23"/>
      <c r="E3509" s="53"/>
      <c r="F3509" s="54"/>
      <c r="G3509" s="54"/>
      <c r="H3509" s="54"/>
      <c r="I3509" s="53"/>
      <c r="J3509" s="53"/>
      <c r="K3509" s="23"/>
      <c r="L3509" s="53"/>
      <c r="M3509" s="54"/>
    </row>
    <row r="3510">
      <c r="A3510" s="23"/>
      <c r="B3510" s="52"/>
      <c r="C3510" s="53"/>
      <c r="D3510" s="23"/>
      <c r="E3510" s="53"/>
      <c r="F3510" s="54"/>
      <c r="G3510" s="54"/>
      <c r="H3510" s="54"/>
      <c r="I3510" s="53"/>
      <c r="J3510" s="53"/>
      <c r="K3510" s="23"/>
      <c r="L3510" s="53"/>
      <c r="M3510" s="54"/>
    </row>
    <row r="3511">
      <c r="A3511" s="23"/>
      <c r="B3511" s="52"/>
      <c r="C3511" s="53"/>
      <c r="D3511" s="23"/>
      <c r="E3511" s="53"/>
      <c r="F3511" s="54"/>
      <c r="G3511" s="54"/>
      <c r="H3511" s="54"/>
      <c r="I3511" s="53"/>
      <c r="J3511" s="53"/>
      <c r="K3511" s="23"/>
      <c r="L3511" s="53"/>
      <c r="M3511" s="54"/>
    </row>
    <row r="3512">
      <c r="A3512" s="23"/>
      <c r="B3512" s="52"/>
      <c r="C3512" s="53"/>
      <c r="D3512" s="23"/>
      <c r="E3512" s="53"/>
      <c r="F3512" s="54"/>
      <c r="G3512" s="54"/>
      <c r="H3512" s="54"/>
      <c r="I3512" s="53"/>
      <c r="J3512" s="53"/>
      <c r="K3512" s="23"/>
      <c r="L3512" s="53"/>
      <c r="M3512" s="54"/>
    </row>
    <row r="3513">
      <c r="A3513" s="23"/>
      <c r="B3513" s="52"/>
      <c r="C3513" s="53"/>
      <c r="D3513" s="23"/>
      <c r="E3513" s="53"/>
      <c r="F3513" s="54"/>
      <c r="G3513" s="23"/>
      <c r="H3513" s="54"/>
      <c r="I3513" s="53"/>
      <c r="J3513" s="53"/>
      <c r="K3513" s="23"/>
      <c r="L3513" s="53"/>
      <c r="M3513" s="54"/>
    </row>
    <row r="3514">
      <c r="A3514" s="23"/>
      <c r="B3514" s="52"/>
      <c r="C3514" s="53"/>
      <c r="D3514" s="23"/>
      <c r="E3514" s="53"/>
      <c r="F3514" s="54"/>
      <c r="G3514" s="23"/>
      <c r="H3514" s="54"/>
      <c r="I3514" s="53"/>
      <c r="J3514" s="23"/>
      <c r="K3514" s="23"/>
      <c r="L3514" s="53"/>
      <c r="M3514" s="54"/>
    </row>
    <row r="3515">
      <c r="A3515" s="23"/>
      <c r="B3515" s="52"/>
      <c r="C3515" s="53"/>
      <c r="D3515" s="23"/>
      <c r="E3515" s="53"/>
      <c r="F3515" s="54"/>
      <c r="G3515" s="23"/>
      <c r="H3515" s="54"/>
      <c r="I3515" s="53"/>
      <c r="J3515" s="53"/>
      <c r="K3515" s="23"/>
      <c r="L3515" s="53"/>
      <c r="M3515" s="54"/>
    </row>
    <row r="3516">
      <c r="A3516" s="23"/>
      <c r="B3516" s="52"/>
      <c r="C3516" s="53"/>
      <c r="D3516" s="23"/>
      <c r="E3516" s="53"/>
      <c r="F3516" s="54"/>
      <c r="G3516" s="54"/>
      <c r="H3516" s="54"/>
      <c r="I3516" s="53"/>
      <c r="J3516" s="53"/>
      <c r="K3516" s="23"/>
      <c r="L3516" s="53"/>
      <c r="M3516" s="54"/>
    </row>
    <row r="3517">
      <c r="A3517" s="23"/>
      <c r="B3517" s="52"/>
      <c r="C3517" s="53"/>
      <c r="D3517" s="23"/>
      <c r="E3517" s="53"/>
      <c r="F3517" s="54"/>
      <c r="G3517" s="54"/>
      <c r="H3517" s="54"/>
      <c r="I3517" s="53"/>
      <c r="J3517" s="53"/>
      <c r="K3517" s="23"/>
      <c r="L3517" s="53"/>
      <c r="M3517" s="54"/>
    </row>
    <row r="3518">
      <c r="A3518" s="23"/>
      <c r="B3518" s="52"/>
      <c r="C3518" s="53"/>
      <c r="D3518" s="23"/>
      <c r="E3518" s="53"/>
      <c r="F3518" s="54"/>
      <c r="G3518" s="54"/>
      <c r="H3518" s="54"/>
      <c r="I3518" s="53"/>
      <c r="J3518" s="53"/>
      <c r="K3518" s="23"/>
      <c r="L3518" s="53"/>
      <c r="M3518" s="54"/>
    </row>
    <row r="3519">
      <c r="A3519" s="23"/>
      <c r="B3519" s="52"/>
      <c r="C3519" s="53"/>
      <c r="D3519" s="23"/>
      <c r="E3519" s="53"/>
      <c r="F3519" s="54"/>
      <c r="G3519" s="54"/>
      <c r="H3519" s="54"/>
      <c r="I3519" s="53"/>
      <c r="J3519" s="53"/>
      <c r="K3519" s="23"/>
      <c r="L3519" s="53"/>
      <c r="M3519" s="54"/>
    </row>
    <row r="3520">
      <c r="A3520" s="23"/>
      <c r="B3520" s="52"/>
      <c r="C3520" s="53"/>
      <c r="D3520" s="23"/>
      <c r="E3520" s="53"/>
      <c r="F3520" s="54"/>
      <c r="G3520" s="54"/>
      <c r="H3520" s="54"/>
      <c r="I3520" s="53"/>
      <c r="J3520" s="53"/>
      <c r="K3520" s="23"/>
      <c r="L3520" s="53"/>
      <c r="M3520" s="54"/>
    </row>
    <row r="3521">
      <c r="A3521" s="23"/>
      <c r="B3521" s="52"/>
      <c r="C3521" s="53"/>
      <c r="D3521" s="23"/>
      <c r="E3521" s="53"/>
      <c r="F3521" s="54"/>
      <c r="G3521" s="23"/>
      <c r="H3521" s="54"/>
      <c r="I3521" s="53"/>
      <c r="J3521" s="53"/>
      <c r="K3521" s="23"/>
      <c r="L3521" s="53"/>
      <c r="M3521" s="54"/>
    </row>
    <row r="3522">
      <c r="A3522" s="23"/>
      <c r="B3522" s="52"/>
      <c r="C3522" s="53"/>
      <c r="D3522" s="23"/>
      <c r="E3522" s="53"/>
      <c r="F3522" s="54"/>
      <c r="G3522" s="54"/>
      <c r="H3522" s="54"/>
      <c r="I3522" s="53"/>
      <c r="J3522" s="53"/>
      <c r="K3522" s="23"/>
      <c r="L3522" s="53"/>
      <c r="M3522" s="54"/>
    </row>
    <row r="3523">
      <c r="A3523" s="23"/>
      <c r="B3523" s="52"/>
      <c r="C3523" s="53"/>
      <c r="D3523" s="23"/>
      <c r="E3523" s="53"/>
      <c r="F3523" s="54"/>
      <c r="G3523" s="54"/>
      <c r="H3523" s="54"/>
      <c r="I3523" s="53"/>
      <c r="J3523" s="53"/>
      <c r="K3523" s="23"/>
      <c r="L3523" s="53"/>
      <c r="M3523" s="54"/>
    </row>
    <row r="3524">
      <c r="A3524" s="23"/>
      <c r="B3524" s="52"/>
      <c r="C3524" s="53"/>
      <c r="D3524" s="23"/>
      <c r="E3524" s="53"/>
      <c r="F3524" s="54"/>
      <c r="G3524" s="23"/>
      <c r="H3524" s="54"/>
      <c r="I3524" s="53"/>
      <c r="J3524" s="53"/>
      <c r="K3524" s="23"/>
      <c r="L3524" s="53"/>
      <c r="M3524" s="54"/>
    </row>
    <row r="3525">
      <c r="A3525" s="23"/>
      <c r="B3525" s="52"/>
      <c r="C3525" s="53"/>
      <c r="D3525" s="23"/>
      <c r="E3525" s="53"/>
      <c r="F3525" s="54"/>
      <c r="G3525" s="23"/>
      <c r="H3525" s="54"/>
      <c r="I3525" s="53"/>
      <c r="J3525" s="53"/>
      <c r="K3525" s="23"/>
      <c r="L3525" s="53"/>
      <c r="M3525" s="54"/>
    </row>
    <row r="3526">
      <c r="A3526" s="23"/>
      <c r="B3526" s="52"/>
      <c r="C3526" s="53"/>
      <c r="D3526" s="23"/>
      <c r="E3526" s="53"/>
      <c r="F3526" s="54"/>
      <c r="G3526" s="54"/>
      <c r="H3526" s="54"/>
      <c r="I3526" s="53"/>
      <c r="J3526" s="53"/>
      <c r="K3526" s="23"/>
      <c r="L3526" s="53"/>
      <c r="M3526" s="54"/>
    </row>
    <row r="3527">
      <c r="A3527" s="23"/>
      <c r="B3527" s="52"/>
      <c r="C3527" s="53"/>
      <c r="D3527" s="23"/>
      <c r="E3527" s="53"/>
      <c r="F3527" s="54"/>
      <c r="G3527" s="54"/>
      <c r="H3527" s="54"/>
      <c r="I3527" s="53"/>
      <c r="J3527" s="53"/>
      <c r="K3527" s="23"/>
      <c r="L3527" s="53"/>
      <c r="M3527" s="54"/>
    </row>
    <row r="3528">
      <c r="A3528" s="23"/>
      <c r="B3528" s="52"/>
      <c r="C3528" s="53"/>
      <c r="D3528" s="23"/>
      <c r="E3528" s="53"/>
      <c r="F3528" s="54"/>
      <c r="G3528" s="23"/>
      <c r="H3528" s="54"/>
      <c r="I3528" s="53"/>
      <c r="J3528" s="53"/>
      <c r="K3528" s="23"/>
      <c r="L3528" s="53"/>
      <c r="M3528" s="54"/>
    </row>
    <row r="3529">
      <c r="A3529" s="23"/>
      <c r="B3529" s="52"/>
      <c r="C3529" s="53"/>
      <c r="D3529" s="23"/>
      <c r="E3529" s="53"/>
      <c r="F3529" s="54"/>
      <c r="G3529" s="54"/>
      <c r="H3529" s="54"/>
      <c r="I3529" s="53"/>
      <c r="J3529" s="53"/>
      <c r="K3529" s="23"/>
      <c r="L3529" s="53"/>
      <c r="M3529" s="54"/>
    </row>
    <row r="3530">
      <c r="A3530" s="23"/>
      <c r="B3530" s="52"/>
      <c r="C3530" s="53"/>
      <c r="D3530" s="23"/>
      <c r="E3530" s="53"/>
      <c r="F3530" s="54"/>
      <c r="G3530" s="23"/>
      <c r="H3530" s="54"/>
      <c r="I3530" s="53"/>
      <c r="J3530" s="53"/>
      <c r="K3530" s="23"/>
      <c r="L3530" s="53"/>
      <c r="M3530" s="54"/>
    </row>
    <row r="3531">
      <c r="A3531" s="23"/>
      <c r="B3531" s="52"/>
      <c r="C3531" s="53"/>
      <c r="D3531" s="23"/>
      <c r="E3531" s="53"/>
      <c r="F3531" s="54"/>
      <c r="G3531" s="54"/>
      <c r="H3531" s="54"/>
      <c r="I3531" s="53"/>
      <c r="J3531" s="53"/>
      <c r="K3531" s="23"/>
      <c r="L3531" s="53"/>
      <c r="M3531" s="54"/>
    </row>
    <row r="3532">
      <c r="A3532" s="23"/>
      <c r="B3532" s="52"/>
      <c r="C3532" s="53"/>
      <c r="D3532" s="23"/>
      <c r="E3532" s="53"/>
      <c r="F3532" s="54"/>
      <c r="G3532" s="23"/>
      <c r="H3532" s="54"/>
      <c r="I3532" s="53"/>
      <c r="J3532" s="23"/>
      <c r="K3532" s="23"/>
      <c r="L3532" s="53"/>
      <c r="M3532" s="54"/>
    </row>
    <row r="3533">
      <c r="A3533" s="23"/>
      <c r="B3533" s="52"/>
      <c r="C3533" s="53"/>
      <c r="D3533" s="23"/>
      <c r="E3533" s="53"/>
      <c r="F3533" s="54"/>
      <c r="G3533" s="23"/>
      <c r="H3533" s="54"/>
      <c r="I3533" s="53"/>
      <c r="J3533" s="23"/>
      <c r="K3533" s="23"/>
      <c r="L3533" s="53"/>
      <c r="M3533" s="54"/>
    </row>
    <row r="3534">
      <c r="A3534" s="23"/>
      <c r="B3534" s="52"/>
      <c r="C3534" s="53"/>
      <c r="D3534" s="23"/>
      <c r="E3534" s="53"/>
      <c r="F3534" s="54"/>
      <c r="G3534" s="23"/>
      <c r="H3534" s="54"/>
      <c r="I3534" s="53"/>
      <c r="J3534" s="23"/>
      <c r="K3534" s="23"/>
      <c r="L3534" s="53"/>
      <c r="M3534" s="54"/>
    </row>
    <row r="3535">
      <c r="A3535" s="23"/>
      <c r="B3535" s="52"/>
      <c r="C3535" s="53"/>
      <c r="D3535" s="23"/>
      <c r="E3535" s="53"/>
      <c r="F3535" s="54"/>
      <c r="G3535" s="23"/>
      <c r="H3535" s="54"/>
      <c r="I3535" s="53"/>
      <c r="J3535" s="53"/>
      <c r="K3535" s="23"/>
      <c r="L3535" s="53"/>
      <c r="M3535" s="54"/>
    </row>
    <row r="3536">
      <c r="A3536" s="23"/>
      <c r="B3536" s="52"/>
      <c r="C3536" s="53"/>
      <c r="D3536" s="23"/>
      <c r="E3536" s="53"/>
      <c r="F3536" s="54"/>
      <c r="G3536" s="54"/>
      <c r="H3536" s="54"/>
      <c r="I3536" s="53"/>
      <c r="J3536" s="53"/>
      <c r="K3536" s="23"/>
      <c r="L3536" s="53"/>
      <c r="M3536" s="54"/>
    </row>
    <row r="3537">
      <c r="A3537" s="23"/>
      <c r="B3537" s="52"/>
      <c r="C3537" s="53"/>
      <c r="D3537" s="23"/>
      <c r="E3537" s="53"/>
      <c r="F3537" s="54"/>
      <c r="G3537" s="54"/>
      <c r="H3537" s="54"/>
      <c r="I3537" s="53"/>
      <c r="J3537" s="53"/>
      <c r="K3537" s="23"/>
      <c r="L3537" s="53"/>
      <c r="M3537" s="54"/>
    </row>
    <row r="3538">
      <c r="A3538" s="23"/>
      <c r="B3538" s="52"/>
      <c r="C3538" s="53"/>
      <c r="D3538" s="23"/>
      <c r="E3538" s="53"/>
      <c r="F3538" s="54"/>
      <c r="G3538" s="54"/>
      <c r="H3538" s="54"/>
      <c r="I3538" s="53"/>
      <c r="J3538" s="53"/>
      <c r="K3538" s="23"/>
      <c r="L3538" s="53"/>
      <c r="M3538" s="54"/>
    </row>
    <row r="3539">
      <c r="A3539" s="23"/>
      <c r="B3539" s="52"/>
      <c r="C3539" s="53"/>
      <c r="D3539" s="23"/>
      <c r="E3539" s="53"/>
      <c r="F3539" s="54"/>
      <c r="G3539" s="54"/>
      <c r="H3539" s="54"/>
      <c r="I3539" s="53"/>
      <c r="J3539" s="53"/>
      <c r="K3539" s="23"/>
      <c r="L3539" s="53"/>
      <c r="M3539" s="54"/>
    </row>
    <row r="3540">
      <c r="A3540" s="23"/>
      <c r="B3540" s="52"/>
      <c r="C3540" s="53"/>
      <c r="D3540" s="23"/>
      <c r="E3540" s="53"/>
      <c r="F3540" s="54"/>
      <c r="G3540" s="23"/>
      <c r="H3540" s="54"/>
      <c r="I3540" s="53"/>
      <c r="J3540" s="53"/>
      <c r="K3540" s="23"/>
      <c r="L3540" s="53"/>
      <c r="M3540" s="54"/>
    </row>
    <row r="3541">
      <c r="A3541" s="23"/>
      <c r="B3541" s="52"/>
      <c r="C3541" s="53"/>
      <c r="D3541" s="23"/>
      <c r="E3541" s="53"/>
      <c r="F3541" s="54"/>
      <c r="G3541" s="54"/>
      <c r="H3541" s="54"/>
      <c r="I3541" s="53"/>
      <c r="J3541" s="53"/>
      <c r="K3541" s="23"/>
      <c r="L3541" s="53"/>
      <c r="M3541" s="54"/>
    </row>
    <row r="3542">
      <c r="A3542" s="23"/>
      <c r="B3542" s="52"/>
      <c r="C3542" s="53"/>
      <c r="D3542" s="23"/>
      <c r="E3542" s="53"/>
      <c r="F3542" s="54"/>
      <c r="G3542" s="54"/>
      <c r="H3542" s="54"/>
      <c r="I3542" s="53"/>
      <c r="J3542" s="53"/>
      <c r="K3542" s="23"/>
      <c r="L3542" s="53"/>
      <c r="M3542" s="54"/>
    </row>
    <row r="3543">
      <c r="A3543" s="23"/>
      <c r="B3543" s="52"/>
      <c r="C3543" s="53"/>
      <c r="D3543" s="23"/>
      <c r="E3543" s="53"/>
      <c r="F3543" s="54"/>
      <c r="G3543" s="23"/>
      <c r="H3543" s="54"/>
      <c r="I3543" s="53"/>
      <c r="J3543" s="53"/>
      <c r="K3543" s="23"/>
      <c r="L3543" s="53"/>
      <c r="M3543" s="54"/>
    </row>
    <row r="3544">
      <c r="A3544" s="23"/>
      <c r="B3544" s="52"/>
      <c r="C3544" s="53"/>
      <c r="D3544" s="23"/>
      <c r="E3544" s="53"/>
      <c r="F3544" s="54"/>
      <c r="G3544" s="54"/>
      <c r="H3544" s="54"/>
      <c r="I3544" s="53"/>
      <c r="J3544" s="53"/>
      <c r="K3544" s="23"/>
      <c r="L3544" s="53"/>
      <c r="M3544" s="54"/>
    </row>
    <row r="3545">
      <c r="A3545" s="23"/>
      <c r="B3545" s="52"/>
      <c r="C3545" s="53"/>
      <c r="D3545" s="23"/>
      <c r="E3545" s="53"/>
      <c r="F3545" s="54"/>
      <c r="G3545" s="54"/>
      <c r="H3545" s="54"/>
      <c r="I3545" s="53"/>
      <c r="J3545" s="53"/>
      <c r="K3545" s="23"/>
      <c r="L3545" s="53"/>
      <c r="M3545" s="54"/>
    </row>
    <row r="3546">
      <c r="A3546" s="23"/>
      <c r="B3546" s="52"/>
      <c r="C3546" s="53"/>
      <c r="D3546" s="23"/>
      <c r="E3546" s="53"/>
      <c r="F3546" s="54"/>
      <c r="G3546" s="23"/>
      <c r="H3546" s="54"/>
      <c r="I3546" s="53"/>
      <c r="J3546" s="23"/>
      <c r="K3546" s="53"/>
      <c r="L3546" s="53"/>
      <c r="M3546" s="54"/>
    </row>
    <row r="3547">
      <c r="A3547" s="23"/>
      <c r="B3547" s="52"/>
      <c r="C3547" s="53"/>
      <c r="D3547" s="23"/>
      <c r="E3547" s="53"/>
      <c r="F3547" s="54"/>
      <c r="G3547" s="54"/>
      <c r="H3547" s="54"/>
      <c r="I3547" s="53"/>
      <c r="J3547" s="53"/>
      <c r="K3547" s="23"/>
      <c r="L3547" s="53"/>
      <c r="M3547" s="54"/>
    </row>
    <row r="3548">
      <c r="A3548" s="23"/>
      <c r="B3548" s="52"/>
      <c r="C3548" s="53"/>
      <c r="D3548" s="23"/>
      <c r="E3548" s="53"/>
      <c r="F3548" s="54"/>
      <c r="G3548" s="54"/>
      <c r="H3548" s="54"/>
      <c r="I3548" s="53"/>
      <c r="J3548" s="53"/>
      <c r="K3548" s="23"/>
      <c r="L3548" s="53"/>
      <c r="M3548" s="54"/>
    </row>
    <row r="3549">
      <c r="A3549" s="23"/>
      <c r="B3549" s="52"/>
      <c r="C3549" s="53"/>
      <c r="D3549" s="23"/>
      <c r="E3549" s="53"/>
      <c r="F3549" s="54"/>
      <c r="G3549" s="23"/>
      <c r="H3549" s="54"/>
      <c r="I3549" s="53"/>
      <c r="J3549" s="53"/>
      <c r="K3549" s="23"/>
      <c r="L3549" s="53"/>
      <c r="M3549" s="54"/>
    </row>
    <row r="3550">
      <c r="A3550" s="23"/>
      <c r="B3550" s="52"/>
      <c r="C3550" s="53"/>
      <c r="D3550" s="23"/>
      <c r="E3550" s="53"/>
      <c r="F3550" s="54"/>
      <c r="G3550" s="54"/>
      <c r="H3550" s="54"/>
      <c r="I3550" s="53"/>
      <c r="J3550" s="53"/>
      <c r="K3550" s="23"/>
      <c r="L3550" s="53"/>
      <c r="M3550" s="54"/>
    </row>
    <row r="3551">
      <c r="A3551" s="23"/>
      <c r="B3551" s="52"/>
      <c r="C3551" s="53"/>
      <c r="D3551" s="23"/>
      <c r="E3551" s="53"/>
      <c r="F3551" s="54"/>
      <c r="G3551" s="54"/>
      <c r="H3551" s="54"/>
      <c r="I3551" s="53"/>
      <c r="J3551" s="53"/>
      <c r="K3551" s="23"/>
      <c r="L3551" s="53"/>
      <c r="M3551" s="54"/>
    </row>
    <row r="3552">
      <c r="A3552" s="23"/>
      <c r="B3552" s="52"/>
      <c r="C3552" s="53"/>
      <c r="D3552" s="23"/>
      <c r="E3552" s="53"/>
      <c r="F3552" s="54"/>
      <c r="G3552" s="54"/>
      <c r="H3552" s="54"/>
      <c r="I3552" s="53"/>
      <c r="J3552" s="53"/>
      <c r="K3552" s="23"/>
      <c r="L3552" s="53"/>
      <c r="M3552" s="54"/>
    </row>
    <row r="3553">
      <c r="A3553" s="23"/>
      <c r="B3553" s="52"/>
      <c r="C3553" s="53"/>
      <c r="D3553" s="23"/>
      <c r="E3553" s="53"/>
      <c r="F3553" s="54"/>
      <c r="G3553" s="23"/>
      <c r="H3553" s="54"/>
      <c r="I3553" s="53"/>
      <c r="J3553" s="23"/>
      <c r="K3553" s="23"/>
      <c r="L3553" s="53"/>
      <c r="M3553" s="54"/>
    </row>
    <row r="3554">
      <c r="A3554" s="23"/>
      <c r="B3554" s="52"/>
      <c r="C3554" s="53"/>
      <c r="D3554" s="23"/>
      <c r="E3554" s="53"/>
      <c r="F3554" s="54"/>
      <c r="G3554" s="54"/>
      <c r="H3554" s="54"/>
      <c r="I3554" s="53"/>
      <c r="J3554" s="53"/>
      <c r="K3554" s="23"/>
      <c r="L3554" s="53"/>
      <c r="M3554" s="54"/>
    </row>
    <row r="3555">
      <c r="A3555" s="23"/>
      <c r="B3555" s="52"/>
      <c r="C3555" s="53"/>
      <c r="D3555" s="23"/>
      <c r="E3555" s="53"/>
      <c r="F3555" s="54"/>
      <c r="G3555" s="54"/>
      <c r="H3555" s="54"/>
      <c r="I3555" s="53"/>
      <c r="J3555" s="53"/>
      <c r="K3555" s="23"/>
      <c r="L3555" s="53"/>
      <c r="M3555" s="54"/>
    </row>
    <row r="3556">
      <c r="A3556" s="23"/>
      <c r="B3556" s="52"/>
      <c r="C3556" s="53"/>
      <c r="D3556" s="23"/>
      <c r="E3556" s="53"/>
      <c r="F3556" s="54"/>
      <c r="G3556" s="23"/>
      <c r="H3556" s="54"/>
      <c r="I3556" s="53"/>
      <c r="J3556" s="53"/>
      <c r="K3556" s="23"/>
      <c r="L3556" s="53"/>
      <c r="M3556" s="54"/>
    </row>
    <row r="3557">
      <c r="A3557" s="23"/>
      <c r="B3557" s="52"/>
      <c r="C3557" s="53"/>
      <c r="D3557" s="23"/>
      <c r="E3557" s="53"/>
      <c r="F3557" s="54"/>
      <c r="G3557" s="23"/>
      <c r="H3557" s="54"/>
      <c r="I3557" s="53"/>
      <c r="J3557" s="53"/>
      <c r="K3557" s="23"/>
      <c r="L3557" s="53"/>
      <c r="M3557" s="54"/>
    </row>
    <row r="3558">
      <c r="A3558" s="23"/>
      <c r="B3558" s="52"/>
      <c r="C3558" s="53"/>
      <c r="D3558" s="23"/>
      <c r="E3558" s="53"/>
      <c r="F3558" s="54"/>
      <c r="G3558" s="23"/>
      <c r="H3558" s="54"/>
      <c r="I3558" s="53"/>
      <c r="J3558" s="53"/>
      <c r="K3558" s="23"/>
      <c r="L3558" s="53"/>
      <c r="M3558" s="54"/>
    </row>
    <row r="3559">
      <c r="A3559" s="23"/>
      <c r="B3559" s="52"/>
      <c r="C3559" s="53"/>
      <c r="D3559" s="23"/>
      <c r="E3559" s="53"/>
      <c r="F3559" s="54"/>
      <c r="G3559" s="54"/>
      <c r="H3559" s="54"/>
      <c r="I3559" s="53"/>
      <c r="J3559" s="53"/>
      <c r="K3559" s="23"/>
      <c r="L3559" s="53"/>
      <c r="M3559" s="54"/>
    </row>
    <row r="3560">
      <c r="A3560" s="23"/>
      <c r="B3560" s="52"/>
      <c r="C3560" s="53"/>
      <c r="D3560" s="23"/>
      <c r="E3560" s="53"/>
      <c r="F3560" s="54"/>
      <c r="G3560" s="54"/>
      <c r="H3560" s="54"/>
      <c r="I3560" s="53"/>
      <c r="J3560" s="53"/>
      <c r="K3560" s="23"/>
      <c r="L3560" s="53"/>
      <c r="M3560" s="54"/>
    </row>
    <row r="3561">
      <c r="A3561" s="23"/>
      <c r="B3561" s="52"/>
      <c r="C3561" s="53"/>
      <c r="D3561" s="23"/>
      <c r="E3561" s="53"/>
      <c r="F3561" s="54"/>
      <c r="G3561" s="23"/>
      <c r="H3561" s="54"/>
      <c r="I3561" s="53"/>
      <c r="J3561" s="53"/>
      <c r="K3561" s="23"/>
      <c r="L3561" s="53"/>
      <c r="M3561" s="54"/>
    </row>
    <row r="3562">
      <c r="A3562" s="23"/>
      <c r="B3562" s="52"/>
      <c r="C3562" s="53"/>
      <c r="D3562" s="23"/>
      <c r="E3562" s="53"/>
      <c r="F3562" s="54"/>
      <c r="G3562" s="23"/>
      <c r="H3562" s="54"/>
      <c r="I3562" s="53"/>
      <c r="J3562" s="23"/>
      <c r="K3562" s="23"/>
      <c r="L3562" s="53"/>
      <c r="M3562" s="54"/>
    </row>
    <row r="3563">
      <c r="A3563" s="23"/>
      <c r="B3563" s="52"/>
      <c r="C3563" s="53"/>
      <c r="D3563" s="23"/>
      <c r="E3563" s="53"/>
      <c r="F3563" s="54"/>
      <c r="G3563" s="23"/>
      <c r="H3563" s="54"/>
      <c r="I3563" s="53"/>
      <c r="J3563" s="53"/>
      <c r="K3563" s="23"/>
      <c r="L3563" s="53"/>
      <c r="M3563" s="54"/>
    </row>
    <row r="3564">
      <c r="A3564" s="23"/>
      <c r="B3564" s="52"/>
      <c r="C3564" s="53"/>
      <c r="D3564" s="23"/>
      <c r="E3564" s="53"/>
      <c r="F3564" s="54"/>
      <c r="G3564" s="23"/>
      <c r="H3564" s="54"/>
      <c r="I3564" s="53"/>
      <c r="J3564" s="53"/>
      <c r="K3564" s="23"/>
      <c r="L3564" s="53"/>
      <c r="M3564" s="54"/>
    </row>
    <row r="3565">
      <c r="A3565" s="23"/>
      <c r="B3565" s="52"/>
      <c r="C3565" s="53"/>
      <c r="D3565" s="23"/>
      <c r="E3565" s="53"/>
      <c r="F3565" s="54"/>
      <c r="G3565" s="23"/>
      <c r="H3565" s="54"/>
      <c r="I3565" s="53"/>
      <c r="J3565" s="53"/>
      <c r="K3565" s="23"/>
      <c r="L3565" s="53"/>
      <c r="M3565" s="54"/>
    </row>
    <row r="3566">
      <c r="A3566" s="23"/>
      <c r="B3566" s="52"/>
      <c r="C3566" s="53"/>
      <c r="D3566" s="23"/>
      <c r="E3566" s="53"/>
      <c r="F3566" s="54"/>
      <c r="G3566" s="23"/>
      <c r="H3566" s="54"/>
      <c r="I3566" s="53"/>
      <c r="J3566" s="53"/>
      <c r="K3566" s="23"/>
      <c r="L3566" s="53"/>
      <c r="M3566" s="54"/>
    </row>
    <row r="3567">
      <c r="A3567" s="23"/>
      <c r="B3567" s="52"/>
      <c r="C3567" s="53"/>
      <c r="D3567" s="23"/>
      <c r="E3567" s="53"/>
      <c r="F3567" s="54"/>
      <c r="G3567" s="54"/>
      <c r="H3567" s="54"/>
      <c r="I3567" s="53"/>
      <c r="J3567" s="53"/>
      <c r="K3567" s="23"/>
      <c r="L3567" s="53"/>
      <c r="M3567" s="54"/>
    </row>
    <row r="3568">
      <c r="A3568" s="23"/>
      <c r="B3568" s="52"/>
      <c r="C3568" s="53"/>
      <c r="D3568" s="23"/>
      <c r="E3568" s="53"/>
      <c r="F3568" s="54"/>
      <c r="G3568" s="23"/>
      <c r="H3568" s="54"/>
      <c r="I3568" s="53"/>
      <c r="J3568" s="23"/>
      <c r="K3568" s="23"/>
      <c r="L3568" s="53"/>
      <c r="M3568" s="54"/>
    </row>
    <row r="3569">
      <c r="A3569" s="23"/>
      <c r="B3569" s="52"/>
      <c r="C3569" s="53"/>
      <c r="D3569" s="23"/>
      <c r="E3569" s="53"/>
      <c r="F3569" s="54"/>
      <c r="G3569" s="54"/>
      <c r="H3569" s="54"/>
      <c r="I3569" s="53"/>
      <c r="J3569" s="53"/>
      <c r="K3569" s="23"/>
      <c r="L3569" s="53"/>
      <c r="M3569" s="54"/>
    </row>
    <row r="3570">
      <c r="A3570" s="23"/>
      <c r="B3570" s="52"/>
      <c r="C3570" s="53"/>
      <c r="D3570" s="23"/>
      <c r="E3570" s="53"/>
      <c r="F3570" s="54"/>
      <c r="G3570" s="54"/>
      <c r="H3570" s="54"/>
      <c r="I3570" s="53"/>
      <c r="J3570" s="53"/>
      <c r="K3570" s="23"/>
      <c r="L3570" s="53"/>
      <c r="M3570" s="54"/>
    </row>
    <row r="3571">
      <c r="A3571" s="23"/>
      <c r="B3571" s="52"/>
      <c r="C3571" s="53"/>
      <c r="D3571" s="23"/>
      <c r="E3571" s="53"/>
      <c r="F3571" s="54"/>
      <c r="G3571" s="54"/>
      <c r="H3571" s="54"/>
      <c r="I3571" s="53"/>
      <c r="J3571" s="53"/>
      <c r="K3571" s="23"/>
      <c r="L3571" s="53"/>
      <c r="M3571" s="54"/>
    </row>
    <row r="3572">
      <c r="A3572" s="23"/>
      <c r="B3572" s="52"/>
      <c r="C3572" s="53"/>
      <c r="D3572" s="23"/>
      <c r="E3572" s="53"/>
      <c r="F3572" s="54"/>
      <c r="G3572" s="23"/>
      <c r="H3572" s="54"/>
      <c r="I3572" s="53"/>
      <c r="J3572" s="53"/>
      <c r="K3572" s="23"/>
      <c r="L3572" s="53"/>
      <c r="M3572" s="54"/>
    </row>
    <row r="3573">
      <c r="A3573" s="23"/>
      <c r="B3573" s="52"/>
      <c r="C3573" s="53"/>
      <c r="D3573" s="23"/>
      <c r="E3573" s="53"/>
      <c r="F3573" s="54"/>
      <c r="G3573" s="23"/>
      <c r="H3573" s="54"/>
      <c r="I3573" s="53"/>
      <c r="J3573" s="53"/>
      <c r="K3573" s="23"/>
      <c r="L3573" s="53"/>
      <c r="M3573" s="54"/>
    </row>
    <row r="3574">
      <c r="A3574" s="23"/>
      <c r="B3574" s="52"/>
      <c r="C3574" s="53"/>
      <c r="D3574" s="23"/>
      <c r="E3574" s="53"/>
      <c r="F3574" s="54"/>
      <c r="G3574" s="54"/>
      <c r="H3574" s="54"/>
      <c r="I3574" s="53"/>
      <c r="J3574" s="53"/>
      <c r="K3574" s="23"/>
      <c r="L3574" s="53"/>
      <c r="M3574" s="54"/>
    </row>
    <row r="3575">
      <c r="A3575" s="23"/>
      <c r="B3575" s="52"/>
      <c r="C3575" s="53"/>
      <c r="D3575" s="23"/>
      <c r="E3575" s="53"/>
      <c r="F3575" s="54"/>
      <c r="G3575" s="23"/>
      <c r="H3575" s="54"/>
      <c r="I3575" s="53"/>
      <c r="J3575" s="53"/>
      <c r="K3575" s="23"/>
      <c r="L3575" s="53"/>
      <c r="M3575" s="54"/>
    </row>
    <row r="3576">
      <c r="A3576" s="23"/>
      <c r="B3576" s="52"/>
      <c r="C3576" s="53"/>
      <c r="D3576" s="23"/>
      <c r="E3576" s="53"/>
      <c r="F3576" s="54"/>
      <c r="G3576" s="54"/>
      <c r="H3576" s="54"/>
      <c r="I3576" s="53"/>
      <c r="J3576" s="53"/>
      <c r="K3576" s="23"/>
      <c r="L3576" s="53"/>
      <c r="M3576" s="54"/>
    </row>
    <row r="3577">
      <c r="A3577" s="23"/>
      <c r="B3577" s="52"/>
      <c r="C3577" s="53"/>
      <c r="D3577" s="23"/>
      <c r="E3577" s="53"/>
      <c r="F3577" s="54"/>
      <c r="G3577" s="23"/>
      <c r="H3577" s="54"/>
      <c r="I3577" s="53"/>
      <c r="J3577" s="23"/>
      <c r="K3577" s="23"/>
      <c r="L3577" s="23"/>
      <c r="M3577" s="54"/>
    </row>
    <row r="3578">
      <c r="A3578" s="23"/>
      <c r="B3578" s="52"/>
      <c r="C3578" s="53"/>
      <c r="D3578" s="23"/>
      <c r="E3578" s="53"/>
      <c r="F3578" s="54"/>
      <c r="G3578" s="54"/>
      <c r="H3578" s="54"/>
      <c r="I3578" s="53"/>
      <c r="J3578" s="53"/>
      <c r="K3578" s="23"/>
      <c r="L3578" s="53"/>
      <c r="M3578" s="54"/>
    </row>
    <row r="3579">
      <c r="A3579" s="23"/>
      <c r="B3579" s="52"/>
      <c r="C3579" s="53"/>
      <c r="D3579" s="23"/>
      <c r="E3579" s="53"/>
      <c r="F3579" s="54"/>
      <c r="G3579" s="23"/>
      <c r="H3579" s="54"/>
      <c r="I3579" s="53"/>
      <c r="J3579" s="23"/>
      <c r="K3579" s="23"/>
      <c r="L3579" s="53"/>
      <c r="M3579" s="54"/>
    </row>
    <row r="3580">
      <c r="A3580" s="23"/>
      <c r="B3580" s="52"/>
      <c r="C3580" s="53"/>
      <c r="D3580" s="23"/>
      <c r="E3580" s="53"/>
      <c r="F3580" s="54"/>
      <c r="G3580" s="23"/>
      <c r="H3580" s="54"/>
      <c r="I3580" s="53"/>
      <c r="J3580" s="53"/>
      <c r="K3580" s="23"/>
      <c r="L3580" s="53"/>
      <c r="M3580" s="54"/>
    </row>
    <row r="3581">
      <c r="A3581" s="23"/>
      <c r="B3581" s="52"/>
      <c r="C3581" s="53"/>
      <c r="D3581" s="23"/>
      <c r="E3581" s="53"/>
      <c r="F3581" s="54"/>
      <c r="G3581" s="54"/>
      <c r="H3581" s="54"/>
      <c r="I3581" s="53"/>
      <c r="J3581" s="53"/>
      <c r="K3581" s="23"/>
      <c r="L3581" s="53"/>
      <c r="M3581" s="54"/>
    </row>
    <row r="3582">
      <c r="A3582" s="23"/>
      <c r="B3582" s="52"/>
      <c r="C3582" s="53"/>
      <c r="D3582" s="23"/>
      <c r="E3582" s="53"/>
      <c r="F3582" s="54"/>
      <c r="G3582" s="23"/>
      <c r="H3582" s="54"/>
      <c r="I3582" s="53"/>
      <c r="J3582" s="23"/>
      <c r="K3582" s="23"/>
      <c r="L3582" s="53"/>
      <c r="M3582" s="54"/>
    </row>
    <row r="3583">
      <c r="A3583" s="23"/>
      <c r="B3583" s="52"/>
      <c r="C3583" s="53"/>
      <c r="D3583" s="23"/>
      <c r="E3583" s="53"/>
      <c r="F3583" s="54"/>
      <c r="G3583" s="54"/>
      <c r="H3583" s="54"/>
      <c r="I3583" s="53"/>
      <c r="J3583" s="53"/>
      <c r="K3583" s="23"/>
      <c r="L3583" s="53"/>
      <c r="M3583" s="54"/>
    </row>
    <row r="3584">
      <c r="A3584" s="23"/>
      <c r="B3584" s="52"/>
      <c r="C3584" s="53"/>
      <c r="D3584" s="23"/>
      <c r="E3584" s="53"/>
      <c r="F3584" s="54"/>
      <c r="G3584" s="54"/>
      <c r="H3584" s="54"/>
      <c r="I3584" s="53"/>
      <c r="J3584" s="53"/>
      <c r="K3584" s="23"/>
      <c r="L3584" s="53"/>
      <c r="M3584" s="54"/>
    </row>
    <row r="3585">
      <c r="A3585" s="23"/>
      <c r="B3585" s="52"/>
      <c r="C3585" s="53"/>
      <c r="D3585" s="23"/>
      <c r="E3585" s="53"/>
      <c r="F3585" s="54"/>
      <c r="G3585" s="54"/>
      <c r="H3585" s="54"/>
      <c r="I3585" s="53"/>
      <c r="J3585" s="53"/>
      <c r="K3585" s="23"/>
      <c r="L3585" s="53"/>
      <c r="M3585" s="54"/>
    </row>
    <row r="3586">
      <c r="A3586" s="23"/>
      <c r="B3586" s="52"/>
      <c r="C3586" s="53"/>
      <c r="D3586" s="23"/>
      <c r="E3586" s="53"/>
      <c r="F3586" s="54"/>
      <c r="G3586" s="54"/>
      <c r="H3586" s="54"/>
      <c r="I3586" s="53"/>
      <c r="J3586" s="53"/>
      <c r="K3586" s="23"/>
      <c r="L3586" s="53"/>
      <c r="M3586" s="54"/>
    </row>
    <row r="3587">
      <c r="A3587" s="23"/>
      <c r="B3587" s="52"/>
      <c r="C3587" s="53"/>
      <c r="D3587" s="23"/>
      <c r="E3587" s="53"/>
      <c r="F3587" s="54"/>
      <c r="G3587" s="54"/>
      <c r="H3587" s="54"/>
      <c r="I3587" s="53"/>
      <c r="J3587" s="53"/>
      <c r="K3587" s="23"/>
      <c r="L3587" s="53"/>
      <c r="M3587" s="54"/>
    </row>
    <row r="3588">
      <c r="A3588" s="23"/>
      <c r="B3588" s="52"/>
      <c r="C3588" s="53"/>
      <c r="D3588" s="23"/>
      <c r="E3588" s="53"/>
      <c r="F3588" s="54"/>
      <c r="G3588" s="54"/>
      <c r="H3588" s="54"/>
      <c r="I3588" s="53"/>
      <c r="J3588" s="53"/>
      <c r="K3588" s="23"/>
      <c r="L3588" s="53"/>
      <c r="M3588" s="54"/>
    </row>
    <row r="3589">
      <c r="A3589" s="23"/>
      <c r="B3589" s="52"/>
      <c r="C3589" s="53"/>
      <c r="D3589" s="23"/>
      <c r="E3589" s="53"/>
      <c r="F3589" s="54"/>
      <c r="G3589" s="23"/>
      <c r="H3589" s="54"/>
      <c r="I3589" s="53"/>
      <c r="J3589" s="23"/>
      <c r="K3589" s="23"/>
      <c r="L3589" s="53"/>
      <c r="M3589" s="54"/>
    </row>
    <row r="3590">
      <c r="A3590" s="23"/>
      <c r="B3590" s="52"/>
      <c r="C3590" s="53"/>
      <c r="D3590" s="23"/>
      <c r="E3590" s="53"/>
      <c r="F3590" s="54"/>
      <c r="G3590" s="23"/>
      <c r="H3590" s="54"/>
      <c r="I3590" s="53"/>
      <c r="J3590" s="53"/>
      <c r="K3590" s="23"/>
      <c r="L3590" s="53"/>
      <c r="M3590" s="54"/>
    </row>
    <row r="3591">
      <c r="A3591" s="23"/>
      <c r="B3591" s="52"/>
      <c r="C3591" s="53"/>
      <c r="D3591" s="23"/>
      <c r="E3591" s="53"/>
      <c r="F3591" s="54"/>
      <c r="G3591" s="54"/>
      <c r="H3591" s="54"/>
      <c r="I3591" s="53"/>
      <c r="J3591" s="53"/>
      <c r="K3591" s="23"/>
      <c r="L3591" s="53"/>
      <c r="M3591" s="54"/>
    </row>
    <row r="3592">
      <c r="A3592" s="23"/>
      <c r="B3592" s="52"/>
      <c r="C3592" s="53"/>
      <c r="D3592" s="23"/>
      <c r="E3592" s="53"/>
      <c r="F3592" s="54"/>
      <c r="G3592" s="23"/>
      <c r="H3592" s="54"/>
      <c r="I3592" s="53"/>
      <c r="J3592" s="53"/>
      <c r="K3592" s="23"/>
      <c r="L3592" s="53"/>
      <c r="M3592" s="54"/>
    </row>
    <row r="3593">
      <c r="A3593" s="23"/>
      <c r="B3593" s="52"/>
      <c r="C3593" s="53"/>
      <c r="D3593" s="23"/>
      <c r="E3593" s="53"/>
      <c r="F3593" s="54"/>
      <c r="G3593" s="23"/>
      <c r="H3593" s="54"/>
      <c r="I3593" s="53"/>
      <c r="J3593" s="53"/>
      <c r="K3593" s="23"/>
      <c r="L3593" s="53"/>
      <c r="M3593" s="54"/>
    </row>
    <row r="3594">
      <c r="A3594" s="23"/>
      <c r="B3594" s="52"/>
      <c r="C3594" s="53"/>
      <c r="D3594" s="23"/>
      <c r="E3594" s="53"/>
      <c r="F3594" s="54"/>
      <c r="G3594" s="54"/>
      <c r="H3594" s="54"/>
      <c r="I3594" s="53"/>
      <c r="J3594" s="53"/>
      <c r="K3594" s="23"/>
      <c r="L3594" s="53"/>
      <c r="M3594" s="54"/>
    </row>
    <row r="3595">
      <c r="A3595" s="23"/>
      <c r="B3595" s="52"/>
      <c r="C3595" s="53"/>
      <c r="D3595" s="23"/>
      <c r="E3595" s="53"/>
      <c r="F3595" s="54"/>
      <c r="G3595" s="23"/>
      <c r="H3595" s="54"/>
      <c r="I3595" s="53"/>
      <c r="J3595" s="23"/>
      <c r="K3595" s="23"/>
      <c r="L3595" s="53"/>
      <c r="M3595" s="54"/>
    </row>
    <row r="3596">
      <c r="A3596" s="23"/>
      <c r="B3596" s="52"/>
      <c r="C3596" s="53"/>
      <c r="D3596" s="23"/>
      <c r="E3596" s="53"/>
      <c r="F3596" s="54"/>
      <c r="G3596" s="23"/>
      <c r="H3596" s="54"/>
      <c r="I3596" s="53"/>
      <c r="J3596" s="53"/>
      <c r="K3596" s="23"/>
      <c r="L3596" s="53"/>
      <c r="M3596" s="54"/>
    </row>
    <row r="3597">
      <c r="A3597" s="23"/>
      <c r="B3597" s="52"/>
      <c r="C3597" s="53"/>
      <c r="D3597" s="23"/>
      <c r="E3597" s="53"/>
      <c r="F3597" s="54"/>
      <c r="G3597" s="54"/>
      <c r="H3597" s="54"/>
      <c r="I3597" s="53"/>
      <c r="J3597" s="53"/>
      <c r="K3597" s="23"/>
      <c r="L3597" s="53"/>
      <c r="M3597" s="54"/>
    </row>
    <row r="3598">
      <c r="A3598" s="23"/>
      <c r="B3598" s="52"/>
      <c r="C3598" s="53"/>
      <c r="D3598" s="23"/>
      <c r="E3598" s="53"/>
      <c r="F3598" s="54"/>
      <c r="G3598" s="54"/>
      <c r="H3598" s="54"/>
      <c r="I3598" s="53"/>
      <c r="J3598" s="53"/>
      <c r="K3598" s="23"/>
      <c r="L3598" s="53"/>
      <c r="M3598" s="54"/>
    </row>
    <row r="3599">
      <c r="A3599" s="23"/>
      <c r="B3599" s="52"/>
      <c r="C3599" s="53"/>
      <c r="D3599" s="23"/>
      <c r="E3599" s="53"/>
      <c r="F3599" s="54"/>
      <c r="G3599" s="23"/>
      <c r="H3599" s="54"/>
      <c r="I3599" s="53"/>
      <c r="J3599" s="53"/>
      <c r="K3599" s="23"/>
      <c r="L3599" s="53"/>
      <c r="M3599" s="54"/>
    </row>
    <row r="3600">
      <c r="A3600" s="23"/>
      <c r="B3600" s="52"/>
      <c r="C3600" s="53"/>
      <c r="D3600" s="23"/>
      <c r="E3600" s="53"/>
      <c r="F3600" s="54"/>
      <c r="G3600" s="23"/>
      <c r="H3600" s="54"/>
      <c r="I3600" s="53"/>
      <c r="J3600" s="23"/>
      <c r="K3600" s="23"/>
      <c r="L3600" s="53"/>
      <c r="M3600" s="54"/>
    </row>
    <row r="3601">
      <c r="A3601" s="23"/>
      <c r="B3601" s="52"/>
      <c r="C3601" s="53"/>
      <c r="D3601" s="23"/>
      <c r="E3601" s="53"/>
      <c r="F3601" s="54"/>
      <c r="G3601" s="54"/>
      <c r="H3601" s="54"/>
      <c r="I3601" s="53"/>
      <c r="J3601" s="53"/>
      <c r="K3601" s="23"/>
      <c r="L3601" s="53"/>
      <c r="M3601" s="54"/>
    </row>
    <row r="3602">
      <c r="A3602" s="23"/>
      <c r="B3602" s="52"/>
      <c r="C3602" s="53"/>
      <c r="D3602" s="23"/>
      <c r="E3602" s="53"/>
      <c r="F3602" s="54"/>
      <c r="G3602" s="23"/>
      <c r="H3602" s="54"/>
      <c r="I3602" s="53"/>
      <c r="J3602" s="53"/>
      <c r="K3602" s="23"/>
      <c r="L3602" s="53"/>
      <c r="M3602" s="54"/>
    </row>
    <row r="3603">
      <c r="A3603" s="23"/>
      <c r="B3603" s="52"/>
      <c r="C3603" s="53"/>
      <c r="D3603" s="23"/>
      <c r="E3603" s="53"/>
      <c r="F3603" s="54"/>
      <c r="G3603" s="23"/>
      <c r="H3603" s="54"/>
      <c r="I3603" s="53"/>
      <c r="J3603" s="23"/>
      <c r="K3603" s="23"/>
      <c r="L3603" s="53"/>
      <c r="M3603" s="54"/>
    </row>
    <row r="3604">
      <c r="A3604" s="23"/>
      <c r="B3604" s="52"/>
      <c r="C3604" s="53"/>
      <c r="D3604" s="23"/>
      <c r="E3604" s="53"/>
      <c r="F3604" s="54"/>
      <c r="G3604" s="23"/>
      <c r="H3604" s="54"/>
      <c r="I3604" s="53"/>
      <c r="J3604" s="53"/>
      <c r="K3604" s="23"/>
      <c r="L3604" s="53"/>
      <c r="M3604" s="54"/>
    </row>
    <row r="3605">
      <c r="A3605" s="23"/>
      <c r="B3605" s="52"/>
      <c r="C3605" s="53"/>
      <c r="D3605" s="23"/>
      <c r="E3605" s="53"/>
      <c r="F3605" s="54"/>
      <c r="G3605" s="23"/>
      <c r="H3605" s="54"/>
      <c r="I3605" s="53"/>
      <c r="J3605" s="23"/>
      <c r="K3605" s="23"/>
      <c r="L3605" s="53"/>
      <c r="M3605" s="54"/>
    </row>
    <row r="3606">
      <c r="A3606" s="23"/>
      <c r="B3606" s="52"/>
      <c r="C3606" s="53"/>
      <c r="D3606" s="23"/>
      <c r="E3606" s="53"/>
      <c r="F3606" s="54"/>
      <c r="G3606" s="54"/>
      <c r="H3606" s="54"/>
      <c r="I3606" s="53"/>
      <c r="J3606" s="53"/>
      <c r="K3606" s="23"/>
      <c r="L3606" s="53"/>
      <c r="M3606" s="54"/>
    </row>
    <row r="3607">
      <c r="A3607" s="23"/>
      <c r="B3607" s="52"/>
      <c r="C3607" s="53"/>
      <c r="D3607" s="23"/>
      <c r="E3607" s="53"/>
      <c r="F3607" s="54"/>
      <c r="G3607" s="54"/>
      <c r="H3607" s="54"/>
      <c r="I3607" s="53"/>
      <c r="J3607" s="53"/>
      <c r="K3607" s="23"/>
      <c r="L3607" s="53"/>
      <c r="M3607" s="54"/>
    </row>
    <row r="3608">
      <c r="A3608" s="23"/>
      <c r="B3608" s="52"/>
      <c r="C3608" s="53"/>
      <c r="D3608" s="23"/>
      <c r="E3608" s="53"/>
      <c r="F3608" s="54"/>
      <c r="G3608" s="54"/>
      <c r="H3608" s="54"/>
      <c r="I3608" s="53"/>
      <c r="J3608" s="53"/>
      <c r="K3608" s="23"/>
      <c r="L3608" s="53"/>
      <c r="M3608" s="54"/>
    </row>
    <row r="3609">
      <c r="A3609" s="23"/>
      <c r="B3609" s="52"/>
      <c r="C3609" s="53"/>
      <c r="D3609" s="23"/>
      <c r="E3609" s="53"/>
      <c r="F3609" s="54"/>
      <c r="G3609" s="23"/>
      <c r="H3609" s="54"/>
      <c r="I3609" s="53"/>
      <c r="J3609" s="53"/>
      <c r="K3609" s="23"/>
      <c r="L3609" s="53"/>
      <c r="M3609" s="54"/>
    </row>
    <row r="3610">
      <c r="A3610" s="23"/>
      <c r="B3610" s="52"/>
      <c r="C3610" s="53"/>
      <c r="D3610" s="23"/>
      <c r="E3610" s="53"/>
      <c r="F3610" s="54"/>
      <c r="G3610" s="54"/>
      <c r="H3610" s="54"/>
      <c r="I3610" s="53"/>
      <c r="J3610" s="53"/>
      <c r="K3610" s="23"/>
      <c r="L3610" s="53"/>
      <c r="M3610" s="54"/>
    </row>
    <row r="3611">
      <c r="A3611" s="23"/>
      <c r="B3611" s="52"/>
      <c r="C3611" s="56"/>
      <c r="D3611" s="23"/>
      <c r="E3611" s="53"/>
      <c r="F3611" s="54"/>
      <c r="G3611" s="54"/>
      <c r="H3611" s="54"/>
      <c r="I3611" s="53"/>
      <c r="J3611" s="53"/>
      <c r="K3611" s="23"/>
      <c r="L3611" s="53"/>
      <c r="M3611" s="54"/>
    </row>
    <row r="3612">
      <c r="A3612" s="23"/>
      <c r="B3612" s="52"/>
      <c r="C3612" s="53"/>
      <c r="D3612" s="23"/>
      <c r="E3612" s="53"/>
      <c r="F3612" s="54"/>
      <c r="G3612" s="54"/>
      <c r="H3612" s="54"/>
      <c r="I3612" s="53"/>
      <c r="J3612" s="53"/>
      <c r="K3612" s="23"/>
      <c r="L3612" s="53"/>
      <c r="M3612" s="54"/>
    </row>
    <row r="3613">
      <c r="A3613" s="23"/>
      <c r="B3613" s="52"/>
      <c r="C3613" s="53"/>
      <c r="D3613" s="23"/>
      <c r="E3613" s="53"/>
      <c r="F3613" s="54"/>
      <c r="G3613" s="54"/>
      <c r="H3613" s="54"/>
      <c r="I3613" s="53"/>
      <c r="J3613" s="53"/>
      <c r="K3613" s="23"/>
      <c r="L3613" s="53"/>
      <c r="M3613" s="54"/>
    </row>
    <row r="3614">
      <c r="A3614" s="23"/>
      <c r="B3614" s="52"/>
      <c r="C3614" s="53"/>
      <c r="D3614" s="23"/>
      <c r="E3614" s="53"/>
      <c r="F3614" s="54"/>
      <c r="G3614" s="23"/>
      <c r="H3614" s="54"/>
      <c r="I3614" s="53"/>
      <c r="J3614" s="53"/>
      <c r="K3614" s="23"/>
      <c r="L3614" s="53"/>
      <c r="M3614" s="54"/>
    </row>
    <row r="3615">
      <c r="A3615" s="23"/>
      <c r="B3615" s="52"/>
      <c r="C3615" s="53"/>
      <c r="D3615" s="23"/>
      <c r="E3615" s="53"/>
      <c r="F3615" s="54"/>
      <c r="G3615" s="54"/>
      <c r="H3615" s="54"/>
      <c r="I3615" s="53"/>
      <c r="J3615" s="53"/>
      <c r="K3615" s="23"/>
      <c r="L3615" s="53"/>
      <c r="M3615" s="54"/>
    </row>
    <row r="3616">
      <c r="A3616" s="23"/>
      <c r="B3616" s="52"/>
      <c r="C3616" s="53"/>
      <c r="D3616" s="23"/>
      <c r="E3616" s="53"/>
      <c r="F3616" s="54"/>
      <c r="G3616" s="23"/>
      <c r="H3616" s="54"/>
      <c r="I3616" s="53"/>
      <c r="J3616" s="53"/>
      <c r="K3616" s="23"/>
      <c r="L3616" s="53"/>
      <c r="M3616" s="54"/>
    </row>
    <row r="3617">
      <c r="A3617" s="23"/>
      <c r="B3617" s="52"/>
      <c r="C3617" s="53"/>
      <c r="D3617" s="23"/>
      <c r="E3617" s="53"/>
      <c r="F3617" s="54"/>
      <c r="G3617" s="23"/>
      <c r="H3617" s="54"/>
      <c r="I3617" s="53"/>
      <c r="J3617" s="53"/>
      <c r="K3617" s="23"/>
      <c r="L3617" s="53"/>
      <c r="M3617" s="54"/>
    </row>
    <row r="3618">
      <c r="A3618" s="23"/>
      <c r="B3618" s="52"/>
      <c r="C3618" s="53"/>
      <c r="D3618" s="23"/>
      <c r="E3618" s="53"/>
      <c r="F3618" s="54"/>
      <c r="G3618" s="23"/>
      <c r="H3618" s="54"/>
      <c r="I3618" s="53"/>
      <c r="J3618" s="53"/>
      <c r="K3618" s="23"/>
      <c r="L3618" s="53"/>
      <c r="M3618" s="54"/>
    </row>
    <row r="3619">
      <c r="A3619" s="23"/>
      <c r="B3619" s="52"/>
      <c r="C3619" s="53"/>
      <c r="D3619" s="23"/>
      <c r="E3619" s="53"/>
      <c r="F3619" s="54"/>
      <c r="G3619" s="54"/>
      <c r="H3619" s="54"/>
      <c r="I3619" s="53"/>
      <c r="J3619" s="53"/>
      <c r="K3619" s="23"/>
      <c r="L3619" s="53"/>
      <c r="M3619" s="54"/>
    </row>
    <row r="3620">
      <c r="A3620" s="23"/>
      <c r="B3620" s="52"/>
      <c r="C3620" s="53"/>
      <c r="D3620" s="23"/>
      <c r="E3620" s="53"/>
      <c r="F3620" s="54"/>
      <c r="G3620" s="54"/>
      <c r="H3620" s="54"/>
      <c r="I3620" s="53"/>
      <c r="J3620" s="53"/>
      <c r="K3620" s="23"/>
      <c r="L3620" s="53"/>
      <c r="M3620" s="54"/>
    </row>
    <row r="3621">
      <c r="A3621" s="23"/>
      <c r="B3621" s="52"/>
      <c r="C3621" s="53"/>
      <c r="D3621" s="23"/>
      <c r="E3621" s="53"/>
      <c r="F3621" s="54"/>
      <c r="G3621" s="54"/>
      <c r="H3621" s="54"/>
      <c r="I3621" s="53"/>
      <c r="J3621" s="53"/>
      <c r="K3621" s="23"/>
      <c r="L3621" s="53"/>
      <c r="M3621" s="54"/>
    </row>
    <row r="3622">
      <c r="A3622" s="23"/>
      <c r="B3622" s="52"/>
      <c r="C3622" s="53"/>
      <c r="D3622" s="23"/>
      <c r="E3622" s="53"/>
      <c r="F3622" s="54"/>
      <c r="G3622" s="54"/>
      <c r="H3622" s="54"/>
      <c r="I3622" s="53"/>
      <c r="J3622" s="53"/>
      <c r="K3622" s="23"/>
      <c r="L3622" s="53"/>
      <c r="M3622" s="54"/>
    </row>
    <row r="3623">
      <c r="A3623" s="23"/>
      <c r="B3623" s="52"/>
      <c r="C3623" s="53"/>
      <c r="D3623" s="23"/>
      <c r="E3623" s="53"/>
      <c r="F3623" s="54"/>
      <c r="G3623" s="54"/>
      <c r="H3623" s="54"/>
      <c r="I3623" s="53"/>
      <c r="J3623" s="53"/>
      <c r="K3623" s="23"/>
      <c r="L3623" s="53"/>
      <c r="M3623" s="54"/>
    </row>
    <row r="3624">
      <c r="A3624" s="23"/>
      <c r="B3624" s="52"/>
      <c r="C3624" s="53"/>
      <c r="D3624" s="23"/>
      <c r="E3624" s="53"/>
      <c r="F3624" s="54"/>
      <c r="G3624" s="23"/>
      <c r="H3624" s="54"/>
      <c r="I3624" s="53"/>
      <c r="J3624" s="53"/>
      <c r="K3624" s="23"/>
      <c r="L3624" s="53"/>
      <c r="M3624" s="54"/>
    </row>
    <row r="3625">
      <c r="A3625" s="23"/>
      <c r="B3625" s="52"/>
      <c r="C3625" s="53"/>
      <c r="D3625" s="23"/>
      <c r="E3625" s="53"/>
      <c r="F3625" s="54"/>
      <c r="G3625" s="54"/>
      <c r="H3625" s="54"/>
      <c r="I3625" s="53"/>
      <c r="J3625" s="53"/>
      <c r="K3625" s="23"/>
      <c r="L3625" s="53"/>
      <c r="M3625" s="54"/>
    </row>
    <row r="3626">
      <c r="A3626" s="23"/>
      <c r="B3626" s="52"/>
      <c r="C3626" s="53"/>
      <c r="D3626" s="23"/>
      <c r="E3626" s="53"/>
      <c r="F3626" s="54"/>
      <c r="G3626" s="54"/>
      <c r="H3626" s="54"/>
      <c r="I3626" s="53"/>
      <c r="J3626" s="53"/>
      <c r="K3626" s="23"/>
      <c r="L3626" s="53"/>
      <c r="M3626" s="54"/>
    </row>
    <row r="3627">
      <c r="A3627" s="23"/>
      <c r="B3627" s="52"/>
      <c r="C3627" s="53"/>
      <c r="D3627" s="23"/>
      <c r="E3627" s="53"/>
      <c r="F3627" s="54"/>
      <c r="G3627" s="54"/>
      <c r="H3627" s="54"/>
      <c r="I3627" s="53"/>
      <c r="J3627" s="53"/>
      <c r="K3627" s="23"/>
      <c r="L3627" s="53"/>
      <c r="M3627" s="54"/>
    </row>
    <row r="3628">
      <c r="A3628" s="23"/>
      <c r="B3628" s="52"/>
      <c r="C3628" s="53"/>
      <c r="D3628" s="23"/>
      <c r="E3628" s="53"/>
      <c r="F3628" s="54"/>
      <c r="G3628" s="23"/>
      <c r="H3628" s="54"/>
      <c r="I3628" s="53"/>
      <c r="J3628" s="53"/>
      <c r="K3628" s="23"/>
      <c r="L3628" s="53"/>
      <c r="M3628" s="54"/>
    </row>
    <row r="3629">
      <c r="A3629" s="23"/>
      <c r="B3629" s="52"/>
      <c r="C3629" s="53"/>
      <c r="D3629" s="23"/>
      <c r="E3629" s="53"/>
      <c r="F3629" s="54"/>
      <c r="G3629" s="54"/>
      <c r="H3629" s="54"/>
      <c r="I3629" s="53"/>
      <c r="J3629" s="53"/>
      <c r="K3629" s="23"/>
      <c r="L3629" s="53"/>
      <c r="M3629" s="54"/>
    </row>
    <row r="3630">
      <c r="A3630" s="23"/>
      <c r="B3630" s="52"/>
      <c r="C3630" s="53"/>
      <c r="D3630" s="23"/>
      <c r="E3630" s="53"/>
      <c r="F3630" s="54"/>
      <c r="G3630" s="54"/>
      <c r="H3630" s="54"/>
      <c r="I3630" s="53"/>
      <c r="J3630" s="53"/>
      <c r="K3630" s="23"/>
      <c r="L3630" s="53"/>
      <c r="M3630" s="54"/>
    </row>
    <row r="3631">
      <c r="A3631" s="23"/>
      <c r="B3631" s="52"/>
      <c r="C3631" s="53"/>
      <c r="D3631" s="23"/>
      <c r="E3631" s="53"/>
      <c r="F3631" s="54"/>
      <c r="G3631" s="54"/>
      <c r="H3631" s="54"/>
      <c r="I3631" s="53"/>
      <c r="J3631" s="53"/>
      <c r="K3631" s="23"/>
      <c r="L3631" s="53"/>
      <c r="M3631" s="54"/>
    </row>
    <row r="3632">
      <c r="A3632" s="23"/>
      <c r="B3632" s="52"/>
      <c r="C3632" s="53"/>
      <c r="D3632" s="23"/>
      <c r="E3632" s="53"/>
      <c r="F3632" s="54"/>
      <c r="G3632" s="54"/>
      <c r="H3632" s="54"/>
      <c r="I3632" s="53"/>
      <c r="J3632" s="53"/>
      <c r="K3632" s="23"/>
      <c r="L3632" s="53"/>
      <c r="M3632" s="54"/>
    </row>
    <row r="3633">
      <c r="A3633" s="23"/>
      <c r="B3633" s="52"/>
      <c r="C3633" s="53"/>
      <c r="D3633" s="23"/>
      <c r="E3633" s="56"/>
      <c r="F3633" s="54"/>
      <c r="G3633" s="23"/>
      <c r="H3633" s="54"/>
      <c r="I3633" s="53"/>
      <c r="J3633" s="53"/>
      <c r="K3633" s="23"/>
      <c r="L3633" s="53"/>
      <c r="M3633" s="54"/>
    </row>
    <row r="3634">
      <c r="A3634" s="23"/>
      <c r="B3634" s="52"/>
      <c r="C3634" s="53"/>
      <c r="D3634" s="23"/>
      <c r="E3634" s="53"/>
      <c r="F3634" s="54"/>
      <c r="G3634" s="23"/>
      <c r="H3634" s="54"/>
      <c r="I3634" s="53"/>
      <c r="J3634" s="53"/>
      <c r="K3634" s="23"/>
      <c r="L3634" s="53"/>
      <c r="M3634" s="54"/>
    </row>
    <row r="3635">
      <c r="A3635" s="23"/>
      <c r="B3635" s="52"/>
      <c r="C3635" s="53"/>
      <c r="D3635" s="23"/>
      <c r="E3635" s="53"/>
      <c r="F3635" s="54"/>
      <c r="G3635" s="23"/>
      <c r="H3635" s="54"/>
      <c r="I3635" s="53"/>
      <c r="J3635" s="53"/>
      <c r="K3635" s="23"/>
      <c r="L3635" s="53"/>
      <c r="M3635" s="54"/>
    </row>
    <row r="3636">
      <c r="A3636" s="23"/>
      <c r="B3636" s="52"/>
      <c r="C3636" s="53"/>
      <c r="D3636" s="23"/>
      <c r="E3636" s="53"/>
      <c r="F3636" s="54"/>
      <c r="G3636" s="23"/>
      <c r="H3636" s="54"/>
      <c r="I3636" s="53"/>
      <c r="J3636" s="53"/>
      <c r="K3636" s="23"/>
      <c r="L3636" s="53"/>
      <c r="M3636" s="54"/>
    </row>
    <row r="3637">
      <c r="A3637" s="23"/>
      <c r="B3637" s="52"/>
      <c r="C3637" s="53"/>
      <c r="D3637" s="23"/>
      <c r="E3637" s="53"/>
      <c r="F3637" s="54"/>
      <c r="G3637" s="23"/>
      <c r="H3637" s="54"/>
      <c r="I3637" s="53"/>
      <c r="J3637" s="23"/>
      <c r="K3637" s="23"/>
      <c r="L3637" s="53"/>
      <c r="M3637" s="54"/>
    </row>
    <row r="3638">
      <c r="A3638" s="23"/>
      <c r="B3638" s="52"/>
      <c r="C3638" s="53"/>
      <c r="D3638" s="23"/>
      <c r="E3638" s="53"/>
      <c r="F3638" s="54"/>
      <c r="G3638" s="54"/>
      <c r="H3638" s="54"/>
      <c r="I3638" s="53"/>
      <c r="J3638" s="53"/>
      <c r="K3638" s="23"/>
      <c r="L3638" s="53"/>
      <c r="M3638" s="54"/>
    </row>
    <row r="3639">
      <c r="A3639" s="23"/>
      <c r="B3639" s="52"/>
      <c r="C3639" s="53"/>
      <c r="D3639" s="23"/>
      <c r="E3639" s="53"/>
      <c r="F3639" s="54"/>
      <c r="G3639" s="23"/>
      <c r="H3639" s="54"/>
      <c r="I3639" s="53"/>
      <c r="J3639" s="53"/>
      <c r="K3639" s="23"/>
      <c r="L3639" s="53"/>
      <c r="M3639" s="54"/>
    </row>
    <row r="3640">
      <c r="A3640" s="23"/>
      <c r="B3640" s="52"/>
      <c r="C3640" s="53"/>
      <c r="D3640" s="23"/>
      <c r="E3640" s="53"/>
      <c r="F3640" s="54"/>
      <c r="G3640" s="23"/>
      <c r="H3640" s="54"/>
      <c r="I3640" s="53"/>
      <c r="J3640" s="23"/>
      <c r="K3640" s="23"/>
      <c r="L3640" s="53"/>
      <c r="M3640" s="54"/>
    </row>
    <row r="3641">
      <c r="A3641" s="23"/>
      <c r="B3641" s="52"/>
      <c r="C3641" s="53"/>
      <c r="D3641" s="23"/>
      <c r="E3641" s="53"/>
      <c r="F3641" s="54"/>
      <c r="G3641" s="54"/>
      <c r="H3641" s="54"/>
      <c r="I3641" s="53"/>
      <c r="J3641" s="53"/>
      <c r="K3641" s="23"/>
      <c r="L3641" s="53"/>
      <c r="M3641" s="54"/>
    </row>
    <row r="3642">
      <c r="A3642" s="23"/>
      <c r="B3642" s="52"/>
      <c r="C3642" s="53"/>
      <c r="D3642" s="23"/>
      <c r="E3642" s="53"/>
      <c r="F3642" s="54"/>
      <c r="G3642" s="54"/>
      <c r="H3642" s="54"/>
      <c r="I3642" s="53"/>
      <c r="J3642" s="53"/>
      <c r="K3642" s="23"/>
      <c r="L3642" s="53"/>
      <c r="M3642" s="54"/>
    </row>
    <row r="3643">
      <c r="A3643" s="23"/>
      <c r="B3643" s="52"/>
      <c r="C3643" s="53"/>
      <c r="D3643" s="23"/>
      <c r="E3643" s="53"/>
      <c r="F3643" s="54"/>
      <c r="G3643" s="23"/>
      <c r="H3643" s="54"/>
      <c r="I3643" s="53"/>
      <c r="J3643" s="53"/>
      <c r="K3643" s="23"/>
      <c r="L3643" s="53"/>
      <c r="M3643" s="54"/>
    </row>
    <row r="3644">
      <c r="A3644" s="23"/>
      <c r="B3644" s="52"/>
      <c r="C3644" s="53"/>
      <c r="D3644" s="23"/>
      <c r="E3644" s="53"/>
      <c r="F3644" s="54"/>
      <c r="G3644" s="54"/>
      <c r="H3644" s="54"/>
      <c r="I3644" s="53"/>
      <c r="J3644" s="53"/>
      <c r="K3644" s="23"/>
      <c r="L3644" s="53"/>
      <c r="M3644" s="54"/>
    </row>
    <row r="3645">
      <c r="A3645" s="23"/>
      <c r="B3645" s="52"/>
      <c r="C3645" s="53"/>
      <c r="D3645" s="23"/>
      <c r="E3645" s="53"/>
      <c r="F3645" s="54"/>
      <c r="G3645" s="23"/>
      <c r="H3645" s="54"/>
      <c r="I3645" s="53"/>
      <c r="J3645" s="23"/>
      <c r="K3645" s="23"/>
      <c r="L3645" s="53"/>
      <c r="M3645" s="54"/>
    </row>
    <row r="3646">
      <c r="A3646" s="23"/>
      <c r="B3646" s="52"/>
      <c r="C3646" s="53"/>
      <c r="D3646" s="23"/>
      <c r="E3646" s="53"/>
      <c r="F3646" s="54"/>
      <c r="G3646" s="23"/>
      <c r="H3646" s="54"/>
      <c r="I3646" s="53"/>
      <c r="J3646" s="53"/>
      <c r="K3646" s="23"/>
      <c r="L3646" s="53"/>
      <c r="M3646" s="54"/>
    </row>
    <row r="3647">
      <c r="A3647" s="23"/>
      <c r="B3647" s="52"/>
      <c r="C3647" s="53"/>
      <c r="D3647" s="23"/>
      <c r="E3647" s="53"/>
      <c r="F3647" s="54"/>
      <c r="G3647" s="23"/>
      <c r="H3647" s="54"/>
      <c r="I3647" s="53"/>
      <c r="J3647" s="23"/>
      <c r="K3647" s="23"/>
      <c r="L3647" s="53"/>
      <c r="M3647" s="54"/>
    </row>
    <row r="3648">
      <c r="A3648" s="23"/>
      <c r="B3648" s="52"/>
      <c r="C3648" s="53"/>
      <c r="D3648" s="23"/>
      <c r="E3648" s="53"/>
      <c r="F3648" s="54"/>
      <c r="G3648" s="23"/>
      <c r="H3648" s="54"/>
      <c r="I3648" s="53"/>
      <c r="J3648" s="23"/>
      <c r="K3648" s="23"/>
      <c r="L3648" s="53"/>
      <c r="M3648" s="54"/>
    </row>
    <row r="3649">
      <c r="A3649" s="23"/>
      <c r="B3649" s="52"/>
      <c r="C3649" s="53"/>
      <c r="D3649" s="23"/>
      <c r="E3649" s="53"/>
      <c r="F3649" s="54"/>
      <c r="G3649" s="23"/>
      <c r="H3649" s="54"/>
      <c r="I3649" s="53"/>
      <c r="J3649" s="53"/>
      <c r="K3649" s="23"/>
      <c r="L3649" s="53"/>
      <c r="M3649" s="54"/>
    </row>
    <row r="3650">
      <c r="A3650" s="23"/>
      <c r="B3650" s="52"/>
      <c r="C3650" s="53"/>
      <c r="D3650" s="23"/>
      <c r="E3650" s="53"/>
      <c r="F3650" s="54"/>
      <c r="G3650" s="54"/>
      <c r="H3650" s="54"/>
      <c r="I3650" s="53"/>
      <c r="J3650" s="53"/>
      <c r="K3650" s="23"/>
      <c r="L3650" s="53"/>
      <c r="M3650" s="54"/>
    </row>
    <row r="3651">
      <c r="A3651" s="23"/>
      <c r="B3651" s="52"/>
      <c r="C3651" s="53"/>
      <c r="D3651" s="23"/>
      <c r="E3651" s="53"/>
      <c r="F3651" s="54"/>
      <c r="G3651" s="23"/>
      <c r="H3651" s="54"/>
      <c r="I3651" s="53"/>
      <c r="J3651" s="53"/>
      <c r="K3651" s="23"/>
      <c r="L3651" s="53"/>
      <c r="M3651" s="54"/>
    </row>
    <row r="3652">
      <c r="A3652" s="23"/>
      <c r="B3652" s="52"/>
      <c r="C3652" s="53"/>
      <c r="D3652" s="23"/>
      <c r="E3652" s="53"/>
      <c r="F3652" s="54"/>
      <c r="G3652" s="54"/>
      <c r="H3652" s="54"/>
      <c r="I3652" s="53"/>
      <c r="J3652" s="53"/>
      <c r="K3652" s="23"/>
      <c r="L3652" s="53"/>
      <c r="M3652" s="54"/>
    </row>
    <row r="3653">
      <c r="A3653" s="23"/>
      <c r="B3653" s="52"/>
      <c r="C3653" s="53"/>
      <c r="D3653" s="23"/>
      <c r="E3653" s="53"/>
      <c r="F3653" s="54"/>
      <c r="G3653" s="23"/>
      <c r="H3653" s="54"/>
      <c r="I3653" s="53"/>
      <c r="J3653" s="53"/>
      <c r="K3653" s="23"/>
      <c r="L3653" s="53"/>
      <c r="M3653" s="54"/>
    </row>
    <row r="3654">
      <c r="A3654" s="23"/>
      <c r="B3654" s="52"/>
      <c r="C3654" s="53"/>
      <c r="D3654" s="23"/>
      <c r="E3654" s="53"/>
      <c r="F3654" s="54"/>
      <c r="G3654" s="54"/>
      <c r="H3654" s="54"/>
      <c r="I3654" s="53"/>
      <c r="J3654" s="53"/>
      <c r="K3654" s="23"/>
      <c r="L3654" s="53"/>
      <c r="M3654" s="54"/>
    </row>
    <row r="3655">
      <c r="A3655" s="23"/>
      <c r="B3655" s="52"/>
      <c r="C3655" s="53"/>
      <c r="D3655" s="23"/>
      <c r="E3655" s="53"/>
      <c r="F3655" s="54"/>
      <c r="G3655" s="54"/>
      <c r="H3655" s="54"/>
      <c r="I3655" s="53"/>
      <c r="J3655" s="53"/>
      <c r="K3655" s="23"/>
      <c r="L3655" s="53"/>
      <c r="M3655" s="54"/>
    </row>
    <row r="3656">
      <c r="A3656" s="23"/>
      <c r="B3656" s="52"/>
      <c r="C3656" s="53"/>
      <c r="D3656" s="23"/>
      <c r="E3656" s="53"/>
      <c r="F3656" s="54"/>
      <c r="G3656" s="23"/>
      <c r="H3656" s="54"/>
      <c r="I3656" s="53"/>
      <c r="J3656" s="53"/>
      <c r="K3656" s="23"/>
      <c r="L3656" s="53"/>
      <c r="M3656" s="54"/>
    </row>
    <row r="3657">
      <c r="A3657" s="23"/>
      <c r="B3657" s="52"/>
      <c r="C3657" s="53"/>
      <c r="D3657" s="23"/>
      <c r="E3657" s="53"/>
      <c r="F3657" s="54"/>
      <c r="G3657" s="54"/>
      <c r="H3657" s="54"/>
      <c r="I3657" s="53"/>
      <c r="J3657" s="53"/>
      <c r="K3657" s="23"/>
      <c r="L3657" s="53"/>
      <c r="M3657" s="54"/>
    </row>
    <row r="3658">
      <c r="A3658" s="23"/>
      <c r="B3658" s="52"/>
      <c r="C3658" s="53"/>
      <c r="D3658" s="23"/>
      <c r="E3658" s="53"/>
      <c r="F3658" s="54"/>
      <c r="G3658" s="23"/>
      <c r="H3658" s="54"/>
      <c r="I3658" s="53"/>
      <c r="J3658" s="53"/>
      <c r="K3658" s="23"/>
      <c r="L3658" s="53"/>
      <c r="M3658" s="54"/>
    </row>
    <row r="3659">
      <c r="A3659" s="23"/>
      <c r="B3659" s="52"/>
      <c r="C3659" s="53"/>
      <c r="D3659" s="23"/>
      <c r="E3659" s="53"/>
      <c r="F3659" s="54"/>
      <c r="G3659" s="23"/>
      <c r="H3659" s="54"/>
      <c r="I3659" s="53"/>
      <c r="J3659" s="53"/>
      <c r="K3659" s="23"/>
      <c r="L3659" s="53"/>
      <c r="M3659" s="54"/>
    </row>
    <row r="3660">
      <c r="A3660" s="23"/>
      <c r="B3660" s="52"/>
      <c r="C3660" s="53"/>
      <c r="D3660" s="23"/>
      <c r="E3660" s="53"/>
      <c r="F3660" s="54"/>
      <c r="G3660" s="54"/>
      <c r="H3660" s="54"/>
      <c r="I3660" s="53"/>
      <c r="J3660" s="53"/>
      <c r="K3660" s="23"/>
      <c r="L3660" s="53"/>
      <c r="M3660" s="54"/>
    </row>
    <row r="3661">
      <c r="A3661" s="23"/>
      <c r="B3661" s="52"/>
      <c r="C3661" s="53"/>
      <c r="D3661" s="23"/>
      <c r="E3661" s="53"/>
      <c r="F3661" s="54"/>
      <c r="G3661" s="54"/>
      <c r="H3661" s="54"/>
      <c r="I3661" s="53"/>
      <c r="J3661" s="53"/>
      <c r="K3661" s="23"/>
      <c r="L3661" s="53"/>
      <c r="M3661" s="54"/>
    </row>
    <row r="3662">
      <c r="A3662" s="23"/>
      <c r="B3662" s="52"/>
      <c r="C3662" s="53"/>
      <c r="D3662" s="23"/>
      <c r="E3662" s="53"/>
      <c r="F3662" s="54"/>
      <c r="G3662" s="54"/>
      <c r="H3662" s="54"/>
      <c r="I3662" s="53"/>
      <c r="J3662" s="53"/>
      <c r="K3662" s="23"/>
      <c r="L3662" s="53"/>
      <c r="M3662" s="54"/>
    </row>
    <row r="3663">
      <c r="A3663" s="23"/>
      <c r="B3663" s="52"/>
      <c r="C3663" s="53"/>
      <c r="D3663" s="23"/>
      <c r="E3663" s="53"/>
      <c r="F3663" s="54"/>
      <c r="G3663" s="54"/>
      <c r="H3663" s="54"/>
      <c r="I3663" s="53"/>
      <c r="J3663" s="53"/>
      <c r="K3663" s="23"/>
      <c r="L3663" s="53"/>
      <c r="M3663" s="54"/>
    </row>
    <row r="3664">
      <c r="A3664" s="23"/>
      <c r="B3664" s="52"/>
      <c r="C3664" s="53"/>
      <c r="D3664" s="23"/>
      <c r="E3664" s="53"/>
      <c r="F3664" s="54"/>
      <c r="G3664" s="23"/>
      <c r="H3664" s="54"/>
      <c r="I3664" s="53"/>
      <c r="J3664" s="23"/>
      <c r="K3664" s="23"/>
      <c r="L3664" s="53"/>
      <c r="M3664" s="54"/>
    </row>
    <row r="3665">
      <c r="A3665" s="23"/>
      <c r="B3665" s="52"/>
      <c r="C3665" s="53"/>
      <c r="D3665" s="23"/>
      <c r="E3665" s="53"/>
      <c r="F3665" s="54"/>
      <c r="G3665" s="54"/>
      <c r="H3665" s="54"/>
      <c r="I3665" s="53"/>
      <c r="J3665" s="53"/>
      <c r="K3665" s="23"/>
      <c r="L3665" s="53"/>
      <c r="M3665" s="54"/>
    </row>
    <row r="3666">
      <c r="A3666" s="23"/>
      <c r="B3666" s="52"/>
      <c r="C3666" s="53"/>
      <c r="D3666" s="23"/>
      <c r="E3666" s="53"/>
      <c r="F3666" s="54"/>
      <c r="G3666" s="23"/>
      <c r="H3666" s="54"/>
      <c r="I3666" s="53"/>
      <c r="J3666" s="53"/>
      <c r="K3666" s="23"/>
      <c r="L3666" s="53"/>
      <c r="M3666" s="54"/>
    </row>
    <row r="3667">
      <c r="A3667" s="23"/>
      <c r="B3667" s="52"/>
      <c r="C3667" s="53"/>
      <c r="D3667" s="23"/>
      <c r="E3667" s="53"/>
      <c r="F3667" s="54"/>
      <c r="G3667" s="54"/>
      <c r="H3667" s="54"/>
      <c r="I3667" s="53"/>
      <c r="J3667" s="53"/>
      <c r="K3667" s="23"/>
      <c r="L3667" s="53"/>
      <c r="M3667" s="54"/>
    </row>
    <row r="3668">
      <c r="A3668" s="23"/>
      <c r="B3668" s="52"/>
      <c r="C3668" s="53"/>
      <c r="D3668" s="23"/>
      <c r="E3668" s="53"/>
      <c r="F3668" s="54"/>
      <c r="G3668" s="54"/>
      <c r="H3668" s="54"/>
      <c r="I3668" s="53"/>
      <c r="J3668" s="53"/>
      <c r="K3668" s="23"/>
      <c r="L3668" s="53"/>
      <c r="M3668" s="54"/>
    </row>
    <row r="3669">
      <c r="A3669" s="23"/>
      <c r="B3669" s="52"/>
      <c r="C3669" s="53"/>
      <c r="D3669" s="23"/>
      <c r="E3669" s="53"/>
      <c r="F3669" s="54"/>
      <c r="G3669" s="23"/>
      <c r="H3669" s="54"/>
      <c r="I3669" s="53"/>
      <c r="J3669" s="53"/>
      <c r="K3669" s="53"/>
      <c r="L3669" s="53"/>
      <c r="M3669" s="54"/>
    </row>
    <row r="3670">
      <c r="A3670" s="23"/>
      <c r="B3670" s="52"/>
      <c r="C3670" s="56"/>
      <c r="D3670" s="23"/>
      <c r="E3670" s="53"/>
      <c r="F3670" s="54"/>
      <c r="G3670" s="54"/>
      <c r="H3670" s="54"/>
      <c r="I3670" s="53"/>
      <c r="J3670" s="53"/>
      <c r="K3670" s="23"/>
      <c r="L3670" s="53"/>
      <c r="M3670" s="54"/>
    </row>
    <row r="3671">
      <c r="A3671" s="23"/>
      <c r="B3671" s="52"/>
      <c r="C3671" s="53"/>
      <c r="D3671" s="23"/>
      <c r="E3671" s="53"/>
      <c r="F3671" s="54"/>
      <c r="G3671" s="54"/>
      <c r="H3671" s="54"/>
      <c r="I3671" s="53"/>
      <c r="J3671" s="53"/>
      <c r="K3671" s="23"/>
      <c r="L3671" s="53"/>
      <c r="M3671" s="54"/>
    </row>
    <row r="3672">
      <c r="A3672" s="23"/>
      <c r="B3672" s="52"/>
      <c r="C3672" s="53"/>
      <c r="D3672" s="23"/>
      <c r="E3672" s="53"/>
      <c r="F3672" s="54"/>
      <c r="G3672" s="54"/>
      <c r="H3672" s="54"/>
      <c r="I3672" s="53"/>
      <c r="J3672" s="53"/>
      <c r="K3672" s="23"/>
      <c r="L3672" s="53"/>
      <c r="M3672" s="54"/>
    </row>
    <row r="3673">
      <c r="A3673" s="23"/>
      <c r="B3673" s="52"/>
      <c r="C3673" s="53"/>
      <c r="D3673" s="23"/>
      <c r="E3673" s="53"/>
      <c r="F3673" s="54"/>
      <c r="G3673" s="54"/>
      <c r="H3673" s="54"/>
      <c r="I3673" s="53"/>
      <c r="J3673" s="53"/>
      <c r="K3673" s="23"/>
      <c r="L3673" s="53"/>
      <c r="M3673" s="54"/>
    </row>
    <row r="3674">
      <c r="A3674" s="23"/>
      <c r="B3674" s="52"/>
      <c r="C3674" s="53"/>
      <c r="D3674" s="23"/>
      <c r="E3674" s="53"/>
      <c r="F3674" s="54"/>
      <c r="G3674" s="54"/>
      <c r="H3674" s="54"/>
      <c r="I3674" s="53"/>
      <c r="J3674" s="53"/>
      <c r="K3674" s="23"/>
      <c r="L3674" s="53"/>
      <c r="M3674" s="54"/>
    </row>
    <row r="3675">
      <c r="A3675" s="23"/>
      <c r="B3675" s="52"/>
      <c r="C3675" s="53"/>
      <c r="D3675" s="23"/>
      <c r="E3675" s="53"/>
      <c r="F3675" s="54"/>
      <c r="G3675" s="54"/>
      <c r="H3675" s="54"/>
      <c r="I3675" s="53"/>
      <c r="J3675" s="53"/>
      <c r="K3675" s="23"/>
      <c r="L3675" s="53"/>
      <c r="M3675" s="54"/>
    </row>
    <row r="3676">
      <c r="A3676" s="23"/>
      <c r="B3676" s="52"/>
      <c r="C3676" s="53"/>
      <c r="D3676" s="23"/>
      <c r="E3676" s="53"/>
      <c r="F3676" s="54"/>
      <c r="G3676" s="23"/>
      <c r="H3676" s="54"/>
      <c r="I3676" s="53"/>
      <c r="J3676" s="53"/>
      <c r="K3676" s="23"/>
      <c r="L3676" s="53"/>
      <c r="M3676" s="54"/>
    </row>
    <row r="3677">
      <c r="A3677" s="23"/>
      <c r="B3677" s="52"/>
      <c r="C3677" s="53"/>
      <c r="D3677" s="23"/>
      <c r="E3677" s="53"/>
      <c r="F3677" s="54"/>
      <c r="G3677" s="23"/>
      <c r="H3677" s="54"/>
      <c r="I3677" s="53"/>
      <c r="J3677" s="53"/>
      <c r="K3677" s="23"/>
      <c r="L3677" s="53"/>
      <c r="M3677" s="54"/>
    </row>
    <row r="3678">
      <c r="A3678" s="23"/>
      <c r="B3678" s="52"/>
      <c r="C3678" s="53"/>
      <c r="D3678" s="23"/>
      <c r="E3678" s="53"/>
      <c r="F3678" s="54"/>
      <c r="G3678" s="23"/>
      <c r="H3678" s="54"/>
      <c r="I3678" s="53"/>
      <c r="J3678" s="53"/>
      <c r="K3678" s="23"/>
      <c r="L3678" s="53"/>
      <c r="M3678" s="54"/>
    </row>
    <row r="3679">
      <c r="A3679" s="23"/>
      <c r="B3679" s="52"/>
      <c r="C3679" s="53"/>
      <c r="D3679" s="23"/>
      <c r="E3679" s="53"/>
      <c r="F3679" s="54"/>
      <c r="G3679" s="23"/>
      <c r="H3679" s="54"/>
      <c r="I3679" s="53"/>
      <c r="J3679" s="23"/>
      <c r="K3679" s="23"/>
      <c r="L3679" s="53"/>
      <c r="M3679" s="54"/>
    </row>
    <row r="3680">
      <c r="A3680" s="23"/>
      <c r="B3680" s="52"/>
      <c r="C3680" s="53"/>
      <c r="D3680" s="23"/>
      <c r="E3680" s="53"/>
      <c r="F3680" s="54"/>
      <c r="G3680" s="23"/>
      <c r="H3680" s="54"/>
      <c r="I3680" s="53"/>
      <c r="J3680" s="53"/>
      <c r="K3680" s="23"/>
      <c r="L3680" s="53"/>
      <c r="M3680" s="54"/>
    </row>
    <row r="3681">
      <c r="A3681" s="23"/>
      <c r="B3681" s="52"/>
      <c r="C3681" s="53"/>
      <c r="D3681" s="23"/>
      <c r="E3681" s="53"/>
      <c r="F3681" s="54"/>
      <c r="G3681" s="54"/>
      <c r="H3681" s="54"/>
      <c r="I3681" s="53"/>
      <c r="J3681" s="53"/>
      <c r="K3681" s="23"/>
      <c r="L3681" s="53"/>
      <c r="M3681" s="54"/>
    </row>
    <row r="3682">
      <c r="A3682" s="23"/>
      <c r="B3682" s="52"/>
      <c r="C3682" s="53"/>
      <c r="D3682" s="23"/>
      <c r="E3682" s="53"/>
      <c r="F3682" s="54"/>
      <c r="G3682" s="54"/>
      <c r="H3682" s="54"/>
      <c r="I3682" s="53"/>
      <c r="J3682" s="53"/>
      <c r="K3682" s="23"/>
      <c r="L3682" s="53"/>
      <c r="M3682" s="54"/>
    </row>
    <row r="3683">
      <c r="A3683" s="23"/>
      <c r="B3683" s="52"/>
      <c r="C3683" s="53"/>
      <c r="D3683" s="23"/>
      <c r="E3683" s="53"/>
      <c r="F3683" s="54"/>
      <c r="G3683" s="23"/>
      <c r="H3683" s="54"/>
      <c r="I3683" s="53"/>
      <c r="J3683" s="53"/>
      <c r="K3683" s="23"/>
      <c r="L3683" s="53"/>
      <c r="M3683" s="54"/>
    </row>
    <row r="3684">
      <c r="A3684" s="23"/>
      <c r="B3684" s="52"/>
      <c r="C3684" s="53"/>
      <c r="D3684" s="23"/>
      <c r="E3684" s="53"/>
      <c r="F3684" s="54"/>
      <c r="G3684" s="23"/>
      <c r="H3684" s="54"/>
      <c r="I3684" s="53"/>
      <c r="J3684" s="23"/>
      <c r="K3684" s="23"/>
      <c r="L3684" s="53"/>
      <c r="M3684" s="54"/>
    </row>
    <row r="3685">
      <c r="A3685" s="23"/>
      <c r="B3685" s="52"/>
      <c r="C3685" s="56"/>
      <c r="D3685" s="23"/>
      <c r="E3685" s="53"/>
      <c r="F3685" s="54"/>
      <c r="G3685" s="54"/>
      <c r="H3685" s="54"/>
      <c r="I3685" s="53"/>
      <c r="J3685" s="53"/>
      <c r="K3685" s="23"/>
      <c r="L3685" s="53"/>
      <c r="M3685" s="54"/>
    </row>
    <row r="3686">
      <c r="A3686" s="23"/>
      <c r="B3686" s="52"/>
      <c r="C3686" s="53"/>
      <c r="D3686" s="23"/>
      <c r="E3686" s="53"/>
      <c r="F3686" s="54"/>
      <c r="G3686" s="23"/>
      <c r="H3686" s="54"/>
      <c r="I3686" s="53"/>
      <c r="J3686" s="23"/>
      <c r="K3686" s="53"/>
      <c r="L3686" s="53"/>
      <c r="M3686" s="54"/>
    </row>
    <row r="3687">
      <c r="A3687" s="23"/>
      <c r="B3687" s="52"/>
      <c r="C3687" s="53"/>
      <c r="D3687" s="23"/>
      <c r="E3687" s="53"/>
      <c r="F3687" s="54"/>
      <c r="G3687" s="54"/>
      <c r="H3687" s="54"/>
      <c r="I3687" s="53"/>
      <c r="J3687" s="53"/>
      <c r="K3687" s="23"/>
      <c r="L3687" s="53"/>
      <c r="M3687" s="54"/>
    </row>
    <row r="3688">
      <c r="A3688" s="23"/>
      <c r="B3688" s="52"/>
      <c r="C3688" s="53"/>
      <c r="D3688" s="23"/>
      <c r="E3688" s="53"/>
      <c r="F3688" s="54"/>
      <c r="G3688" s="54"/>
      <c r="H3688" s="54"/>
      <c r="I3688" s="53"/>
      <c r="J3688" s="53"/>
      <c r="K3688" s="23"/>
      <c r="L3688" s="53"/>
      <c r="M3688" s="54"/>
    </row>
    <row r="3689">
      <c r="A3689" s="23"/>
      <c r="B3689" s="52"/>
      <c r="C3689" s="53"/>
      <c r="D3689" s="23"/>
      <c r="E3689" s="53"/>
      <c r="F3689" s="54"/>
      <c r="G3689" s="54"/>
      <c r="H3689" s="54"/>
      <c r="I3689" s="53"/>
      <c r="J3689" s="53"/>
      <c r="K3689" s="23"/>
      <c r="L3689" s="53"/>
      <c r="M3689" s="54"/>
    </row>
    <row r="3690">
      <c r="A3690" s="23"/>
      <c r="B3690" s="52"/>
      <c r="C3690" s="53"/>
      <c r="D3690" s="23"/>
      <c r="E3690" s="53"/>
      <c r="F3690" s="54"/>
      <c r="G3690" s="23"/>
      <c r="H3690" s="54"/>
      <c r="I3690" s="53"/>
      <c r="J3690" s="53"/>
      <c r="K3690" s="23"/>
      <c r="L3690" s="53"/>
      <c r="M3690" s="54"/>
    </row>
    <row r="3691">
      <c r="A3691" s="23"/>
      <c r="B3691" s="52"/>
      <c r="C3691" s="53"/>
      <c r="D3691" s="23"/>
      <c r="E3691" s="53"/>
      <c r="F3691" s="54"/>
      <c r="G3691" s="23"/>
      <c r="H3691" s="54"/>
      <c r="I3691" s="53"/>
      <c r="J3691" s="53"/>
      <c r="K3691" s="23"/>
      <c r="L3691" s="53"/>
      <c r="M3691" s="54"/>
    </row>
    <row r="3692">
      <c r="A3692" s="23"/>
      <c r="B3692" s="52"/>
      <c r="C3692" s="53"/>
      <c r="D3692" s="23"/>
      <c r="E3692" s="53"/>
      <c r="F3692" s="54"/>
      <c r="G3692" s="23"/>
      <c r="H3692" s="54"/>
      <c r="I3692" s="53"/>
      <c r="J3692" s="53"/>
      <c r="K3692" s="23"/>
      <c r="L3692" s="53"/>
      <c r="M3692" s="54"/>
    </row>
    <row r="3693">
      <c r="A3693" s="23"/>
      <c r="B3693" s="52"/>
      <c r="C3693" s="53"/>
      <c r="D3693" s="23"/>
      <c r="E3693" s="53"/>
      <c r="F3693" s="54"/>
      <c r="G3693" s="23"/>
      <c r="H3693" s="54"/>
      <c r="I3693" s="53"/>
      <c r="J3693" s="53"/>
      <c r="K3693" s="23"/>
      <c r="L3693" s="53"/>
      <c r="M3693" s="54"/>
    </row>
    <row r="3694">
      <c r="A3694" s="23"/>
      <c r="B3694" s="52"/>
      <c r="C3694" s="53"/>
      <c r="D3694" s="23"/>
      <c r="E3694" s="53"/>
      <c r="F3694" s="54"/>
      <c r="G3694" s="23"/>
      <c r="H3694" s="54"/>
      <c r="I3694" s="53"/>
      <c r="J3694" s="23"/>
      <c r="K3694" s="23"/>
      <c r="L3694" s="53"/>
      <c r="M3694" s="54"/>
    </row>
    <row r="3695">
      <c r="A3695" s="23"/>
      <c r="B3695" s="52"/>
      <c r="C3695" s="53"/>
      <c r="D3695" s="23"/>
      <c r="E3695" s="53"/>
      <c r="F3695" s="54"/>
      <c r="G3695" s="23"/>
      <c r="H3695" s="54"/>
      <c r="I3695" s="53"/>
      <c r="J3695" s="23"/>
      <c r="K3695" s="23"/>
      <c r="L3695" s="53"/>
      <c r="M3695" s="54"/>
    </row>
    <row r="3696">
      <c r="A3696" s="23"/>
      <c r="B3696" s="52"/>
      <c r="C3696" s="53"/>
      <c r="D3696" s="23"/>
      <c r="E3696" s="53"/>
      <c r="F3696" s="54"/>
      <c r="G3696" s="54"/>
      <c r="H3696" s="54"/>
      <c r="I3696" s="53"/>
      <c r="J3696" s="53"/>
      <c r="K3696" s="23"/>
      <c r="L3696" s="53"/>
      <c r="M3696" s="54"/>
    </row>
    <row r="3697">
      <c r="A3697" s="23"/>
      <c r="B3697" s="52"/>
      <c r="C3697" s="53"/>
      <c r="D3697" s="23"/>
      <c r="E3697" s="53"/>
      <c r="F3697" s="54"/>
      <c r="G3697" s="23"/>
      <c r="H3697" s="54"/>
      <c r="I3697" s="53"/>
      <c r="J3697" s="23"/>
      <c r="K3697" s="23"/>
      <c r="L3697" s="53"/>
      <c r="M3697" s="54"/>
    </row>
    <row r="3698">
      <c r="A3698" s="23"/>
      <c r="B3698" s="52"/>
      <c r="C3698" s="53"/>
      <c r="D3698" s="23"/>
      <c r="E3698" s="53"/>
      <c r="F3698" s="54"/>
      <c r="G3698" s="54"/>
      <c r="H3698" s="54"/>
      <c r="I3698" s="53"/>
      <c r="J3698" s="53"/>
      <c r="K3698" s="23"/>
      <c r="L3698" s="53"/>
      <c r="M3698" s="54"/>
    </row>
    <row r="3699">
      <c r="A3699" s="23"/>
      <c r="B3699" s="52"/>
      <c r="C3699" s="53"/>
      <c r="D3699" s="23"/>
      <c r="E3699" s="53"/>
      <c r="F3699" s="54"/>
      <c r="G3699" s="23"/>
      <c r="H3699" s="54"/>
      <c r="I3699" s="53"/>
      <c r="J3699" s="23"/>
      <c r="K3699" s="23"/>
      <c r="L3699" s="53"/>
      <c r="M3699" s="54"/>
    </row>
    <row r="3700">
      <c r="A3700" s="23"/>
      <c r="B3700" s="52"/>
      <c r="C3700" s="53"/>
      <c r="D3700" s="23"/>
      <c r="E3700" s="53"/>
      <c r="F3700" s="54"/>
      <c r="G3700" s="54"/>
      <c r="H3700" s="54"/>
      <c r="I3700" s="53"/>
      <c r="J3700" s="53"/>
      <c r="K3700" s="23"/>
      <c r="L3700" s="53"/>
      <c r="M3700" s="54"/>
    </row>
    <row r="3701">
      <c r="A3701" s="23"/>
      <c r="B3701" s="52"/>
      <c r="C3701" s="53"/>
      <c r="D3701" s="23"/>
      <c r="E3701" s="53"/>
      <c r="F3701" s="54"/>
      <c r="G3701" s="23"/>
      <c r="H3701" s="54"/>
      <c r="I3701" s="53"/>
      <c r="J3701" s="53"/>
      <c r="K3701" s="23"/>
      <c r="L3701" s="53"/>
      <c r="M3701" s="54"/>
    </row>
    <row r="3702">
      <c r="A3702" s="23"/>
      <c r="B3702" s="52"/>
      <c r="C3702" s="53"/>
      <c r="D3702" s="23"/>
      <c r="E3702" s="53"/>
      <c r="F3702" s="54"/>
      <c r="G3702" s="23"/>
      <c r="H3702" s="54"/>
      <c r="I3702" s="53"/>
      <c r="J3702" s="53"/>
      <c r="K3702" s="23"/>
      <c r="L3702" s="53"/>
      <c r="M3702" s="54"/>
    </row>
    <row r="3703">
      <c r="A3703" s="23"/>
      <c r="B3703" s="52"/>
      <c r="C3703" s="53"/>
      <c r="D3703" s="23"/>
      <c r="E3703" s="53"/>
      <c r="F3703" s="54"/>
      <c r="G3703" s="23"/>
      <c r="H3703" s="54"/>
      <c r="I3703" s="53"/>
      <c r="J3703" s="53"/>
      <c r="K3703" s="23"/>
      <c r="L3703" s="53"/>
      <c r="M3703" s="54"/>
    </row>
    <row r="3704">
      <c r="A3704" s="23"/>
      <c r="B3704" s="52"/>
      <c r="C3704" s="53"/>
      <c r="D3704" s="23"/>
      <c r="E3704" s="53"/>
      <c r="F3704" s="54"/>
      <c r="G3704" s="54"/>
      <c r="H3704" s="54"/>
      <c r="I3704" s="53"/>
      <c r="J3704" s="53"/>
      <c r="K3704" s="23"/>
      <c r="L3704" s="53"/>
      <c r="M3704" s="54"/>
    </row>
    <row r="3705">
      <c r="A3705" s="23"/>
      <c r="B3705" s="52"/>
      <c r="C3705" s="53"/>
      <c r="D3705" s="23"/>
      <c r="E3705" s="53"/>
      <c r="F3705" s="54"/>
      <c r="G3705" s="54"/>
      <c r="H3705" s="54"/>
      <c r="I3705" s="53"/>
      <c r="J3705" s="53"/>
      <c r="K3705" s="23"/>
      <c r="L3705" s="53"/>
      <c r="M3705" s="54"/>
    </row>
    <row r="3706">
      <c r="A3706" s="23"/>
      <c r="B3706" s="52"/>
      <c r="C3706" s="53"/>
      <c r="D3706" s="23"/>
      <c r="E3706" s="53"/>
      <c r="F3706" s="54"/>
      <c r="G3706" s="23"/>
      <c r="H3706" s="54"/>
      <c r="I3706" s="53"/>
      <c r="J3706" s="23"/>
      <c r="K3706" s="23"/>
      <c r="L3706" s="53"/>
      <c r="M3706" s="54"/>
    </row>
    <row r="3707">
      <c r="A3707" s="23"/>
      <c r="B3707" s="52"/>
      <c r="C3707" s="53"/>
      <c r="D3707" s="23"/>
      <c r="E3707" s="53"/>
      <c r="F3707" s="54"/>
      <c r="G3707" s="23"/>
      <c r="H3707" s="54"/>
      <c r="I3707" s="53"/>
      <c r="J3707" s="53"/>
      <c r="K3707" s="23"/>
      <c r="L3707" s="53"/>
      <c r="M3707" s="54"/>
    </row>
    <row r="3708">
      <c r="A3708" s="23"/>
      <c r="B3708" s="52"/>
      <c r="C3708" s="53"/>
      <c r="D3708" s="23"/>
      <c r="E3708" s="53"/>
      <c r="F3708" s="54"/>
      <c r="G3708" s="23"/>
      <c r="H3708" s="54"/>
      <c r="I3708" s="53"/>
      <c r="J3708" s="23"/>
      <c r="K3708" s="23"/>
      <c r="L3708" s="53"/>
      <c r="M3708" s="54"/>
    </row>
    <row r="3709">
      <c r="A3709" s="23"/>
      <c r="B3709" s="52"/>
      <c r="C3709" s="53"/>
      <c r="D3709" s="23"/>
      <c r="E3709" s="53"/>
      <c r="F3709" s="54"/>
      <c r="G3709" s="23"/>
      <c r="H3709" s="54"/>
      <c r="I3709" s="53"/>
      <c r="J3709" s="23"/>
      <c r="K3709" s="23"/>
      <c r="L3709" s="53"/>
      <c r="M3709" s="54"/>
    </row>
    <row r="3710">
      <c r="A3710" s="23"/>
      <c r="B3710" s="52"/>
      <c r="C3710" s="53"/>
      <c r="D3710" s="23"/>
      <c r="E3710" s="53"/>
      <c r="F3710" s="54"/>
      <c r="G3710" s="54"/>
      <c r="H3710" s="54"/>
      <c r="I3710" s="53"/>
      <c r="J3710" s="53"/>
      <c r="K3710" s="23"/>
      <c r="L3710" s="53"/>
      <c r="M3710" s="54"/>
    </row>
    <row r="3711">
      <c r="A3711" s="23"/>
      <c r="B3711" s="52"/>
      <c r="C3711" s="53"/>
      <c r="D3711" s="23"/>
      <c r="E3711" s="56"/>
      <c r="F3711" s="54"/>
      <c r="G3711" s="23"/>
      <c r="H3711" s="54"/>
      <c r="I3711" s="53"/>
      <c r="J3711" s="53"/>
      <c r="K3711" s="23"/>
      <c r="L3711" s="53"/>
      <c r="M3711" s="54"/>
    </row>
    <row r="3712">
      <c r="A3712" s="23"/>
      <c r="B3712" s="52"/>
      <c r="C3712" s="53"/>
      <c r="D3712" s="23"/>
      <c r="E3712" s="53"/>
      <c r="F3712" s="54"/>
      <c r="G3712" s="54"/>
      <c r="H3712" s="54"/>
      <c r="I3712" s="53"/>
      <c r="J3712" s="53"/>
      <c r="K3712" s="23"/>
      <c r="L3712" s="53"/>
      <c r="M3712" s="54"/>
    </row>
    <row r="3713">
      <c r="A3713" s="23"/>
      <c r="B3713" s="52"/>
      <c r="C3713" s="53"/>
      <c r="D3713" s="23"/>
      <c r="E3713" s="53"/>
      <c r="F3713" s="54"/>
      <c r="G3713" s="23"/>
      <c r="H3713" s="54"/>
      <c r="I3713" s="53"/>
      <c r="J3713" s="53"/>
      <c r="K3713" s="23"/>
      <c r="L3713" s="53"/>
      <c r="M3713" s="54"/>
    </row>
    <row r="3714">
      <c r="A3714" s="23"/>
      <c r="B3714" s="52"/>
      <c r="C3714" s="53"/>
      <c r="D3714" s="23"/>
      <c r="E3714" s="53"/>
      <c r="F3714" s="54"/>
      <c r="G3714" s="54"/>
      <c r="H3714" s="54"/>
      <c r="I3714" s="53"/>
      <c r="J3714" s="53"/>
      <c r="K3714" s="23"/>
      <c r="L3714" s="53"/>
      <c r="M3714" s="54"/>
    </row>
    <row r="3715">
      <c r="A3715" s="23"/>
      <c r="B3715" s="52"/>
      <c r="C3715" s="53"/>
      <c r="D3715" s="23"/>
      <c r="E3715" s="53"/>
      <c r="F3715" s="54"/>
      <c r="G3715" s="23"/>
      <c r="H3715" s="54"/>
      <c r="I3715" s="53"/>
      <c r="J3715" s="23"/>
      <c r="K3715" s="23"/>
      <c r="L3715" s="53"/>
      <c r="M3715" s="54"/>
    </row>
    <row r="3716">
      <c r="A3716" s="23"/>
      <c r="B3716" s="52"/>
      <c r="C3716" s="53"/>
      <c r="D3716" s="23"/>
      <c r="E3716" s="53"/>
      <c r="F3716" s="54"/>
      <c r="G3716" s="23"/>
      <c r="H3716" s="54"/>
      <c r="I3716" s="53"/>
      <c r="J3716" s="53"/>
      <c r="K3716" s="23"/>
      <c r="L3716" s="53"/>
      <c r="M3716" s="54"/>
    </row>
    <row r="3717">
      <c r="A3717" s="23"/>
      <c r="B3717" s="52"/>
      <c r="C3717" s="53"/>
      <c r="D3717" s="23"/>
      <c r="E3717" s="53"/>
      <c r="F3717" s="54"/>
      <c r="G3717" s="23"/>
      <c r="H3717" s="54"/>
      <c r="I3717" s="53"/>
      <c r="J3717" s="53"/>
      <c r="K3717" s="23"/>
      <c r="L3717" s="53"/>
      <c r="M3717" s="54"/>
    </row>
    <row r="3718">
      <c r="A3718" s="23"/>
      <c r="B3718" s="52"/>
      <c r="C3718" s="53"/>
      <c r="D3718" s="23"/>
      <c r="E3718" s="53"/>
      <c r="F3718" s="54"/>
      <c r="G3718" s="54"/>
      <c r="H3718" s="54"/>
      <c r="I3718" s="53"/>
      <c r="J3718" s="53"/>
      <c r="K3718" s="23"/>
      <c r="L3718" s="53"/>
      <c r="M3718" s="54"/>
    </row>
    <row r="3719">
      <c r="A3719" s="23"/>
      <c r="B3719" s="52"/>
      <c r="C3719" s="53"/>
      <c r="D3719" s="23"/>
      <c r="E3719" s="53"/>
      <c r="F3719" s="54"/>
      <c r="G3719" s="23"/>
      <c r="H3719" s="54"/>
      <c r="I3719" s="53"/>
      <c r="J3719" s="53"/>
      <c r="K3719" s="23"/>
      <c r="L3719" s="53"/>
      <c r="M3719" s="54"/>
    </row>
    <row r="3720">
      <c r="A3720" s="23"/>
      <c r="B3720" s="52"/>
      <c r="C3720" s="53"/>
      <c r="D3720" s="23"/>
      <c r="E3720" s="53"/>
      <c r="F3720" s="54"/>
      <c r="G3720" s="23"/>
      <c r="H3720" s="54"/>
      <c r="I3720" s="53"/>
      <c r="J3720" s="23"/>
      <c r="K3720" s="23"/>
      <c r="L3720" s="53"/>
      <c r="M3720" s="54"/>
    </row>
    <row r="3721">
      <c r="A3721" s="23"/>
      <c r="B3721" s="52"/>
      <c r="C3721" s="53"/>
      <c r="D3721" s="23"/>
      <c r="E3721" s="53"/>
      <c r="F3721" s="54"/>
      <c r="G3721" s="54"/>
      <c r="H3721" s="54"/>
      <c r="I3721" s="53"/>
      <c r="J3721" s="53"/>
      <c r="K3721" s="23"/>
      <c r="L3721" s="53"/>
      <c r="M3721" s="54"/>
    </row>
    <row r="3722">
      <c r="A3722" s="23"/>
      <c r="B3722" s="52"/>
      <c r="C3722" s="53"/>
      <c r="D3722" s="23"/>
      <c r="E3722" s="53"/>
      <c r="F3722" s="54"/>
      <c r="G3722" s="23"/>
      <c r="H3722" s="54"/>
      <c r="I3722" s="53"/>
      <c r="J3722" s="53"/>
      <c r="K3722" s="23"/>
      <c r="L3722" s="53"/>
      <c r="M3722" s="54"/>
    </row>
    <row r="3723">
      <c r="A3723" s="23"/>
      <c r="B3723" s="52"/>
      <c r="C3723" s="53"/>
      <c r="D3723" s="23"/>
      <c r="E3723" s="53"/>
      <c r="F3723" s="54"/>
      <c r="G3723" s="23"/>
      <c r="H3723" s="54"/>
      <c r="I3723" s="53"/>
      <c r="J3723" s="23"/>
      <c r="K3723" s="23"/>
      <c r="L3723" s="53"/>
      <c r="M3723" s="54"/>
    </row>
    <row r="3724">
      <c r="A3724" s="23"/>
      <c r="B3724" s="52"/>
      <c r="C3724" s="53"/>
      <c r="D3724" s="23"/>
      <c r="E3724" s="53"/>
      <c r="F3724" s="54"/>
      <c r="G3724" s="54"/>
      <c r="H3724" s="54"/>
      <c r="I3724" s="53"/>
      <c r="J3724" s="53"/>
      <c r="K3724" s="23"/>
      <c r="L3724" s="53"/>
      <c r="M3724" s="54"/>
    </row>
    <row r="3725">
      <c r="A3725" s="23"/>
      <c r="B3725" s="52"/>
      <c r="C3725" s="53"/>
      <c r="D3725" s="23"/>
      <c r="E3725" s="53"/>
      <c r="F3725" s="54"/>
      <c r="G3725" s="54"/>
      <c r="H3725" s="54"/>
      <c r="I3725" s="53"/>
      <c r="J3725" s="53"/>
      <c r="K3725" s="23"/>
      <c r="L3725" s="53"/>
      <c r="M3725" s="54"/>
    </row>
    <row r="3726">
      <c r="A3726" s="23"/>
      <c r="B3726" s="52"/>
      <c r="C3726" s="53"/>
      <c r="D3726" s="23"/>
      <c r="E3726" s="53"/>
      <c r="F3726" s="54"/>
      <c r="G3726" s="23"/>
      <c r="H3726" s="54"/>
      <c r="I3726" s="53"/>
      <c r="J3726" s="23"/>
      <c r="K3726" s="23"/>
      <c r="L3726" s="53"/>
      <c r="M3726" s="54"/>
    </row>
    <row r="3727">
      <c r="A3727" s="23"/>
      <c r="B3727" s="52"/>
      <c r="C3727" s="53"/>
      <c r="D3727" s="23"/>
      <c r="E3727" s="53"/>
      <c r="F3727" s="54"/>
      <c r="G3727" s="23"/>
      <c r="H3727" s="54"/>
      <c r="I3727" s="53"/>
      <c r="J3727" s="23"/>
      <c r="K3727" s="23"/>
      <c r="L3727" s="53"/>
      <c r="M3727" s="54"/>
    </row>
    <row r="3728">
      <c r="A3728" s="23"/>
      <c r="B3728" s="52"/>
      <c r="C3728" s="53"/>
      <c r="D3728" s="23"/>
      <c r="E3728" s="53"/>
      <c r="F3728" s="54"/>
      <c r="G3728" s="23"/>
      <c r="H3728" s="54"/>
      <c r="I3728" s="53"/>
      <c r="J3728" s="23"/>
      <c r="K3728" s="23"/>
      <c r="L3728" s="53"/>
      <c r="M3728" s="54"/>
    </row>
    <row r="3729">
      <c r="A3729" s="23"/>
      <c r="B3729" s="52"/>
      <c r="C3729" s="53"/>
      <c r="D3729" s="23"/>
      <c r="E3729" s="53"/>
      <c r="F3729" s="54"/>
      <c r="G3729" s="54"/>
      <c r="H3729" s="54"/>
      <c r="I3729" s="53"/>
      <c r="J3729" s="53"/>
      <c r="K3729" s="23"/>
      <c r="L3729" s="53"/>
      <c r="M3729" s="54"/>
    </row>
    <row r="3730">
      <c r="A3730" s="23"/>
      <c r="B3730" s="52"/>
      <c r="C3730" s="53"/>
      <c r="D3730" s="23"/>
      <c r="E3730" s="53"/>
      <c r="F3730" s="54"/>
      <c r="G3730" s="54"/>
      <c r="H3730" s="54"/>
      <c r="I3730" s="53"/>
      <c r="J3730" s="53"/>
      <c r="K3730" s="23"/>
      <c r="L3730" s="53"/>
      <c r="M3730" s="54"/>
    </row>
    <row r="3731">
      <c r="A3731" s="23"/>
      <c r="B3731" s="52"/>
      <c r="C3731" s="53"/>
      <c r="D3731" s="23"/>
      <c r="E3731" s="53"/>
      <c r="F3731" s="54"/>
      <c r="G3731" s="54"/>
      <c r="H3731" s="54"/>
      <c r="I3731" s="53"/>
      <c r="J3731" s="53"/>
      <c r="K3731" s="23"/>
      <c r="L3731" s="53"/>
      <c r="M3731" s="54"/>
    </row>
    <row r="3732">
      <c r="A3732" s="23"/>
      <c r="B3732" s="52"/>
      <c r="C3732" s="53"/>
      <c r="D3732" s="23"/>
      <c r="E3732" s="53"/>
      <c r="F3732" s="54"/>
      <c r="G3732" s="23"/>
      <c r="H3732" s="54"/>
      <c r="I3732" s="53"/>
      <c r="J3732" s="23"/>
      <c r="K3732" s="23"/>
      <c r="L3732" s="53"/>
      <c r="M3732" s="54"/>
    </row>
    <row r="3733">
      <c r="A3733" s="23"/>
      <c r="B3733" s="52"/>
      <c r="C3733" s="53"/>
      <c r="D3733" s="23"/>
      <c r="E3733" s="53"/>
      <c r="F3733" s="54"/>
      <c r="G3733" s="23"/>
      <c r="H3733" s="54"/>
      <c r="I3733" s="53"/>
      <c r="J3733" s="23"/>
      <c r="K3733" s="23"/>
      <c r="L3733" s="53"/>
      <c r="M3733" s="54"/>
    </row>
    <row r="3734">
      <c r="A3734" s="23"/>
      <c r="B3734" s="52"/>
      <c r="C3734" s="53"/>
      <c r="D3734" s="23"/>
      <c r="E3734" s="53"/>
      <c r="F3734" s="54"/>
      <c r="G3734" s="54"/>
      <c r="H3734" s="54"/>
      <c r="I3734" s="53"/>
      <c r="J3734" s="53"/>
      <c r="K3734" s="23"/>
      <c r="L3734" s="53"/>
      <c r="M3734" s="54"/>
    </row>
    <row r="3735">
      <c r="A3735" s="23"/>
      <c r="B3735" s="52"/>
      <c r="C3735" s="53"/>
      <c r="D3735" s="23"/>
      <c r="E3735" s="53"/>
      <c r="F3735" s="54"/>
      <c r="G3735" s="54"/>
      <c r="H3735" s="54"/>
      <c r="I3735" s="53"/>
      <c r="J3735" s="53"/>
      <c r="K3735" s="23"/>
      <c r="L3735" s="53"/>
      <c r="M3735" s="54"/>
    </row>
    <row r="3736">
      <c r="A3736" s="23"/>
      <c r="B3736" s="52"/>
      <c r="C3736" s="53"/>
      <c r="D3736" s="23"/>
      <c r="E3736" s="53"/>
      <c r="F3736" s="54"/>
      <c r="G3736" s="54"/>
      <c r="H3736" s="54"/>
      <c r="I3736" s="53"/>
      <c r="J3736" s="53"/>
      <c r="K3736" s="23"/>
      <c r="L3736" s="53"/>
      <c r="M3736" s="54"/>
    </row>
    <row r="3737">
      <c r="A3737" s="23"/>
      <c r="B3737" s="52"/>
      <c r="C3737" s="53"/>
      <c r="D3737" s="23"/>
      <c r="E3737" s="53"/>
      <c r="F3737" s="54"/>
      <c r="G3737" s="54"/>
      <c r="H3737" s="54"/>
      <c r="I3737" s="53"/>
      <c r="J3737" s="53"/>
      <c r="K3737" s="23"/>
      <c r="L3737" s="53"/>
      <c r="M3737" s="54"/>
    </row>
    <row r="3738">
      <c r="A3738" s="23"/>
      <c r="B3738" s="52"/>
      <c r="C3738" s="53"/>
      <c r="D3738" s="23"/>
      <c r="E3738" s="53"/>
      <c r="F3738" s="54"/>
      <c r="G3738" s="54"/>
      <c r="H3738" s="54"/>
      <c r="I3738" s="53"/>
      <c r="J3738" s="53"/>
      <c r="K3738" s="23"/>
      <c r="L3738" s="53"/>
      <c r="M3738" s="54"/>
    </row>
    <row r="3739">
      <c r="A3739" s="23"/>
      <c r="B3739" s="52"/>
      <c r="C3739" s="53"/>
      <c r="D3739" s="23"/>
      <c r="E3739" s="53"/>
      <c r="F3739" s="54"/>
      <c r="G3739" s="23"/>
      <c r="H3739" s="54"/>
      <c r="I3739" s="53"/>
      <c r="J3739" s="53"/>
      <c r="K3739" s="23"/>
      <c r="L3739" s="53"/>
      <c r="M3739" s="54"/>
    </row>
    <row r="3740">
      <c r="A3740" s="23"/>
      <c r="B3740" s="52"/>
      <c r="C3740" s="53"/>
      <c r="D3740" s="23"/>
      <c r="E3740" s="53"/>
      <c r="F3740" s="54"/>
      <c r="G3740" s="54"/>
      <c r="H3740" s="54"/>
      <c r="I3740" s="53"/>
      <c r="J3740" s="53"/>
      <c r="K3740" s="23"/>
      <c r="L3740" s="53"/>
      <c r="M3740" s="54"/>
    </row>
    <row r="3741">
      <c r="A3741" s="23"/>
      <c r="B3741" s="52"/>
      <c r="C3741" s="53"/>
      <c r="D3741" s="23"/>
      <c r="E3741" s="53"/>
      <c r="F3741" s="54"/>
      <c r="G3741" s="54"/>
      <c r="H3741" s="54"/>
      <c r="I3741" s="53"/>
      <c r="J3741" s="53"/>
      <c r="K3741" s="23"/>
      <c r="L3741" s="53"/>
      <c r="M3741" s="54"/>
    </row>
    <row r="3742">
      <c r="A3742" s="23"/>
      <c r="B3742" s="52"/>
      <c r="C3742" s="53"/>
      <c r="D3742" s="23"/>
      <c r="E3742" s="53"/>
      <c r="F3742" s="54"/>
      <c r="G3742" s="23"/>
      <c r="H3742" s="54"/>
      <c r="I3742" s="53"/>
      <c r="J3742" s="53"/>
      <c r="K3742" s="23"/>
      <c r="L3742" s="53"/>
      <c r="M3742" s="54"/>
    </row>
    <row r="3743">
      <c r="A3743" s="23"/>
      <c r="B3743" s="52"/>
      <c r="C3743" s="53"/>
      <c r="D3743" s="23"/>
      <c r="E3743" s="53"/>
      <c r="F3743" s="54"/>
      <c r="G3743" s="23"/>
      <c r="H3743" s="54"/>
      <c r="I3743" s="53"/>
      <c r="J3743" s="23"/>
      <c r="K3743" s="23"/>
      <c r="L3743" s="53"/>
      <c r="M3743" s="54"/>
    </row>
    <row r="3744">
      <c r="A3744" s="23"/>
      <c r="B3744" s="52"/>
      <c r="C3744" s="53"/>
      <c r="D3744" s="23"/>
      <c r="E3744" s="53"/>
      <c r="F3744" s="54"/>
      <c r="G3744" s="23"/>
      <c r="H3744" s="54"/>
      <c r="I3744" s="53"/>
      <c r="J3744" s="53"/>
      <c r="K3744" s="23"/>
      <c r="L3744" s="53"/>
      <c r="M3744" s="54"/>
    </row>
    <row r="3745">
      <c r="A3745" s="23"/>
      <c r="B3745" s="52"/>
      <c r="C3745" s="53"/>
      <c r="D3745" s="23"/>
      <c r="E3745" s="53"/>
      <c r="F3745" s="54"/>
      <c r="G3745" s="54"/>
      <c r="H3745" s="54"/>
      <c r="I3745" s="53"/>
      <c r="J3745" s="53"/>
      <c r="K3745" s="23"/>
      <c r="L3745" s="53"/>
      <c r="M3745" s="54"/>
    </row>
    <row r="3746">
      <c r="A3746" s="23"/>
      <c r="B3746" s="52"/>
      <c r="C3746" s="53"/>
      <c r="D3746" s="23"/>
      <c r="E3746" s="53"/>
      <c r="F3746" s="54"/>
      <c r="G3746" s="23"/>
      <c r="H3746" s="54"/>
      <c r="I3746" s="53"/>
      <c r="J3746" s="53"/>
      <c r="K3746" s="23"/>
      <c r="L3746" s="53"/>
      <c r="M3746" s="54"/>
    </row>
    <row r="3747">
      <c r="A3747" s="23"/>
      <c r="B3747" s="52"/>
      <c r="C3747" s="53"/>
      <c r="D3747" s="23"/>
      <c r="E3747" s="53"/>
      <c r="F3747" s="54"/>
      <c r="G3747" s="54"/>
      <c r="H3747" s="54"/>
      <c r="I3747" s="53"/>
      <c r="J3747" s="53"/>
      <c r="K3747" s="23"/>
      <c r="L3747" s="53"/>
      <c r="M3747" s="54"/>
    </row>
    <row r="3748">
      <c r="A3748" s="23"/>
      <c r="B3748" s="52"/>
      <c r="C3748" s="53"/>
      <c r="D3748" s="23"/>
      <c r="E3748" s="53"/>
      <c r="F3748" s="54"/>
      <c r="G3748" s="54"/>
      <c r="H3748" s="54"/>
      <c r="I3748" s="53"/>
      <c r="J3748" s="53"/>
      <c r="K3748" s="23"/>
      <c r="L3748" s="53"/>
      <c r="M3748" s="54"/>
    </row>
    <row r="3749">
      <c r="A3749" s="23"/>
      <c r="B3749" s="52"/>
      <c r="C3749" s="53"/>
      <c r="D3749" s="23"/>
      <c r="E3749" s="53"/>
      <c r="F3749" s="54"/>
      <c r="G3749" s="23"/>
      <c r="H3749" s="54"/>
      <c r="I3749" s="53"/>
      <c r="J3749" s="53"/>
      <c r="K3749" s="23"/>
      <c r="L3749" s="53"/>
      <c r="M3749" s="54"/>
    </row>
    <row r="3750">
      <c r="A3750" s="23"/>
      <c r="B3750" s="52"/>
      <c r="C3750" s="53"/>
      <c r="D3750" s="23"/>
      <c r="E3750" s="53"/>
      <c r="F3750" s="54"/>
      <c r="G3750" s="54"/>
      <c r="H3750" s="54"/>
      <c r="I3750" s="53"/>
      <c r="J3750" s="53"/>
      <c r="K3750" s="23"/>
      <c r="L3750" s="53"/>
      <c r="M3750" s="54"/>
    </row>
    <row r="3751">
      <c r="A3751" s="23"/>
      <c r="B3751" s="52"/>
      <c r="C3751" s="53"/>
      <c r="D3751" s="23"/>
      <c r="E3751" s="53"/>
      <c r="F3751" s="54"/>
      <c r="G3751" s="23"/>
      <c r="H3751" s="54"/>
      <c r="I3751" s="53"/>
      <c r="J3751" s="23"/>
      <c r="K3751" s="23"/>
      <c r="L3751" s="53"/>
      <c r="M3751" s="54"/>
    </row>
    <row r="3752">
      <c r="A3752" s="23"/>
      <c r="B3752" s="52"/>
      <c r="C3752" s="53"/>
      <c r="D3752" s="23"/>
      <c r="E3752" s="53"/>
      <c r="F3752" s="54"/>
      <c r="G3752" s="23"/>
      <c r="H3752" s="54"/>
      <c r="I3752" s="53"/>
      <c r="J3752" s="53"/>
      <c r="K3752" s="23"/>
      <c r="L3752" s="53"/>
      <c r="M3752" s="54"/>
    </row>
    <row r="3753">
      <c r="A3753" s="23"/>
      <c r="B3753" s="52"/>
      <c r="C3753" s="53"/>
      <c r="D3753" s="23"/>
      <c r="E3753" s="53"/>
      <c r="F3753" s="54"/>
      <c r="G3753" s="54"/>
      <c r="H3753" s="54"/>
      <c r="I3753" s="53"/>
      <c r="J3753" s="53"/>
      <c r="K3753" s="23"/>
      <c r="L3753" s="53"/>
      <c r="M3753" s="54"/>
    </row>
    <row r="3754">
      <c r="A3754" s="23"/>
      <c r="B3754" s="52"/>
      <c r="C3754" s="53"/>
      <c r="D3754" s="23"/>
      <c r="E3754" s="53"/>
      <c r="F3754" s="54"/>
      <c r="G3754" s="54"/>
      <c r="H3754" s="54"/>
      <c r="I3754" s="53"/>
      <c r="J3754" s="53"/>
      <c r="K3754" s="23"/>
      <c r="L3754" s="53"/>
      <c r="M3754" s="54"/>
    </row>
    <row r="3755">
      <c r="A3755" s="23"/>
      <c r="B3755" s="52"/>
      <c r="C3755" s="53"/>
      <c r="D3755" s="23"/>
      <c r="E3755" s="53"/>
      <c r="F3755" s="54"/>
      <c r="G3755" s="23"/>
      <c r="H3755" s="54"/>
      <c r="I3755" s="53"/>
      <c r="J3755" s="53"/>
      <c r="K3755" s="23"/>
      <c r="L3755" s="53"/>
      <c r="M3755" s="54"/>
    </row>
    <row r="3756">
      <c r="A3756" s="23"/>
      <c r="B3756" s="52"/>
      <c r="C3756" s="53"/>
      <c r="D3756" s="23"/>
      <c r="E3756" s="53"/>
      <c r="F3756" s="54"/>
      <c r="G3756" s="54"/>
      <c r="H3756" s="54"/>
      <c r="I3756" s="53"/>
      <c r="J3756" s="53"/>
      <c r="K3756" s="23"/>
      <c r="L3756" s="53"/>
      <c r="M3756" s="54"/>
    </row>
    <row r="3757">
      <c r="A3757" s="23"/>
      <c r="B3757" s="52"/>
      <c r="C3757" s="53"/>
      <c r="D3757" s="23"/>
      <c r="E3757" s="53"/>
      <c r="F3757" s="54"/>
      <c r="G3757" s="23"/>
      <c r="H3757" s="54"/>
      <c r="I3757" s="53"/>
      <c r="J3757" s="23"/>
      <c r="K3757" s="23"/>
      <c r="L3757" s="53"/>
      <c r="M3757" s="54"/>
    </row>
    <row r="3758">
      <c r="A3758" s="23"/>
      <c r="B3758" s="52"/>
      <c r="C3758" s="53"/>
      <c r="D3758" s="23"/>
      <c r="E3758" s="53"/>
      <c r="F3758" s="54"/>
      <c r="G3758" s="23"/>
      <c r="H3758" s="54"/>
      <c r="I3758" s="53"/>
      <c r="J3758" s="23"/>
      <c r="K3758" s="23"/>
      <c r="L3758" s="53"/>
      <c r="M3758" s="54"/>
    </row>
    <row r="3759">
      <c r="A3759" s="23"/>
      <c r="B3759" s="52"/>
      <c r="C3759" s="53"/>
      <c r="D3759" s="23"/>
      <c r="E3759" s="53"/>
      <c r="F3759" s="54"/>
      <c r="G3759" s="54"/>
      <c r="H3759" s="54"/>
      <c r="I3759" s="53"/>
      <c r="J3759" s="53"/>
      <c r="K3759" s="23"/>
      <c r="L3759" s="53"/>
      <c r="M3759" s="54"/>
    </row>
    <row r="3760">
      <c r="A3760" s="23"/>
      <c r="B3760" s="52"/>
      <c r="C3760" s="53"/>
      <c r="D3760" s="23"/>
      <c r="E3760" s="53"/>
      <c r="F3760" s="54"/>
      <c r="G3760" s="23"/>
      <c r="H3760" s="54"/>
      <c r="I3760" s="53"/>
      <c r="J3760" s="23"/>
      <c r="K3760" s="23"/>
      <c r="L3760" s="53"/>
      <c r="M3760" s="54"/>
    </row>
    <row r="3761">
      <c r="A3761" s="23"/>
      <c r="B3761" s="52"/>
      <c r="C3761" s="53"/>
      <c r="D3761" s="23"/>
      <c r="E3761" s="53"/>
      <c r="F3761" s="54"/>
      <c r="G3761" s="23"/>
      <c r="H3761" s="54"/>
      <c r="I3761" s="53"/>
      <c r="J3761" s="53"/>
      <c r="K3761" s="23"/>
      <c r="L3761" s="53"/>
      <c r="M3761" s="54"/>
    </row>
    <row r="3762">
      <c r="A3762" s="23"/>
      <c r="B3762" s="52"/>
      <c r="C3762" s="53"/>
      <c r="D3762" s="23"/>
      <c r="E3762" s="53"/>
      <c r="F3762" s="54"/>
      <c r="G3762" s="23"/>
      <c r="H3762" s="54"/>
      <c r="I3762" s="53"/>
      <c r="J3762" s="53"/>
      <c r="K3762" s="23"/>
      <c r="L3762" s="53"/>
      <c r="M3762" s="54"/>
    </row>
    <row r="3763">
      <c r="A3763" s="23"/>
      <c r="B3763" s="52"/>
      <c r="C3763" s="53"/>
      <c r="D3763" s="23"/>
      <c r="E3763" s="53"/>
      <c r="F3763" s="54"/>
      <c r="G3763" s="23"/>
      <c r="H3763" s="54"/>
      <c r="I3763" s="53"/>
      <c r="J3763" s="53"/>
      <c r="K3763" s="23"/>
      <c r="L3763" s="23"/>
      <c r="M3763" s="54"/>
    </row>
    <row r="3764">
      <c r="A3764" s="23"/>
      <c r="B3764" s="52"/>
      <c r="C3764" s="53"/>
      <c r="D3764" s="23"/>
      <c r="E3764" s="53"/>
      <c r="F3764" s="54"/>
      <c r="G3764" s="54"/>
      <c r="H3764" s="54"/>
      <c r="I3764" s="53"/>
      <c r="J3764" s="53"/>
      <c r="K3764" s="23"/>
      <c r="L3764" s="53"/>
      <c r="M3764" s="54"/>
    </row>
    <row r="3765">
      <c r="A3765" s="23"/>
      <c r="B3765" s="52"/>
      <c r="C3765" s="53"/>
      <c r="D3765" s="23"/>
      <c r="E3765" s="53"/>
      <c r="F3765" s="54"/>
      <c r="G3765" s="54"/>
      <c r="H3765" s="54"/>
      <c r="I3765" s="53"/>
      <c r="J3765" s="53"/>
      <c r="K3765" s="23"/>
      <c r="L3765" s="53"/>
      <c r="M3765" s="54"/>
    </row>
    <row r="3766">
      <c r="A3766" s="23"/>
      <c r="B3766" s="52"/>
      <c r="C3766" s="53"/>
      <c r="D3766" s="23"/>
      <c r="E3766" s="53"/>
      <c r="F3766" s="54"/>
      <c r="G3766" s="23"/>
      <c r="H3766" s="54"/>
      <c r="I3766" s="53"/>
      <c r="J3766" s="23"/>
      <c r="K3766" s="23"/>
      <c r="L3766" s="53"/>
      <c r="M3766" s="54"/>
    </row>
    <row r="3767">
      <c r="A3767" s="23"/>
      <c r="B3767" s="52"/>
      <c r="C3767" s="53"/>
      <c r="D3767" s="23"/>
      <c r="E3767" s="53"/>
      <c r="F3767" s="54"/>
      <c r="G3767" s="23"/>
      <c r="H3767" s="54"/>
      <c r="I3767" s="53"/>
      <c r="J3767" s="53"/>
      <c r="K3767" s="23"/>
      <c r="L3767" s="53"/>
      <c r="M3767" s="54"/>
    </row>
    <row r="3768">
      <c r="A3768" s="23"/>
      <c r="B3768" s="52"/>
      <c r="C3768" s="53"/>
      <c r="D3768" s="23"/>
      <c r="E3768" s="53"/>
      <c r="F3768" s="54"/>
      <c r="G3768" s="54"/>
      <c r="H3768" s="54"/>
      <c r="I3768" s="53"/>
      <c r="J3768" s="53"/>
      <c r="K3768" s="23"/>
      <c r="L3768" s="53"/>
      <c r="M3768" s="54"/>
    </row>
    <row r="3769">
      <c r="A3769" s="23"/>
      <c r="B3769" s="52"/>
      <c r="C3769" s="53"/>
      <c r="D3769" s="23"/>
      <c r="E3769" s="53"/>
      <c r="F3769" s="54"/>
      <c r="G3769" s="23"/>
      <c r="H3769" s="54"/>
      <c r="I3769" s="53"/>
      <c r="J3769" s="53"/>
      <c r="K3769" s="23"/>
      <c r="L3769" s="53"/>
      <c r="M3769" s="54"/>
    </row>
    <row r="3770">
      <c r="A3770" s="23"/>
      <c r="B3770" s="52"/>
      <c r="C3770" s="53"/>
      <c r="D3770" s="23"/>
      <c r="E3770" s="53"/>
      <c r="F3770" s="54"/>
      <c r="G3770" s="23"/>
      <c r="H3770" s="54"/>
      <c r="I3770" s="53"/>
      <c r="J3770" s="23"/>
      <c r="K3770" s="23"/>
      <c r="L3770" s="53"/>
      <c r="M3770" s="54"/>
    </row>
    <row r="3771">
      <c r="A3771" s="23"/>
      <c r="B3771" s="52"/>
      <c r="C3771" s="53"/>
      <c r="D3771" s="23"/>
      <c r="E3771" s="53"/>
      <c r="F3771" s="54"/>
      <c r="G3771" s="23"/>
      <c r="H3771" s="54"/>
      <c r="I3771" s="53"/>
      <c r="J3771" s="23"/>
      <c r="K3771" s="23"/>
      <c r="L3771" s="53"/>
      <c r="M3771" s="54"/>
    </row>
    <row r="3772">
      <c r="A3772" s="23"/>
      <c r="B3772" s="52"/>
      <c r="C3772" s="53"/>
      <c r="D3772" s="23"/>
      <c r="E3772" s="53"/>
      <c r="F3772" s="54"/>
      <c r="G3772" s="54"/>
      <c r="H3772" s="54"/>
      <c r="I3772" s="53"/>
      <c r="J3772" s="53"/>
      <c r="K3772" s="23"/>
      <c r="L3772" s="53"/>
      <c r="M3772" s="54"/>
    </row>
    <row r="3773">
      <c r="A3773" s="23"/>
      <c r="B3773" s="52"/>
      <c r="C3773" s="53"/>
      <c r="D3773" s="23"/>
      <c r="E3773" s="53"/>
      <c r="F3773" s="54"/>
      <c r="G3773" s="23"/>
      <c r="H3773" s="54"/>
      <c r="I3773" s="53"/>
      <c r="J3773" s="53"/>
      <c r="K3773" s="23"/>
      <c r="L3773" s="53"/>
      <c r="M3773" s="54"/>
    </row>
    <row r="3774">
      <c r="A3774" s="23"/>
      <c r="B3774" s="52"/>
      <c r="C3774" s="53"/>
      <c r="D3774" s="23"/>
      <c r="E3774" s="53"/>
      <c r="F3774" s="54"/>
      <c r="G3774" s="54"/>
      <c r="H3774" s="54"/>
      <c r="I3774" s="53"/>
      <c r="J3774" s="53"/>
      <c r="K3774" s="23"/>
      <c r="L3774" s="53"/>
      <c r="M3774" s="54"/>
    </row>
    <row r="3775">
      <c r="A3775" s="23"/>
      <c r="B3775" s="52"/>
      <c r="C3775" s="53"/>
      <c r="D3775" s="23"/>
      <c r="E3775" s="53"/>
      <c r="F3775" s="54"/>
      <c r="G3775" s="23"/>
      <c r="H3775" s="54"/>
      <c r="I3775" s="53"/>
      <c r="J3775" s="23"/>
      <c r="K3775" s="23"/>
      <c r="L3775" s="53"/>
      <c r="M3775" s="54"/>
    </row>
    <row r="3776">
      <c r="A3776" s="23"/>
      <c r="B3776" s="52"/>
      <c r="C3776" s="53"/>
      <c r="D3776" s="23"/>
      <c r="E3776" s="53"/>
      <c r="F3776" s="54"/>
      <c r="G3776" s="23"/>
      <c r="H3776" s="54"/>
      <c r="I3776" s="53"/>
      <c r="J3776" s="23"/>
      <c r="K3776" s="23"/>
      <c r="L3776" s="53"/>
      <c r="M3776" s="54"/>
    </row>
    <row r="3777">
      <c r="A3777" s="23"/>
      <c r="B3777" s="52"/>
      <c r="C3777" s="53"/>
      <c r="D3777" s="23"/>
      <c r="E3777" s="53"/>
      <c r="F3777" s="54"/>
      <c r="G3777" s="23"/>
      <c r="H3777" s="54"/>
      <c r="I3777" s="53"/>
      <c r="J3777" s="23"/>
      <c r="K3777" s="23"/>
      <c r="L3777" s="53"/>
      <c r="M3777" s="54"/>
    </row>
    <row r="3778">
      <c r="A3778" s="23"/>
      <c r="B3778" s="52"/>
      <c r="C3778" s="53"/>
      <c r="D3778" s="23"/>
      <c r="E3778" s="53"/>
      <c r="F3778" s="54"/>
      <c r="G3778" s="23"/>
      <c r="H3778" s="54"/>
      <c r="I3778" s="53"/>
      <c r="J3778" s="53"/>
      <c r="K3778" s="23"/>
      <c r="L3778" s="53"/>
      <c r="M3778" s="54"/>
    </row>
    <row r="3779">
      <c r="A3779" s="23"/>
      <c r="B3779" s="52"/>
      <c r="C3779" s="53"/>
      <c r="D3779" s="23"/>
      <c r="E3779" s="53"/>
      <c r="F3779" s="54"/>
      <c r="G3779" s="54"/>
      <c r="H3779" s="54"/>
      <c r="I3779" s="53"/>
      <c r="J3779" s="53"/>
      <c r="K3779" s="23"/>
      <c r="L3779" s="53"/>
      <c r="M3779" s="54"/>
    </row>
    <row r="3780">
      <c r="A3780" s="23"/>
      <c r="B3780" s="52"/>
      <c r="C3780" s="53"/>
      <c r="D3780" s="23"/>
      <c r="E3780" s="53"/>
      <c r="F3780" s="54"/>
      <c r="G3780" s="54"/>
      <c r="H3780" s="54"/>
      <c r="I3780" s="53"/>
      <c r="J3780" s="53"/>
      <c r="K3780" s="23"/>
      <c r="L3780" s="53"/>
      <c r="M3780" s="54"/>
    </row>
    <row r="3781">
      <c r="A3781" s="23"/>
      <c r="B3781" s="52"/>
      <c r="C3781" s="53"/>
      <c r="D3781" s="23"/>
      <c r="E3781" s="53"/>
      <c r="F3781" s="54"/>
      <c r="G3781" s="54"/>
      <c r="H3781" s="54"/>
      <c r="I3781" s="53"/>
      <c r="J3781" s="53"/>
      <c r="K3781" s="23"/>
      <c r="L3781" s="53"/>
      <c r="M3781" s="54"/>
    </row>
    <row r="3782">
      <c r="A3782" s="23"/>
      <c r="B3782" s="52"/>
      <c r="C3782" s="53"/>
      <c r="D3782" s="23"/>
      <c r="E3782" s="53"/>
      <c r="F3782" s="54"/>
      <c r="G3782" s="23"/>
      <c r="H3782" s="54"/>
      <c r="I3782" s="53"/>
      <c r="J3782" s="23"/>
      <c r="K3782" s="23"/>
      <c r="L3782" s="53"/>
      <c r="M3782" s="54"/>
    </row>
    <row r="3783">
      <c r="A3783" s="23"/>
      <c r="B3783" s="52"/>
      <c r="C3783" s="53"/>
      <c r="D3783" s="23"/>
      <c r="E3783" s="53"/>
      <c r="F3783" s="54"/>
      <c r="G3783" s="23"/>
      <c r="H3783" s="54"/>
      <c r="I3783" s="53"/>
      <c r="J3783" s="53"/>
      <c r="K3783" s="23"/>
      <c r="L3783" s="53"/>
      <c r="M3783" s="54"/>
    </row>
    <row r="3784">
      <c r="A3784" s="23"/>
      <c r="B3784" s="52"/>
      <c r="C3784" s="53"/>
      <c r="D3784" s="23"/>
      <c r="E3784" s="53"/>
      <c r="F3784" s="54"/>
      <c r="G3784" s="23"/>
      <c r="H3784" s="54"/>
      <c r="I3784" s="53"/>
      <c r="J3784" s="53"/>
      <c r="K3784" s="23"/>
      <c r="L3784" s="53"/>
      <c r="M3784" s="54"/>
    </row>
    <row r="3785">
      <c r="A3785" s="23"/>
      <c r="B3785" s="52"/>
      <c r="C3785" s="53"/>
      <c r="D3785" s="23"/>
      <c r="E3785" s="53"/>
      <c r="F3785" s="54"/>
      <c r="G3785" s="54"/>
      <c r="H3785" s="54"/>
      <c r="I3785" s="53"/>
      <c r="J3785" s="53"/>
      <c r="K3785" s="23"/>
      <c r="L3785" s="53"/>
      <c r="M3785" s="54"/>
    </row>
    <row r="3786">
      <c r="A3786" s="23"/>
      <c r="B3786" s="52"/>
      <c r="C3786" s="53"/>
      <c r="D3786" s="23"/>
      <c r="E3786" s="53"/>
      <c r="F3786" s="54"/>
      <c r="G3786" s="23"/>
      <c r="H3786" s="54"/>
      <c r="I3786" s="53"/>
      <c r="J3786" s="23"/>
      <c r="K3786" s="23"/>
      <c r="L3786" s="53"/>
      <c r="M3786" s="54"/>
    </row>
    <row r="3787">
      <c r="A3787" s="23"/>
      <c r="B3787" s="52"/>
      <c r="C3787" s="53"/>
      <c r="D3787" s="23"/>
      <c r="E3787" s="53"/>
      <c r="F3787" s="54"/>
      <c r="G3787" s="23"/>
      <c r="H3787" s="54"/>
      <c r="I3787" s="53"/>
      <c r="J3787" s="23"/>
      <c r="K3787" s="23"/>
      <c r="L3787" s="53"/>
      <c r="M3787" s="54"/>
    </row>
    <row r="3788">
      <c r="A3788" s="23"/>
      <c r="B3788" s="52"/>
      <c r="C3788" s="53"/>
      <c r="D3788" s="23"/>
      <c r="E3788" s="53"/>
      <c r="F3788" s="54"/>
      <c r="G3788" s="54"/>
      <c r="H3788" s="54"/>
      <c r="I3788" s="53"/>
      <c r="J3788" s="53"/>
      <c r="K3788" s="23"/>
      <c r="L3788" s="53"/>
      <c r="M3788" s="54"/>
    </row>
    <row r="3789">
      <c r="A3789" s="23"/>
      <c r="B3789" s="52"/>
      <c r="C3789" s="53"/>
      <c r="D3789" s="23"/>
      <c r="E3789" s="53"/>
      <c r="F3789" s="54"/>
      <c r="G3789" s="23"/>
      <c r="H3789" s="54"/>
      <c r="I3789" s="53"/>
      <c r="J3789" s="53"/>
      <c r="K3789" s="23"/>
      <c r="L3789" s="53"/>
      <c r="M3789" s="54"/>
    </row>
    <row r="3790">
      <c r="A3790" s="23"/>
      <c r="B3790" s="52"/>
      <c r="C3790" s="53"/>
      <c r="D3790" s="23"/>
      <c r="E3790" s="53"/>
      <c r="F3790" s="54"/>
      <c r="G3790" s="23"/>
      <c r="H3790" s="54"/>
      <c r="I3790" s="53"/>
      <c r="J3790" s="53"/>
      <c r="K3790" s="23"/>
      <c r="L3790" s="53"/>
      <c r="M3790" s="54"/>
    </row>
    <row r="3791">
      <c r="A3791" s="23"/>
      <c r="B3791" s="52"/>
      <c r="C3791" s="53"/>
      <c r="D3791" s="23"/>
      <c r="E3791" s="53"/>
      <c r="F3791" s="54"/>
      <c r="G3791" s="23"/>
      <c r="H3791" s="54"/>
      <c r="I3791" s="53"/>
      <c r="J3791" s="23"/>
      <c r="K3791" s="23"/>
      <c r="L3791" s="54"/>
      <c r="M3791" s="54"/>
    </row>
    <row r="3792">
      <c r="A3792" s="23"/>
      <c r="B3792" s="52"/>
      <c r="C3792" s="53"/>
      <c r="D3792" s="23"/>
      <c r="E3792" s="53"/>
      <c r="F3792" s="54"/>
      <c r="G3792" s="23"/>
      <c r="H3792" s="54"/>
      <c r="I3792" s="53"/>
      <c r="J3792" s="23"/>
      <c r="K3792" s="23"/>
      <c r="L3792" s="53"/>
      <c r="M3792" s="54"/>
    </row>
    <row r="3793">
      <c r="A3793" s="23"/>
      <c r="B3793" s="52"/>
      <c r="C3793" s="53"/>
      <c r="D3793" s="23"/>
      <c r="E3793" s="53"/>
      <c r="F3793" s="54"/>
      <c r="G3793" s="54"/>
      <c r="H3793" s="54"/>
      <c r="I3793" s="53"/>
      <c r="J3793" s="53"/>
      <c r="K3793" s="23"/>
      <c r="L3793" s="53"/>
      <c r="M3793" s="54"/>
    </row>
    <row r="3794">
      <c r="A3794" s="23"/>
      <c r="B3794" s="52"/>
      <c r="C3794" s="53"/>
      <c r="D3794" s="23"/>
      <c r="E3794" s="53"/>
      <c r="F3794" s="54"/>
      <c r="G3794" s="54"/>
      <c r="H3794" s="54"/>
      <c r="I3794" s="53"/>
      <c r="J3794" s="53"/>
      <c r="K3794" s="23"/>
      <c r="L3794" s="53"/>
      <c r="M3794" s="54"/>
    </row>
    <row r="3795">
      <c r="A3795" s="23"/>
      <c r="B3795" s="52"/>
      <c r="C3795" s="53"/>
      <c r="D3795" s="23"/>
      <c r="E3795" s="53"/>
      <c r="F3795" s="54"/>
      <c r="G3795" s="23"/>
      <c r="H3795" s="54"/>
      <c r="I3795" s="53"/>
      <c r="J3795" s="53"/>
      <c r="K3795" s="23"/>
      <c r="L3795" s="23"/>
      <c r="M3795" s="54"/>
    </row>
    <row r="3796">
      <c r="A3796" s="23"/>
      <c r="B3796" s="52"/>
      <c r="C3796" s="53"/>
      <c r="D3796" s="23"/>
      <c r="E3796" s="53"/>
      <c r="F3796" s="54"/>
      <c r="G3796" s="54"/>
      <c r="H3796" s="54"/>
      <c r="I3796" s="53"/>
      <c r="J3796" s="53"/>
      <c r="K3796" s="23"/>
      <c r="L3796" s="53"/>
      <c r="M3796" s="54"/>
    </row>
    <row r="3797">
      <c r="A3797" s="23"/>
      <c r="B3797" s="52"/>
      <c r="C3797" s="53"/>
      <c r="D3797" s="23"/>
      <c r="E3797" s="53"/>
      <c r="F3797" s="54"/>
      <c r="G3797" s="23"/>
      <c r="H3797" s="54"/>
      <c r="I3797" s="53"/>
      <c r="J3797" s="53"/>
      <c r="K3797" s="23"/>
      <c r="L3797" s="53"/>
      <c r="M3797" s="54"/>
    </row>
    <row r="3798">
      <c r="A3798" s="23"/>
      <c r="B3798" s="52"/>
      <c r="C3798" s="53"/>
      <c r="D3798" s="23"/>
      <c r="E3798" s="53"/>
      <c r="F3798" s="54"/>
      <c r="G3798" s="23"/>
      <c r="H3798" s="54"/>
      <c r="I3798" s="53"/>
      <c r="J3798" s="23"/>
      <c r="K3798" s="23"/>
      <c r="L3798" s="53"/>
      <c r="M3798" s="54"/>
    </row>
    <row r="3799">
      <c r="A3799" s="23"/>
      <c r="B3799" s="52"/>
      <c r="C3799" s="53"/>
      <c r="D3799" s="23"/>
      <c r="E3799" s="53"/>
      <c r="F3799" s="54"/>
      <c r="G3799" s="23"/>
      <c r="H3799" s="54"/>
      <c r="I3799" s="53"/>
      <c r="J3799" s="23"/>
      <c r="K3799" s="23"/>
      <c r="L3799" s="53"/>
      <c r="M3799" s="54"/>
    </row>
    <row r="3800">
      <c r="A3800" s="23"/>
      <c r="B3800" s="52"/>
      <c r="C3800" s="53"/>
      <c r="D3800" s="23"/>
      <c r="E3800" s="53"/>
      <c r="F3800" s="54"/>
      <c r="G3800" s="54"/>
      <c r="H3800" s="54"/>
      <c r="I3800" s="53"/>
      <c r="J3800" s="53"/>
      <c r="K3800" s="23"/>
      <c r="L3800" s="53"/>
      <c r="M3800" s="54"/>
    </row>
    <row r="3801">
      <c r="A3801" s="23"/>
      <c r="B3801" s="52"/>
      <c r="C3801" s="53"/>
      <c r="D3801" s="23"/>
      <c r="E3801" s="53"/>
      <c r="F3801" s="54"/>
      <c r="G3801" s="54"/>
      <c r="H3801" s="54"/>
      <c r="I3801" s="53"/>
      <c r="J3801" s="53"/>
      <c r="K3801" s="23"/>
      <c r="L3801" s="53"/>
      <c r="M3801" s="54"/>
    </row>
    <row r="3802">
      <c r="A3802" s="23"/>
      <c r="B3802" s="52"/>
      <c r="C3802" s="53"/>
      <c r="D3802" s="23"/>
      <c r="E3802" s="53"/>
      <c r="F3802" s="54"/>
      <c r="G3802" s="54"/>
      <c r="H3802" s="54"/>
      <c r="I3802" s="53"/>
      <c r="J3802" s="53"/>
      <c r="K3802" s="23"/>
      <c r="L3802" s="53"/>
      <c r="M3802" s="54"/>
    </row>
    <row r="3803">
      <c r="A3803" s="23"/>
      <c r="B3803" s="52"/>
      <c r="C3803" s="53"/>
      <c r="D3803" s="23"/>
      <c r="E3803" s="53"/>
      <c r="F3803" s="54"/>
      <c r="G3803" s="23"/>
      <c r="H3803" s="54"/>
      <c r="I3803" s="53"/>
      <c r="J3803" s="23"/>
      <c r="K3803" s="23"/>
      <c r="L3803" s="53"/>
      <c r="M3803" s="54"/>
    </row>
    <row r="3804">
      <c r="A3804" s="23"/>
      <c r="B3804" s="52"/>
      <c r="C3804" s="53"/>
      <c r="D3804" s="23"/>
      <c r="E3804" s="53"/>
      <c r="F3804" s="54"/>
      <c r="G3804" s="54"/>
      <c r="H3804" s="54"/>
      <c r="I3804" s="53"/>
      <c r="J3804" s="53"/>
      <c r="K3804" s="23"/>
      <c r="L3804" s="53"/>
      <c r="M3804" s="54"/>
    </row>
    <row r="3805">
      <c r="A3805" s="23"/>
      <c r="B3805" s="52"/>
      <c r="C3805" s="53"/>
      <c r="D3805" s="23"/>
      <c r="E3805" s="53"/>
      <c r="F3805" s="54"/>
      <c r="G3805" s="23"/>
      <c r="H3805" s="54"/>
      <c r="I3805" s="53"/>
      <c r="J3805" s="23"/>
      <c r="K3805" s="23"/>
      <c r="L3805" s="53"/>
      <c r="M3805" s="54"/>
    </row>
    <row r="3806">
      <c r="A3806" s="23"/>
      <c r="B3806" s="52"/>
      <c r="C3806" s="53"/>
      <c r="D3806" s="23"/>
      <c r="E3806" s="53"/>
      <c r="F3806" s="54"/>
      <c r="G3806" s="54"/>
      <c r="H3806" s="54"/>
      <c r="I3806" s="53"/>
      <c r="J3806" s="53"/>
      <c r="K3806" s="23"/>
      <c r="L3806" s="53"/>
      <c r="M3806" s="54"/>
    </row>
    <row r="3807">
      <c r="A3807" s="23"/>
      <c r="B3807" s="52"/>
      <c r="C3807" s="53"/>
      <c r="D3807" s="23"/>
      <c r="E3807" s="53"/>
      <c r="F3807" s="54"/>
      <c r="G3807" s="23"/>
      <c r="H3807" s="54"/>
      <c r="I3807" s="53"/>
      <c r="J3807" s="23"/>
      <c r="K3807" s="23"/>
      <c r="L3807" s="53"/>
      <c r="M3807" s="54"/>
    </row>
    <row r="3808">
      <c r="A3808" s="23"/>
      <c r="B3808" s="52"/>
      <c r="C3808" s="53"/>
      <c r="D3808" s="23"/>
      <c r="E3808" s="53"/>
      <c r="F3808" s="54"/>
      <c r="G3808" s="54"/>
      <c r="H3808" s="54"/>
      <c r="I3808" s="53"/>
      <c r="J3808" s="53"/>
      <c r="K3808" s="23"/>
      <c r="L3808" s="53"/>
      <c r="M3808" s="54"/>
    </row>
    <row r="3809">
      <c r="A3809" s="23"/>
      <c r="B3809" s="52"/>
      <c r="C3809" s="53"/>
      <c r="D3809" s="23"/>
      <c r="E3809" s="53"/>
      <c r="F3809" s="54"/>
      <c r="G3809" s="54"/>
      <c r="H3809" s="54"/>
      <c r="I3809" s="53"/>
      <c r="J3809" s="53"/>
      <c r="K3809" s="23"/>
      <c r="L3809" s="53"/>
      <c r="M3809" s="54"/>
    </row>
    <row r="3810">
      <c r="A3810" s="23"/>
      <c r="B3810" s="52"/>
      <c r="C3810" s="53"/>
      <c r="D3810" s="23"/>
      <c r="E3810" s="53"/>
      <c r="F3810" s="54"/>
      <c r="G3810" s="23"/>
      <c r="H3810" s="54"/>
      <c r="I3810" s="53"/>
      <c r="J3810" s="23"/>
      <c r="K3810" s="23"/>
      <c r="L3810" s="53"/>
      <c r="M3810" s="54"/>
    </row>
    <row r="3811">
      <c r="A3811" s="23"/>
      <c r="B3811" s="52"/>
      <c r="C3811" s="53"/>
      <c r="D3811" s="23"/>
      <c r="E3811" s="53"/>
      <c r="F3811" s="54"/>
      <c r="G3811" s="23"/>
      <c r="H3811" s="54"/>
      <c r="I3811" s="53"/>
      <c r="J3811" s="23"/>
      <c r="K3811" s="23"/>
      <c r="L3811" s="53"/>
      <c r="M3811" s="54"/>
    </row>
    <row r="3812">
      <c r="A3812" s="23"/>
      <c r="B3812" s="52"/>
      <c r="C3812" s="53"/>
      <c r="D3812" s="23"/>
      <c r="E3812" s="53"/>
      <c r="F3812" s="54"/>
      <c r="G3812" s="54"/>
      <c r="H3812" s="54"/>
      <c r="I3812" s="53"/>
      <c r="J3812" s="53"/>
      <c r="K3812" s="23"/>
      <c r="L3812" s="53"/>
      <c r="M3812" s="54"/>
    </row>
    <row r="3813">
      <c r="A3813" s="23"/>
      <c r="B3813" s="52"/>
      <c r="C3813" s="53"/>
      <c r="D3813" s="23"/>
      <c r="E3813" s="53"/>
      <c r="F3813" s="54"/>
      <c r="G3813" s="23"/>
      <c r="H3813" s="54"/>
      <c r="I3813" s="53"/>
      <c r="J3813" s="53"/>
      <c r="K3813" s="23"/>
      <c r="L3813" s="53"/>
      <c r="M3813" s="54"/>
    </row>
    <row r="3814">
      <c r="A3814" s="23"/>
      <c r="B3814" s="52"/>
      <c r="C3814" s="53"/>
      <c r="D3814" s="23"/>
      <c r="E3814" s="53"/>
      <c r="F3814" s="54"/>
      <c r="G3814" s="54"/>
      <c r="H3814" s="54"/>
      <c r="I3814" s="53"/>
      <c r="J3814" s="53"/>
      <c r="K3814" s="23"/>
      <c r="L3814" s="53"/>
      <c r="M3814" s="54"/>
    </row>
    <row r="3815">
      <c r="A3815" s="23"/>
      <c r="B3815" s="52"/>
      <c r="C3815" s="53"/>
      <c r="D3815" s="23"/>
      <c r="E3815" s="53"/>
      <c r="F3815" s="54"/>
      <c r="G3815" s="54"/>
      <c r="H3815" s="54"/>
      <c r="I3815" s="53"/>
      <c r="J3815" s="53"/>
      <c r="K3815" s="23"/>
      <c r="L3815" s="53"/>
      <c r="M3815" s="54"/>
    </row>
    <row r="3816">
      <c r="A3816" s="23"/>
      <c r="B3816" s="52"/>
      <c r="C3816" s="53"/>
      <c r="D3816" s="23"/>
      <c r="E3816" s="53"/>
      <c r="F3816" s="54"/>
      <c r="G3816" s="54"/>
      <c r="H3816" s="54"/>
      <c r="I3816" s="53"/>
      <c r="J3816" s="53"/>
      <c r="K3816" s="23"/>
      <c r="L3816" s="53"/>
      <c r="M3816" s="54"/>
    </row>
    <row r="3817">
      <c r="A3817" s="23"/>
      <c r="B3817" s="52"/>
      <c r="C3817" s="53"/>
      <c r="D3817" s="23"/>
      <c r="E3817" s="53"/>
      <c r="F3817" s="54"/>
      <c r="G3817" s="54"/>
      <c r="H3817" s="54"/>
      <c r="I3817" s="53"/>
      <c r="J3817" s="53"/>
      <c r="K3817" s="23"/>
      <c r="L3817" s="53"/>
      <c r="M3817" s="54"/>
    </row>
    <row r="3818">
      <c r="A3818" s="23"/>
      <c r="B3818" s="52"/>
      <c r="C3818" s="53"/>
      <c r="D3818" s="23"/>
      <c r="E3818" s="53"/>
      <c r="F3818" s="54"/>
      <c r="G3818" s="23"/>
      <c r="H3818" s="54"/>
      <c r="I3818" s="53"/>
      <c r="J3818" s="23"/>
      <c r="K3818" s="23"/>
      <c r="L3818" s="53"/>
      <c r="M3818" s="54"/>
    </row>
    <row r="3819">
      <c r="A3819" s="23"/>
      <c r="B3819" s="52"/>
      <c r="C3819" s="53"/>
      <c r="D3819" s="23"/>
      <c r="E3819" s="53"/>
      <c r="F3819" s="54"/>
      <c r="G3819" s="54"/>
      <c r="H3819" s="54"/>
      <c r="I3819" s="53"/>
      <c r="J3819" s="53"/>
      <c r="K3819" s="23"/>
      <c r="L3819" s="53"/>
      <c r="M3819" s="54"/>
    </row>
    <row r="3820">
      <c r="A3820" s="23"/>
      <c r="B3820" s="52"/>
      <c r="C3820" s="53"/>
      <c r="D3820" s="23"/>
      <c r="E3820" s="53"/>
      <c r="F3820" s="54"/>
      <c r="G3820" s="23"/>
      <c r="H3820" s="54"/>
      <c r="I3820" s="53"/>
      <c r="J3820" s="23"/>
      <c r="K3820" s="23"/>
      <c r="L3820" s="53"/>
      <c r="M3820" s="54"/>
    </row>
    <row r="3821">
      <c r="A3821" s="23"/>
      <c r="B3821" s="52"/>
      <c r="C3821" s="53"/>
      <c r="D3821" s="23"/>
      <c r="E3821" s="53"/>
      <c r="F3821" s="54"/>
      <c r="G3821" s="54"/>
      <c r="H3821" s="54"/>
      <c r="I3821" s="53"/>
      <c r="J3821" s="53"/>
      <c r="K3821" s="23"/>
      <c r="L3821" s="53"/>
      <c r="M3821" s="54"/>
    </row>
    <row r="3822">
      <c r="A3822" s="23"/>
      <c r="B3822" s="52"/>
      <c r="C3822" s="53"/>
      <c r="D3822" s="23"/>
      <c r="E3822" s="53"/>
      <c r="F3822" s="54"/>
      <c r="G3822" s="23"/>
      <c r="H3822" s="54"/>
      <c r="I3822" s="53"/>
      <c r="J3822" s="23"/>
      <c r="K3822" s="23"/>
      <c r="L3822" s="53"/>
      <c r="M3822" s="54"/>
    </row>
    <row r="3823">
      <c r="A3823" s="23"/>
      <c r="B3823" s="52"/>
      <c r="C3823" s="53"/>
      <c r="D3823" s="23"/>
      <c r="E3823" s="53"/>
      <c r="F3823" s="54"/>
      <c r="G3823" s="23"/>
      <c r="H3823" s="54"/>
      <c r="I3823" s="53"/>
      <c r="J3823" s="23"/>
      <c r="K3823" s="23"/>
      <c r="L3823" s="53"/>
      <c r="M3823" s="54"/>
    </row>
    <row r="3824">
      <c r="A3824" s="23"/>
      <c r="B3824" s="52"/>
      <c r="C3824" s="53"/>
      <c r="D3824" s="23"/>
      <c r="E3824" s="53"/>
      <c r="F3824" s="54"/>
      <c r="G3824" s="54"/>
      <c r="H3824" s="54"/>
      <c r="I3824" s="53"/>
      <c r="J3824" s="53"/>
      <c r="K3824" s="23"/>
      <c r="L3824" s="53"/>
      <c r="M3824" s="54"/>
    </row>
    <row r="3825">
      <c r="A3825" s="23"/>
      <c r="B3825" s="52"/>
      <c r="C3825" s="53"/>
      <c r="D3825" s="23"/>
      <c r="E3825" s="53"/>
      <c r="F3825" s="54"/>
      <c r="G3825" s="54"/>
      <c r="H3825" s="54"/>
      <c r="I3825" s="53"/>
      <c r="J3825" s="53"/>
      <c r="K3825" s="23"/>
      <c r="L3825" s="53"/>
      <c r="M3825" s="54"/>
    </row>
    <row r="3826">
      <c r="A3826" s="23"/>
      <c r="B3826" s="52"/>
      <c r="C3826" s="53"/>
      <c r="D3826" s="23"/>
      <c r="E3826" s="53"/>
      <c r="F3826" s="54"/>
      <c r="G3826" s="54"/>
      <c r="H3826" s="54"/>
      <c r="I3826" s="53"/>
      <c r="J3826" s="53"/>
      <c r="K3826" s="23"/>
      <c r="L3826" s="53"/>
      <c r="M3826" s="54"/>
    </row>
    <row r="3827">
      <c r="A3827" s="23"/>
      <c r="B3827" s="52"/>
      <c r="C3827" s="53"/>
      <c r="D3827" s="23"/>
      <c r="E3827" s="53"/>
      <c r="F3827" s="54"/>
      <c r="G3827" s="23"/>
      <c r="H3827" s="54"/>
      <c r="I3827" s="53"/>
      <c r="J3827" s="53"/>
      <c r="K3827" s="23"/>
      <c r="L3827" s="53"/>
      <c r="M3827" s="54"/>
    </row>
    <row r="3828">
      <c r="A3828" s="23"/>
      <c r="B3828" s="52"/>
      <c r="C3828" s="53"/>
      <c r="D3828" s="23"/>
      <c r="E3828" s="53"/>
      <c r="F3828" s="54"/>
      <c r="G3828" s="54"/>
      <c r="H3828" s="54"/>
      <c r="I3828" s="53"/>
      <c r="J3828" s="53"/>
      <c r="K3828" s="23"/>
      <c r="L3828" s="53"/>
      <c r="M3828" s="54"/>
    </row>
    <row r="3829">
      <c r="A3829" s="23"/>
      <c r="B3829" s="52"/>
      <c r="C3829" s="53"/>
      <c r="D3829" s="23"/>
      <c r="E3829" s="53"/>
      <c r="F3829" s="54"/>
      <c r="G3829" s="23"/>
      <c r="H3829" s="54"/>
      <c r="I3829" s="53"/>
      <c r="J3829" s="53"/>
      <c r="K3829" s="23"/>
      <c r="L3829" s="53"/>
      <c r="M3829" s="54"/>
    </row>
    <row r="3830">
      <c r="A3830" s="23"/>
      <c r="B3830" s="52"/>
      <c r="C3830" s="53"/>
      <c r="D3830" s="23"/>
      <c r="E3830" s="53"/>
      <c r="F3830" s="54"/>
      <c r="G3830" s="54"/>
      <c r="H3830" s="54"/>
      <c r="I3830" s="53"/>
      <c r="J3830" s="53"/>
      <c r="K3830" s="23"/>
      <c r="L3830" s="53"/>
      <c r="M3830" s="54"/>
    </row>
    <row r="3831">
      <c r="A3831" s="23"/>
      <c r="B3831" s="52"/>
      <c r="C3831" s="53"/>
      <c r="D3831" s="23"/>
      <c r="E3831" s="53"/>
      <c r="F3831" s="54"/>
      <c r="G3831" s="54"/>
      <c r="H3831" s="54"/>
      <c r="I3831" s="53"/>
      <c r="J3831" s="53"/>
      <c r="K3831" s="23"/>
      <c r="L3831" s="53"/>
      <c r="M3831" s="54"/>
    </row>
    <row r="3832">
      <c r="A3832" s="23"/>
      <c r="B3832" s="52"/>
      <c r="C3832" s="53"/>
      <c r="D3832" s="23"/>
      <c r="E3832" s="53"/>
      <c r="F3832" s="54"/>
      <c r="G3832" s="54"/>
      <c r="H3832" s="54"/>
      <c r="I3832" s="53"/>
      <c r="J3832" s="53"/>
      <c r="K3832" s="23"/>
      <c r="L3832" s="53"/>
      <c r="M3832" s="54"/>
    </row>
    <row r="3833">
      <c r="A3833" s="23"/>
      <c r="B3833" s="52"/>
      <c r="C3833" s="53"/>
      <c r="D3833" s="23"/>
      <c r="E3833" s="53"/>
      <c r="F3833" s="54"/>
      <c r="G3833" s="23"/>
      <c r="H3833" s="54"/>
      <c r="I3833" s="53"/>
      <c r="J3833" s="23"/>
      <c r="K3833" s="23"/>
      <c r="L3833" s="53"/>
      <c r="M3833" s="54"/>
    </row>
    <row r="3834">
      <c r="A3834" s="23"/>
      <c r="B3834" s="52"/>
      <c r="C3834" s="53"/>
      <c r="D3834" s="23"/>
      <c r="E3834" s="53"/>
      <c r="F3834" s="54"/>
      <c r="G3834" s="23"/>
      <c r="H3834" s="54"/>
      <c r="I3834" s="53"/>
      <c r="J3834" s="53"/>
      <c r="K3834" s="23"/>
      <c r="L3834" s="53"/>
      <c r="M3834" s="54"/>
    </row>
    <row r="3835">
      <c r="A3835" s="23"/>
      <c r="B3835" s="52"/>
      <c r="C3835" s="53"/>
      <c r="D3835" s="23"/>
      <c r="E3835" s="53"/>
      <c r="F3835" s="54"/>
      <c r="G3835" s="54"/>
      <c r="H3835" s="54"/>
      <c r="I3835" s="53"/>
      <c r="J3835" s="53"/>
      <c r="K3835" s="23"/>
      <c r="L3835" s="53"/>
      <c r="M3835" s="54"/>
    </row>
    <row r="3836">
      <c r="A3836" s="23"/>
      <c r="B3836" s="52"/>
      <c r="C3836" s="53"/>
      <c r="D3836" s="23"/>
      <c r="E3836" s="53"/>
      <c r="F3836" s="54"/>
      <c r="G3836" s="54"/>
      <c r="H3836" s="54"/>
      <c r="I3836" s="53"/>
      <c r="J3836" s="53"/>
      <c r="K3836" s="23"/>
      <c r="L3836" s="53"/>
      <c r="M3836" s="54"/>
    </row>
    <row r="3837">
      <c r="A3837" s="23"/>
      <c r="B3837" s="52"/>
      <c r="C3837" s="53"/>
      <c r="D3837" s="23"/>
      <c r="E3837" s="53"/>
      <c r="F3837" s="54"/>
      <c r="G3837" s="54"/>
      <c r="H3837" s="54"/>
      <c r="I3837" s="53"/>
      <c r="J3837" s="53"/>
      <c r="K3837" s="23"/>
      <c r="L3837" s="53"/>
      <c r="M3837" s="54"/>
    </row>
    <row r="3838">
      <c r="A3838" s="23"/>
      <c r="B3838" s="52"/>
      <c r="C3838" s="53"/>
      <c r="D3838" s="23"/>
      <c r="E3838" s="53"/>
      <c r="F3838" s="54"/>
      <c r="G3838" s="23"/>
      <c r="H3838" s="54"/>
      <c r="I3838" s="53"/>
      <c r="J3838" s="53"/>
      <c r="K3838" s="23"/>
      <c r="L3838" s="53"/>
      <c r="M3838" s="54"/>
    </row>
    <row r="3839">
      <c r="A3839" s="23"/>
      <c r="B3839" s="52"/>
      <c r="C3839" s="53"/>
      <c r="D3839" s="23"/>
      <c r="E3839" s="53"/>
      <c r="F3839" s="54"/>
      <c r="G3839" s="23"/>
      <c r="H3839" s="54"/>
      <c r="I3839" s="53"/>
      <c r="J3839" s="53"/>
      <c r="K3839" s="23"/>
      <c r="L3839" s="53"/>
      <c r="M3839" s="54"/>
    </row>
    <row r="3840">
      <c r="A3840" s="23"/>
      <c r="B3840" s="52"/>
      <c r="C3840" s="53"/>
      <c r="D3840" s="23"/>
      <c r="E3840" s="53"/>
      <c r="F3840" s="54"/>
      <c r="G3840" s="23"/>
      <c r="H3840" s="54"/>
      <c r="I3840" s="53"/>
      <c r="J3840" s="53"/>
      <c r="K3840" s="23"/>
      <c r="L3840" s="53"/>
      <c r="M3840" s="54"/>
    </row>
    <row r="3841">
      <c r="A3841" s="23"/>
      <c r="B3841" s="52"/>
      <c r="C3841" s="53"/>
      <c r="D3841" s="23"/>
      <c r="E3841" s="53"/>
      <c r="F3841" s="54"/>
      <c r="G3841" s="54"/>
      <c r="H3841" s="54"/>
      <c r="I3841" s="53"/>
      <c r="J3841" s="53"/>
      <c r="K3841" s="23"/>
      <c r="L3841" s="53"/>
      <c r="M3841" s="54"/>
    </row>
    <row r="3842">
      <c r="A3842" s="23"/>
      <c r="B3842" s="52"/>
      <c r="C3842" s="53"/>
      <c r="D3842" s="23"/>
      <c r="E3842" s="53"/>
      <c r="F3842" s="54"/>
      <c r="G3842" s="23"/>
      <c r="H3842" s="54"/>
      <c r="I3842" s="53"/>
      <c r="J3842" s="53"/>
      <c r="K3842" s="23"/>
      <c r="L3842" s="53"/>
      <c r="M3842" s="54"/>
    </row>
    <row r="3843">
      <c r="A3843" s="23"/>
      <c r="B3843" s="52"/>
      <c r="C3843" s="53"/>
      <c r="D3843" s="23"/>
      <c r="E3843" s="53"/>
      <c r="F3843" s="54"/>
      <c r="G3843" s="54"/>
      <c r="H3843" s="54"/>
      <c r="I3843" s="53"/>
      <c r="J3843" s="53"/>
      <c r="K3843" s="23"/>
      <c r="L3843" s="53"/>
      <c r="M3843" s="54"/>
    </row>
    <row r="3844">
      <c r="A3844" s="23"/>
      <c r="B3844" s="52"/>
      <c r="C3844" s="53"/>
      <c r="D3844" s="23"/>
      <c r="E3844" s="53"/>
      <c r="F3844" s="54"/>
      <c r="G3844" s="54"/>
      <c r="H3844" s="54"/>
      <c r="I3844" s="53"/>
      <c r="J3844" s="53"/>
      <c r="K3844" s="23"/>
      <c r="L3844" s="53"/>
      <c r="M3844" s="54"/>
    </row>
    <row r="3845">
      <c r="A3845" s="23"/>
      <c r="B3845" s="52"/>
      <c r="C3845" s="53"/>
      <c r="D3845" s="23"/>
      <c r="E3845" s="53"/>
      <c r="F3845" s="54"/>
      <c r="G3845" s="54"/>
      <c r="H3845" s="54"/>
      <c r="I3845" s="53"/>
      <c r="J3845" s="53"/>
      <c r="K3845" s="23"/>
      <c r="L3845" s="53"/>
      <c r="M3845" s="54"/>
    </row>
    <row r="3846">
      <c r="A3846" s="23"/>
      <c r="B3846" s="52"/>
      <c r="C3846" s="53"/>
      <c r="D3846" s="23"/>
      <c r="E3846" s="53"/>
      <c r="F3846" s="54"/>
      <c r="G3846" s="23"/>
      <c r="H3846" s="54"/>
      <c r="I3846" s="53"/>
      <c r="J3846" s="53"/>
      <c r="K3846" s="23"/>
      <c r="L3846" s="53"/>
      <c r="M3846" s="54"/>
    </row>
    <row r="3847">
      <c r="A3847" s="23"/>
      <c r="B3847" s="52"/>
      <c r="C3847" s="53"/>
      <c r="D3847" s="23"/>
      <c r="E3847" s="53"/>
      <c r="F3847" s="54"/>
      <c r="G3847" s="54"/>
      <c r="H3847" s="54"/>
      <c r="I3847" s="53"/>
      <c r="J3847" s="53"/>
      <c r="K3847" s="23"/>
      <c r="L3847" s="53"/>
      <c r="M3847" s="54"/>
    </row>
    <row r="3848">
      <c r="A3848" s="23"/>
      <c r="B3848" s="52"/>
      <c r="C3848" s="53"/>
      <c r="D3848" s="23"/>
      <c r="E3848" s="53"/>
      <c r="F3848" s="54"/>
      <c r="G3848" s="23"/>
      <c r="H3848" s="54"/>
      <c r="I3848" s="53"/>
      <c r="J3848" s="53"/>
      <c r="K3848" s="23"/>
      <c r="L3848" s="53"/>
      <c r="M3848" s="54"/>
    </row>
    <row r="3849">
      <c r="A3849" s="23"/>
      <c r="B3849" s="52"/>
      <c r="C3849" s="53"/>
      <c r="D3849" s="23"/>
      <c r="E3849" s="53"/>
      <c r="F3849" s="54"/>
      <c r="G3849" s="23"/>
      <c r="H3849" s="54"/>
      <c r="I3849" s="53"/>
      <c r="J3849" s="53"/>
      <c r="K3849" s="23"/>
      <c r="L3849" s="53"/>
      <c r="M3849" s="54"/>
    </row>
    <row r="3850">
      <c r="A3850" s="23"/>
      <c r="B3850" s="52"/>
      <c r="C3850" s="53"/>
      <c r="D3850" s="23"/>
      <c r="E3850" s="53"/>
      <c r="F3850" s="54"/>
      <c r="G3850" s="23"/>
      <c r="H3850" s="54"/>
      <c r="I3850" s="53"/>
      <c r="J3850" s="53"/>
      <c r="K3850" s="23"/>
      <c r="L3850" s="53"/>
      <c r="M3850" s="54"/>
    </row>
    <row r="3851">
      <c r="A3851" s="23"/>
      <c r="B3851" s="52"/>
      <c r="C3851" s="53"/>
      <c r="D3851" s="23"/>
      <c r="E3851" s="53"/>
      <c r="F3851" s="54"/>
      <c r="G3851" s="54"/>
      <c r="H3851" s="54"/>
      <c r="I3851" s="53"/>
      <c r="J3851" s="53"/>
      <c r="K3851" s="23"/>
      <c r="L3851" s="53"/>
      <c r="M3851" s="54"/>
    </row>
    <row r="3852">
      <c r="A3852" s="23"/>
      <c r="B3852" s="52"/>
      <c r="C3852" s="53"/>
      <c r="D3852" s="23"/>
      <c r="E3852" s="53"/>
      <c r="F3852" s="54"/>
      <c r="G3852" s="54"/>
      <c r="H3852" s="54"/>
      <c r="I3852" s="53"/>
      <c r="J3852" s="53"/>
      <c r="K3852" s="23"/>
      <c r="L3852" s="53"/>
      <c r="M3852" s="54"/>
    </row>
    <row r="3853">
      <c r="A3853" s="23"/>
      <c r="B3853" s="52"/>
      <c r="C3853" s="53"/>
      <c r="D3853" s="23"/>
      <c r="E3853" s="53"/>
      <c r="F3853" s="54"/>
      <c r="G3853" s="54"/>
      <c r="H3853" s="54"/>
      <c r="I3853" s="53"/>
      <c r="J3853" s="53"/>
      <c r="K3853" s="23"/>
      <c r="L3853" s="53"/>
      <c r="M3853" s="54"/>
    </row>
    <row r="3854">
      <c r="A3854" s="23"/>
      <c r="B3854" s="52"/>
      <c r="C3854" s="53"/>
      <c r="D3854" s="23"/>
      <c r="E3854" s="53"/>
      <c r="F3854" s="54"/>
      <c r="G3854" s="23"/>
      <c r="H3854" s="54"/>
      <c r="I3854" s="53"/>
      <c r="J3854" s="23"/>
      <c r="K3854" s="23"/>
      <c r="L3854" s="53"/>
      <c r="M3854" s="54"/>
    </row>
    <row r="3855">
      <c r="A3855" s="23"/>
      <c r="B3855" s="52"/>
      <c r="C3855" s="53"/>
      <c r="D3855" s="23"/>
      <c r="E3855" s="53"/>
      <c r="F3855" s="54"/>
      <c r="G3855" s="23"/>
      <c r="H3855" s="54"/>
      <c r="I3855" s="53"/>
      <c r="J3855" s="23"/>
      <c r="K3855" s="23"/>
      <c r="L3855" s="53"/>
      <c r="M3855" s="54"/>
    </row>
    <row r="3856">
      <c r="A3856" s="23"/>
      <c r="B3856" s="52"/>
      <c r="C3856" s="53"/>
      <c r="D3856" s="23"/>
      <c r="E3856" s="53"/>
      <c r="F3856" s="54"/>
      <c r="G3856" s="23"/>
      <c r="H3856" s="54"/>
      <c r="I3856" s="53"/>
      <c r="J3856" s="53"/>
      <c r="K3856" s="23"/>
      <c r="L3856" s="53"/>
      <c r="M3856" s="54"/>
    </row>
    <row r="3857">
      <c r="A3857" s="23"/>
      <c r="B3857" s="52"/>
      <c r="C3857" s="53"/>
      <c r="D3857" s="23"/>
      <c r="E3857" s="53"/>
      <c r="F3857" s="54"/>
      <c r="G3857" s="23"/>
      <c r="H3857" s="54"/>
      <c r="I3857" s="53"/>
      <c r="J3857" s="53"/>
      <c r="K3857" s="23"/>
      <c r="L3857" s="53"/>
      <c r="M3857" s="54"/>
    </row>
    <row r="3858">
      <c r="A3858" s="23"/>
      <c r="B3858" s="52"/>
      <c r="C3858" s="53"/>
      <c r="D3858" s="23"/>
      <c r="E3858" s="53"/>
      <c r="F3858" s="54"/>
      <c r="G3858" s="23"/>
      <c r="H3858" s="54"/>
      <c r="I3858" s="53"/>
      <c r="J3858" s="53"/>
      <c r="K3858" s="23"/>
      <c r="L3858" s="53"/>
      <c r="M3858" s="54"/>
    </row>
    <row r="3859">
      <c r="A3859" s="23"/>
      <c r="B3859" s="52"/>
      <c r="C3859" s="53"/>
      <c r="D3859" s="23"/>
      <c r="E3859" s="53"/>
      <c r="F3859" s="54"/>
      <c r="G3859" s="23"/>
      <c r="H3859" s="54"/>
      <c r="I3859" s="53"/>
      <c r="J3859" s="53"/>
      <c r="K3859" s="23"/>
      <c r="L3859" s="53"/>
      <c r="M3859" s="54"/>
    </row>
    <row r="3860">
      <c r="A3860" s="23"/>
      <c r="B3860" s="52"/>
      <c r="C3860" s="53"/>
      <c r="D3860" s="23"/>
      <c r="E3860" s="53"/>
      <c r="F3860" s="54"/>
      <c r="G3860" s="54"/>
      <c r="H3860" s="54"/>
      <c r="I3860" s="53"/>
      <c r="J3860" s="53"/>
      <c r="K3860" s="23"/>
      <c r="L3860" s="53"/>
      <c r="M3860" s="54"/>
    </row>
    <row r="3861">
      <c r="A3861" s="23"/>
      <c r="B3861" s="52"/>
      <c r="C3861" s="53"/>
      <c r="D3861" s="23"/>
      <c r="E3861" s="53"/>
      <c r="F3861" s="54"/>
      <c r="G3861" s="54"/>
      <c r="H3861" s="54"/>
      <c r="I3861" s="53"/>
      <c r="J3861" s="53"/>
      <c r="K3861" s="23"/>
      <c r="L3861" s="53"/>
      <c r="M3861" s="54"/>
    </row>
    <row r="3862">
      <c r="A3862" s="23"/>
      <c r="B3862" s="52"/>
      <c r="C3862" s="53"/>
      <c r="D3862" s="23"/>
      <c r="E3862" s="53"/>
      <c r="F3862" s="54"/>
      <c r="G3862" s="23"/>
      <c r="H3862" s="54"/>
      <c r="I3862" s="53"/>
      <c r="J3862" s="53"/>
      <c r="K3862" s="23"/>
      <c r="L3862" s="53"/>
      <c r="M3862" s="54"/>
    </row>
    <row r="3863">
      <c r="A3863" s="23"/>
      <c r="B3863" s="52"/>
      <c r="C3863" s="53"/>
      <c r="D3863" s="23"/>
      <c r="E3863" s="53"/>
      <c r="F3863" s="54"/>
      <c r="G3863" s="54"/>
      <c r="H3863" s="54"/>
      <c r="I3863" s="53"/>
      <c r="J3863" s="53"/>
      <c r="K3863" s="23"/>
      <c r="L3863" s="53"/>
      <c r="M3863" s="54"/>
    </row>
    <row r="3864">
      <c r="A3864" s="23"/>
      <c r="B3864" s="52"/>
      <c r="C3864" s="53"/>
      <c r="D3864" s="23"/>
      <c r="E3864" s="53"/>
      <c r="F3864" s="54"/>
      <c r="G3864" s="23"/>
      <c r="H3864" s="54"/>
      <c r="I3864" s="53"/>
      <c r="J3864" s="53"/>
      <c r="K3864" s="23"/>
      <c r="L3864" s="53"/>
      <c r="M3864" s="54"/>
    </row>
    <row r="3865">
      <c r="A3865" s="23"/>
      <c r="B3865" s="52"/>
      <c r="C3865" s="53"/>
      <c r="D3865" s="23"/>
      <c r="E3865" s="53"/>
      <c r="F3865" s="54"/>
      <c r="G3865" s="54"/>
      <c r="H3865" s="54"/>
      <c r="I3865" s="53"/>
      <c r="J3865" s="53"/>
      <c r="K3865" s="23"/>
      <c r="L3865" s="53"/>
      <c r="M3865" s="54"/>
    </row>
    <row r="3866">
      <c r="A3866" s="23"/>
      <c r="B3866" s="52"/>
      <c r="C3866" s="53"/>
      <c r="D3866" s="23"/>
      <c r="E3866" s="53"/>
      <c r="F3866" s="54"/>
      <c r="G3866" s="54"/>
      <c r="H3866" s="54"/>
      <c r="I3866" s="53"/>
      <c r="J3866" s="53"/>
      <c r="K3866" s="23"/>
      <c r="L3866" s="53"/>
      <c r="M3866" s="54"/>
    </row>
    <row r="3867">
      <c r="A3867" s="23"/>
      <c r="B3867" s="52"/>
      <c r="C3867" s="53"/>
      <c r="D3867" s="23"/>
      <c r="E3867" s="53"/>
      <c r="F3867" s="54"/>
      <c r="G3867" s="23"/>
      <c r="H3867" s="54"/>
      <c r="I3867" s="53"/>
      <c r="J3867" s="53"/>
      <c r="K3867" s="23"/>
      <c r="L3867" s="53"/>
      <c r="M3867" s="54"/>
    </row>
    <row r="3868">
      <c r="A3868" s="23"/>
      <c r="B3868" s="52"/>
      <c r="C3868" s="53"/>
      <c r="D3868" s="23"/>
      <c r="E3868" s="53"/>
      <c r="F3868" s="54"/>
      <c r="G3868" s="54"/>
      <c r="H3868" s="54"/>
      <c r="I3868" s="53"/>
      <c r="J3868" s="53"/>
      <c r="K3868" s="23"/>
      <c r="L3868" s="53"/>
      <c r="M3868" s="54"/>
    </row>
    <row r="3869">
      <c r="A3869" s="23"/>
      <c r="B3869" s="52"/>
      <c r="C3869" s="53"/>
      <c r="D3869" s="23"/>
      <c r="E3869" s="53"/>
      <c r="F3869" s="54"/>
      <c r="G3869" s="23"/>
      <c r="H3869" s="54"/>
      <c r="I3869" s="53"/>
      <c r="J3869" s="23"/>
      <c r="K3869" s="23"/>
      <c r="L3869" s="53"/>
      <c r="M3869" s="54"/>
    </row>
    <row r="3870">
      <c r="A3870" s="23"/>
      <c r="B3870" s="52"/>
      <c r="C3870" s="53"/>
      <c r="D3870" s="23"/>
      <c r="E3870" s="53"/>
      <c r="F3870" s="54"/>
      <c r="G3870" s="23"/>
      <c r="H3870" s="54"/>
      <c r="I3870" s="53"/>
      <c r="J3870" s="53"/>
      <c r="K3870" s="23"/>
      <c r="L3870" s="53"/>
      <c r="M3870" s="54"/>
    </row>
    <row r="3871">
      <c r="A3871" s="23"/>
      <c r="B3871" s="52"/>
      <c r="C3871" s="53"/>
      <c r="D3871" s="23"/>
      <c r="E3871" s="53"/>
      <c r="F3871" s="54"/>
      <c r="G3871" s="54"/>
      <c r="H3871" s="54"/>
      <c r="I3871" s="53"/>
      <c r="J3871" s="53"/>
      <c r="K3871" s="23"/>
      <c r="L3871" s="53"/>
      <c r="M3871" s="54"/>
    </row>
    <row r="3872">
      <c r="A3872" s="23"/>
      <c r="B3872" s="52"/>
      <c r="C3872" s="53"/>
      <c r="D3872" s="23"/>
      <c r="E3872" s="53"/>
      <c r="F3872" s="54"/>
      <c r="G3872" s="23"/>
      <c r="H3872" s="54"/>
      <c r="I3872" s="53"/>
      <c r="J3872" s="23"/>
      <c r="K3872" s="23"/>
      <c r="L3872" s="53"/>
      <c r="M3872" s="54"/>
    </row>
    <row r="3873">
      <c r="A3873" s="23"/>
      <c r="B3873" s="52"/>
      <c r="C3873" s="53"/>
      <c r="D3873" s="23"/>
      <c r="E3873" s="53"/>
      <c r="F3873" s="54"/>
      <c r="G3873" s="23"/>
      <c r="H3873" s="54"/>
      <c r="I3873" s="53"/>
      <c r="J3873" s="23"/>
      <c r="K3873" s="23"/>
      <c r="L3873" s="53"/>
      <c r="M3873" s="54"/>
    </row>
    <row r="3874">
      <c r="A3874" s="23"/>
      <c r="B3874" s="52"/>
      <c r="C3874" s="53"/>
      <c r="D3874" s="23"/>
      <c r="E3874" s="53"/>
      <c r="F3874" s="54"/>
      <c r="G3874" s="23"/>
      <c r="H3874" s="54"/>
      <c r="I3874" s="53"/>
      <c r="J3874" s="53"/>
      <c r="K3874" s="23"/>
      <c r="L3874" s="23"/>
      <c r="M3874" s="54"/>
    </row>
    <row r="3875">
      <c r="A3875" s="23"/>
      <c r="B3875" s="52"/>
      <c r="C3875" s="53"/>
      <c r="D3875" s="23"/>
      <c r="E3875" s="53"/>
      <c r="F3875" s="54"/>
      <c r="G3875" s="54"/>
      <c r="H3875" s="54"/>
      <c r="I3875" s="53"/>
      <c r="J3875" s="53"/>
      <c r="K3875" s="23"/>
      <c r="L3875" s="53"/>
      <c r="M3875" s="54"/>
    </row>
    <row r="3876">
      <c r="A3876" s="23"/>
      <c r="B3876" s="52"/>
      <c r="C3876" s="53"/>
      <c r="D3876" s="23"/>
      <c r="E3876" s="53"/>
      <c r="F3876" s="54"/>
      <c r="G3876" s="54"/>
      <c r="H3876" s="54"/>
      <c r="I3876" s="53"/>
      <c r="J3876" s="53"/>
      <c r="K3876" s="23"/>
      <c r="L3876" s="53"/>
      <c r="M3876" s="54"/>
    </row>
    <row r="3877">
      <c r="A3877" s="23"/>
      <c r="B3877" s="52"/>
      <c r="C3877" s="53"/>
      <c r="D3877" s="23"/>
      <c r="E3877" s="53"/>
      <c r="F3877" s="54"/>
      <c r="G3877" s="54"/>
      <c r="H3877" s="54"/>
      <c r="I3877" s="53"/>
      <c r="J3877" s="53"/>
      <c r="K3877" s="23"/>
      <c r="L3877" s="53"/>
      <c r="M3877" s="54"/>
    </row>
    <row r="3878">
      <c r="A3878" s="23"/>
      <c r="B3878" s="52"/>
      <c r="C3878" s="53"/>
      <c r="D3878" s="23"/>
      <c r="E3878" s="53"/>
      <c r="F3878" s="54"/>
      <c r="G3878" s="23"/>
      <c r="H3878" s="54"/>
      <c r="I3878" s="53"/>
      <c r="J3878" s="53"/>
      <c r="K3878" s="23"/>
      <c r="L3878" s="53"/>
      <c r="M3878" s="54"/>
    </row>
    <row r="3879">
      <c r="A3879" s="23"/>
      <c r="B3879" s="52"/>
      <c r="C3879" s="53"/>
      <c r="D3879" s="23"/>
      <c r="E3879" s="53"/>
      <c r="F3879" s="54"/>
      <c r="G3879" s="23"/>
      <c r="H3879" s="54"/>
      <c r="I3879" s="53"/>
      <c r="J3879" s="53"/>
      <c r="K3879" s="23"/>
      <c r="L3879" s="53"/>
      <c r="M3879" s="54"/>
    </row>
    <row r="3880">
      <c r="A3880" s="23"/>
      <c r="B3880" s="52"/>
      <c r="C3880" s="53"/>
      <c r="D3880" s="23"/>
      <c r="E3880" s="53"/>
      <c r="F3880" s="54"/>
      <c r="G3880" s="23"/>
      <c r="H3880" s="54"/>
      <c r="I3880" s="53"/>
      <c r="J3880" s="23"/>
      <c r="K3880" s="23"/>
      <c r="L3880" s="53"/>
      <c r="M3880" s="54"/>
    </row>
    <row r="3881">
      <c r="A3881" s="23"/>
      <c r="B3881" s="52"/>
      <c r="C3881" s="53"/>
      <c r="D3881" s="23"/>
      <c r="E3881" s="53"/>
      <c r="F3881" s="54"/>
      <c r="G3881" s="23"/>
      <c r="H3881" s="54"/>
      <c r="I3881" s="53"/>
      <c r="J3881" s="23"/>
      <c r="K3881" s="23"/>
      <c r="L3881" s="53"/>
      <c r="M3881" s="54"/>
    </row>
    <row r="3882">
      <c r="A3882" s="23"/>
      <c r="B3882" s="52"/>
      <c r="C3882" s="53"/>
      <c r="D3882" s="23"/>
      <c r="E3882" s="53"/>
      <c r="F3882" s="54"/>
      <c r="G3882" s="23"/>
      <c r="H3882" s="54"/>
      <c r="I3882" s="53"/>
      <c r="J3882" s="53"/>
      <c r="K3882" s="23"/>
      <c r="L3882" s="53"/>
      <c r="M3882" s="54"/>
    </row>
    <row r="3883">
      <c r="A3883" s="23"/>
      <c r="B3883" s="52"/>
      <c r="C3883" s="53"/>
      <c r="D3883" s="23"/>
      <c r="E3883" s="53"/>
      <c r="F3883" s="54"/>
      <c r="G3883" s="54"/>
      <c r="H3883" s="54"/>
      <c r="I3883" s="53"/>
      <c r="J3883" s="53"/>
      <c r="K3883" s="23"/>
      <c r="L3883" s="53"/>
      <c r="M3883" s="54"/>
    </row>
    <row r="3884">
      <c r="A3884" s="23"/>
      <c r="B3884" s="52"/>
      <c r="C3884" s="53"/>
      <c r="D3884" s="23"/>
      <c r="E3884" s="53"/>
      <c r="F3884" s="54"/>
      <c r="G3884" s="23"/>
      <c r="H3884" s="54"/>
      <c r="I3884" s="53"/>
      <c r="J3884" s="53"/>
      <c r="K3884" s="23"/>
      <c r="L3884" s="53"/>
      <c r="M3884" s="54"/>
    </row>
    <row r="3885">
      <c r="A3885" s="23"/>
      <c r="B3885" s="52"/>
      <c r="C3885" s="53"/>
      <c r="D3885" s="23"/>
      <c r="E3885" s="53"/>
      <c r="F3885" s="54"/>
      <c r="G3885" s="23"/>
      <c r="H3885" s="54"/>
      <c r="I3885" s="53"/>
      <c r="J3885" s="53"/>
      <c r="K3885" s="23"/>
      <c r="L3885" s="53"/>
      <c r="M3885" s="54"/>
    </row>
    <row r="3886">
      <c r="A3886" s="23"/>
      <c r="B3886" s="52"/>
      <c r="C3886" s="53"/>
      <c r="D3886" s="23"/>
      <c r="E3886" s="53"/>
      <c r="F3886" s="54"/>
      <c r="G3886" s="23"/>
      <c r="H3886" s="54"/>
      <c r="I3886" s="53"/>
      <c r="J3886" s="53"/>
      <c r="K3886" s="23"/>
      <c r="L3886" s="53"/>
      <c r="M3886" s="54"/>
    </row>
    <row r="3887">
      <c r="A3887" s="23"/>
      <c r="B3887" s="52"/>
      <c r="C3887" s="53"/>
      <c r="D3887" s="23"/>
      <c r="E3887" s="53"/>
      <c r="F3887" s="54"/>
      <c r="G3887" s="23"/>
      <c r="H3887" s="54"/>
      <c r="I3887" s="53"/>
      <c r="J3887" s="53"/>
      <c r="K3887" s="23"/>
      <c r="L3887" s="53"/>
      <c r="M3887" s="54"/>
    </row>
    <row r="3888">
      <c r="A3888" s="23"/>
      <c r="B3888" s="52"/>
      <c r="C3888" s="53"/>
      <c r="D3888" s="23"/>
      <c r="E3888" s="53"/>
      <c r="F3888" s="54"/>
      <c r="G3888" s="23"/>
      <c r="H3888" s="54"/>
      <c r="I3888" s="53"/>
      <c r="J3888" s="53"/>
      <c r="K3888" s="23"/>
      <c r="L3888" s="53"/>
      <c r="M3888" s="54"/>
    </row>
    <row r="3889">
      <c r="A3889" s="23"/>
      <c r="B3889" s="52"/>
      <c r="C3889" s="53"/>
      <c r="D3889" s="23"/>
      <c r="E3889" s="53"/>
      <c r="F3889" s="54"/>
      <c r="G3889" s="23"/>
      <c r="H3889" s="54"/>
      <c r="I3889" s="53"/>
      <c r="J3889" s="23"/>
      <c r="K3889" s="23"/>
      <c r="L3889" s="53"/>
      <c r="M3889" s="54"/>
    </row>
    <row r="3890">
      <c r="A3890" s="23"/>
      <c r="B3890" s="52"/>
      <c r="C3890" s="53"/>
      <c r="D3890" s="23"/>
      <c r="E3890" s="53"/>
      <c r="F3890" s="54"/>
      <c r="G3890" s="54"/>
      <c r="H3890" s="54"/>
      <c r="I3890" s="53"/>
      <c r="J3890" s="53"/>
      <c r="K3890" s="23"/>
      <c r="L3890" s="53"/>
      <c r="M3890" s="54"/>
    </row>
    <row r="3891">
      <c r="A3891" s="23"/>
      <c r="B3891" s="52"/>
      <c r="C3891" s="53"/>
      <c r="D3891" s="23"/>
      <c r="E3891" s="53"/>
      <c r="F3891" s="54"/>
      <c r="G3891" s="54"/>
      <c r="H3891" s="54"/>
      <c r="I3891" s="53"/>
      <c r="J3891" s="53"/>
      <c r="K3891" s="23"/>
      <c r="L3891" s="53"/>
      <c r="M3891" s="54"/>
    </row>
    <row r="3892">
      <c r="A3892" s="23"/>
      <c r="B3892" s="52"/>
      <c r="C3892" s="53"/>
      <c r="D3892" s="23"/>
      <c r="E3892" s="53"/>
      <c r="F3892" s="54"/>
      <c r="G3892" s="23"/>
      <c r="H3892" s="54"/>
      <c r="I3892" s="53"/>
      <c r="J3892" s="53"/>
      <c r="K3892" s="23"/>
      <c r="L3892" s="53"/>
      <c r="M3892" s="54"/>
    </row>
    <row r="3893">
      <c r="A3893" s="23"/>
      <c r="B3893" s="52"/>
      <c r="C3893" s="53"/>
      <c r="D3893" s="23"/>
      <c r="E3893" s="53"/>
      <c r="F3893" s="54"/>
      <c r="G3893" s="23"/>
      <c r="H3893" s="54"/>
      <c r="I3893" s="53"/>
      <c r="J3893" s="53"/>
      <c r="K3893" s="23"/>
      <c r="L3893" s="53"/>
      <c r="M3893" s="54"/>
    </row>
    <row r="3894">
      <c r="A3894" s="23"/>
      <c r="B3894" s="52"/>
      <c r="C3894" s="53"/>
      <c r="D3894" s="23"/>
      <c r="E3894" s="53"/>
      <c r="F3894" s="54"/>
      <c r="G3894" s="54"/>
      <c r="H3894" s="54"/>
      <c r="I3894" s="53"/>
      <c r="J3894" s="53"/>
      <c r="K3894" s="23"/>
      <c r="L3894" s="53"/>
      <c r="M3894" s="54"/>
    </row>
    <row r="3895">
      <c r="A3895" s="23"/>
      <c r="B3895" s="52"/>
      <c r="C3895" s="53"/>
      <c r="D3895" s="23"/>
      <c r="E3895" s="53"/>
      <c r="F3895" s="54"/>
      <c r="G3895" s="23"/>
      <c r="H3895" s="54"/>
      <c r="I3895" s="53"/>
      <c r="J3895" s="23"/>
      <c r="K3895" s="23"/>
      <c r="L3895" s="53"/>
      <c r="M3895" s="54"/>
    </row>
    <row r="3896">
      <c r="A3896" s="23"/>
      <c r="B3896" s="52"/>
      <c r="C3896" s="53"/>
      <c r="D3896" s="23"/>
      <c r="E3896" s="53"/>
      <c r="F3896" s="54"/>
      <c r="G3896" s="23"/>
      <c r="H3896" s="54"/>
      <c r="I3896" s="53"/>
      <c r="J3896" s="53"/>
      <c r="K3896" s="23"/>
      <c r="L3896" s="53"/>
      <c r="M3896" s="54"/>
    </row>
    <row r="3897">
      <c r="A3897" s="23"/>
      <c r="B3897" s="52"/>
      <c r="C3897" s="53"/>
      <c r="D3897" s="23"/>
      <c r="E3897" s="53"/>
      <c r="F3897" s="54"/>
      <c r="G3897" s="54"/>
      <c r="H3897" s="54"/>
      <c r="I3897" s="53"/>
      <c r="J3897" s="53"/>
      <c r="K3897" s="23"/>
      <c r="L3897" s="53"/>
      <c r="M3897" s="54"/>
    </row>
    <row r="3898">
      <c r="A3898" s="23"/>
      <c r="B3898" s="52"/>
      <c r="C3898" s="53"/>
      <c r="D3898" s="23"/>
      <c r="E3898" s="53"/>
      <c r="F3898" s="54"/>
      <c r="G3898" s="23"/>
      <c r="H3898" s="54"/>
      <c r="I3898" s="53"/>
      <c r="J3898" s="53"/>
      <c r="K3898" s="23"/>
      <c r="L3898" s="53"/>
      <c r="M3898" s="54"/>
    </row>
    <row r="3899">
      <c r="A3899" s="23"/>
      <c r="B3899" s="52"/>
      <c r="C3899" s="53"/>
      <c r="D3899" s="23"/>
      <c r="E3899" s="53"/>
      <c r="F3899" s="54"/>
      <c r="G3899" s="23"/>
      <c r="H3899" s="54"/>
      <c r="I3899" s="53"/>
      <c r="J3899" s="53"/>
      <c r="K3899" s="23"/>
      <c r="L3899" s="23"/>
      <c r="M3899" s="54"/>
    </row>
    <row r="3900">
      <c r="A3900" s="23"/>
      <c r="B3900" s="52"/>
      <c r="C3900" s="53"/>
      <c r="D3900" s="23"/>
      <c r="E3900" s="53"/>
      <c r="F3900" s="54"/>
      <c r="G3900" s="23"/>
      <c r="H3900" s="54"/>
      <c r="I3900" s="53"/>
      <c r="J3900" s="23"/>
      <c r="K3900" s="23"/>
      <c r="L3900" s="53"/>
      <c r="M3900" s="54"/>
    </row>
    <row r="3901">
      <c r="A3901" s="23"/>
      <c r="B3901" s="52"/>
      <c r="C3901" s="53"/>
      <c r="D3901" s="23"/>
      <c r="E3901" s="53"/>
      <c r="F3901" s="54"/>
      <c r="G3901" s="54"/>
      <c r="H3901" s="54"/>
      <c r="I3901" s="53"/>
      <c r="J3901" s="53"/>
      <c r="K3901" s="23"/>
      <c r="L3901" s="53"/>
      <c r="M3901" s="54"/>
    </row>
    <row r="3902">
      <c r="A3902" s="23"/>
      <c r="B3902" s="52"/>
      <c r="C3902" s="53"/>
      <c r="D3902" s="23"/>
      <c r="E3902" s="53"/>
      <c r="F3902" s="54"/>
      <c r="G3902" s="23"/>
      <c r="H3902" s="54"/>
      <c r="I3902" s="53"/>
      <c r="J3902" s="23"/>
      <c r="K3902" s="23"/>
      <c r="L3902" s="53"/>
      <c r="M3902" s="54"/>
    </row>
    <row r="3903">
      <c r="A3903" s="23"/>
      <c r="B3903" s="52"/>
      <c r="C3903" s="53"/>
      <c r="D3903" s="23"/>
      <c r="E3903" s="53"/>
      <c r="F3903" s="54"/>
      <c r="G3903" s="23"/>
      <c r="H3903" s="54"/>
      <c r="I3903" s="53"/>
      <c r="J3903" s="53"/>
      <c r="K3903" s="23"/>
      <c r="L3903" s="53"/>
      <c r="M3903" s="54"/>
    </row>
    <row r="3904">
      <c r="A3904" s="23"/>
      <c r="B3904" s="52"/>
      <c r="C3904" s="53"/>
      <c r="D3904" s="23"/>
      <c r="E3904" s="53"/>
      <c r="F3904" s="54"/>
      <c r="G3904" s="54"/>
      <c r="H3904" s="54"/>
      <c r="I3904" s="53"/>
      <c r="J3904" s="53"/>
      <c r="K3904" s="23"/>
      <c r="L3904" s="53"/>
      <c r="M3904" s="54"/>
    </row>
    <row r="3905">
      <c r="A3905" s="23"/>
      <c r="B3905" s="52"/>
      <c r="C3905" s="53"/>
      <c r="D3905" s="23"/>
      <c r="E3905" s="53"/>
      <c r="F3905" s="54"/>
      <c r="G3905" s="23"/>
      <c r="H3905" s="54"/>
      <c r="I3905" s="53"/>
      <c r="J3905" s="53"/>
      <c r="K3905" s="23"/>
      <c r="L3905" s="53"/>
      <c r="M3905" s="54"/>
    </row>
    <row r="3906">
      <c r="A3906" s="23"/>
      <c r="B3906" s="52"/>
      <c r="C3906" s="53"/>
      <c r="D3906" s="23"/>
      <c r="E3906" s="53"/>
      <c r="F3906" s="54"/>
      <c r="G3906" s="23"/>
      <c r="H3906" s="54"/>
      <c r="I3906" s="53"/>
      <c r="J3906" s="53"/>
      <c r="K3906" s="23"/>
      <c r="L3906" s="53"/>
      <c r="M3906" s="54"/>
    </row>
    <row r="3907">
      <c r="A3907" s="23"/>
      <c r="B3907" s="52"/>
      <c r="C3907" s="53"/>
      <c r="D3907" s="23"/>
      <c r="E3907" s="53"/>
      <c r="F3907" s="54"/>
      <c r="G3907" s="23"/>
      <c r="H3907" s="54"/>
      <c r="I3907" s="53"/>
      <c r="J3907" s="23"/>
      <c r="K3907" s="23"/>
      <c r="L3907" s="53"/>
      <c r="M3907" s="54"/>
    </row>
    <row r="3908">
      <c r="A3908" s="23"/>
      <c r="B3908" s="52"/>
      <c r="C3908" s="53"/>
      <c r="D3908" s="23"/>
      <c r="E3908" s="53"/>
      <c r="F3908" s="54"/>
      <c r="G3908" s="23"/>
      <c r="H3908" s="54"/>
      <c r="I3908" s="53"/>
      <c r="J3908" s="53"/>
      <c r="K3908" s="23"/>
      <c r="L3908" s="53"/>
      <c r="M3908" s="54"/>
    </row>
    <row r="3909">
      <c r="A3909" s="23"/>
      <c r="B3909" s="52"/>
      <c r="C3909" s="53"/>
      <c r="D3909" s="23"/>
      <c r="E3909" s="53"/>
      <c r="F3909" s="54"/>
      <c r="G3909" s="54"/>
      <c r="H3909" s="54"/>
      <c r="I3909" s="53"/>
      <c r="J3909" s="53"/>
      <c r="K3909" s="23"/>
      <c r="L3909" s="53"/>
      <c r="M3909" s="54"/>
    </row>
    <row r="3910">
      <c r="A3910" s="23"/>
      <c r="B3910" s="52"/>
      <c r="C3910" s="53"/>
      <c r="D3910" s="23"/>
      <c r="E3910" s="53"/>
      <c r="F3910" s="54"/>
      <c r="G3910" s="54"/>
      <c r="H3910" s="54"/>
      <c r="I3910" s="53"/>
      <c r="J3910" s="53"/>
      <c r="K3910" s="23"/>
      <c r="L3910" s="23"/>
      <c r="M3910" s="54"/>
    </row>
    <row r="3911">
      <c r="A3911" s="23"/>
      <c r="B3911" s="52"/>
      <c r="C3911" s="53"/>
      <c r="D3911" s="23"/>
      <c r="E3911" s="53"/>
      <c r="F3911" s="54"/>
      <c r="G3911" s="54"/>
      <c r="H3911" s="54"/>
      <c r="I3911" s="53"/>
      <c r="J3911" s="53"/>
      <c r="K3911" s="23"/>
      <c r="L3911" s="53"/>
      <c r="M3911" s="54"/>
    </row>
    <row r="3912">
      <c r="A3912" s="23"/>
      <c r="B3912" s="52"/>
      <c r="C3912" s="53"/>
      <c r="D3912" s="23"/>
      <c r="E3912" s="53"/>
      <c r="F3912" s="54"/>
      <c r="G3912" s="54"/>
      <c r="H3912" s="54"/>
      <c r="I3912" s="53"/>
      <c r="J3912" s="53"/>
      <c r="K3912" s="23"/>
      <c r="L3912" s="53"/>
      <c r="M3912" s="54"/>
    </row>
    <row r="3913">
      <c r="A3913" s="23"/>
      <c r="B3913" s="52"/>
      <c r="C3913" s="53"/>
      <c r="D3913" s="23"/>
      <c r="E3913" s="53"/>
      <c r="F3913" s="54"/>
      <c r="G3913" s="54"/>
      <c r="H3913" s="54"/>
      <c r="I3913" s="53"/>
      <c r="J3913" s="53"/>
      <c r="K3913" s="23"/>
      <c r="L3913" s="53"/>
      <c r="M3913" s="54"/>
    </row>
    <row r="3914">
      <c r="A3914" s="23"/>
      <c r="B3914" s="52"/>
      <c r="C3914" s="53"/>
      <c r="D3914" s="23"/>
      <c r="E3914" s="53"/>
      <c r="F3914" s="54"/>
      <c r="G3914" s="54"/>
      <c r="H3914" s="54"/>
      <c r="I3914" s="53"/>
      <c r="J3914" s="53"/>
      <c r="K3914" s="23"/>
      <c r="L3914" s="53"/>
      <c r="M3914" s="54"/>
    </row>
    <row r="3915">
      <c r="A3915" s="23"/>
      <c r="B3915" s="52"/>
      <c r="C3915" s="53"/>
      <c r="D3915" s="23"/>
      <c r="E3915" s="53"/>
      <c r="F3915" s="54"/>
      <c r="G3915" s="54"/>
      <c r="H3915" s="54"/>
      <c r="I3915" s="53"/>
      <c r="J3915" s="53"/>
      <c r="K3915" s="23"/>
      <c r="L3915" s="53"/>
      <c r="M3915" s="54"/>
    </row>
    <row r="3916">
      <c r="A3916" s="23"/>
      <c r="B3916" s="52"/>
      <c r="C3916" s="53"/>
      <c r="D3916" s="23"/>
      <c r="E3916" s="53"/>
      <c r="F3916" s="54"/>
      <c r="G3916" s="23"/>
      <c r="H3916" s="54"/>
      <c r="I3916" s="53"/>
      <c r="J3916" s="53"/>
      <c r="K3916" s="23"/>
      <c r="L3916" s="53"/>
      <c r="M3916" s="54"/>
    </row>
    <row r="3917">
      <c r="A3917" s="23"/>
      <c r="B3917" s="52"/>
      <c r="C3917" s="53"/>
      <c r="D3917" s="23"/>
      <c r="E3917" s="53"/>
      <c r="F3917" s="54"/>
      <c r="G3917" s="23"/>
      <c r="H3917" s="54"/>
      <c r="I3917" s="53"/>
      <c r="J3917" s="23"/>
      <c r="K3917" s="23"/>
      <c r="L3917" s="53"/>
      <c r="M3917" s="54"/>
    </row>
    <row r="3918">
      <c r="A3918" s="23"/>
      <c r="B3918" s="52"/>
      <c r="C3918" s="53"/>
      <c r="D3918" s="23"/>
      <c r="E3918" s="53"/>
      <c r="F3918" s="54"/>
      <c r="G3918" s="54"/>
      <c r="H3918" s="54"/>
      <c r="I3918" s="53"/>
      <c r="J3918" s="53"/>
      <c r="K3918" s="23"/>
      <c r="L3918" s="53"/>
      <c r="M3918" s="54"/>
    </row>
    <row r="3919">
      <c r="A3919" s="23"/>
      <c r="B3919" s="52"/>
      <c r="C3919" s="53"/>
      <c r="D3919" s="23"/>
      <c r="E3919" s="53"/>
      <c r="F3919" s="54"/>
      <c r="G3919" s="54"/>
      <c r="H3919" s="54"/>
      <c r="I3919" s="53"/>
      <c r="J3919" s="53"/>
      <c r="K3919" s="23"/>
      <c r="L3919" s="53"/>
      <c r="M3919" s="54"/>
    </row>
    <row r="3920">
      <c r="A3920" s="23"/>
      <c r="B3920" s="52"/>
      <c r="C3920" s="53"/>
      <c r="D3920" s="23"/>
      <c r="E3920" s="53"/>
      <c r="F3920" s="54"/>
      <c r="G3920" s="54"/>
      <c r="H3920" s="54"/>
      <c r="I3920" s="53"/>
      <c r="J3920" s="53"/>
      <c r="K3920" s="23"/>
      <c r="L3920" s="53"/>
      <c r="M3920" s="54"/>
    </row>
    <row r="3921">
      <c r="A3921" s="23"/>
      <c r="B3921" s="52"/>
      <c r="C3921" s="53"/>
      <c r="D3921" s="23"/>
      <c r="E3921" s="53"/>
      <c r="F3921" s="54"/>
      <c r="G3921" s="23"/>
      <c r="H3921" s="54"/>
      <c r="I3921" s="53"/>
      <c r="J3921" s="53"/>
      <c r="K3921" s="23"/>
      <c r="L3921" s="53"/>
      <c r="M3921" s="54"/>
    </row>
    <row r="3922">
      <c r="A3922" s="23"/>
      <c r="B3922" s="52"/>
      <c r="C3922" s="53"/>
      <c r="D3922" s="23"/>
      <c r="E3922" s="53"/>
      <c r="F3922" s="54"/>
      <c r="G3922" s="23"/>
      <c r="H3922" s="54"/>
      <c r="I3922" s="53"/>
      <c r="J3922" s="53"/>
      <c r="K3922" s="23"/>
      <c r="L3922" s="53"/>
      <c r="M3922" s="54"/>
    </row>
    <row r="3923">
      <c r="A3923" s="23"/>
      <c r="B3923" s="52"/>
      <c r="C3923" s="53"/>
      <c r="D3923" s="23"/>
      <c r="E3923" s="53"/>
      <c r="F3923" s="54"/>
      <c r="G3923" s="23"/>
      <c r="H3923" s="54"/>
      <c r="I3923" s="53"/>
      <c r="J3923" s="53"/>
      <c r="K3923" s="23"/>
      <c r="L3923" s="53"/>
      <c r="M3923" s="54"/>
    </row>
    <row r="3924">
      <c r="A3924" s="23"/>
      <c r="B3924" s="52"/>
      <c r="C3924" s="53"/>
      <c r="D3924" s="23"/>
      <c r="E3924" s="53"/>
      <c r="F3924" s="54"/>
      <c r="G3924" s="54"/>
      <c r="H3924" s="54"/>
      <c r="I3924" s="53"/>
      <c r="J3924" s="53"/>
      <c r="K3924" s="23"/>
      <c r="L3924" s="53"/>
      <c r="M3924" s="54"/>
    </row>
    <row r="3925">
      <c r="A3925" s="23"/>
      <c r="B3925" s="52"/>
      <c r="C3925" s="53"/>
      <c r="D3925" s="23"/>
      <c r="E3925" s="53"/>
      <c r="F3925" s="54"/>
      <c r="G3925" s="23"/>
      <c r="H3925" s="54"/>
      <c r="I3925" s="53"/>
      <c r="J3925" s="23"/>
      <c r="K3925" s="23"/>
      <c r="L3925" s="53"/>
      <c r="M3925" s="54"/>
    </row>
    <row r="3926">
      <c r="A3926" s="23"/>
      <c r="B3926" s="52"/>
      <c r="C3926" s="53"/>
      <c r="D3926" s="23"/>
      <c r="E3926" s="53"/>
      <c r="F3926" s="54"/>
      <c r="G3926" s="54"/>
      <c r="H3926" s="54"/>
      <c r="I3926" s="53"/>
      <c r="J3926" s="53"/>
      <c r="K3926" s="23"/>
      <c r="L3926" s="53"/>
      <c r="M3926" s="54"/>
    </row>
    <row r="3927">
      <c r="A3927" s="23"/>
      <c r="B3927" s="52"/>
      <c r="C3927" s="53"/>
      <c r="D3927" s="23"/>
      <c r="E3927" s="53"/>
      <c r="F3927" s="54"/>
      <c r="G3927" s="54"/>
      <c r="H3927" s="54"/>
      <c r="I3927" s="53"/>
      <c r="J3927" s="53"/>
      <c r="K3927" s="23"/>
      <c r="L3927" s="53"/>
      <c r="M3927" s="54"/>
    </row>
    <row r="3928">
      <c r="A3928" s="23"/>
      <c r="B3928" s="52"/>
      <c r="C3928" s="53"/>
      <c r="D3928" s="23"/>
      <c r="E3928" s="53"/>
      <c r="F3928" s="54"/>
      <c r="G3928" s="23"/>
      <c r="H3928" s="54"/>
      <c r="I3928" s="53"/>
      <c r="J3928" s="53"/>
      <c r="K3928" s="23"/>
      <c r="L3928" s="53"/>
      <c r="M3928" s="54"/>
    </row>
    <row r="3929">
      <c r="A3929" s="23"/>
      <c r="B3929" s="52"/>
      <c r="C3929" s="53"/>
      <c r="D3929" s="23"/>
      <c r="E3929" s="53"/>
      <c r="F3929" s="54"/>
      <c r="G3929" s="23"/>
      <c r="H3929" s="54"/>
      <c r="I3929" s="53"/>
      <c r="J3929" s="53"/>
      <c r="K3929" s="23"/>
      <c r="L3929" s="53"/>
      <c r="M3929" s="54"/>
    </row>
    <row r="3930">
      <c r="A3930" s="23"/>
      <c r="B3930" s="52"/>
      <c r="C3930" s="53"/>
      <c r="D3930" s="23"/>
      <c r="E3930" s="53"/>
      <c r="F3930" s="54"/>
      <c r="G3930" s="23"/>
      <c r="H3930" s="54"/>
      <c r="I3930" s="53"/>
      <c r="J3930" s="53"/>
      <c r="K3930" s="23"/>
      <c r="L3930" s="53"/>
      <c r="M3930" s="54"/>
    </row>
    <row r="3931">
      <c r="A3931" s="23"/>
      <c r="B3931" s="52"/>
      <c r="C3931" s="53"/>
      <c r="D3931" s="23"/>
      <c r="E3931" s="53"/>
      <c r="F3931" s="54"/>
      <c r="G3931" s="54"/>
      <c r="H3931" s="54"/>
      <c r="I3931" s="53"/>
      <c r="J3931" s="53"/>
      <c r="K3931" s="23"/>
      <c r="L3931" s="53"/>
      <c r="M3931" s="54"/>
    </row>
    <row r="3932">
      <c r="A3932" s="23"/>
      <c r="B3932" s="52"/>
      <c r="C3932" s="53"/>
      <c r="D3932" s="23"/>
      <c r="E3932" s="53"/>
      <c r="F3932" s="54"/>
      <c r="G3932" s="54"/>
      <c r="H3932" s="54"/>
      <c r="I3932" s="53"/>
      <c r="J3932" s="53"/>
      <c r="K3932" s="23"/>
      <c r="L3932" s="53"/>
      <c r="M3932" s="54"/>
    </row>
    <row r="3933">
      <c r="A3933" s="23"/>
      <c r="B3933" s="52"/>
      <c r="C3933" s="53"/>
      <c r="D3933" s="23"/>
      <c r="E3933" s="53"/>
      <c r="F3933" s="54"/>
      <c r="G3933" s="54"/>
      <c r="H3933" s="54"/>
      <c r="I3933" s="53"/>
      <c r="J3933" s="53"/>
      <c r="K3933" s="23"/>
      <c r="L3933" s="53"/>
      <c r="M3933" s="54"/>
    </row>
    <row r="3934">
      <c r="A3934" s="23"/>
      <c r="B3934" s="52"/>
      <c r="C3934" s="53"/>
      <c r="D3934" s="23"/>
      <c r="E3934" s="53"/>
      <c r="F3934" s="54"/>
      <c r="G3934" s="23"/>
      <c r="H3934" s="54"/>
      <c r="I3934" s="53"/>
      <c r="J3934" s="23"/>
      <c r="K3934" s="23"/>
      <c r="L3934" s="53"/>
      <c r="M3934" s="54"/>
    </row>
    <row r="3935">
      <c r="A3935" s="23"/>
      <c r="B3935" s="52"/>
      <c r="C3935" s="53"/>
      <c r="D3935" s="23"/>
      <c r="E3935" s="53"/>
      <c r="F3935" s="54"/>
      <c r="G3935" s="54"/>
      <c r="H3935" s="54"/>
      <c r="I3935" s="53"/>
      <c r="J3935" s="53"/>
      <c r="K3935" s="23"/>
      <c r="L3935" s="53"/>
      <c r="M3935" s="54"/>
    </row>
    <row r="3936">
      <c r="A3936" s="23"/>
      <c r="B3936" s="52"/>
      <c r="C3936" s="53"/>
      <c r="D3936" s="23"/>
      <c r="E3936" s="53"/>
      <c r="F3936" s="54"/>
      <c r="G3936" s="23"/>
      <c r="H3936" s="54"/>
      <c r="I3936" s="53"/>
      <c r="J3936" s="53"/>
      <c r="K3936" s="23"/>
      <c r="L3936" s="53"/>
      <c r="M3936" s="54"/>
    </row>
    <row r="3937">
      <c r="A3937" s="23"/>
      <c r="B3937" s="52"/>
      <c r="C3937" s="53"/>
      <c r="D3937" s="23"/>
      <c r="E3937" s="53"/>
      <c r="F3937" s="54"/>
      <c r="G3937" s="54"/>
      <c r="H3937" s="54"/>
      <c r="I3937" s="53"/>
      <c r="J3937" s="53"/>
      <c r="K3937" s="23"/>
      <c r="L3937" s="53"/>
      <c r="M3937" s="54"/>
    </row>
    <row r="3938">
      <c r="A3938" s="23"/>
      <c r="B3938" s="52"/>
      <c r="C3938" s="53"/>
      <c r="D3938" s="23"/>
      <c r="E3938" s="53"/>
      <c r="F3938" s="54"/>
      <c r="G3938" s="23"/>
      <c r="H3938" s="54"/>
      <c r="I3938" s="53"/>
      <c r="J3938" s="23"/>
      <c r="K3938" s="23"/>
      <c r="L3938" s="53"/>
      <c r="M3938" s="54"/>
    </row>
    <row r="3939">
      <c r="A3939" s="23"/>
      <c r="B3939" s="52"/>
      <c r="C3939" s="53"/>
      <c r="D3939" s="23"/>
      <c r="E3939" s="53"/>
      <c r="F3939" s="54"/>
      <c r="G3939" s="54"/>
      <c r="H3939" s="54"/>
      <c r="I3939" s="53"/>
      <c r="J3939" s="53"/>
      <c r="K3939" s="23"/>
      <c r="L3939" s="53"/>
      <c r="M3939" s="54"/>
    </row>
    <row r="3940">
      <c r="A3940" s="23"/>
      <c r="B3940" s="52"/>
      <c r="C3940" s="53"/>
      <c r="D3940" s="23"/>
      <c r="E3940" s="53"/>
      <c r="F3940" s="54"/>
      <c r="G3940" s="54"/>
      <c r="H3940" s="54"/>
      <c r="I3940" s="53"/>
      <c r="J3940" s="53"/>
      <c r="K3940" s="23"/>
      <c r="L3940" s="53"/>
      <c r="M3940" s="54"/>
    </row>
    <row r="3941">
      <c r="A3941" s="23"/>
      <c r="B3941" s="52"/>
      <c r="C3941" s="53"/>
      <c r="D3941" s="23"/>
      <c r="E3941" s="53"/>
      <c r="F3941" s="54"/>
      <c r="G3941" s="54"/>
      <c r="H3941" s="54"/>
      <c r="I3941" s="53"/>
      <c r="J3941" s="53"/>
      <c r="K3941" s="23"/>
      <c r="L3941" s="53"/>
      <c r="M3941" s="54"/>
    </row>
    <row r="3942">
      <c r="A3942" s="23"/>
      <c r="B3942" s="52"/>
      <c r="C3942" s="53"/>
      <c r="D3942" s="23"/>
      <c r="E3942" s="53"/>
      <c r="F3942" s="54"/>
      <c r="G3942" s="54"/>
      <c r="H3942" s="54"/>
      <c r="I3942" s="53"/>
      <c r="J3942" s="53"/>
      <c r="K3942" s="23"/>
      <c r="L3942" s="53"/>
      <c r="M3942" s="54"/>
    </row>
    <row r="3943">
      <c r="A3943" s="23"/>
      <c r="B3943" s="52"/>
      <c r="C3943" s="53"/>
      <c r="D3943" s="23"/>
      <c r="E3943" s="53"/>
      <c r="F3943" s="54"/>
      <c r="G3943" s="23"/>
      <c r="H3943" s="54"/>
      <c r="I3943" s="53"/>
      <c r="J3943" s="23"/>
      <c r="K3943" s="23"/>
      <c r="L3943" s="53"/>
      <c r="M3943" s="54"/>
    </row>
    <row r="3944">
      <c r="A3944" s="23"/>
      <c r="B3944" s="52"/>
      <c r="C3944" s="53"/>
      <c r="D3944" s="23"/>
      <c r="E3944" s="53"/>
      <c r="F3944" s="54"/>
      <c r="G3944" s="54"/>
      <c r="H3944" s="54"/>
      <c r="I3944" s="53"/>
      <c r="J3944" s="53"/>
      <c r="K3944" s="23"/>
      <c r="L3944" s="53"/>
      <c r="M3944" s="54"/>
    </row>
    <row r="3945">
      <c r="A3945" s="23"/>
      <c r="B3945" s="52"/>
      <c r="C3945" s="53"/>
      <c r="D3945" s="23"/>
      <c r="E3945" s="53"/>
      <c r="F3945" s="54"/>
      <c r="G3945" s="54"/>
      <c r="H3945" s="54"/>
      <c r="I3945" s="53"/>
      <c r="J3945" s="53"/>
      <c r="K3945" s="23"/>
      <c r="L3945" s="53"/>
      <c r="M3945" s="54"/>
    </row>
    <row r="3946">
      <c r="A3946" s="23"/>
      <c r="B3946" s="52"/>
      <c r="C3946" s="53"/>
      <c r="D3946" s="23"/>
      <c r="E3946" s="53"/>
      <c r="F3946" s="54"/>
      <c r="G3946" s="23"/>
      <c r="H3946" s="54"/>
      <c r="I3946" s="53"/>
      <c r="J3946" s="53"/>
      <c r="K3946" s="23"/>
      <c r="L3946" s="53"/>
      <c r="M3946" s="54"/>
    </row>
    <row r="3947">
      <c r="A3947" s="23"/>
      <c r="B3947" s="52"/>
      <c r="C3947" s="53"/>
      <c r="D3947" s="23"/>
      <c r="E3947" s="53"/>
      <c r="F3947" s="54"/>
      <c r="G3947" s="23"/>
      <c r="H3947" s="54"/>
      <c r="I3947" s="53"/>
      <c r="J3947" s="53"/>
      <c r="K3947" s="23"/>
      <c r="L3947" s="53"/>
      <c r="M3947" s="54"/>
    </row>
    <row r="3948">
      <c r="A3948" s="23"/>
      <c r="B3948" s="52"/>
      <c r="C3948" s="53"/>
      <c r="D3948" s="23"/>
      <c r="E3948" s="53"/>
      <c r="F3948" s="54"/>
      <c r="G3948" s="23"/>
      <c r="H3948" s="54"/>
      <c r="I3948" s="53"/>
      <c r="J3948" s="53"/>
      <c r="K3948" s="23"/>
      <c r="L3948" s="23"/>
      <c r="M3948" s="54"/>
    </row>
    <row r="3949">
      <c r="A3949" s="23"/>
      <c r="B3949" s="52"/>
      <c r="C3949" s="53"/>
      <c r="D3949" s="23"/>
      <c r="E3949" s="53"/>
      <c r="F3949" s="54"/>
      <c r="G3949" s="23"/>
      <c r="H3949" s="54"/>
      <c r="I3949" s="53"/>
      <c r="J3949" s="23"/>
      <c r="K3949" s="23"/>
      <c r="L3949" s="53"/>
      <c r="M3949" s="54"/>
    </row>
    <row r="3950">
      <c r="A3950" s="23"/>
      <c r="B3950" s="52"/>
      <c r="C3950" s="53"/>
      <c r="D3950" s="23"/>
      <c r="E3950" s="53"/>
      <c r="F3950" s="54"/>
      <c r="G3950" s="23"/>
      <c r="H3950" s="54"/>
      <c r="I3950" s="53"/>
      <c r="J3950" s="53"/>
      <c r="K3950" s="53"/>
      <c r="L3950" s="53"/>
      <c r="M3950" s="54"/>
    </row>
    <row r="3951">
      <c r="A3951" s="23"/>
      <c r="B3951" s="52"/>
      <c r="C3951" s="53"/>
      <c r="D3951" s="23"/>
      <c r="E3951" s="53"/>
      <c r="F3951" s="54"/>
      <c r="G3951" s="23"/>
      <c r="H3951" s="54"/>
      <c r="I3951" s="53"/>
      <c r="J3951" s="53"/>
      <c r="K3951" s="23"/>
      <c r="L3951" s="53"/>
      <c r="M3951" s="54"/>
    </row>
    <row r="3952">
      <c r="A3952" s="23"/>
      <c r="B3952" s="52"/>
      <c r="C3952" s="53"/>
      <c r="D3952" s="23"/>
      <c r="E3952" s="53"/>
      <c r="F3952" s="54"/>
      <c r="G3952" s="23"/>
      <c r="H3952" s="54"/>
      <c r="I3952" s="53"/>
      <c r="J3952" s="23"/>
      <c r="K3952" s="23"/>
      <c r="L3952" s="53"/>
      <c r="M3952" s="54"/>
    </row>
    <row r="3953">
      <c r="A3953" s="23"/>
      <c r="B3953" s="52"/>
      <c r="C3953" s="53"/>
      <c r="D3953" s="23"/>
      <c r="E3953" s="53"/>
      <c r="F3953" s="54"/>
      <c r="G3953" s="54"/>
      <c r="H3953" s="54"/>
      <c r="I3953" s="53"/>
      <c r="J3953" s="53"/>
      <c r="K3953" s="23"/>
      <c r="L3953" s="53"/>
      <c r="M3953" s="54"/>
    </row>
    <row r="3954">
      <c r="A3954" s="23"/>
      <c r="B3954" s="52"/>
      <c r="C3954" s="53"/>
      <c r="D3954" s="23"/>
      <c r="E3954" s="53"/>
      <c r="F3954" s="54"/>
      <c r="G3954" s="23"/>
      <c r="H3954" s="54"/>
      <c r="I3954" s="53"/>
      <c r="J3954" s="53"/>
      <c r="K3954" s="23"/>
      <c r="L3954" s="53"/>
      <c r="M3954" s="54"/>
    </row>
    <row r="3955">
      <c r="A3955" s="23"/>
      <c r="B3955" s="52"/>
      <c r="C3955" s="53"/>
      <c r="D3955" s="23"/>
      <c r="E3955" s="53"/>
      <c r="F3955" s="54"/>
      <c r="G3955" s="54"/>
      <c r="H3955" s="54"/>
      <c r="I3955" s="53"/>
      <c r="J3955" s="53"/>
      <c r="K3955" s="23"/>
      <c r="L3955" s="23"/>
      <c r="M3955" s="54"/>
    </row>
    <row r="3956">
      <c r="A3956" s="23"/>
      <c r="B3956" s="52"/>
      <c r="C3956" s="53"/>
      <c r="D3956" s="23"/>
      <c r="E3956" s="53"/>
      <c r="F3956" s="54"/>
      <c r="G3956" s="54"/>
      <c r="H3956" s="54"/>
      <c r="I3956" s="53"/>
      <c r="J3956" s="53"/>
      <c r="K3956" s="23"/>
      <c r="L3956" s="53"/>
      <c r="M3956" s="54"/>
    </row>
    <row r="3957">
      <c r="A3957" s="23"/>
      <c r="B3957" s="52"/>
      <c r="C3957" s="53"/>
      <c r="D3957" s="23"/>
      <c r="E3957" s="53"/>
      <c r="F3957" s="54"/>
      <c r="G3957" s="54"/>
      <c r="H3957" s="54"/>
      <c r="I3957" s="53"/>
      <c r="J3957" s="53"/>
      <c r="K3957" s="23"/>
      <c r="L3957" s="53"/>
      <c r="M3957" s="54"/>
    </row>
    <row r="3958">
      <c r="A3958" s="23"/>
      <c r="B3958" s="52"/>
      <c r="C3958" s="53"/>
      <c r="D3958" s="23"/>
      <c r="E3958" s="53"/>
      <c r="F3958" s="54"/>
      <c r="G3958" s="23"/>
      <c r="H3958" s="54"/>
      <c r="I3958" s="53"/>
      <c r="J3958" s="53"/>
      <c r="K3958" s="23"/>
      <c r="L3958" s="53"/>
      <c r="M3958" s="54"/>
    </row>
    <row r="3959">
      <c r="A3959" s="23"/>
      <c r="B3959" s="52"/>
      <c r="C3959" s="53"/>
      <c r="D3959" s="23"/>
      <c r="E3959" s="53"/>
      <c r="F3959" s="54"/>
      <c r="G3959" s="23"/>
      <c r="H3959" s="54"/>
      <c r="I3959" s="53"/>
      <c r="J3959" s="53"/>
      <c r="K3959" s="23"/>
      <c r="L3959" s="53"/>
      <c r="M3959" s="54"/>
    </row>
    <row r="3960">
      <c r="A3960" s="23"/>
      <c r="B3960" s="52"/>
      <c r="C3960" s="53"/>
      <c r="D3960" s="23"/>
      <c r="E3960" s="53"/>
      <c r="F3960" s="54"/>
      <c r="G3960" s="54"/>
      <c r="H3960" s="54"/>
      <c r="I3960" s="53"/>
      <c r="J3960" s="53"/>
      <c r="K3960" s="23"/>
      <c r="L3960" s="53"/>
      <c r="M3960" s="54"/>
    </row>
    <row r="3961">
      <c r="A3961" s="23"/>
      <c r="B3961" s="52"/>
      <c r="C3961" s="53"/>
      <c r="D3961" s="23"/>
      <c r="E3961" s="53"/>
      <c r="F3961" s="54"/>
      <c r="G3961" s="23"/>
      <c r="H3961" s="54"/>
      <c r="I3961" s="53"/>
      <c r="J3961" s="53"/>
      <c r="K3961" s="23"/>
      <c r="L3961" s="53"/>
      <c r="M3961" s="54"/>
    </row>
    <row r="3962">
      <c r="A3962" s="23"/>
      <c r="B3962" s="52"/>
      <c r="C3962" s="53"/>
      <c r="D3962" s="23"/>
      <c r="E3962" s="53"/>
      <c r="F3962" s="54"/>
      <c r="G3962" s="54"/>
      <c r="H3962" s="54"/>
      <c r="I3962" s="53"/>
      <c r="J3962" s="53"/>
      <c r="K3962" s="23"/>
      <c r="L3962" s="53"/>
      <c r="M3962" s="54"/>
    </row>
    <row r="3963">
      <c r="A3963" s="23"/>
      <c r="B3963" s="52"/>
      <c r="C3963" s="53"/>
      <c r="D3963" s="23"/>
      <c r="E3963" s="53"/>
      <c r="F3963" s="54"/>
      <c r="G3963" s="54"/>
      <c r="H3963" s="54"/>
      <c r="I3963" s="53"/>
      <c r="J3963" s="53"/>
      <c r="K3963" s="23"/>
      <c r="L3963" s="53"/>
      <c r="M3963" s="54"/>
    </row>
    <row r="3964">
      <c r="A3964" s="23"/>
      <c r="B3964" s="52"/>
      <c r="C3964" s="53"/>
      <c r="D3964" s="23"/>
      <c r="E3964" s="53"/>
      <c r="F3964" s="54"/>
      <c r="G3964" s="54"/>
      <c r="H3964" s="54"/>
      <c r="I3964" s="53"/>
      <c r="J3964" s="53"/>
      <c r="K3964" s="23"/>
      <c r="L3964" s="53"/>
      <c r="M3964" s="54"/>
    </row>
    <row r="3965">
      <c r="A3965" s="23"/>
      <c r="B3965" s="52"/>
      <c r="C3965" s="53"/>
      <c r="D3965" s="23"/>
      <c r="E3965" s="53"/>
      <c r="F3965" s="54"/>
      <c r="G3965" s="54"/>
      <c r="H3965" s="54"/>
      <c r="I3965" s="53"/>
      <c r="J3965" s="53"/>
      <c r="K3965" s="23"/>
      <c r="L3965" s="53"/>
      <c r="M3965" s="54"/>
    </row>
    <row r="3966">
      <c r="A3966" s="23"/>
      <c r="B3966" s="52"/>
      <c r="C3966" s="53"/>
      <c r="D3966" s="23"/>
      <c r="E3966" s="53"/>
      <c r="F3966" s="54"/>
      <c r="G3966" s="54"/>
      <c r="H3966" s="54"/>
      <c r="I3966" s="53"/>
      <c r="J3966" s="53"/>
      <c r="K3966" s="23"/>
      <c r="L3966" s="53"/>
      <c r="M3966" s="54"/>
    </row>
    <row r="3967">
      <c r="A3967" s="23"/>
      <c r="B3967" s="52"/>
      <c r="C3967" s="53"/>
      <c r="D3967" s="23"/>
      <c r="E3967" s="53"/>
      <c r="F3967" s="54"/>
      <c r="G3967" s="23"/>
      <c r="H3967" s="54"/>
      <c r="I3967" s="53"/>
      <c r="J3967" s="23"/>
      <c r="K3967" s="23"/>
      <c r="L3967" s="53"/>
      <c r="M3967" s="54"/>
    </row>
    <row r="3968">
      <c r="A3968" s="23"/>
      <c r="B3968" s="52"/>
      <c r="C3968" s="53"/>
      <c r="D3968" s="23"/>
      <c r="E3968" s="53"/>
      <c r="F3968" s="54"/>
      <c r="G3968" s="54"/>
      <c r="H3968" s="54"/>
      <c r="I3968" s="53"/>
      <c r="J3968" s="53"/>
      <c r="K3968" s="23"/>
      <c r="L3968" s="53"/>
      <c r="M3968" s="54"/>
    </row>
    <row r="3969">
      <c r="A3969" s="23"/>
      <c r="B3969" s="52"/>
      <c r="C3969" s="53"/>
      <c r="D3969" s="23"/>
      <c r="E3969" s="53"/>
      <c r="F3969" s="54"/>
      <c r="G3969" s="23"/>
      <c r="H3969" s="54"/>
      <c r="I3969" s="53"/>
      <c r="J3969" s="53"/>
      <c r="K3969" s="23"/>
      <c r="L3969" s="53"/>
      <c r="M3969" s="54"/>
    </row>
    <row r="3970">
      <c r="A3970" s="23"/>
      <c r="B3970" s="52"/>
      <c r="C3970" s="53"/>
      <c r="D3970" s="23"/>
      <c r="E3970" s="53"/>
      <c r="F3970" s="54"/>
      <c r="G3970" s="54"/>
      <c r="H3970" s="54"/>
      <c r="I3970" s="53"/>
      <c r="J3970" s="53"/>
      <c r="K3970" s="23"/>
      <c r="L3970" s="53"/>
      <c r="M3970" s="54"/>
    </row>
    <row r="3971">
      <c r="A3971" s="23"/>
      <c r="B3971" s="52"/>
      <c r="C3971" s="53"/>
      <c r="D3971" s="23"/>
      <c r="E3971" s="53"/>
      <c r="F3971" s="54"/>
      <c r="G3971" s="54"/>
      <c r="H3971" s="54"/>
      <c r="I3971" s="53"/>
      <c r="J3971" s="53"/>
      <c r="K3971" s="23"/>
      <c r="L3971" s="53"/>
      <c r="M3971" s="54"/>
    </row>
    <row r="3972">
      <c r="A3972" s="23"/>
      <c r="B3972" s="52"/>
      <c r="C3972" s="53"/>
      <c r="D3972" s="23"/>
      <c r="E3972" s="53"/>
      <c r="F3972" s="54"/>
      <c r="G3972" s="54"/>
      <c r="H3972" s="54"/>
      <c r="I3972" s="53"/>
      <c r="J3972" s="53"/>
      <c r="K3972" s="23"/>
      <c r="L3972" s="53"/>
      <c r="M3972" s="54"/>
    </row>
    <row r="3973">
      <c r="A3973" s="23"/>
      <c r="B3973" s="52"/>
      <c r="C3973" s="53"/>
      <c r="D3973" s="23"/>
      <c r="E3973" s="53"/>
      <c r="F3973" s="54"/>
      <c r="G3973" s="23"/>
      <c r="H3973" s="54"/>
      <c r="I3973" s="53"/>
      <c r="J3973" s="53"/>
      <c r="K3973" s="23"/>
      <c r="L3973" s="53"/>
      <c r="M3973" s="54"/>
    </row>
    <row r="3974">
      <c r="A3974" s="23"/>
      <c r="B3974" s="52"/>
      <c r="C3974" s="53"/>
      <c r="D3974" s="23"/>
      <c r="E3974" s="53"/>
      <c r="F3974" s="54"/>
      <c r="G3974" s="54"/>
      <c r="H3974" s="54"/>
      <c r="I3974" s="53"/>
      <c r="J3974" s="53"/>
      <c r="K3974" s="23"/>
      <c r="L3974" s="53"/>
      <c r="M3974" s="54"/>
    </row>
    <row r="3975">
      <c r="A3975" s="23"/>
      <c r="B3975" s="52"/>
      <c r="C3975" s="53"/>
      <c r="D3975" s="23"/>
      <c r="E3975" s="53"/>
      <c r="F3975" s="54"/>
      <c r="G3975" s="54"/>
      <c r="H3975" s="54"/>
      <c r="I3975" s="53"/>
      <c r="J3975" s="53"/>
      <c r="K3975" s="23"/>
      <c r="L3975" s="53"/>
      <c r="M3975" s="54"/>
    </row>
    <row r="3976">
      <c r="A3976" s="23"/>
      <c r="B3976" s="52"/>
      <c r="C3976" s="53"/>
      <c r="D3976" s="23"/>
      <c r="E3976" s="53"/>
      <c r="F3976" s="54"/>
      <c r="G3976" s="54"/>
      <c r="H3976" s="54"/>
      <c r="I3976" s="53"/>
      <c r="J3976" s="53"/>
      <c r="K3976" s="23"/>
      <c r="L3976" s="53"/>
      <c r="M3976" s="54"/>
    </row>
    <row r="3977">
      <c r="A3977" s="23"/>
      <c r="B3977" s="52"/>
      <c r="C3977" s="53"/>
      <c r="D3977" s="23"/>
      <c r="E3977" s="53"/>
      <c r="F3977" s="54"/>
      <c r="G3977" s="23"/>
      <c r="H3977" s="54"/>
      <c r="I3977" s="53"/>
      <c r="J3977" s="23"/>
      <c r="K3977" s="23"/>
      <c r="L3977" s="53"/>
      <c r="M3977" s="54"/>
    </row>
    <row r="3978">
      <c r="A3978" s="23"/>
      <c r="B3978" s="52"/>
      <c r="C3978" s="53"/>
      <c r="D3978" s="23"/>
      <c r="E3978" s="53"/>
      <c r="F3978" s="54"/>
      <c r="G3978" s="23"/>
      <c r="H3978" s="54"/>
      <c r="I3978" s="53"/>
      <c r="J3978" s="23"/>
      <c r="K3978" s="23"/>
      <c r="L3978" s="53"/>
      <c r="M3978" s="54"/>
    </row>
    <row r="3979">
      <c r="A3979" s="23"/>
      <c r="B3979" s="52"/>
      <c r="C3979" s="53"/>
      <c r="D3979" s="23"/>
      <c r="E3979" s="53"/>
      <c r="F3979" s="54"/>
      <c r="G3979" s="23"/>
      <c r="H3979" s="54"/>
      <c r="I3979" s="53"/>
      <c r="J3979" s="23"/>
      <c r="K3979" s="23"/>
      <c r="L3979" s="53"/>
      <c r="M3979" s="54"/>
    </row>
    <row r="3980">
      <c r="A3980" s="23"/>
      <c r="B3980" s="52"/>
      <c r="C3980" s="53"/>
      <c r="D3980" s="23"/>
      <c r="E3980" s="53"/>
      <c r="F3980" s="54"/>
      <c r="G3980" s="23"/>
      <c r="H3980" s="54"/>
      <c r="I3980" s="53"/>
      <c r="J3980" s="23"/>
      <c r="K3980" s="23"/>
      <c r="L3980" s="53"/>
      <c r="M3980" s="54"/>
    </row>
    <row r="3981">
      <c r="A3981" s="23"/>
      <c r="B3981" s="52"/>
      <c r="C3981" s="53"/>
      <c r="D3981" s="23"/>
      <c r="E3981" s="53"/>
      <c r="F3981" s="54"/>
      <c r="G3981" s="54"/>
      <c r="H3981" s="54"/>
      <c r="I3981" s="53"/>
      <c r="J3981" s="53"/>
      <c r="K3981" s="23"/>
      <c r="L3981" s="53"/>
      <c r="M3981" s="54"/>
    </row>
    <row r="3982">
      <c r="A3982" s="23"/>
      <c r="B3982" s="52"/>
      <c r="C3982" s="53"/>
      <c r="D3982" s="23"/>
      <c r="E3982" s="53"/>
      <c r="F3982" s="54"/>
      <c r="G3982" s="54"/>
      <c r="H3982" s="54"/>
      <c r="I3982" s="53"/>
      <c r="J3982" s="53"/>
      <c r="K3982" s="23"/>
      <c r="L3982" s="53"/>
      <c r="M3982" s="54"/>
    </row>
    <row r="3983">
      <c r="A3983" s="23"/>
      <c r="B3983" s="52"/>
      <c r="C3983" s="53"/>
      <c r="D3983" s="23"/>
      <c r="E3983" s="53"/>
      <c r="F3983" s="54"/>
      <c r="G3983" s="54"/>
      <c r="H3983" s="54"/>
      <c r="I3983" s="53"/>
      <c r="J3983" s="53"/>
      <c r="K3983" s="23"/>
      <c r="L3983" s="53"/>
      <c r="M3983" s="54"/>
    </row>
    <row r="3984">
      <c r="A3984" s="23"/>
      <c r="B3984" s="52"/>
      <c r="C3984" s="53"/>
      <c r="D3984" s="23"/>
      <c r="E3984" s="53"/>
      <c r="F3984" s="54"/>
      <c r="G3984" s="54"/>
      <c r="H3984" s="54"/>
      <c r="I3984" s="53"/>
      <c r="J3984" s="53"/>
      <c r="K3984" s="23"/>
      <c r="L3984" s="53"/>
      <c r="M3984" s="54"/>
    </row>
    <row r="3985">
      <c r="A3985" s="23"/>
      <c r="B3985" s="52"/>
      <c r="C3985" s="53"/>
      <c r="D3985" s="23"/>
      <c r="E3985" s="53"/>
      <c r="F3985" s="54"/>
      <c r="G3985" s="54"/>
      <c r="H3985" s="54"/>
      <c r="I3985" s="53"/>
      <c r="J3985" s="53"/>
      <c r="K3985" s="23"/>
      <c r="L3985" s="53"/>
      <c r="M3985" s="54"/>
    </row>
    <row r="3986">
      <c r="A3986" s="23"/>
      <c r="B3986" s="52"/>
      <c r="C3986" s="53"/>
      <c r="D3986" s="23"/>
      <c r="E3986" s="53"/>
      <c r="F3986" s="54"/>
      <c r="G3986" s="54"/>
      <c r="H3986" s="54"/>
      <c r="I3986" s="53"/>
      <c r="J3986" s="53"/>
      <c r="K3986" s="23"/>
      <c r="L3986" s="53"/>
      <c r="M3986" s="54"/>
    </row>
    <row r="3987">
      <c r="A3987" s="23"/>
      <c r="B3987" s="52"/>
      <c r="C3987" s="53"/>
      <c r="D3987" s="23"/>
      <c r="E3987" s="53"/>
      <c r="F3987" s="54"/>
      <c r="G3987" s="23"/>
      <c r="H3987" s="54"/>
      <c r="I3987" s="53"/>
      <c r="J3987" s="53"/>
      <c r="K3987" s="23"/>
      <c r="L3987" s="53"/>
      <c r="M3987" s="54"/>
    </row>
    <row r="3988">
      <c r="A3988" s="23"/>
      <c r="B3988" s="52"/>
      <c r="C3988" s="53"/>
      <c r="D3988" s="23"/>
      <c r="E3988" s="53"/>
      <c r="F3988" s="54"/>
      <c r="G3988" s="54"/>
      <c r="H3988" s="54"/>
      <c r="I3988" s="53"/>
      <c r="J3988" s="53"/>
      <c r="K3988" s="23"/>
      <c r="L3988" s="53"/>
      <c r="M3988" s="54"/>
    </row>
    <row r="3989">
      <c r="A3989" s="23"/>
      <c r="B3989" s="52"/>
      <c r="C3989" s="53"/>
      <c r="D3989" s="23"/>
      <c r="E3989" s="53"/>
      <c r="F3989" s="54"/>
      <c r="G3989" s="54"/>
      <c r="H3989" s="54"/>
      <c r="I3989" s="53"/>
      <c r="J3989" s="53"/>
      <c r="K3989" s="23"/>
      <c r="L3989" s="53"/>
      <c r="M3989" s="54"/>
    </row>
    <row r="3990">
      <c r="A3990" s="23"/>
      <c r="B3990" s="52"/>
      <c r="C3990" s="53"/>
      <c r="D3990" s="23"/>
      <c r="E3990" s="53"/>
      <c r="F3990" s="54"/>
      <c r="G3990" s="23"/>
      <c r="H3990" s="54"/>
      <c r="I3990" s="53"/>
      <c r="J3990" s="53"/>
      <c r="K3990" s="23"/>
      <c r="L3990" s="53"/>
      <c r="M3990" s="54"/>
    </row>
    <row r="3991">
      <c r="A3991" s="23"/>
      <c r="B3991" s="52"/>
      <c r="C3991" s="53"/>
      <c r="D3991" s="23"/>
      <c r="E3991" s="53"/>
      <c r="F3991" s="54"/>
      <c r="G3991" s="23"/>
      <c r="H3991" s="54"/>
      <c r="I3991" s="53"/>
      <c r="J3991" s="53"/>
      <c r="K3991" s="23"/>
      <c r="L3991" s="53"/>
      <c r="M3991" s="54"/>
    </row>
    <row r="3992">
      <c r="A3992" s="23"/>
      <c r="B3992" s="52"/>
      <c r="C3992" s="53"/>
      <c r="D3992" s="23"/>
      <c r="E3992" s="53"/>
      <c r="F3992" s="54"/>
      <c r="G3992" s="54"/>
      <c r="H3992" s="54"/>
      <c r="I3992" s="53"/>
      <c r="J3992" s="53"/>
      <c r="K3992" s="23"/>
      <c r="L3992" s="53"/>
      <c r="M3992" s="54"/>
    </row>
    <row r="3993">
      <c r="A3993" s="23"/>
      <c r="B3993" s="52"/>
      <c r="C3993" s="53"/>
      <c r="D3993" s="23"/>
      <c r="E3993" s="53"/>
      <c r="F3993" s="54"/>
      <c r="G3993" s="54"/>
      <c r="H3993" s="54"/>
      <c r="I3993" s="53"/>
      <c r="J3993" s="53"/>
      <c r="K3993" s="23"/>
      <c r="L3993" s="53"/>
      <c r="M3993" s="54"/>
    </row>
    <row r="3994">
      <c r="A3994" s="23"/>
      <c r="B3994" s="52"/>
      <c r="C3994" s="53"/>
      <c r="D3994" s="23"/>
      <c r="E3994" s="53"/>
      <c r="F3994" s="54"/>
      <c r="G3994" s="23"/>
      <c r="H3994" s="54"/>
      <c r="I3994" s="53"/>
      <c r="J3994" s="53"/>
      <c r="K3994" s="23"/>
      <c r="L3994" s="53"/>
      <c r="M3994" s="54"/>
    </row>
    <row r="3995">
      <c r="A3995" s="23"/>
      <c r="B3995" s="52"/>
      <c r="C3995" s="53"/>
      <c r="D3995" s="23"/>
      <c r="E3995" s="53"/>
      <c r="F3995" s="54"/>
      <c r="G3995" s="23"/>
      <c r="H3995" s="54"/>
      <c r="I3995" s="53"/>
      <c r="J3995" s="53"/>
      <c r="K3995" s="23"/>
      <c r="L3995" s="53"/>
      <c r="M3995" s="54"/>
    </row>
    <row r="3996">
      <c r="A3996" s="23"/>
      <c r="B3996" s="52"/>
      <c r="C3996" s="53"/>
      <c r="D3996" s="23"/>
      <c r="E3996" s="53"/>
      <c r="F3996" s="54"/>
      <c r="G3996" s="54"/>
      <c r="H3996" s="54"/>
      <c r="I3996" s="53"/>
      <c r="J3996" s="53"/>
      <c r="K3996" s="23"/>
      <c r="L3996" s="53"/>
      <c r="M3996" s="54"/>
    </row>
    <row r="3997">
      <c r="A3997" s="23"/>
      <c r="B3997" s="52"/>
      <c r="C3997" s="53"/>
      <c r="D3997" s="23"/>
      <c r="E3997" s="53"/>
      <c r="F3997" s="54"/>
      <c r="G3997" s="54"/>
      <c r="H3997" s="54"/>
      <c r="I3997" s="53"/>
      <c r="J3997" s="53"/>
      <c r="K3997" s="23"/>
      <c r="L3997" s="53"/>
      <c r="M3997" s="54"/>
    </row>
    <row r="3998">
      <c r="A3998" s="23"/>
      <c r="B3998" s="52"/>
      <c r="C3998" s="53"/>
      <c r="D3998" s="23"/>
      <c r="E3998" s="53"/>
      <c r="F3998" s="54"/>
      <c r="G3998" s="54"/>
      <c r="H3998" s="54"/>
      <c r="I3998" s="53"/>
      <c r="J3998" s="53"/>
      <c r="K3998" s="23"/>
      <c r="L3998" s="53"/>
      <c r="M3998" s="54"/>
    </row>
    <row r="3999">
      <c r="A3999" s="23"/>
      <c r="B3999" s="52"/>
      <c r="C3999" s="53"/>
      <c r="D3999" s="23"/>
      <c r="E3999" s="53"/>
      <c r="F3999" s="54"/>
      <c r="G3999" s="54"/>
      <c r="H3999" s="54"/>
      <c r="I3999" s="53"/>
      <c r="J3999" s="53"/>
      <c r="K3999" s="23"/>
      <c r="L3999" s="53"/>
      <c r="M3999" s="54"/>
    </row>
    <row r="4000">
      <c r="A4000" s="23"/>
      <c r="B4000" s="52"/>
      <c r="C4000" s="53"/>
      <c r="D4000" s="23"/>
      <c r="E4000" s="53"/>
      <c r="F4000" s="54"/>
      <c r="G4000" s="54"/>
      <c r="H4000" s="54"/>
      <c r="I4000" s="53"/>
      <c r="J4000" s="53"/>
      <c r="K4000" s="23"/>
      <c r="L4000" s="53"/>
      <c r="M4000" s="54"/>
    </row>
    <row r="4001">
      <c r="A4001" s="23"/>
      <c r="B4001" s="52"/>
      <c r="C4001" s="53"/>
      <c r="D4001" s="23"/>
      <c r="E4001" s="53"/>
      <c r="F4001" s="54"/>
      <c r="G4001" s="54"/>
      <c r="H4001" s="54"/>
      <c r="I4001" s="53"/>
      <c r="J4001" s="53"/>
      <c r="K4001" s="23"/>
      <c r="L4001" s="53"/>
      <c r="M4001" s="54"/>
    </row>
    <row r="4002">
      <c r="A4002" s="23"/>
      <c r="B4002" s="52"/>
      <c r="C4002" s="53"/>
      <c r="D4002" s="23"/>
      <c r="E4002" s="53"/>
      <c r="F4002" s="54"/>
      <c r="G4002" s="54"/>
      <c r="H4002" s="54"/>
      <c r="I4002" s="53"/>
      <c r="J4002" s="53"/>
      <c r="K4002" s="23"/>
      <c r="L4002" s="53"/>
      <c r="M4002" s="54"/>
    </row>
    <row r="4003">
      <c r="A4003" s="23"/>
      <c r="B4003" s="52"/>
      <c r="C4003" s="53"/>
      <c r="D4003" s="23"/>
      <c r="E4003" s="53"/>
      <c r="F4003" s="54"/>
      <c r="G4003" s="23"/>
      <c r="H4003" s="54"/>
      <c r="I4003" s="53"/>
      <c r="J4003" s="23"/>
      <c r="K4003" s="23"/>
      <c r="L4003" s="53"/>
      <c r="M4003" s="54"/>
    </row>
    <row r="4004">
      <c r="A4004" s="23"/>
      <c r="B4004" s="52"/>
      <c r="C4004" s="53"/>
      <c r="D4004" s="23"/>
      <c r="E4004" s="53"/>
      <c r="F4004" s="54"/>
      <c r="G4004" s="54"/>
      <c r="H4004" s="54"/>
      <c r="I4004" s="53"/>
      <c r="J4004" s="53"/>
      <c r="K4004" s="23"/>
      <c r="L4004" s="53"/>
      <c r="M4004" s="54"/>
    </row>
    <row r="4005">
      <c r="A4005" s="23"/>
      <c r="B4005" s="52"/>
      <c r="C4005" s="53"/>
      <c r="D4005" s="23"/>
      <c r="E4005" s="53"/>
      <c r="F4005" s="54"/>
      <c r="G4005" s="23"/>
      <c r="H4005" s="54"/>
      <c r="I4005" s="53"/>
      <c r="J4005" s="53"/>
      <c r="K4005" s="23"/>
      <c r="L4005" s="53"/>
      <c r="M4005" s="54"/>
    </row>
    <row r="4006">
      <c r="A4006" s="23"/>
      <c r="B4006" s="52"/>
      <c r="C4006" s="53"/>
      <c r="D4006" s="23"/>
      <c r="E4006" s="53"/>
      <c r="F4006" s="54"/>
      <c r="G4006" s="54"/>
      <c r="H4006" s="54"/>
      <c r="I4006" s="53"/>
      <c r="J4006" s="53"/>
      <c r="K4006" s="23"/>
      <c r="L4006" s="53"/>
      <c r="M4006" s="54"/>
    </row>
    <row r="4007">
      <c r="A4007" s="23"/>
      <c r="B4007" s="52"/>
      <c r="C4007" s="53"/>
      <c r="D4007" s="23"/>
      <c r="E4007" s="53"/>
      <c r="F4007" s="54"/>
      <c r="G4007" s="54"/>
      <c r="H4007" s="54"/>
      <c r="I4007" s="53"/>
      <c r="J4007" s="53"/>
      <c r="K4007" s="23"/>
      <c r="L4007" s="53"/>
      <c r="M4007" s="54"/>
    </row>
    <row r="4008">
      <c r="A4008" s="23"/>
      <c r="B4008" s="52"/>
      <c r="C4008" s="53"/>
      <c r="D4008" s="23"/>
      <c r="E4008" s="53"/>
      <c r="F4008" s="54"/>
      <c r="G4008" s="54"/>
      <c r="H4008" s="54"/>
      <c r="I4008" s="53"/>
      <c r="J4008" s="53"/>
      <c r="K4008" s="23"/>
      <c r="L4008" s="53"/>
      <c r="M4008" s="54"/>
    </row>
    <row r="4009">
      <c r="A4009" s="23"/>
      <c r="B4009" s="52"/>
      <c r="C4009" s="53"/>
      <c r="D4009" s="23"/>
      <c r="E4009" s="53"/>
      <c r="F4009" s="54"/>
      <c r="G4009" s="54"/>
      <c r="H4009" s="54"/>
      <c r="I4009" s="53"/>
      <c r="J4009" s="53"/>
      <c r="K4009" s="23"/>
      <c r="L4009" s="53"/>
      <c r="M4009" s="54"/>
    </row>
    <row r="4010">
      <c r="A4010" s="23"/>
      <c r="B4010" s="52"/>
      <c r="C4010" s="53"/>
      <c r="D4010" s="23"/>
      <c r="E4010" s="53"/>
      <c r="F4010" s="54"/>
      <c r="G4010" s="54"/>
      <c r="H4010" s="54"/>
      <c r="I4010" s="53"/>
      <c r="J4010" s="53"/>
      <c r="K4010" s="23"/>
      <c r="L4010" s="53"/>
      <c r="M4010" s="54"/>
    </row>
    <row r="4011">
      <c r="A4011" s="23"/>
      <c r="B4011" s="52"/>
      <c r="C4011" s="53"/>
      <c r="D4011" s="23"/>
      <c r="E4011" s="53"/>
      <c r="F4011" s="54"/>
      <c r="G4011" s="54"/>
      <c r="H4011" s="54"/>
      <c r="I4011" s="53"/>
      <c r="J4011" s="53"/>
      <c r="K4011" s="23"/>
      <c r="L4011" s="53"/>
      <c r="M4011" s="54"/>
    </row>
    <row r="4012">
      <c r="A4012" s="23"/>
      <c r="B4012" s="52"/>
      <c r="C4012" s="53"/>
      <c r="D4012" s="23"/>
      <c r="E4012" s="53"/>
      <c r="F4012" s="54"/>
      <c r="G4012" s="54"/>
      <c r="H4012" s="54"/>
      <c r="I4012" s="53"/>
      <c r="J4012" s="53"/>
      <c r="K4012" s="23"/>
      <c r="L4012" s="53"/>
      <c r="M4012" s="54"/>
    </row>
    <row r="4013">
      <c r="A4013" s="23"/>
      <c r="B4013" s="52"/>
      <c r="C4013" s="53"/>
      <c r="D4013" s="23"/>
      <c r="E4013" s="53"/>
      <c r="F4013" s="54"/>
      <c r="G4013" s="54"/>
      <c r="H4013" s="54"/>
      <c r="I4013" s="53"/>
      <c r="J4013" s="53"/>
      <c r="K4013" s="23"/>
      <c r="L4013" s="53"/>
      <c r="M4013" s="54"/>
    </row>
    <row r="4014">
      <c r="A4014" s="23"/>
      <c r="B4014" s="52"/>
      <c r="C4014" s="53"/>
      <c r="D4014" s="23"/>
      <c r="E4014" s="53"/>
      <c r="F4014" s="54"/>
      <c r="G4014" s="23"/>
      <c r="H4014" s="54"/>
      <c r="I4014" s="53"/>
      <c r="J4014" s="53"/>
      <c r="K4014" s="23"/>
      <c r="L4014" s="53"/>
      <c r="M4014" s="54"/>
    </row>
    <row r="4015">
      <c r="A4015" s="23"/>
      <c r="B4015" s="52"/>
      <c r="C4015" s="53"/>
      <c r="D4015" s="23"/>
      <c r="E4015" s="53"/>
      <c r="F4015" s="54"/>
      <c r="G4015" s="23"/>
      <c r="H4015" s="54"/>
      <c r="I4015" s="53"/>
      <c r="J4015" s="23"/>
      <c r="K4015" s="23"/>
      <c r="L4015" s="53"/>
      <c r="M4015" s="54"/>
    </row>
    <row r="4016">
      <c r="A4016" s="23"/>
      <c r="B4016" s="52"/>
      <c r="C4016" s="53"/>
      <c r="D4016" s="23"/>
      <c r="E4016" s="53"/>
      <c r="F4016" s="54"/>
      <c r="G4016" s="54"/>
      <c r="H4016" s="54"/>
      <c r="I4016" s="53"/>
      <c r="J4016" s="53"/>
      <c r="K4016" s="23"/>
      <c r="L4016" s="53"/>
      <c r="M4016" s="54"/>
    </row>
    <row r="4017">
      <c r="A4017" s="23"/>
      <c r="B4017" s="52"/>
      <c r="C4017" s="53"/>
      <c r="D4017" s="23"/>
      <c r="E4017" s="53"/>
      <c r="F4017" s="54"/>
      <c r="G4017" s="54"/>
      <c r="H4017" s="54"/>
      <c r="I4017" s="53"/>
      <c r="J4017" s="53"/>
      <c r="K4017" s="23"/>
      <c r="L4017" s="53"/>
      <c r="M4017" s="54"/>
    </row>
    <row r="4018">
      <c r="A4018" s="23"/>
      <c r="B4018" s="52"/>
      <c r="C4018" s="53"/>
      <c r="D4018" s="23"/>
      <c r="E4018" s="53"/>
      <c r="F4018" s="54"/>
      <c r="G4018" s="23"/>
      <c r="H4018" s="54"/>
      <c r="I4018" s="53"/>
      <c r="J4018" s="53"/>
      <c r="K4018" s="53"/>
      <c r="L4018" s="53"/>
      <c r="M4018" s="54"/>
    </row>
    <row r="4019">
      <c r="A4019" s="23"/>
      <c r="B4019" s="52"/>
      <c r="C4019" s="53"/>
      <c r="D4019" s="23"/>
      <c r="E4019" s="53"/>
      <c r="F4019" s="54"/>
      <c r="G4019" s="23"/>
      <c r="H4019" s="54"/>
      <c r="I4019" s="53"/>
      <c r="J4019" s="53"/>
      <c r="K4019" s="23"/>
      <c r="L4019" s="53"/>
      <c r="M4019" s="54"/>
    </row>
    <row r="4020">
      <c r="A4020" s="23"/>
      <c r="B4020" s="52"/>
      <c r="C4020" s="53"/>
      <c r="D4020" s="23"/>
      <c r="E4020" s="53"/>
      <c r="F4020" s="54"/>
      <c r="G4020" s="54"/>
      <c r="H4020" s="54"/>
      <c r="I4020" s="53"/>
      <c r="J4020" s="53"/>
      <c r="K4020" s="23"/>
      <c r="L4020" s="53"/>
      <c r="M4020" s="54"/>
    </row>
    <row r="4021">
      <c r="A4021" s="23"/>
      <c r="B4021" s="52"/>
      <c r="C4021" s="53"/>
      <c r="D4021" s="23"/>
      <c r="E4021" s="53"/>
      <c r="F4021" s="54"/>
      <c r="G4021" s="54"/>
      <c r="H4021" s="54"/>
      <c r="I4021" s="53"/>
      <c r="J4021" s="53"/>
      <c r="K4021" s="23"/>
      <c r="L4021" s="53"/>
      <c r="M4021" s="54"/>
    </row>
    <row r="4022">
      <c r="A4022" s="23"/>
      <c r="B4022" s="52"/>
      <c r="C4022" s="53"/>
      <c r="D4022" s="23"/>
      <c r="E4022" s="53"/>
      <c r="F4022" s="54"/>
      <c r="G4022" s="54"/>
      <c r="H4022" s="54"/>
      <c r="I4022" s="53"/>
      <c r="J4022" s="53"/>
      <c r="K4022" s="23"/>
      <c r="L4022" s="53"/>
      <c r="M4022" s="54"/>
    </row>
    <row r="4023">
      <c r="A4023" s="23"/>
      <c r="B4023" s="52"/>
      <c r="C4023" s="53"/>
      <c r="D4023" s="23"/>
      <c r="E4023" s="53"/>
      <c r="F4023" s="54"/>
      <c r="G4023" s="23"/>
      <c r="H4023" s="54"/>
      <c r="I4023" s="53"/>
      <c r="J4023" s="53"/>
      <c r="K4023" s="23"/>
      <c r="L4023" s="53"/>
      <c r="M4023" s="54"/>
    </row>
    <row r="4024">
      <c r="A4024" s="23"/>
      <c r="B4024" s="52"/>
      <c r="C4024" s="53"/>
      <c r="D4024" s="23"/>
      <c r="E4024" s="53"/>
      <c r="F4024" s="54"/>
      <c r="G4024" s="23"/>
      <c r="H4024" s="54"/>
      <c r="I4024" s="53"/>
      <c r="J4024" s="23"/>
      <c r="K4024" s="23"/>
      <c r="L4024" s="53"/>
      <c r="M4024" s="54"/>
    </row>
    <row r="4025">
      <c r="A4025" s="23"/>
      <c r="B4025" s="52"/>
      <c r="C4025" s="53"/>
      <c r="D4025" s="23"/>
      <c r="E4025" s="53"/>
      <c r="F4025" s="54"/>
      <c r="G4025" s="54"/>
      <c r="H4025" s="54"/>
      <c r="I4025" s="53"/>
      <c r="J4025" s="53"/>
      <c r="K4025" s="23"/>
      <c r="L4025" s="53"/>
      <c r="M4025" s="54"/>
    </row>
    <row r="4026">
      <c r="A4026" s="23"/>
      <c r="B4026" s="52"/>
      <c r="C4026" s="53"/>
      <c r="D4026" s="23"/>
      <c r="E4026" s="53"/>
      <c r="F4026" s="54"/>
      <c r="G4026" s="54"/>
      <c r="H4026" s="54"/>
      <c r="I4026" s="53"/>
      <c r="J4026" s="53"/>
      <c r="K4026" s="23"/>
      <c r="L4026" s="53"/>
      <c r="M4026" s="54"/>
    </row>
    <row r="4027">
      <c r="A4027" s="23"/>
      <c r="B4027" s="52"/>
      <c r="C4027" s="53"/>
      <c r="D4027" s="23"/>
      <c r="E4027" s="53"/>
      <c r="F4027" s="54"/>
      <c r="G4027" s="54"/>
      <c r="H4027" s="54"/>
      <c r="I4027" s="53"/>
      <c r="J4027" s="53"/>
      <c r="K4027" s="23"/>
      <c r="L4027" s="53"/>
      <c r="M4027" s="54"/>
    </row>
    <row r="4028">
      <c r="A4028" s="23"/>
      <c r="B4028" s="52"/>
      <c r="C4028" s="53"/>
      <c r="D4028" s="23"/>
      <c r="E4028" s="53"/>
      <c r="F4028" s="54"/>
      <c r="G4028" s="54"/>
      <c r="H4028" s="54"/>
      <c r="I4028" s="53"/>
      <c r="J4028" s="53"/>
      <c r="K4028" s="23"/>
      <c r="L4028" s="53"/>
      <c r="M4028" s="54"/>
    </row>
    <row r="4029">
      <c r="A4029" s="23"/>
      <c r="B4029" s="52"/>
      <c r="C4029" s="53"/>
      <c r="D4029" s="23"/>
      <c r="E4029" s="53"/>
      <c r="F4029" s="54"/>
      <c r="G4029" s="54"/>
      <c r="H4029" s="54"/>
      <c r="I4029" s="53"/>
      <c r="J4029" s="53"/>
      <c r="K4029" s="23"/>
      <c r="L4029" s="53"/>
      <c r="M4029" s="54"/>
    </row>
    <row r="4030">
      <c r="A4030" s="23"/>
      <c r="B4030" s="52"/>
      <c r="C4030" s="53"/>
      <c r="D4030" s="23"/>
      <c r="E4030" s="53"/>
      <c r="F4030" s="54"/>
      <c r="G4030" s="54"/>
      <c r="H4030" s="54"/>
      <c r="I4030" s="53"/>
      <c r="J4030" s="53"/>
      <c r="K4030" s="23"/>
      <c r="L4030" s="53"/>
      <c r="M4030" s="54"/>
    </row>
    <row r="4031">
      <c r="A4031" s="23"/>
      <c r="B4031" s="52"/>
      <c r="C4031" s="53"/>
      <c r="D4031" s="23"/>
      <c r="E4031" s="53"/>
      <c r="F4031" s="54"/>
      <c r="G4031" s="23"/>
      <c r="H4031" s="54"/>
      <c r="I4031" s="53"/>
      <c r="J4031" s="53"/>
      <c r="K4031" s="23"/>
      <c r="L4031" s="53"/>
      <c r="M4031" s="54"/>
    </row>
    <row r="4032">
      <c r="A4032" s="23"/>
      <c r="B4032" s="52"/>
      <c r="C4032" s="53"/>
      <c r="D4032" s="23"/>
      <c r="E4032" s="53"/>
      <c r="F4032" s="54"/>
      <c r="G4032" s="54"/>
      <c r="H4032" s="54"/>
      <c r="I4032" s="53"/>
      <c r="J4032" s="53"/>
      <c r="K4032" s="23"/>
      <c r="L4032" s="53"/>
      <c r="M4032" s="54"/>
    </row>
    <row r="4033">
      <c r="A4033" s="23"/>
      <c r="B4033" s="52"/>
      <c r="C4033" s="53"/>
      <c r="D4033" s="23"/>
      <c r="E4033" s="53"/>
      <c r="F4033" s="54"/>
      <c r="G4033" s="54"/>
      <c r="H4033" s="54"/>
      <c r="I4033" s="53"/>
      <c r="J4033" s="53"/>
      <c r="K4033" s="23"/>
      <c r="L4033" s="53"/>
      <c r="M4033" s="54"/>
    </row>
    <row r="4034">
      <c r="A4034" s="23"/>
      <c r="B4034" s="52"/>
      <c r="C4034" s="53"/>
      <c r="D4034" s="23"/>
      <c r="E4034" s="53"/>
      <c r="F4034" s="54"/>
      <c r="G4034" s="54"/>
      <c r="H4034" s="54"/>
      <c r="I4034" s="53"/>
      <c r="J4034" s="53"/>
      <c r="K4034" s="23"/>
      <c r="L4034" s="53"/>
      <c r="M4034" s="54"/>
    </row>
    <row r="4035">
      <c r="A4035" s="23"/>
      <c r="B4035" s="52"/>
      <c r="C4035" s="53"/>
      <c r="D4035" s="23"/>
      <c r="E4035" s="53"/>
      <c r="F4035" s="54"/>
      <c r="G4035" s="54"/>
      <c r="H4035" s="54"/>
      <c r="I4035" s="53"/>
      <c r="J4035" s="53"/>
      <c r="K4035" s="23"/>
      <c r="L4035" s="53"/>
      <c r="M4035" s="54"/>
    </row>
    <row r="4036">
      <c r="A4036" s="23"/>
      <c r="B4036" s="52"/>
      <c r="C4036" s="53"/>
      <c r="D4036" s="23"/>
      <c r="E4036" s="56"/>
      <c r="F4036" s="54"/>
      <c r="G4036" s="54"/>
      <c r="H4036" s="54"/>
      <c r="I4036" s="53"/>
      <c r="J4036" s="53"/>
      <c r="K4036" s="23"/>
      <c r="L4036" s="53"/>
      <c r="M4036" s="54"/>
    </row>
    <row r="4037">
      <c r="A4037" s="23"/>
      <c r="B4037" s="52"/>
      <c r="C4037" s="53"/>
      <c r="D4037" s="23"/>
      <c r="E4037" s="53"/>
      <c r="F4037" s="54"/>
      <c r="G4037" s="54"/>
      <c r="H4037" s="54"/>
      <c r="I4037" s="53"/>
      <c r="J4037" s="53"/>
      <c r="K4037" s="23"/>
      <c r="L4037" s="53"/>
      <c r="M4037" s="54"/>
    </row>
    <row r="4038">
      <c r="A4038" s="23"/>
      <c r="B4038" s="52"/>
      <c r="C4038" s="53"/>
      <c r="D4038" s="23"/>
      <c r="E4038" s="53"/>
      <c r="F4038" s="54"/>
      <c r="G4038" s="54"/>
      <c r="H4038" s="54"/>
      <c r="I4038" s="53"/>
      <c r="J4038" s="53"/>
      <c r="K4038" s="23"/>
      <c r="L4038" s="53"/>
      <c r="M4038" s="54"/>
    </row>
    <row r="4039">
      <c r="A4039" s="23"/>
      <c r="B4039" s="52"/>
      <c r="C4039" s="53"/>
      <c r="D4039" s="23"/>
      <c r="E4039" s="53"/>
      <c r="F4039" s="54"/>
      <c r="G4039" s="54"/>
      <c r="H4039" s="54"/>
      <c r="I4039" s="53"/>
      <c r="J4039" s="53"/>
      <c r="K4039" s="23"/>
      <c r="L4039" s="53"/>
      <c r="M4039" s="54"/>
    </row>
    <row r="4040">
      <c r="A4040" s="23"/>
      <c r="B4040" s="52"/>
      <c r="C4040" s="53"/>
      <c r="D4040" s="23"/>
      <c r="E4040" s="53"/>
      <c r="F4040" s="54"/>
      <c r="G4040" s="23"/>
      <c r="H4040" s="54"/>
      <c r="I4040" s="53"/>
      <c r="J4040" s="53"/>
      <c r="K4040" s="23"/>
      <c r="L4040" s="53"/>
      <c r="M4040" s="54"/>
    </row>
    <row r="4041">
      <c r="A4041" s="23"/>
      <c r="B4041" s="52"/>
      <c r="C4041" s="53"/>
      <c r="D4041" s="23"/>
      <c r="E4041" s="53"/>
      <c r="F4041" s="54"/>
      <c r="G4041" s="23"/>
      <c r="H4041" s="54"/>
      <c r="I4041" s="53"/>
      <c r="J4041" s="23"/>
      <c r="K4041" s="23"/>
      <c r="L4041" s="53"/>
      <c r="M4041" s="54"/>
    </row>
    <row r="4042">
      <c r="A4042" s="23"/>
      <c r="B4042" s="52"/>
      <c r="C4042" s="53"/>
      <c r="D4042" s="23"/>
      <c r="E4042" s="53"/>
      <c r="F4042" s="54"/>
      <c r="G4042" s="54"/>
      <c r="H4042" s="54"/>
      <c r="I4042" s="53"/>
      <c r="J4042" s="53"/>
      <c r="K4042" s="23"/>
      <c r="L4042" s="53"/>
      <c r="M4042" s="54"/>
    </row>
    <row r="4043">
      <c r="A4043" s="23"/>
      <c r="B4043" s="52"/>
      <c r="C4043" s="53"/>
      <c r="D4043" s="23"/>
      <c r="E4043" s="53"/>
      <c r="F4043" s="54"/>
      <c r="G4043" s="54"/>
      <c r="H4043" s="54"/>
      <c r="I4043" s="53"/>
      <c r="J4043" s="53"/>
      <c r="K4043" s="23"/>
      <c r="L4043" s="53"/>
      <c r="M4043" s="54"/>
    </row>
    <row r="4044">
      <c r="A4044" s="23"/>
      <c r="B4044" s="52"/>
      <c r="C4044" s="53"/>
      <c r="D4044" s="23"/>
      <c r="E4044" s="53"/>
      <c r="F4044" s="54"/>
      <c r="G4044" s="23"/>
      <c r="H4044" s="54"/>
      <c r="I4044" s="53"/>
      <c r="J4044" s="53"/>
      <c r="K4044" s="23"/>
      <c r="L4044" s="53"/>
      <c r="M4044" s="54"/>
    </row>
    <row r="4045">
      <c r="A4045" s="23"/>
      <c r="B4045" s="52"/>
      <c r="C4045" s="53"/>
      <c r="D4045" s="23"/>
      <c r="E4045" s="53"/>
      <c r="F4045" s="54"/>
      <c r="G4045" s="54"/>
      <c r="H4045" s="54"/>
      <c r="I4045" s="53"/>
      <c r="J4045" s="53"/>
      <c r="K4045" s="23"/>
      <c r="L4045" s="53"/>
      <c r="M4045" s="54"/>
    </row>
    <row r="4046">
      <c r="A4046" s="23"/>
      <c r="B4046" s="52"/>
      <c r="C4046" s="53"/>
      <c r="D4046" s="23"/>
      <c r="E4046" s="53"/>
      <c r="F4046" s="54"/>
      <c r="G4046" s="23"/>
      <c r="H4046" s="54"/>
      <c r="I4046" s="53"/>
      <c r="J4046" s="23"/>
      <c r="K4046" s="23"/>
      <c r="L4046" s="53"/>
      <c r="M4046" s="54"/>
    </row>
    <row r="4047">
      <c r="A4047" s="23"/>
      <c r="B4047" s="52"/>
      <c r="C4047" s="53"/>
      <c r="D4047" s="23"/>
      <c r="E4047" s="53"/>
      <c r="F4047" s="54"/>
      <c r="G4047" s="23"/>
      <c r="H4047" s="54"/>
      <c r="I4047" s="53"/>
      <c r="J4047" s="53"/>
      <c r="K4047" s="23"/>
      <c r="L4047" s="53"/>
      <c r="M4047" s="54"/>
    </row>
    <row r="4048">
      <c r="A4048" s="23"/>
      <c r="B4048" s="52"/>
      <c r="C4048" s="53"/>
      <c r="D4048" s="23"/>
      <c r="E4048" s="53"/>
      <c r="F4048" s="54"/>
      <c r="G4048" s="54"/>
      <c r="H4048" s="54"/>
      <c r="I4048" s="53"/>
      <c r="J4048" s="53"/>
      <c r="K4048" s="23"/>
      <c r="L4048" s="53"/>
      <c r="M4048" s="54"/>
    </row>
    <row r="4049">
      <c r="A4049" s="23"/>
      <c r="B4049" s="52"/>
      <c r="C4049" s="53"/>
      <c r="D4049" s="23"/>
      <c r="E4049" s="53"/>
      <c r="F4049" s="54"/>
      <c r="G4049" s="23"/>
      <c r="H4049" s="54"/>
      <c r="I4049" s="53"/>
      <c r="J4049" s="53"/>
      <c r="K4049" s="23"/>
      <c r="L4049" s="53"/>
      <c r="M4049" s="54"/>
    </row>
    <row r="4050">
      <c r="A4050" s="23"/>
      <c r="B4050" s="52"/>
      <c r="C4050" s="53"/>
      <c r="D4050" s="23"/>
      <c r="E4050" s="53"/>
      <c r="F4050" s="54"/>
      <c r="G4050" s="23"/>
      <c r="H4050" s="54"/>
      <c r="I4050" s="53"/>
      <c r="J4050" s="23"/>
      <c r="K4050" s="53"/>
      <c r="L4050" s="53"/>
      <c r="M4050" s="54"/>
    </row>
    <row r="4051">
      <c r="A4051" s="23"/>
      <c r="B4051" s="52"/>
      <c r="C4051" s="53"/>
      <c r="D4051" s="23"/>
      <c r="E4051" s="53"/>
      <c r="F4051" s="54"/>
      <c r="G4051" s="54"/>
      <c r="H4051" s="54"/>
      <c r="I4051" s="53"/>
      <c r="J4051" s="53"/>
      <c r="K4051" s="23"/>
      <c r="L4051" s="53"/>
      <c r="M4051" s="54"/>
    </row>
    <row r="4052">
      <c r="A4052" s="23"/>
      <c r="B4052" s="52"/>
      <c r="C4052" s="53"/>
      <c r="D4052" s="23"/>
      <c r="E4052" s="53"/>
      <c r="F4052" s="54"/>
      <c r="G4052" s="23"/>
      <c r="H4052" s="54"/>
      <c r="I4052" s="53"/>
      <c r="J4052" s="53"/>
      <c r="K4052" s="23"/>
      <c r="L4052" s="53"/>
      <c r="M4052" s="54"/>
    </row>
    <row r="4053">
      <c r="A4053" s="23"/>
      <c r="B4053" s="52"/>
      <c r="C4053" s="53"/>
      <c r="D4053" s="23"/>
      <c r="E4053" s="53"/>
      <c r="F4053" s="54"/>
      <c r="G4053" s="54"/>
      <c r="H4053" s="54"/>
      <c r="I4053" s="53"/>
      <c r="J4053" s="53"/>
      <c r="K4053" s="23"/>
      <c r="L4053" s="53"/>
      <c r="M4053" s="54"/>
    </row>
    <row r="4054">
      <c r="A4054" s="23"/>
      <c r="B4054" s="52"/>
      <c r="C4054" s="53"/>
      <c r="D4054" s="23"/>
      <c r="E4054" s="53"/>
      <c r="F4054" s="54"/>
      <c r="G4054" s="23"/>
      <c r="H4054" s="54"/>
      <c r="I4054" s="53"/>
      <c r="J4054" s="53"/>
      <c r="K4054" s="23"/>
      <c r="L4054" s="53"/>
      <c r="M4054" s="54"/>
    </row>
    <row r="4055">
      <c r="A4055" s="23"/>
      <c r="B4055" s="52"/>
      <c r="C4055" s="53"/>
      <c r="D4055" s="23"/>
      <c r="E4055" s="53"/>
      <c r="F4055" s="54"/>
      <c r="G4055" s="54"/>
      <c r="H4055" s="54"/>
      <c r="I4055" s="53"/>
      <c r="J4055" s="53"/>
      <c r="K4055" s="23"/>
      <c r="L4055" s="53"/>
      <c r="M4055" s="54"/>
    </row>
    <row r="4056">
      <c r="A4056" s="23"/>
      <c r="B4056" s="52"/>
      <c r="C4056" s="53"/>
      <c r="D4056" s="23"/>
      <c r="E4056" s="53"/>
      <c r="F4056" s="54"/>
      <c r="G4056" s="54"/>
      <c r="H4056" s="54"/>
      <c r="I4056" s="53"/>
      <c r="J4056" s="53"/>
      <c r="K4056" s="23"/>
      <c r="L4056" s="53"/>
      <c r="M4056" s="54"/>
    </row>
    <row r="4057">
      <c r="A4057" s="23"/>
      <c r="B4057" s="52"/>
      <c r="C4057" s="53"/>
      <c r="D4057" s="23"/>
      <c r="E4057" s="53"/>
      <c r="F4057" s="54"/>
      <c r="G4057" s="54"/>
      <c r="H4057" s="54"/>
      <c r="I4057" s="53"/>
      <c r="J4057" s="53"/>
      <c r="K4057" s="23"/>
      <c r="L4057" s="53"/>
      <c r="M4057" s="54"/>
    </row>
    <row r="4058">
      <c r="A4058" s="23"/>
      <c r="B4058" s="52"/>
      <c r="C4058" s="53"/>
      <c r="D4058" s="23"/>
      <c r="E4058" s="53"/>
      <c r="F4058" s="54"/>
      <c r="G4058" s="23"/>
      <c r="H4058" s="54"/>
      <c r="I4058" s="53"/>
      <c r="J4058" s="23"/>
      <c r="K4058" s="23"/>
      <c r="L4058" s="53"/>
      <c r="M4058" s="54"/>
    </row>
    <row r="4059">
      <c r="A4059" s="23"/>
      <c r="B4059" s="52"/>
      <c r="C4059" s="53"/>
      <c r="D4059" s="23"/>
      <c r="E4059" s="53"/>
      <c r="F4059" s="54"/>
      <c r="G4059" s="54"/>
      <c r="H4059" s="54"/>
      <c r="I4059" s="53"/>
      <c r="J4059" s="53"/>
      <c r="K4059" s="23"/>
      <c r="L4059" s="53"/>
      <c r="M4059" s="54"/>
    </row>
    <row r="4060">
      <c r="A4060" s="23"/>
      <c r="B4060" s="52"/>
      <c r="C4060" s="53"/>
      <c r="D4060" s="23"/>
      <c r="E4060" s="53"/>
      <c r="F4060" s="54"/>
      <c r="G4060" s="23"/>
      <c r="H4060" s="54"/>
      <c r="I4060" s="53"/>
      <c r="J4060" s="53"/>
      <c r="K4060" s="23"/>
      <c r="L4060" s="53"/>
      <c r="M4060" s="54"/>
    </row>
    <row r="4061">
      <c r="A4061" s="23"/>
      <c r="B4061" s="52"/>
      <c r="C4061" s="53"/>
      <c r="D4061" s="23"/>
      <c r="E4061" s="53"/>
      <c r="F4061" s="54"/>
      <c r="G4061" s="23"/>
      <c r="H4061" s="54"/>
      <c r="I4061" s="53"/>
      <c r="J4061" s="53"/>
      <c r="K4061" s="23"/>
      <c r="L4061" s="53"/>
      <c r="M4061" s="54"/>
    </row>
    <row r="4062">
      <c r="A4062" s="23"/>
      <c r="B4062" s="52"/>
      <c r="C4062" s="53"/>
      <c r="D4062" s="23"/>
      <c r="E4062" s="53"/>
      <c r="F4062" s="54"/>
      <c r="G4062" s="54"/>
      <c r="H4062" s="54"/>
      <c r="I4062" s="53"/>
      <c r="J4062" s="53"/>
      <c r="K4062" s="23"/>
      <c r="L4062" s="53"/>
      <c r="M4062" s="54"/>
    </row>
    <row r="4063">
      <c r="A4063" s="23"/>
      <c r="B4063" s="52"/>
      <c r="C4063" s="53"/>
      <c r="D4063" s="23"/>
      <c r="E4063" s="53"/>
      <c r="F4063" s="54"/>
      <c r="G4063" s="54"/>
      <c r="H4063" s="54"/>
      <c r="I4063" s="53"/>
      <c r="J4063" s="53"/>
      <c r="K4063" s="23"/>
      <c r="L4063" s="53"/>
      <c r="M4063" s="54"/>
    </row>
    <row r="4064">
      <c r="A4064" s="23"/>
      <c r="B4064" s="52"/>
      <c r="C4064" s="53"/>
      <c r="D4064" s="23"/>
      <c r="E4064" s="53"/>
      <c r="F4064" s="54"/>
      <c r="G4064" s="54"/>
      <c r="H4064" s="54"/>
      <c r="I4064" s="53"/>
      <c r="J4064" s="53"/>
      <c r="K4064" s="23"/>
      <c r="L4064" s="53"/>
      <c r="M4064" s="54"/>
    </row>
    <row r="4065">
      <c r="A4065" s="23"/>
      <c r="B4065" s="52"/>
      <c r="C4065" s="53"/>
      <c r="D4065" s="23"/>
      <c r="E4065" s="53"/>
      <c r="F4065" s="54"/>
      <c r="G4065" s="54"/>
      <c r="H4065" s="54"/>
      <c r="I4065" s="53"/>
      <c r="J4065" s="53"/>
      <c r="K4065" s="23"/>
      <c r="L4065" s="53"/>
      <c r="M4065" s="54"/>
    </row>
    <row r="4066">
      <c r="A4066" s="23"/>
      <c r="B4066" s="52"/>
      <c r="C4066" s="53"/>
      <c r="D4066" s="23"/>
      <c r="E4066" s="53"/>
      <c r="F4066" s="54"/>
      <c r="G4066" s="23"/>
      <c r="H4066" s="54"/>
      <c r="I4066" s="53"/>
      <c r="J4066" s="53"/>
      <c r="K4066" s="23"/>
      <c r="L4066" s="53"/>
      <c r="M4066" s="54"/>
    </row>
    <row r="4067">
      <c r="A4067" s="23"/>
      <c r="B4067" s="52"/>
      <c r="C4067" s="53"/>
      <c r="D4067" s="23"/>
      <c r="E4067" s="53"/>
      <c r="F4067" s="54"/>
      <c r="G4067" s="23"/>
      <c r="H4067" s="54"/>
      <c r="I4067" s="53"/>
      <c r="J4067" s="23"/>
      <c r="K4067" s="53"/>
      <c r="L4067" s="53"/>
      <c r="M4067" s="54"/>
    </row>
    <row r="4068">
      <c r="A4068" s="23"/>
      <c r="B4068" s="52"/>
      <c r="C4068" s="53"/>
      <c r="D4068" s="23"/>
      <c r="E4068" s="53"/>
      <c r="F4068" s="54"/>
      <c r="G4068" s="23"/>
      <c r="H4068" s="54"/>
      <c r="I4068" s="53"/>
      <c r="J4068" s="23"/>
      <c r="K4068" s="23"/>
      <c r="L4068" s="53"/>
      <c r="M4068" s="54"/>
    </row>
    <row r="4069">
      <c r="A4069" s="23"/>
      <c r="B4069" s="52"/>
      <c r="C4069" s="53"/>
      <c r="D4069" s="23"/>
      <c r="E4069" s="53"/>
      <c r="F4069" s="54"/>
      <c r="G4069" s="54"/>
      <c r="H4069" s="54"/>
      <c r="I4069" s="53"/>
      <c r="J4069" s="53"/>
      <c r="K4069" s="23"/>
      <c r="L4069" s="53"/>
      <c r="M4069" s="54"/>
    </row>
    <row r="4070">
      <c r="A4070" s="23"/>
      <c r="B4070" s="52"/>
      <c r="C4070" s="53"/>
      <c r="D4070" s="23"/>
      <c r="E4070" s="53"/>
      <c r="F4070" s="54"/>
      <c r="G4070" s="23"/>
      <c r="H4070" s="54"/>
      <c r="I4070" s="53"/>
      <c r="J4070" s="23"/>
      <c r="K4070" s="23"/>
      <c r="L4070" s="53"/>
      <c r="M4070" s="54"/>
    </row>
    <row r="4071">
      <c r="A4071" s="23"/>
      <c r="B4071" s="52"/>
      <c r="C4071" s="53"/>
      <c r="D4071" s="23"/>
      <c r="E4071" s="53"/>
      <c r="F4071" s="54"/>
      <c r="G4071" s="23"/>
      <c r="H4071" s="54"/>
      <c r="I4071" s="53"/>
      <c r="J4071" s="53"/>
      <c r="K4071" s="23"/>
      <c r="L4071" s="53"/>
      <c r="M4071" s="54"/>
    </row>
    <row r="4072">
      <c r="A4072" s="23"/>
      <c r="B4072" s="52"/>
      <c r="C4072" s="53"/>
      <c r="D4072" s="23"/>
      <c r="E4072" s="53"/>
      <c r="F4072" s="54"/>
      <c r="G4072" s="23"/>
      <c r="H4072" s="54"/>
      <c r="I4072" s="53"/>
      <c r="J4072" s="53"/>
      <c r="K4072" s="53"/>
      <c r="L4072" s="53"/>
      <c r="M4072" s="54"/>
    </row>
    <row r="4073">
      <c r="A4073" s="23"/>
      <c r="B4073" s="52"/>
      <c r="C4073" s="53"/>
      <c r="D4073" s="23"/>
      <c r="E4073" s="53"/>
      <c r="F4073" s="54"/>
      <c r="G4073" s="23"/>
      <c r="H4073" s="54"/>
      <c r="I4073" s="53"/>
      <c r="J4073" s="53"/>
      <c r="K4073" s="23"/>
      <c r="L4073" s="53"/>
      <c r="M4073" s="54"/>
    </row>
    <row r="4074">
      <c r="A4074" s="23"/>
      <c r="B4074" s="52"/>
      <c r="C4074" s="53"/>
      <c r="D4074" s="23"/>
      <c r="E4074" s="53"/>
      <c r="F4074" s="54"/>
      <c r="G4074" s="23"/>
      <c r="H4074" s="54"/>
      <c r="I4074" s="53"/>
      <c r="J4074" s="53"/>
      <c r="K4074" s="23"/>
      <c r="L4074" s="53"/>
      <c r="M4074" s="54"/>
    </row>
    <row r="4075">
      <c r="A4075" s="23"/>
      <c r="B4075" s="52"/>
      <c r="C4075" s="53"/>
      <c r="D4075" s="23"/>
      <c r="E4075" s="53"/>
      <c r="F4075" s="54"/>
      <c r="G4075" s="54"/>
      <c r="H4075" s="54"/>
      <c r="I4075" s="53"/>
      <c r="J4075" s="53"/>
      <c r="K4075" s="23"/>
      <c r="L4075" s="53"/>
      <c r="M4075" s="54"/>
    </row>
    <row r="4076">
      <c r="A4076" s="23"/>
      <c r="B4076" s="52"/>
      <c r="C4076" s="53"/>
      <c r="D4076" s="23"/>
      <c r="E4076" s="53"/>
      <c r="F4076" s="54"/>
      <c r="G4076" s="23"/>
      <c r="H4076" s="54"/>
      <c r="I4076" s="53"/>
      <c r="J4076" s="23"/>
      <c r="K4076" s="23"/>
      <c r="L4076" s="53"/>
      <c r="M4076" s="54"/>
    </row>
    <row r="4077">
      <c r="A4077" s="23"/>
      <c r="B4077" s="52"/>
      <c r="C4077" s="53"/>
      <c r="D4077" s="23"/>
      <c r="E4077" s="53"/>
      <c r="F4077" s="54"/>
      <c r="G4077" s="23"/>
      <c r="H4077" s="54"/>
      <c r="I4077" s="53"/>
      <c r="J4077" s="53"/>
      <c r="K4077" s="23"/>
      <c r="L4077" s="53"/>
      <c r="M4077" s="54"/>
    </row>
    <row r="4078">
      <c r="A4078" s="23"/>
      <c r="B4078" s="52"/>
      <c r="C4078" s="53"/>
      <c r="D4078" s="23"/>
      <c r="E4078" s="53"/>
      <c r="F4078" s="54"/>
      <c r="G4078" s="54"/>
      <c r="H4078" s="54"/>
      <c r="I4078" s="53"/>
      <c r="J4078" s="53"/>
      <c r="K4078" s="23"/>
      <c r="L4078" s="53"/>
      <c r="M4078" s="54"/>
    </row>
    <row r="4079">
      <c r="A4079" s="23"/>
      <c r="B4079" s="52"/>
      <c r="C4079" s="53"/>
      <c r="D4079" s="23"/>
      <c r="E4079" s="53"/>
      <c r="F4079" s="54"/>
      <c r="G4079" s="23"/>
      <c r="H4079" s="54"/>
      <c r="I4079" s="53"/>
      <c r="J4079" s="53"/>
      <c r="K4079" s="23"/>
      <c r="L4079" s="53"/>
      <c r="M4079" s="54"/>
    </row>
    <row r="4080">
      <c r="A4080" s="23"/>
      <c r="B4080" s="52"/>
      <c r="C4080" s="53"/>
      <c r="D4080" s="23"/>
      <c r="E4080" s="53"/>
      <c r="F4080" s="54"/>
      <c r="G4080" s="23"/>
      <c r="H4080" s="54"/>
      <c r="I4080" s="53"/>
      <c r="J4080" s="23"/>
      <c r="K4080" s="23"/>
      <c r="L4080" s="53"/>
      <c r="M4080" s="54"/>
    </row>
    <row r="4081">
      <c r="A4081" s="23"/>
      <c r="B4081" s="52"/>
      <c r="C4081" s="53"/>
      <c r="D4081" s="23"/>
      <c r="E4081" s="53"/>
      <c r="F4081" s="54"/>
      <c r="G4081" s="54"/>
      <c r="H4081" s="54"/>
      <c r="I4081" s="53"/>
      <c r="J4081" s="53"/>
      <c r="K4081" s="23"/>
      <c r="L4081" s="53"/>
      <c r="M4081" s="54"/>
    </row>
    <row r="4082">
      <c r="A4082" s="23"/>
      <c r="B4082" s="52"/>
      <c r="C4082" s="53"/>
      <c r="D4082" s="23"/>
      <c r="E4082" s="53"/>
      <c r="F4082" s="54"/>
      <c r="G4082" s="54"/>
      <c r="H4082" s="54"/>
      <c r="I4082" s="53"/>
      <c r="J4082" s="53"/>
      <c r="K4082" s="23"/>
      <c r="L4082" s="53"/>
      <c r="M4082" s="54"/>
    </row>
    <row r="4083">
      <c r="A4083" s="23"/>
      <c r="B4083" s="52"/>
      <c r="C4083" s="53"/>
      <c r="D4083" s="23"/>
      <c r="E4083" s="53"/>
      <c r="F4083" s="54"/>
      <c r="G4083" s="54"/>
      <c r="H4083" s="54"/>
      <c r="I4083" s="53"/>
      <c r="J4083" s="53"/>
      <c r="K4083" s="23"/>
      <c r="L4083" s="53"/>
      <c r="M4083" s="54"/>
    </row>
    <row r="4084">
      <c r="A4084" s="23"/>
      <c r="B4084" s="52"/>
      <c r="C4084" s="53"/>
      <c r="D4084" s="23"/>
      <c r="E4084" s="53"/>
      <c r="F4084" s="54"/>
      <c r="G4084" s="54"/>
      <c r="H4084" s="54"/>
      <c r="I4084" s="53"/>
      <c r="J4084" s="53"/>
      <c r="K4084" s="23"/>
      <c r="L4084" s="53"/>
      <c r="M4084" s="54"/>
    </row>
    <row r="4085">
      <c r="A4085" s="23"/>
      <c r="B4085" s="52"/>
      <c r="C4085" s="53"/>
      <c r="D4085" s="23"/>
      <c r="E4085" s="53"/>
      <c r="F4085" s="54"/>
      <c r="G4085" s="23"/>
      <c r="H4085" s="54"/>
      <c r="I4085" s="53"/>
      <c r="J4085" s="53"/>
      <c r="K4085" s="23"/>
      <c r="L4085" s="53"/>
      <c r="M4085" s="54"/>
    </row>
    <row r="4086">
      <c r="A4086" s="23"/>
      <c r="B4086" s="52"/>
      <c r="C4086" s="53"/>
      <c r="D4086" s="23"/>
      <c r="E4086" s="53"/>
      <c r="F4086" s="54"/>
      <c r="G4086" s="23"/>
      <c r="H4086" s="54"/>
      <c r="I4086" s="53"/>
      <c r="J4086" s="53"/>
      <c r="K4086" s="23"/>
      <c r="L4086" s="53"/>
      <c r="M4086" s="54"/>
    </row>
    <row r="4087">
      <c r="A4087" s="23"/>
      <c r="B4087" s="52"/>
      <c r="C4087" s="53"/>
      <c r="D4087" s="23"/>
      <c r="E4087" s="53"/>
      <c r="F4087" s="54"/>
      <c r="G4087" s="23"/>
      <c r="H4087" s="54"/>
      <c r="I4087" s="53"/>
      <c r="J4087" s="53"/>
      <c r="K4087" s="23"/>
      <c r="L4087" s="53"/>
      <c r="M4087" s="54"/>
    </row>
    <row r="4088">
      <c r="A4088" s="23"/>
      <c r="B4088" s="52"/>
      <c r="C4088" s="53"/>
      <c r="D4088" s="23"/>
      <c r="E4088" s="53"/>
      <c r="F4088" s="54"/>
      <c r="G4088" s="23"/>
      <c r="H4088" s="54"/>
      <c r="I4088" s="53"/>
      <c r="J4088" s="53"/>
      <c r="K4088" s="23"/>
      <c r="L4088" s="53"/>
      <c r="M4088" s="54"/>
    </row>
    <row r="4089">
      <c r="A4089" s="23"/>
      <c r="B4089" s="52"/>
      <c r="C4089" s="53"/>
      <c r="D4089" s="23"/>
      <c r="E4089" s="53"/>
      <c r="F4089" s="54"/>
      <c r="G4089" s="23"/>
      <c r="H4089" s="54"/>
      <c r="I4089" s="53"/>
      <c r="J4089" s="53"/>
      <c r="K4089" s="23"/>
      <c r="L4089" s="53"/>
      <c r="M4089" s="54"/>
    </row>
    <row r="4090">
      <c r="A4090" s="23"/>
      <c r="B4090" s="52"/>
      <c r="C4090" s="53"/>
      <c r="D4090" s="23"/>
      <c r="E4090" s="53"/>
      <c r="F4090" s="54"/>
      <c r="G4090" s="54"/>
      <c r="H4090" s="54"/>
      <c r="I4090" s="53"/>
      <c r="J4090" s="53"/>
      <c r="K4090" s="23"/>
      <c r="L4090" s="53"/>
      <c r="M4090" s="54"/>
    </row>
    <row r="4091">
      <c r="A4091" s="23"/>
      <c r="B4091" s="52"/>
      <c r="C4091" s="53"/>
      <c r="D4091" s="23"/>
      <c r="E4091" s="53"/>
      <c r="F4091" s="54"/>
      <c r="G4091" s="23"/>
      <c r="H4091" s="54"/>
      <c r="I4091" s="53"/>
      <c r="J4091" s="23"/>
      <c r="K4091" s="23"/>
      <c r="L4091" s="53"/>
      <c r="M4091" s="54"/>
    </row>
    <row r="4092">
      <c r="A4092" s="23"/>
      <c r="B4092" s="52"/>
      <c r="C4092" s="53"/>
      <c r="D4092" s="23"/>
      <c r="E4092" s="53"/>
      <c r="F4092" s="54"/>
      <c r="G4092" s="54"/>
      <c r="H4092" s="54"/>
      <c r="I4092" s="53"/>
      <c r="J4092" s="53"/>
      <c r="K4092" s="23"/>
      <c r="L4092" s="53"/>
      <c r="M4092" s="54"/>
    </row>
    <row r="4093">
      <c r="A4093" s="23"/>
      <c r="B4093" s="52"/>
      <c r="C4093" s="53"/>
      <c r="D4093" s="23"/>
      <c r="E4093" s="53"/>
      <c r="F4093" s="54"/>
      <c r="G4093" s="23"/>
      <c r="H4093" s="54"/>
      <c r="I4093" s="53"/>
      <c r="J4093" s="53"/>
      <c r="K4093" s="23"/>
      <c r="L4093" s="53"/>
      <c r="M4093" s="54"/>
    </row>
    <row r="4094">
      <c r="A4094" s="23"/>
      <c r="B4094" s="52"/>
      <c r="C4094" s="53"/>
      <c r="D4094" s="23"/>
      <c r="E4094" s="53"/>
      <c r="F4094" s="54"/>
      <c r="G4094" s="54"/>
      <c r="H4094" s="54"/>
      <c r="I4094" s="53"/>
      <c r="J4094" s="53"/>
      <c r="K4094" s="23"/>
      <c r="L4094" s="53"/>
      <c r="M4094" s="54"/>
    </row>
    <row r="4095">
      <c r="A4095" s="23"/>
      <c r="B4095" s="52"/>
      <c r="C4095" s="53"/>
      <c r="D4095" s="23"/>
      <c r="E4095" s="53"/>
      <c r="F4095" s="54"/>
      <c r="G4095" s="54"/>
      <c r="H4095" s="54"/>
      <c r="I4095" s="53"/>
      <c r="J4095" s="53"/>
      <c r="K4095" s="23"/>
      <c r="L4095" s="53"/>
      <c r="M4095" s="54"/>
    </row>
    <row r="4096">
      <c r="A4096" s="23"/>
      <c r="B4096" s="52"/>
      <c r="C4096" s="53"/>
      <c r="D4096" s="23"/>
      <c r="E4096" s="53"/>
      <c r="F4096" s="54"/>
      <c r="G4096" s="23"/>
      <c r="H4096" s="54"/>
      <c r="I4096" s="53"/>
      <c r="J4096" s="53"/>
      <c r="K4096" s="23"/>
      <c r="L4096" s="53"/>
      <c r="M4096" s="54"/>
    </row>
    <row r="4097">
      <c r="A4097" s="23"/>
      <c r="B4097" s="52"/>
      <c r="C4097" s="53"/>
      <c r="D4097" s="23"/>
      <c r="E4097" s="53"/>
      <c r="F4097" s="54"/>
      <c r="G4097" s="54"/>
      <c r="H4097" s="54"/>
      <c r="I4097" s="53"/>
      <c r="J4097" s="53"/>
      <c r="K4097" s="23"/>
      <c r="L4097" s="53"/>
      <c r="M4097" s="54"/>
    </row>
    <row r="4098">
      <c r="A4098" s="23"/>
      <c r="B4098" s="52"/>
      <c r="C4098" s="53"/>
      <c r="D4098" s="23"/>
      <c r="E4098" s="53"/>
      <c r="F4098" s="54"/>
      <c r="G4098" s="23"/>
      <c r="H4098" s="54"/>
      <c r="I4098" s="53"/>
      <c r="J4098" s="53"/>
      <c r="K4098" s="23"/>
      <c r="L4098" s="53"/>
      <c r="M4098" s="54"/>
    </row>
    <row r="4099">
      <c r="A4099" s="23"/>
      <c r="B4099" s="52"/>
      <c r="C4099" s="53"/>
      <c r="D4099" s="23"/>
      <c r="E4099" s="53"/>
      <c r="F4099" s="54"/>
      <c r="G4099" s="54"/>
      <c r="H4099" s="54"/>
      <c r="I4099" s="53"/>
      <c r="J4099" s="53"/>
      <c r="K4099" s="23"/>
      <c r="L4099" s="53"/>
      <c r="M4099" s="54"/>
    </row>
    <row r="4100">
      <c r="A4100" s="23"/>
      <c r="B4100" s="52"/>
      <c r="C4100" s="53"/>
      <c r="D4100" s="23"/>
      <c r="E4100" s="53"/>
      <c r="F4100" s="54"/>
      <c r="G4100" s="54"/>
      <c r="H4100" s="54"/>
      <c r="I4100" s="53"/>
      <c r="J4100" s="53"/>
      <c r="K4100" s="23"/>
      <c r="L4100" s="53"/>
      <c r="M4100" s="54"/>
    </row>
    <row r="4101">
      <c r="A4101" s="23"/>
      <c r="B4101" s="52"/>
      <c r="C4101" s="53"/>
      <c r="D4101" s="23"/>
      <c r="E4101" s="53"/>
      <c r="F4101" s="54"/>
      <c r="G4101" s="54"/>
      <c r="H4101" s="54"/>
      <c r="I4101" s="53"/>
      <c r="J4101" s="53"/>
      <c r="K4101" s="23"/>
      <c r="L4101" s="53"/>
      <c r="M4101" s="54"/>
    </row>
    <row r="4102">
      <c r="A4102" s="23"/>
      <c r="B4102" s="52"/>
      <c r="C4102" s="53"/>
      <c r="D4102" s="23"/>
      <c r="E4102" s="53"/>
      <c r="F4102" s="54"/>
      <c r="G4102" s="23"/>
      <c r="H4102" s="54"/>
      <c r="I4102" s="53"/>
      <c r="J4102" s="23"/>
      <c r="K4102" s="23"/>
      <c r="L4102" s="53"/>
      <c r="M4102" s="54"/>
    </row>
    <row r="4103">
      <c r="A4103" s="23"/>
      <c r="B4103" s="52"/>
      <c r="C4103" s="53"/>
      <c r="D4103" s="23"/>
      <c r="E4103" s="53"/>
      <c r="F4103" s="54"/>
      <c r="G4103" s="54"/>
      <c r="H4103" s="54"/>
      <c r="I4103" s="53"/>
      <c r="J4103" s="53"/>
      <c r="K4103" s="23"/>
      <c r="L4103" s="53"/>
      <c r="M4103" s="54"/>
    </row>
    <row r="4104">
      <c r="A4104" s="23"/>
      <c r="B4104" s="52"/>
      <c r="C4104" s="53"/>
      <c r="D4104" s="23"/>
      <c r="E4104" s="53"/>
      <c r="F4104" s="54"/>
      <c r="G4104" s="54"/>
      <c r="H4104" s="54"/>
      <c r="I4104" s="53"/>
      <c r="J4104" s="53"/>
      <c r="K4104" s="23"/>
      <c r="L4104" s="53"/>
      <c r="M4104" s="54"/>
    </row>
    <row r="4105">
      <c r="A4105" s="23"/>
      <c r="B4105" s="52"/>
      <c r="C4105" s="53"/>
      <c r="D4105" s="23"/>
      <c r="E4105" s="53"/>
      <c r="F4105" s="54"/>
      <c r="G4105" s="54"/>
      <c r="H4105" s="54"/>
      <c r="I4105" s="53"/>
      <c r="J4105" s="53"/>
      <c r="K4105" s="23"/>
      <c r="L4105" s="53"/>
      <c r="M4105" s="54"/>
    </row>
    <row r="4106">
      <c r="A4106" s="23"/>
      <c r="B4106" s="52"/>
      <c r="C4106" s="53"/>
      <c r="D4106" s="23"/>
      <c r="E4106" s="53"/>
      <c r="F4106" s="54"/>
      <c r="G4106" s="54"/>
      <c r="H4106" s="54"/>
      <c r="I4106" s="53"/>
      <c r="J4106" s="53"/>
      <c r="K4106" s="23"/>
      <c r="L4106" s="53"/>
      <c r="M4106" s="54"/>
    </row>
    <row r="4107">
      <c r="A4107" s="23"/>
      <c r="B4107" s="52"/>
      <c r="C4107" s="53"/>
      <c r="D4107" s="23"/>
      <c r="E4107" s="53"/>
      <c r="F4107" s="54"/>
      <c r="G4107" s="23"/>
      <c r="H4107" s="54"/>
      <c r="I4107" s="53"/>
      <c r="J4107" s="23"/>
      <c r="K4107" s="23"/>
      <c r="L4107" s="53"/>
      <c r="M4107" s="54"/>
    </row>
    <row r="4108">
      <c r="A4108" s="23"/>
      <c r="B4108" s="52"/>
      <c r="C4108" s="53"/>
      <c r="D4108" s="23"/>
      <c r="E4108" s="53"/>
      <c r="F4108" s="54"/>
      <c r="G4108" s="54"/>
      <c r="H4108" s="54"/>
      <c r="I4108" s="53"/>
      <c r="J4108" s="53"/>
      <c r="K4108" s="23"/>
      <c r="L4108" s="53"/>
      <c r="M4108" s="54"/>
    </row>
    <row r="4109">
      <c r="A4109" s="23"/>
      <c r="B4109" s="52"/>
      <c r="C4109" s="53"/>
      <c r="D4109" s="23"/>
      <c r="E4109" s="53"/>
      <c r="F4109" s="54"/>
      <c r="G4109" s="23"/>
      <c r="H4109" s="54"/>
      <c r="I4109" s="53"/>
      <c r="J4109" s="23"/>
      <c r="K4109" s="23"/>
      <c r="L4109" s="53"/>
      <c r="M4109" s="54"/>
    </row>
    <row r="4110">
      <c r="A4110" s="23"/>
      <c r="B4110" s="52"/>
      <c r="C4110" s="53"/>
      <c r="D4110" s="23"/>
      <c r="E4110" s="53"/>
      <c r="F4110" s="54"/>
      <c r="G4110" s="23"/>
      <c r="H4110" s="54"/>
      <c r="I4110" s="53"/>
      <c r="J4110" s="23"/>
      <c r="K4110" s="23"/>
      <c r="L4110" s="53"/>
      <c r="M4110" s="54"/>
    </row>
    <row r="4111">
      <c r="A4111" s="23"/>
      <c r="B4111" s="52"/>
      <c r="C4111" s="53"/>
      <c r="D4111" s="23"/>
      <c r="E4111" s="53"/>
      <c r="F4111" s="54"/>
      <c r="G4111" s="54"/>
      <c r="H4111" s="54"/>
      <c r="I4111" s="53"/>
      <c r="J4111" s="53"/>
      <c r="K4111" s="23"/>
      <c r="L4111" s="53"/>
      <c r="M4111" s="54"/>
    </row>
    <row r="4112">
      <c r="A4112" s="23"/>
      <c r="B4112" s="52"/>
      <c r="C4112" s="53"/>
      <c r="D4112" s="23"/>
      <c r="E4112" s="53"/>
      <c r="F4112" s="54"/>
      <c r="G4112" s="23"/>
      <c r="H4112" s="54"/>
      <c r="I4112" s="53"/>
      <c r="J4112" s="23"/>
      <c r="K4112" s="23"/>
      <c r="L4112" s="53"/>
      <c r="M4112" s="54"/>
    </row>
    <row r="4113">
      <c r="A4113" s="23"/>
      <c r="B4113" s="52"/>
      <c r="C4113" s="53"/>
      <c r="D4113" s="23"/>
      <c r="E4113" s="53"/>
      <c r="F4113" s="54"/>
      <c r="G4113" s="54"/>
      <c r="H4113" s="54"/>
      <c r="I4113" s="53"/>
      <c r="J4113" s="53"/>
      <c r="K4113" s="23"/>
      <c r="L4113" s="53"/>
      <c r="M4113" s="54"/>
    </row>
    <row r="4114">
      <c r="A4114" s="23"/>
      <c r="B4114" s="52"/>
      <c r="C4114" s="53"/>
      <c r="D4114" s="23"/>
      <c r="E4114" s="53"/>
      <c r="F4114" s="54"/>
      <c r="G4114" s="23"/>
      <c r="H4114" s="54"/>
      <c r="I4114" s="53"/>
      <c r="J4114" s="23"/>
      <c r="K4114" s="23"/>
      <c r="L4114" s="53"/>
      <c r="M4114" s="54"/>
    </row>
    <row r="4115">
      <c r="A4115" s="23"/>
      <c r="B4115" s="52"/>
      <c r="C4115" s="53"/>
      <c r="D4115" s="23"/>
      <c r="E4115" s="53"/>
      <c r="F4115" s="54"/>
      <c r="G4115" s="23"/>
      <c r="H4115" s="54"/>
      <c r="I4115" s="53"/>
      <c r="J4115" s="23"/>
      <c r="K4115" s="23"/>
      <c r="L4115" s="53"/>
      <c r="M4115" s="54"/>
    </row>
    <row r="4116">
      <c r="A4116" s="23"/>
      <c r="B4116" s="52"/>
      <c r="C4116" s="53"/>
      <c r="D4116" s="23"/>
      <c r="E4116" s="53"/>
      <c r="F4116" s="54"/>
      <c r="G4116" s="23"/>
      <c r="H4116" s="54"/>
      <c r="I4116" s="53"/>
      <c r="J4116" s="23"/>
      <c r="K4116" s="23"/>
      <c r="L4116" s="53"/>
      <c r="M4116" s="54"/>
    </row>
    <row r="4117">
      <c r="A4117" s="23"/>
      <c r="B4117" s="52"/>
      <c r="C4117" s="53"/>
      <c r="D4117" s="23"/>
      <c r="E4117" s="53"/>
      <c r="F4117" s="54"/>
      <c r="G4117" s="23"/>
      <c r="H4117" s="54"/>
      <c r="I4117" s="53"/>
      <c r="J4117" s="23"/>
      <c r="K4117" s="23"/>
      <c r="L4117" s="53"/>
      <c r="M4117" s="54"/>
    </row>
    <row r="4118">
      <c r="A4118" s="23"/>
      <c r="B4118" s="52"/>
      <c r="C4118" s="53"/>
      <c r="D4118" s="23"/>
      <c r="E4118" s="53"/>
      <c r="F4118" s="54"/>
      <c r="G4118" s="54"/>
      <c r="H4118" s="54"/>
      <c r="I4118" s="53"/>
      <c r="J4118" s="53"/>
      <c r="K4118" s="23"/>
      <c r="L4118" s="53"/>
      <c r="M4118" s="54"/>
    </row>
    <row r="4119">
      <c r="A4119" s="23"/>
      <c r="B4119" s="52"/>
      <c r="C4119" s="53"/>
      <c r="D4119" s="23"/>
      <c r="E4119" s="53"/>
      <c r="F4119" s="54"/>
      <c r="G4119" s="54"/>
      <c r="H4119" s="54"/>
      <c r="I4119" s="53"/>
      <c r="J4119" s="53"/>
      <c r="K4119" s="23"/>
      <c r="L4119" s="53"/>
      <c r="M4119" s="54"/>
    </row>
    <row r="4120">
      <c r="A4120" s="23"/>
      <c r="B4120" s="52"/>
      <c r="C4120" s="53"/>
      <c r="D4120" s="23"/>
      <c r="E4120" s="53"/>
      <c r="F4120" s="54"/>
      <c r="G4120" s="54"/>
      <c r="H4120" s="54"/>
      <c r="I4120" s="53"/>
      <c r="J4120" s="53"/>
      <c r="K4120" s="23"/>
      <c r="L4120" s="53"/>
      <c r="M4120" s="54"/>
    </row>
    <row r="4121">
      <c r="A4121" s="23"/>
      <c r="B4121" s="52"/>
      <c r="C4121" s="53"/>
      <c r="D4121" s="23"/>
      <c r="E4121" s="53"/>
      <c r="F4121" s="54"/>
      <c r="G4121" s="54"/>
      <c r="H4121" s="54"/>
      <c r="I4121" s="53"/>
      <c r="J4121" s="53"/>
      <c r="K4121" s="23"/>
      <c r="L4121" s="53"/>
      <c r="M4121" s="54"/>
    </row>
    <row r="4122">
      <c r="A4122" s="23"/>
      <c r="B4122" s="52"/>
      <c r="C4122" s="53"/>
      <c r="D4122" s="23"/>
      <c r="E4122" s="53"/>
      <c r="F4122" s="54"/>
      <c r="G4122" s="54"/>
      <c r="H4122" s="54"/>
      <c r="I4122" s="53"/>
      <c r="J4122" s="53"/>
      <c r="K4122" s="23"/>
      <c r="L4122" s="53"/>
      <c r="M4122" s="54"/>
    </row>
    <row r="4123">
      <c r="A4123" s="23"/>
      <c r="B4123" s="52"/>
      <c r="C4123" s="53"/>
      <c r="D4123" s="23"/>
      <c r="E4123" s="53"/>
      <c r="F4123" s="54"/>
      <c r="G4123" s="54"/>
      <c r="H4123" s="54"/>
      <c r="I4123" s="53"/>
      <c r="J4123" s="53"/>
      <c r="K4123" s="23"/>
      <c r="L4123" s="53"/>
      <c r="M4123" s="54"/>
    </row>
    <row r="4124">
      <c r="A4124" s="23"/>
      <c r="B4124" s="52"/>
      <c r="C4124" s="53"/>
      <c r="D4124" s="23"/>
      <c r="E4124" s="53"/>
      <c r="F4124" s="54"/>
      <c r="G4124" s="54"/>
      <c r="H4124" s="54"/>
      <c r="I4124" s="53"/>
      <c r="J4124" s="53"/>
      <c r="K4124" s="23"/>
      <c r="L4124" s="53"/>
      <c r="M4124" s="54"/>
    </row>
    <row r="4125">
      <c r="A4125" s="23"/>
      <c r="B4125" s="52"/>
      <c r="C4125" s="53"/>
      <c r="D4125" s="23"/>
      <c r="E4125" s="53"/>
      <c r="F4125" s="54"/>
      <c r="G4125" s="23"/>
      <c r="H4125" s="54"/>
      <c r="I4125" s="53"/>
      <c r="J4125" s="53"/>
      <c r="K4125" s="23"/>
      <c r="L4125" s="53"/>
      <c r="M4125" s="54"/>
    </row>
    <row r="4126">
      <c r="A4126" s="23"/>
      <c r="B4126" s="52"/>
      <c r="C4126" s="53"/>
      <c r="D4126" s="23"/>
      <c r="E4126" s="53"/>
      <c r="F4126" s="54"/>
      <c r="G4126" s="23"/>
      <c r="H4126" s="54"/>
      <c r="I4126" s="53"/>
      <c r="J4126" s="53"/>
      <c r="K4126" s="23"/>
      <c r="L4126" s="53"/>
      <c r="M4126" s="54"/>
    </row>
    <row r="4127">
      <c r="A4127" s="23"/>
      <c r="B4127" s="52"/>
      <c r="C4127" s="53"/>
      <c r="D4127" s="23"/>
      <c r="E4127" s="53"/>
      <c r="F4127" s="54"/>
      <c r="G4127" s="54"/>
      <c r="H4127" s="54"/>
      <c r="I4127" s="53"/>
      <c r="J4127" s="53"/>
      <c r="K4127" s="23"/>
      <c r="L4127" s="53"/>
      <c r="M4127" s="54"/>
    </row>
    <row r="4128">
      <c r="A4128" s="23"/>
      <c r="B4128" s="52"/>
      <c r="C4128" s="53"/>
      <c r="D4128" s="23"/>
      <c r="E4128" s="53"/>
      <c r="F4128" s="54"/>
      <c r="G4128" s="54"/>
      <c r="H4128" s="54"/>
      <c r="I4128" s="53"/>
      <c r="J4128" s="53"/>
      <c r="K4128" s="23"/>
      <c r="L4128" s="53"/>
      <c r="M4128" s="54"/>
    </row>
    <row r="4129">
      <c r="A4129" s="23"/>
      <c r="B4129" s="52"/>
      <c r="C4129" s="53"/>
      <c r="D4129" s="23"/>
      <c r="E4129" s="53"/>
      <c r="F4129" s="54"/>
      <c r="G4129" s="54"/>
      <c r="H4129" s="54"/>
      <c r="I4129" s="53"/>
      <c r="J4129" s="53"/>
      <c r="K4129" s="23"/>
      <c r="L4129" s="53"/>
      <c r="M4129" s="54"/>
    </row>
    <row r="4130">
      <c r="A4130" s="23"/>
      <c r="B4130" s="52"/>
      <c r="C4130" s="53"/>
      <c r="D4130" s="23"/>
      <c r="E4130" s="53"/>
      <c r="F4130" s="54"/>
      <c r="G4130" s="54"/>
      <c r="H4130" s="54"/>
      <c r="I4130" s="53"/>
      <c r="J4130" s="53"/>
      <c r="K4130" s="23"/>
      <c r="L4130" s="53"/>
      <c r="M4130" s="54"/>
    </row>
    <row r="4131">
      <c r="A4131" s="23"/>
      <c r="B4131" s="52"/>
      <c r="C4131" s="53"/>
      <c r="D4131" s="23"/>
      <c r="E4131" s="53"/>
      <c r="F4131" s="54"/>
      <c r="G4131" s="54"/>
      <c r="H4131" s="54"/>
      <c r="I4131" s="53"/>
      <c r="J4131" s="53"/>
      <c r="K4131" s="23"/>
      <c r="L4131" s="53"/>
      <c r="M4131" s="54"/>
    </row>
    <row r="4132">
      <c r="A4132" s="23"/>
      <c r="B4132" s="52"/>
      <c r="C4132" s="53"/>
      <c r="D4132" s="23"/>
      <c r="E4132" s="53"/>
      <c r="F4132" s="54"/>
      <c r="G4132" s="54"/>
      <c r="H4132" s="54"/>
      <c r="I4132" s="53"/>
      <c r="J4132" s="53"/>
      <c r="K4132" s="23"/>
      <c r="L4132" s="53"/>
      <c r="M4132" s="54"/>
    </row>
    <row r="4133">
      <c r="A4133" s="23"/>
      <c r="B4133" s="52"/>
      <c r="C4133" s="53"/>
      <c r="D4133" s="23"/>
      <c r="E4133" s="53"/>
      <c r="F4133" s="54"/>
      <c r="G4133" s="54"/>
      <c r="H4133" s="54"/>
      <c r="I4133" s="53"/>
      <c r="J4133" s="53"/>
      <c r="K4133" s="23"/>
      <c r="L4133" s="53"/>
      <c r="M4133" s="54"/>
    </row>
    <row r="4134">
      <c r="A4134" s="23"/>
      <c r="B4134" s="52"/>
      <c r="C4134" s="53"/>
      <c r="D4134" s="23"/>
      <c r="E4134" s="53"/>
      <c r="F4134" s="54"/>
      <c r="G4134" s="54"/>
      <c r="H4134" s="54"/>
      <c r="I4134" s="53"/>
      <c r="J4134" s="53"/>
      <c r="K4134" s="23"/>
      <c r="L4134" s="53"/>
      <c r="M4134" s="54"/>
    </row>
    <row r="4135">
      <c r="A4135" s="23"/>
      <c r="B4135" s="52"/>
      <c r="C4135" s="53"/>
      <c r="D4135" s="23"/>
      <c r="E4135" s="53"/>
      <c r="F4135" s="54"/>
      <c r="G4135" s="23"/>
      <c r="H4135" s="54"/>
      <c r="I4135" s="53"/>
      <c r="J4135" s="53"/>
      <c r="K4135" s="23"/>
      <c r="L4135" s="23"/>
      <c r="M4135" s="54"/>
    </row>
    <row r="4136">
      <c r="A4136" s="23"/>
      <c r="B4136" s="52"/>
      <c r="C4136" s="53"/>
      <c r="D4136" s="23"/>
      <c r="E4136" s="53"/>
      <c r="F4136" s="54"/>
      <c r="G4136" s="23"/>
      <c r="H4136" s="54"/>
      <c r="I4136" s="53"/>
      <c r="J4136" s="53"/>
      <c r="K4136" s="23"/>
      <c r="L4136" s="53"/>
      <c r="M4136" s="54"/>
    </row>
    <row r="4137">
      <c r="A4137" s="23"/>
      <c r="B4137" s="52"/>
      <c r="C4137" s="53"/>
      <c r="D4137" s="23"/>
      <c r="E4137" s="53"/>
      <c r="F4137" s="54"/>
      <c r="G4137" s="23"/>
      <c r="H4137" s="54"/>
      <c r="I4137" s="53"/>
      <c r="J4137" s="23"/>
      <c r="K4137" s="23"/>
      <c r="L4137" s="53"/>
      <c r="M4137" s="54"/>
    </row>
    <row r="4138">
      <c r="A4138" s="23"/>
      <c r="B4138" s="52"/>
      <c r="C4138" s="53"/>
      <c r="D4138" s="23"/>
      <c r="E4138" s="53"/>
      <c r="F4138" s="54"/>
      <c r="G4138" s="23"/>
      <c r="H4138" s="54"/>
      <c r="I4138" s="53"/>
      <c r="J4138" s="53"/>
      <c r="K4138" s="23"/>
      <c r="L4138" s="53"/>
      <c r="M4138" s="54"/>
    </row>
    <row r="4139">
      <c r="A4139" s="23"/>
      <c r="B4139" s="52"/>
      <c r="C4139" s="53"/>
      <c r="D4139" s="23"/>
      <c r="E4139" s="53"/>
      <c r="F4139" s="54"/>
      <c r="G4139" s="23"/>
      <c r="H4139" s="54"/>
      <c r="I4139" s="53"/>
      <c r="J4139" s="53"/>
      <c r="K4139" s="23"/>
      <c r="L4139" s="53"/>
      <c r="M4139" s="54"/>
    </row>
    <row r="4140">
      <c r="A4140" s="23"/>
      <c r="B4140" s="52"/>
      <c r="C4140" s="53"/>
      <c r="D4140" s="23"/>
      <c r="E4140" s="53"/>
      <c r="F4140" s="54"/>
      <c r="G4140" s="54"/>
      <c r="H4140" s="54"/>
      <c r="I4140" s="53"/>
      <c r="J4140" s="53"/>
      <c r="K4140" s="23"/>
      <c r="L4140" s="53"/>
      <c r="M4140" s="54"/>
    </row>
    <row r="4141">
      <c r="A4141" s="23"/>
      <c r="B4141" s="52"/>
      <c r="C4141" s="53"/>
      <c r="D4141" s="23"/>
      <c r="E4141" s="53"/>
      <c r="F4141" s="54"/>
      <c r="G4141" s="54"/>
      <c r="H4141" s="54"/>
      <c r="I4141" s="53"/>
      <c r="J4141" s="53"/>
      <c r="K4141" s="23"/>
      <c r="L4141" s="53"/>
      <c r="M4141" s="54"/>
    </row>
    <row r="4142">
      <c r="A4142" s="23"/>
      <c r="B4142" s="52"/>
      <c r="C4142" s="53"/>
      <c r="D4142" s="23"/>
      <c r="E4142" s="53"/>
      <c r="F4142" s="54"/>
      <c r="G4142" s="23"/>
      <c r="H4142" s="54"/>
      <c r="I4142" s="53"/>
      <c r="J4142" s="53"/>
      <c r="K4142" s="23"/>
      <c r="L4142" s="53"/>
      <c r="M4142" s="54"/>
    </row>
    <row r="4143">
      <c r="A4143" s="23"/>
      <c r="B4143" s="52"/>
      <c r="C4143" s="53"/>
      <c r="D4143" s="23"/>
      <c r="E4143" s="53"/>
      <c r="F4143" s="54"/>
      <c r="G4143" s="23"/>
      <c r="H4143" s="54"/>
      <c r="I4143" s="53"/>
      <c r="J4143" s="53"/>
      <c r="K4143" s="53"/>
      <c r="L4143" s="53"/>
      <c r="M4143" s="54"/>
    </row>
    <row r="4144">
      <c r="A4144" s="23"/>
      <c r="B4144" s="52"/>
      <c r="C4144" s="53"/>
      <c r="D4144" s="23"/>
      <c r="E4144" s="53"/>
      <c r="F4144" s="54"/>
      <c r="G4144" s="54"/>
      <c r="H4144" s="54"/>
      <c r="I4144" s="53"/>
      <c r="J4144" s="53"/>
      <c r="K4144" s="23"/>
      <c r="L4144" s="53"/>
      <c r="M4144" s="54"/>
    </row>
    <row r="4145">
      <c r="A4145" s="23"/>
      <c r="B4145" s="52"/>
      <c r="C4145" s="53"/>
      <c r="D4145" s="23"/>
      <c r="E4145" s="53"/>
      <c r="F4145" s="54"/>
      <c r="G4145" s="54"/>
      <c r="H4145" s="54"/>
      <c r="I4145" s="53"/>
      <c r="J4145" s="53"/>
      <c r="K4145" s="23"/>
      <c r="L4145" s="53"/>
      <c r="M4145" s="54"/>
    </row>
    <row r="4146">
      <c r="A4146" s="23"/>
      <c r="B4146" s="52"/>
      <c r="C4146" s="53"/>
      <c r="D4146" s="23"/>
      <c r="E4146" s="53"/>
      <c r="F4146" s="54"/>
      <c r="G4146" s="54"/>
      <c r="H4146" s="54"/>
      <c r="I4146" s="53"/>
      <c r="J4146" s="53"/>
      <c r="K4146" s="23"/>
      <c r="L4146" s="53"/>
      <c r="M4146" s="54"/>
    </row>
    <row r="4147">
      <c r="A4147" s="23"/>
      <c r="B4147" s="52"/>
      <c r="C4147" s="53"/>
      <c r="D4147" s="23"/>
      <c r="E4147" s="53"/>
      <c r="F4147" s="54"/>
      <c r="G4147" s="54"/>
      <c r="H4147" s="54"/>
      <c r="I4147" s="53"/>
      <c r="J4147" s="53"/>
      <c r="K4147" s="23"/>
      <c r="L4147" s="53"/>
      <c r="M4147" s="54"/>
    </row>
    <row r="4148">
      <c r="A4148" s="23"/>
      <c r="B4148" s="52"/>
      <c r="C4148" s="53"/>
      <c r="D4148" s="23"/>
      <c r="E4148" s="53"/>
      <c r="F4148" s="54"/>
      <c r="G4148" s="23"/>
      <c r="H4148" s="54"/>
      <c r="I4148" s="53"/>
      <c r="J4148" s="53"/>
      <c r="K4148" s="23"/>
      <c r="L4148" s="53"/>
      <c r="M4148" s="54"/>
    </row>
    <row r="4149">
      <c r="A4149" s="23"/>
      <c r="B4149" s="52"/>
      <c r="C4149" s="53"/>
      <c r="D4149" s="23"/>
      <c r="E4149" s="53"/>
      <c r="F4149" s="54"/>
      <c r="G4149" s="54"/>
      <c r="H4149" s="54"/>
      <c r="I4149" s="53"/>
      <c r="J4149" s="53"/>
      <c r="K4149" s="23"/>
      <c r="L4149" s="53"/>
      <c r="M4149" s="54"/>
    </row>
    <row r="4150">
      <c r="A4150" s="23"/>
      <c r="B4150" s="52"/>
      <c r="C4150" s="53"/>
      <c r="D4150" s="23"/>
      <c r="E4150" s="53"/>
      <c r="F4150" s="54"/>
      <c r="G4150" s="54"/>
      <c r="H4150" s="54"/>
      <c r="I4150" s="53"/>
      <c r="J4150" s="53"/>
      <c r="K4150" s="23"/>
      <c r="L4150" s="53"/>
      <c r="M4150" s="54"/>
    </row>
    <row r="4151">
      <c r="A4151" s="23"/>
      <c r="B4151" s="52"/>
      <c r="C4151" s="53"/>
      <c r="D4151" s="23"/>
      <c r="E4151" s="53"/>
      <c r="F4151" s="54"/>
      <c r="G4151" s="54"/>
      <c r="H4151" s="54"/>
      <c r="I4151" s="53"/>
      <c r="J4151" s="53"/>
      <c r="K4151" s="23"/>
      <c r="L4151" s="53"/>
      <c r="M4151" s="54"/>
    </row>
    <row r="4152">
      <c r="A4152" s="23"/>
      <c r="B4152" s="52"/>
      <c r="C4152" s="53"/>
      <c r="D4152" s="23"/>
      <c r="E4152" s="53"/>
      <c r="F4152" s="54"/>
      <c r="G4152" s="54"/>
      <c r="H4152" s="54"/>
      <c r="I4152" s="53"/>
      <c r="J4152" s="53"/>
      <c r="K4152" s="23"/>
      <c r="L4152" s="53"/>
      <c r="M4152" s="54"/>
    </row>
    <row r="4153">
      <c r="A4153" s="23"/>
      <c r="B4153" s="52"/>
      <c r="C4153" s="53"/>
      <c r="D4153" s="23"/>
      <c r="E4153" s="53"/>
      <c r="F4153" s="54"/>
      <c r="G4153" s="54"/>
      <c r="H4153" s="54"/>
      <c r="I4153" s="53"/>
      <c r="J4153" s="53"/>
      <c r="K4153" s="23"/>
      <c r="L4153" s="53"/>
      <c r="M4153" s="54"/>
    </row>
    <row r="4154">
      <c r="A4154" s="23"/>
      <c r="B4154" s="52"/>
      <c r="C4154" s="53"/>
      <c r="D4154" s="23"/>
      <c r="E4154" s="53"/>
      <c r="F4154" s="54"/>
      <c r="G4154" s="54"/>
      <c r="H4154" s="54"/>
      <c r="I4154" s="53"/>
      <c r="J4154" s="53"/>
      <c r="K4154" s="23"/>
      <c r="L4154" s="53"/>
      <c r="M4154" s="54"/>
    </row>
    <row r="4155">
      <c r="A4155" s="23"/>
      <c r="B4155" s="52"/>
      <c r="C4155" s="53"/>
      <c r="D4155" s="23"/>
      <c r="E4155" s="53"/>
      <c r="F4155" s="54"/>
      <c r="G4155" s="23"/>
      <c r="H4155" s="54"/>
      <c r="I4155" s="53"/>
      <c r="J4155" s="53"/>
      <c r="K4155" s="23"/>
      <c r="L4155" s="53"/>
      <c r="M4155" s="54"/>
    </row>
    <row r="4156">
      <c r="A4156" s="23"/>
      <c r="B4156" s="52"/>
      <c r="C4156" s="53"/>
      <c r="D4156" s="23"/>
      <c r="E4156" s="53"/>
      <c r="F4156" s="54"/>
      <c r="G4156" s="54"/>
      <c r="H4156" s="54"/>
      <c r="I4156" s="53"/>
      <c r="J4156" s="53"/>
      <c r="K4156" s="23"/>
      <c r="L4156" s="53"/>
      <c r="M4156" s="54"/>
    </row>
    <row r="4157">
      <c r="A4157" s="23"/>
      <c r="B4157" s="52"/>
      <c r="C4157" s="53"/>
      <c r="D4157" s="23"/>
      <c r="E4157" s="53"/>
      <c r="F4157" s="54"/>
      <c r="G4157" s="54"/>
      <c r="H4157" s="54"/>
      <c r="I4157" s="53"/>
      <c r="J4157" s="53"/>
      <c r="K4157" s="23"/>
      <c r="L4157" s="53"/>
      <c r="M4157" s="54"/>
    </row>
    <row r="4158">
      <c r="A4158" s="23"/>
      <c r="B4158" s="52"/>
      <c r="C4158" s="53"/>
      <c r="D4158" s="23"/>
      <c r="E4158" s="53"/>
      <c r="F4158" s="54"/>
      <c r="G4158" s="54"/>
      <c r="H4158" s="54"/>
      <c r="I4158" s="53"/>
      <c r="J4158" s="53"/>
      <c r="K4158" s="23"/>
      <c r="L4158" s="53"/>
      <c r="M4158" s="54"/>
    </row>
    <row r="4159">
      <c r="A4159" s="23"/>
      <c r="B4159" s="52"/>
      <c r="C4159" s="53"/>
      <c r="D4159" s="23"/>
      <c r="E4159" s="53"/>
      <c r="F4159" s="54"/>
      <c r="G4159" s="23"/>
      <c r="H4159" s="54"/>
      <c r="I4159" s="53"/>
      <c r="J4159" s="53"/>
      <c r="K4159" s="23"/>
      <c r="L4159" s="53"/>
      <c r="M4159" s="54"/>
    </row>
    <row r="4160">
      <c r="A4160" s="23"/>
      <c r="B4160" s="52"/>
      <c r="C4160" s="53"/>
      <c r="D4160" s="23"/>
      <c r="E4160" s="53"/>
      <c r="F4160" s="54"/>
      <c r="G4160" s="54"/>
      <c r="H4160" s="54"/>
      <c r="I4160" s="53"/>
      <c r="J4160" s="53"/>
      <c r="K4160" s="23"/>
      <c r="L4160" s="53"/>
      <c r="M4160" s="54"/>
    </row>
    <row r="4161">
      <c r="A4161" s="23"/>
      <c r="B4161" s="52"/>
      <c r="C4161" s="53"/>
      <c r="D4161" s="23"/>
      <c r="E4161" s="53"/>
      <c r="F4161" s="54"/>
      <c r="G4161" s="54"/>
      <c r="H4161" s="54"/>
      <c r="I4161" s="53"/>
      <c r="J4161" s="53"/>
      <c r="K4161" s="23"/>
      <c r="L4161" s="53"/>
      <c r="M4161" s="54"/>
    </row>
    <row r="4162">
      <c r="A4162" s="23"/>
      <c r="B4162" s="52"/>
      <c r="C4162" s="53"/>
      <c r="D4162" s="23"/>
      <c r="E4162" s="53"/>
      <c r="F4162" s="54"/>
      <c r="G4162" s="23"/>
      <c r="H4162" s="54"/>
      <c r="I4162" s="53"/>
      <c r="J4162" s="23"/>
      <c r="K4162" s="23"/>
      <c r="L4162" s="53"/>
      <c r="M4162" s="54"/>
    </row>
    <row r="4163">
      <c r="A4163" s="23"/>
      <c r="B4163" s="52"/>
      <c r="C4163" s="53"/>
      <c r="D4163" s="23"/>
      <c r="E4163" s="53"/>
      <c r="F4163" s="54"/>
      <c r="G4163" s="23"/>
      <c r="H4163" s="54"/>
      <c r="I4163" s="53"/>
      <c r="J4163" s="53"/>
      <c r="K4163" s="23"/>
      <c r="L4163" s="53"/>
      <c r="M4163" s="54"/>
    </row>
    <row r="4164">
      <c r="A4164" s="23"/>
      <c r="B4164" s="52"/>
      <c r="C4164" s="53"/>
      <c r="D4164" s="23"/>
      <c r="E4164" s="53"/>
      <c r="F4164" s="54"/>
      <c r="G4164" s="54"/>
      <c r="H4164" s="54"/>
      <c r="I4164" s="53"/>
      <c r="J4164" s="53"/>
      <c r="K4164" s="23"/>
      <c r="L4164" s="53"/>
      <c r="M4164" s="54"/>
    </row>
    <row r="4165">
      <c r="A4165" s="23"/>
      <c r="B4165" s="52"/>
      <c r="C4165" s="53"/>
      <c r="D4165" s="23"/>
      <c r="E4165" s="53"/>
      <c r="F4165" s="54"/>
      <c r="G4165" s="23"/>
      <c r="H4165" s="54"/>
      <c r="I4165" s="53"/>
      <c r="J4165" s="53"/>
      <c r="K4165" s="53"/>
      <c r="L4165" s="53"/>
      <c r="M4165" s="54"/>
    </row>
    <row r="4166">
      <c r="A4166" s="23"/>
      <c r="B4166" s="52"/>
      <c r="C4166" s="53"/>
      <c r="D4166" s="23"/>
      <c r="E4166" s="53"/>
      <c r="F4166" s="54"/>
      <c r="G4166" s="54"/>
      <c r="H4166" s="54"/>
      <c r="I4166" s="53"/>
      <c r="J4166" s="53"/>
      <c r="K4166" s="23"/>
      <c r="L4166" s="53"/>
      <c r="M4166" s="54"/>
    </row>
    <row r="4167">
      <c r="A4167" s="23"/>
      <c r="B4167" s="52"/>
      <c r="C4167" s="53"/>
      <c r="D4167" s="23"/>
      <c r="E4167" s="53"/>
      <c r="F4167" s="54"/>
      <c r="G4167" s="54"/>
      <c r="H4167" s="54"/>
      <c r="I4167" s="53"/>
      <c r="J4167" s="53"/>
      <c r="K4167" s="23"/>
      <c r="L4167" s="53"/>
      <c r="M4167" s="54"/>
    </row>
    <row r="4168">
      <c r="A4168" s="23"/>
      <c r="B4168" s="52"/>
      <c r="C4168" s="53"/>
      <c r="D4168" s="23"/>
      <c r="E4168" s="53"/>
      <c r="F4168" s="54"/>
      <c r="G4168" s="54"/>
      <c r="H4168" s="54"/>
      <c r="I4168" s="53"/>
      <c r="J4168" s="53"/>
      <c r="K4168" s="23"/>
      <c r="L4168" s="53"/>
      <c r="M4168" s="54"/>
    </row>
    <row r="4169">
      <c r="A4169" s="23"/>
      <c r="B4169" s="52"/>
      <c r="C4169" s="53"/>
      <c r="D4169" s="23"/>
      <c r="E4169" s="53"/>
      <c r="F4169" s="54"/>
      <c r="G4169" s="54"/>
      <c r="H4169" s="54"/>
      <c r="I4169" s="53"/>
      <c r="J4169" s="53"/>
      <c r="K4169" s="23"/>
      <c r="L4169" s="53"/>
      <c r="M4169" s="54"/>
    </row>
    <row r="4170">
      <c r="A4170" s="23"/>
      <c r="B4170" s="52"/>
      <c r="C4170" s="53"/>
      <c r="D4170" s="23"/>
      <c r="E4170" s="53"/>
      <c r="F4170" s="54"/>
      <c r="G4170" s="54"/>
      <c r="H4170" s="54"/>
      <c r="I4170" s="53"/>
      <c r="J4170" s="53"/>
      <c r="K4170" s="23"/>
      <c r="L4170" s="53"/>
      <c r="M4170" s="54"/>
    </row>
    <row r="4171">
      <c r="A4171" s="23"/>
      <c r="B4171" s="52"/>
      <c r="C4171" s="53"/>
      <c r="D4171" s="23"/>
      <c r="E4171" s="53"/>
      <c r="F4171" s="54"/>
      <c r="G4171" s="23"/>
      <c r="H4171" s="54"/>
      <c r="I4171" s="53"/>
      <c r="J4171" s="53"/>
      <c r="K4171" s="23"/>
      <c r="L4171" s="53"/>
      <c r="M4171" s="54"/>
    </row>
    <row r="4172">
      <c r="A4172" s="23"/>
      <c r="B4172" s="52"/>
      <c r="C4172" s="53"/>
      <c r="D4172" s="23"/>
      <c r="E4172" s="53"/>
      <c r="F4172" s="54"/>
      <c r="G4172" s="23"/>
      <c r="H4172" s="54"/>
      <c r="I4172" s="53"/>
      <c r="J4172" s="23"/>
      <c r="K4172" s="23"/>
      <c r="L4172" s="53"/>
      <c r="M4172" s="54"/>
    </row>
    <row r="4173">
      <c r="A4173" s="23"/>
      <c r="B4173" s="52"/>
      <c r="C4173" s="53"/>
      <c r="D4173" s="23"/>
      <c r="E4173" s="53"/>
      <c r="F4173" s="54"/>
      <c r="G4173" s="54"/>
      <c r="H4173" s="54"/>
      <c r="I4173" s="53"/>
      <c r="J4173" s="53"/>
      <c r="K4173" s="23"/>
      <c r="L4173" s="53"/>
      <c r="M4173" s="54"/>
    </row>
    <row r="4174">
      <c r="A4174" s="23"/>
      <c r="B4174" s="52"/>
      <c r="C4174" s="53"/>
      <c r="D4174" s="23"/>
      <c r="E4174" s="53"/>
      <c r="F4174" s="54"/>
      <c r="G4174" s="54"/>
      <c r="H4174" s="54"/>
      <c r="I4174" s="53"/>
      <c r="J4174" s="53"/>
      <c r="K4174" s="23"/>
      <c r="L4174" s="53"/>
      <c r="M4174" s="54"/>
    </row>
    <row r="4175">
      <c r="A4175" s="23"/>
      <c r="B4175" s="52"/>
      <c r="C4175" s="53"/>
      <c r="D4175" s="23"/>
      <c r="E4175" s="53"/>
      <c r="F4175" s="54"/>
      <c r="G4175" s="54"/>
      <c r="H4175" s="54"/>
      <c r="I4175" s="53"/>
      <c r="J4175" s="53"/>
      <c r="K4175" s="23"/>
      <c r="L4175" s="53"/>
      <c r="M4175" s="54"/>
    </row>
    <row r="4176">
      <c r="A4176" s="23"/>
      <c r="B4176" s="52"/>
      <c r="C4176" s="53"/>
      <c r="D4176" s="23"/>
      <c r="E4176" s="53"/>
      <c r="F4176" s="54"/>
      <c r="G4176" s="23"/>
      <c r="H4176" s="54"/>
      <c r="I4176" s="53"/>
      <c r="J4176" s="53"/>
      <c r="K4176" s="23"/>
      <c r="L4176" s="53"/>
      <c r="M4176" s="54"/>
    </row>
    <row r="4177">
      <c r="A4177" s="23"/>
      <c r="B4177" s="52"/>
      <c r="C4177" s="53"/>
      <c r="D4177" s="23"/>
      <c r="E4177" s="53"/>
      <c r="F4177" s="54"/>
      <c r="G4177" s="23"/>
      <c r="H4177" s="54"/>
      <c r="I4177" s="53"/>
      <c r="J4177" s="53"/>
      <c r="K4177" s="23"/>
      <c r="L4177" s="53"/>
      <c r="M4177" s="54"/>
    </row>
    <row r="4178">
      <c r="A4178" s="23"/>
      <c r="B4178" s="52"/>
      <c r="C4178" s="53"/>
      <c r="D4178" s="23"/>
      <c r="E4178" s="53"/>
      <c r="F4178" s="54"/>
      <c r="G4178" s="23"/>
      <c r="H4178" s="54"/>
      <c r="I4178" s="53"/>
      <c r="J4178" s="53"/>
      <c r="K4178" s="23"/>
      <c r="L4178" s="53"/>
      <c r="M4178" s="54"/>
    </row>
    <row r="4179">
      <c r="A4179" s="23"/>
      <c r="B4179" s="52"/>
      <c r="C4179" s="53"/>
      <c r="D4179" s="23"/>
      <c r="E4179" s="53"/>
      <c r="F4179" s="54"/>
      <c r="G4179" s="54"/>
      <c r="H4179" s="54"/>
      <c r="I4179" s="53"/>
      <c r="J4179" s="53"/>
      <c r="K4179" s="23"/>
      <c r="L4179" s="53"/>
      <c r="M4179" s="54"/>
    </row>
    <row r="4180">
      <c r="A4180" s="23"/>
      <c r="B4180" s="52"/>
      <c r="C4180" s="53"/>
      <c r="D4180" s="23"/>
      <c r="E4180" s="53"/>
      <c r="F4180" s="54"/>
      <c r="G4180" s="23"/>
      <c r="H4180" s="54"/>
      <c r="I4180" s="53"/>
      <c r="J4180" s="23"/>
      <c r="K4180" s="23"/>
      <c r="L4180" s="53"/>
      <c r="M4180" s="54"/>
    </row>
    <row r="4181">
      <c r="A4181" s="23"/>
      <c r="B4181" s="52"/>
      <c r="C4181" s="53"/>
      <c r="D4181" s="23"/>
      <c r="E4181" s="53"/>
      <c r="F4181" s="54"/>
      <c r="G4181" s="54"/>
      <c r="H4181" s="54"/>
      <c r="I4181" s="53"/>
      <c r="J4181" s="53"/>
      <c r="K4181" s="23"/>
      <c r="L4181" s="53"/>
      <c r="M4181" s="54"/>
    </row>
    <row r="4182">
      <c r="A4182" s="23"/>
      <c r="B4182" s="52"/>
      <c r="C4182" s="53"/>
      <c r="D4182" s="23"/>
      <c r="E4182" s="53"/>
      <c r="F4182" s="54"/>
      <c r="G4182" s="54"/>
      <c r="H4182" s="54"/>
      <c r="I4182" s="53"/>
      <c r="J4182" s="53"/>
      <c r="K4182" s="23"/>
      <c r="L4182" s="53"/>
      <c r="M4182" s="54"/>
    </row>
    <row r="4183">
      <c r="A4183" s="23"/>
      <c r="B4183" s="52"/>
      <c r="C4183" s="53"/>
      <c r="D4183" s="23"/>
      <c r="E4183" s="53"/>
      <c r="F4183" s="54"/>
      <c r="G4183" s="23"/>
      <c r="H4183" s="54"/>
      <c r="I4183" s="53"/>
      <c r="J4183" s="53"/>
      <c r="K4183" s="23"/>
      <c r="L4183" s="53"/>
      <c r="M4183" s="54"/>
    </row>
    <row r="4184">
      <c r="A4184" s="23"/>
      <c r="B4184" s="52"/>
      <c r="C4184" s="53"/>
      <c r="D4184" s="23"/>
      <c r="E4184" s="53"/>
      <c r="F4184" s="54"/>
      <c r="G4184" s="23"/>
      <c r="H4184" s="54"/>
      <c r="I4184" s="53"/>
      <c r="J4184" s="53"/>
      <c r="K4184" s="23"/>
      <c r="L4184" s="53"/>
      <c r="M4184" s="54"/>
    </row>
    <row r="4185">
      <c r="A4185" s="23"/>
      <c r="B4185" s="52"/>
      <c r="C4185" s="53"/>
      <c r="D4185" s="23"/>
      <c r="E4185" s="53"/>
      <c r="F4185" s="54"/>
      <c r="G4185" s="54"/>
      <c r="H4185" s="54"/>
      <c r="I4185" s="53"/>
      <c r="J4185" s="53"/>
      <c r="K4185" s="23"/>
      <c r="L4185" s="53"/>
      <c r="M4185" s="54"/>
    </row>
    <row r="4186">
      <c r="A4186" s="23"/>
      <c r="B4186" s="52"/>
      <c r="C4186" s="53"/>
      <c r="D4186" s="23"/>
      <c r="E4186" s="53"/>
      <c r="F4186" s="54"/>
      <c r="G4186" s="54"/>
      <c r="H4186" s="54"/>
      <c r="I4186" s="53"/>
      <c r="J4186" s="53"/>
      <c r="K4186" s="23"/>
      <c r="L4186" s="53"/>
      <c r="M4186" s="54"/>
    </row>
    <row r="4187">
      <c r="A4187" s="23"/>
      <c r="B4187" s="52"/>
      <c r="C4187" s="53"/>
      <c r="D4187" s="23"/>
      <c r="E4187" s="53"/>
      <c r="F4187" s="54"/>
      <c r="G4187" s="23"/>
      <c r="H4187" s="54"/>
      <c r="I4187" s="53"/>
      <c r="J4187" s="23"/>
      <c r="K4187" s="23"/>
      <c r="L4187" s="53"/>
      <c r="M4187" s="54"/>
    </row>
    <row r="4188">
      <c r="A4188" s="23"/>
      <c r="B4188" s="52"/>
      <c r="C4188" s="53"/>
      <c r="D4188" s="23"/>
      <c r="E4188" s="53"/>
      <c r="F4188" s="54"/>
      <c r="G4188" s="54"/>
      <c r="H4188" s="54"/>
      <c r="I4188" s="53"/>
      <c r="J4188" s="53"/>
      <c r="K4188" s="23"/>
      <c r="L4188" s="53"/>
      <c r="M4188" s="54"/>
    </row>
    <row r="4189">
      <c r="A4189" s="23"/>
      <c r="B4189" s="52"/>
      <c r="C4189" s="53"/>
      <c r="D4189" s="23"/>
      <c r="E4189" s="53"/>
      <c r="F4189" s="54"/>
      <c r="G4189" s="54"/>
      <c r="H4189" s="54"/>
      <c r="I4189" s="53"/>
      <c r="J4189" s="53"/>
      <c r="K4189" s="23"/>
      <c r="L4189" s="53"/>
      <c r="M4189" s="54"/>
    </row>
    <row r="4190">
      <c r="A4190" s="23"/>
      <c r="B4190" s="52"/>
      <c r="C4190" s="53"/>
      <c r="D4190" s="23"/>
      <c r="E4190" s="53"/>
      <c r="F4190" s="54"/>
      <c r="G4190" s="23"/>
      <c r="H4190" s="54"/>
      <c r="I4190" s="53"/>
      <c r="J4190" s="53"/>
      <c r="K4190" s="23"/>
      <c r="L4190" s="53"/>
      <c r="M4190" s="54"/>
    </row>
    <row r="4191">
      <c r="A4191" s="23"/>
      <c r="B4191" s="52"/>
      <c r="C4191" s="53"/>
      <c r="D4191" s="23"/>
      <c r="E4191" s="53"/>
      <c r="F4191" s="54"/>
      <c r="G4191" s="23"/>
      <c r="H4191" s="54"/>
      <c r="I4191" s="53"/>
      <c r="J4191" s="53"/>
      <c r="K4191" s="23"/>
      <c r="L4191" s="23"/>
      <c r="M4191" s="54"/>
    </row>
    <row r="4192">
      <c r="A4192" s="23"/>
      <c r="B4192" s="52"/>
      <c r="C4192" s="53"/>
      <c r="D4192" s="23"/>
      <c r="E4192" s="53"/>
      <c r="F4192" s="54"/>
      <c r="G4192" s="54"/>
      <c r="H4192" s="54"/>
      <c r="I4192" s="53"/>
      <c r="J4192" s="53"/>
      <c r="K4192" s="23"/>
      <c r="L4192" s="53"/>
      <c r="M4192" s="54"/>
    </row>
    <row r="4193">
      <c r="A4193" s="23"/>
      <c r="B4193" s="52"/>
      <c r="C4193" s="53"/>
      <c r="D4193" s="23"/>
      <c r="E4193" s="53"/>
      <c r="F4193" s="54"/>
      <c r="G4193" s="54"/>
      <c r="H4193" s="54"/>
      <c r="I4193" s="53"/>
      <c r="J4193" s="53"/>
      <c r="K4193" s="23"/>
      <c r="L4193" s="53"/>
      <c r="M4193" s="54"/>
    </row>
    <row r="4194">
      <c r="A4194" s="23"/>
      <c r="B4194" s="52"/>
      <c r="C4194" s="53"/>
      <c r="D4194" s="23"/>
      <c r="E4194" s="53"/>
      <c r="F4194" s="54"/>
      <c r="G4194" s="23"/>
      <c r="H4194" s="54"/>
      <c r="I4194" s="53"/>
      <c r="J4194" s="53"/>
      <c r="K4194" s="23"/>
      <c r="L4194" s="53"/>
      <c r="M4194" s="54"/>
    </row>
    <row r="4195">
      <c r="A4195" s="23"/>
      <c r="B4195" s="52"/>
      <c r="C4195" s="53"/>
      <c r="D4195" s="23"/>
      <c r="E4195" s="53"/>
      <c r="F4195" s="54"/>
      <c r="G4195" s="23"/>
      <c r="H4195" s="54"/>
      <c r="I4195" s="53"/>
      <c r="J4195" s="53"/>
      <c r="K4195" s="23"/>
      <c r="L4195" s="53"/>
      <c r="M4195" s="54"/>
    </row>
    <row r="4196">
      <c r="A4196" s="23"/>
      <c r="B4196" s="52"/>
      <c r="C4196" s="53"/>
      <c r="D4196" s="23"/>
      <c r="E4196" s="53"/>
      <c r="F4196" s="54"/>
      <c r="G4196" s="23"/>
      <c r="H4196" s="54"/>
      <c r="I4196" s="53"/>
      <c r="J4196" s="23"/>
      <c r="K4196" s="23"/>
      <c r="L4196" s="53"/>
      <c r="M4196" s="54"/>
    </row>
    <row r="4197">
      <c r="A4197" s="23"/>
      <c r="B4197" s="52"/>
      <c r="C4197" s="53"/>
      <c r="D4197" s="23"/>
      <c r="E4197" s="53"/>
      <c r="F4197" s="54"/>
      <c r="G4197" s="23"/>
      <c r="H4197" s="54"/>
      <c r="I4197" s="53"/>
      <c r="J4197" s="23"/>
      <c r="K4197" s="23"/>
      <c r="L4197" s="53"/>
      <c r="M4197" s="54"/>
    </row>
    <row r="4198">
      <c r="A4198" s="23"/>
      <c r="B4198" s="52"/>
      <c r="C4198" s="53"/>
      <c r="D4198" s="23"/>
      <c r="E4198" s="53"/>
      <c r="F4198" s="54"/>
      <c r="G4198" s="54"/>
      <c r="H4198" s="54"/>
      <c r="I4198" s="53"/>
      <c r="J4198" s="53"/>
      <c r="K4198" s="23"/>
      <c r="L4198" s="53"/>
      <c r="M4198" s="54"/>
    </row>
    <row r="4199">
      <c r="A4199" s="23"/>
      <c r="B4199" s="52"/>
      <c r="C4199" s="53"/>
      <c r="D4199" s="23"/>
      <c r="E4199" s="53"/>
      <c r="F4199" s="54"/>
      <c r="G4199" s="23"/>
      <c r="H4199" s="54"/>
      <c r="I4199" s="53"/>
      <c r="J4199" s="53"/>
      <c r="K4199" s="23"/>
      <c r="L4199" s="53"/>
      <c r="M4199" s="54"/>
    </row>
    <row r="4200">
      <c r="A4200" s="23"/>
      <c r="B4200" s="52"/>
      <c r="C4200" s="53"/>
      <c r="D4200" s="23"/>
      <c r="E4200" s="53"/>
      <c r="F4200" s="54"/>
      <c r="G4200" s="54"/>
      <c r="H4200" s="54"/>
      <c r="I4200" s="53"/>
      <c r="J4200" s="53"/>
      <c r="K4200" s="23"/>
      <c r="L4200" s="53"/>
      <c r="M4200" s="54"/>
    </row>
    <row r="4201">
      <c r="A4201" s="23"/>
      <c r="B4201" s="52"/>
      <c r="C4201" s="53"/>
      <c r="D4201" s="23"/>
      <c r="E4201" s="53"/>
      <c r="F4201" s="54"/>
      <c r="G4201" s="54"/>
      <c r="H4201" s="54"/>
      <c r="I4201" s="53"/>
      <c r="J4201" s="53"/>
      <c r="K4201" s="23"/>
      <c r="L4201" s="53"/>
      <c r="M4201" s="54"/>
    </row>
    <row r="4202">
      <c r="A4202" s="23"/>
      <c r="B4202" s="52"/>
      <c r="C4202" s="53"/>
      <c r="D4202" s="23"/>
      <c r="E4202" s="53"/>
      <c r="F4202" s="54"/>
      <c r="G4202" s="54"/>
      <c r="H4202" s="54"/>
      <c r="I4202" s="53"/>
      <c r="J4202" s="53"/>
      <c r="K4202" s="23"/>
      <c r="L4202" s="53"/>
      <c r="M4202" s="54"/>
    </row>
    <row r="4203">
      <c r="A4203" s="23"/>
      <c r="B4203" s="52"/>
      <c r="C4203" s="53"/>
      <c r="D4203" s="23"/>
      <c r="E4203" s="53"/>
      <c r="F4203" s="54"/>
      <c r="G4203" s="23"/>
      <c r="H4203" s="54"/>
      <c r="I4203" s="53"/>
      <c r="J4203" s="53"/>
      <c r="K4203" s="23"/>
      <c r="L4203" s="53"/>
      <c r="M4203" s="54"/>
    </row>
    <row r="4204">
      <c r="A4204" s="23"/>
      <c r="B4204" s="52"/>
      <c r="C4204" s="53"/>
      <c r="D4204" s="23"/>
      <c r="E4204" s="53"/>
      <c r="F4204" s="54"/>
      <c r="G4204" s="23"/>
      <c r="H4204" s="54"/>
      <c r="I4204" s="53"/>
      <c r="J4204" s="53"/>
      <c r="K4204" s="23"/>
      <c r="L4204" s="53"/>
      <c r="M4204" s="54"/>
    </row>
    <row r="4205">
      <c r="A4205" s="23"/>
      <c r="B4205" s="52"/>
      <c r="C4205" s="53"/>
      <c r="D4205" s="23"/>
      <c r="E4205" s="53"/>
      <c r="F4205" s="54"/>
      <c r="G4205" s="54"/>
      <c r="H4205" s="54"/>
      <c r="I4205" s="53"/>
      <c r="J4205" s="53"/>
      <c r="K4205" s="23"/>
      <c r="L4205" s="53"/>
      <c r="M4205" s="54"/>
    </row>
    <row r="4206">
      <c r="A4206" s="23"/>
      <c r="B4206" s="52"/>
      <c r="C4206" s="53"/>
      <c r="D4206" s="23"/>
      <c r="E4206" s="53"/>
      <c r="F4206" s="54"/>
      <c r="G4206" s="54"/>
      <c r="H4206" s="54"/>
      <c r="I4206" s="53"/>
      <c r="J4206" s="53"/>
      <c r="K4206" s="23"/>
      <c r="L4206" s="53"/>
      <c r="M4206" s="54"/>
    </row>
    <row r="4207">
      <c r="A4207" s="23"/>
      <c r="B4207" s="52"/>
      <c r="C4207" s="53"/>
      <c r="D4207" s="23"/>
      <c r="E4207" s="53"/>
      <c r="F4207" s="54"/>
      <c r="G4207" s="23"/>
      <c r="H4207" s="54"/>
      <c r="I4207" s="53"/>
      <c r="J4207" s="53"/>
      <c r="K4207" s="23"/>
      <c r="L4207" s="23"/>
      <c r="M4207" s="54"/>
    </row>
    <row r="4208">
      <c r="A4208" s="23"/>
      <c r="B4208" s="52"/>
      <c r="C4208" s="53"/>
      <c r="D4208" s="23"/>
      <c r="E4208" s="53"/>
      <c r="F4208" s="54"/>
      <c r="G4208" s="54"/>
      <c r="H4208" s="54"/>
      <c r="I4208" s="53"/>
      <c r="J4208" s="53"/>
      <c r="K4208" s="23"/>
      <c r="L4208" s="53"/>
      <c r="M4208" s="54"/>
    </row>
    <row r="4209">
      <c r="A4209" s="23"/>
      <c r="B4209" s="52"/>
      <c r="C4209" s="53"/>
      <c r="D4209" s="23"/>
      <c r="E4209" s="53"/>
      <c r="F4209" s="54"/>
      <c r="G4209" s="54"/>
      <c r="H4209" s="54"/>
      <c r="I4209" s="53"/>
      <c r="J4209" s="53"/>
      <c r="K4209" s="23"/>
      <c r="L4209" s="53"/>
      <c r="M4209" s="54"/>
    </row>
    <row r="4210">
      <c r="A4210" s="23"/>
      <c r="B4210" s="52"/>
      <c r="C4210" s="53"/>
      <c r="D4210" s="23"/>
      <c r="E4210" s="53"/>
      <c r="F4210" s="54"/>
      <c r="G4210" s="54"/>
      <c r="H4210" s="54"/>
      <c r="I4210" s="53"/>
      <c r="J4210" s="53"/>
      <c r="K4210" s="23"/>
      <c r="L4210" s="53"/>
      <c r="M4210" s="54"/>
    </row>
    <row r="4211">
      <c r="A4211" s="23"/>
      <c r="B4211" s="52"/>
      <c r="C4211" s="53"/>
      <c r="D4211" s="23"/>
      <c r="E4211" s="53"/>
      <c r="F4211" s="54"/>
      <c r="G4211" s="23"/>
      <c r="H4211" s="54"/>
      <c r="I4211" s="53"/>
      <c r="J4211" s="23"/>
      <c r="K4211" s="23"/>
      <c r="L4211" s="53"/>
      <c r="M4211" s="54"/>
    </row>
    <row r="4212">
      <c r="A4212" s="23"/>
      <c r="B4212" s="52"/>
      <c r="C4212" s="53"/>
      <c r="D4212" s="23"/>
      <c r="E4212" s="53"/>
      <c r="F4212" s="54"/>
      <c r="G4212" s="23"/>
      <c r="H4212" s="54"/>
      <c r="I4212" s="53"/>
      <c r="J4212" s="23"/>
      <c r="K4212" s="23"/>
      <c r="L4212" s="53"/>
      <c r="M4212" s="54"/>
    </row>
    <row r="4213">
      <c r="A4213" s="23"/>
      <c r="B4213" s="52"/>
      <c r="C4213" s="53"/>
      <c r="D4213" s="23"/>
      <c r="E4213" s="53"/>
      <c r="F4213" s="54"/>
      <c r="G4213" s="54"/>
      <c r="H4213" s="54"/>
      <c r="I4213" s="53"/>
      <c r="J4213" s="53"/>
      <c r="K4213" s="23"/>
      <c r="L4213" s="53"/>
      <c r="M4213" s="54"/>
    </row>
    <row r="4214">
      <c r="A4214" s="23"/>
      <c r="B4214" s="52"/>
      <c r="C4214" s="53"/>
      <c r="D4214" s="23"/>
      <c r="E4214" s="53"/>
      <c r="F4214" s="54"/>
      <c r="G4214" s="23"/>
      <c r="H4214" s="54"/>
      <c r="I4214" s="53"/>
      <c r="J4214" s="53"/>
      <c r="K4214" s="23"/>
      <c r="L4214" s="53"/>
      <c r="M4214" s="54"/>
    </row>
    <row r="4215">
      <c r="A4215" s="23"/>
      <c r="B4215" s="52"/>
      <c r="C4215" s="53"/>
      <c r="D4215" s="23"/>
      <c r="E4215" s="53"/>
      <c r="F4215" s="54"/>
      <c r="G4215" s="54"/>
      <c r="H4215" s="54"/>
      <c r="I4215" s="53"/>
      <c r="J4215" s="53"/>
      <c r="K4215" s="23"/>
      <c r="L4215" s="53"/>
      <c r="M4215" s="54"/>
    </row>
    <row r="4216">
      <c r="A4216" s="23"/>
      <c r="B4216" s="52"/>
      <c r="C4216" s="53"/>
      <c r="D4216" s="23"/>
      <c r="E4216" s="53"/>
      <c r="F4216" s="54"/>
      <c r="G4216" s="54"/>
      <c r="H4216" s="54"/>
      <c r="I4216" s="53"/>
      <c r="J4216" s="53"/>
      <c r="K4216" s="23"/>
      <c r="L4216" s="53"/>
      <c r="M4216" s="54"/>
    </row>
    <row r="4217">
      <c r="A4217" s="23"/>
      <c r="B4217" s="52"/>
      <c r="C4217" s="53"/>
      <c r="D4217" s="23"/>
      <c r="E4217" s="53"/>
      <c r="F4217" s="54"/>
      <c r="G4217" s="54"/>
      <c r="H4217" s="54"/>
      <c r="I4217" s="53"/>
      <c r="J4217" s="53"/>
      <c r="K4217" s="23"/>
      <c r="L4217" s="53"/>
      <c r="M4217" s="54"/>
    </row>
    <row r="4218">
      <c r="A4218" s="23"/>
      <c r="B4218" s="52"/>
      <c r="C4218" s="53"/>
      <c r="D4218" s="23"/>
      <c r="E4218" s="53"/>
      <c r="F4218" s="54"/>
      <c r="G4218" s="23"/>
      <c r="H4218" s="54"/>
      <c r="I4218" s="53"/>
      <c r="J4218" s="53"/>
      <c r="K4218" s="23"/>
      <c r="L4218" s="53"/>
      <c r="M4218" s="54"/>
    </row>
    <row r="4219">
      <c r="A4219" s="23"/>
      <c r="B4219" s="52"/>
      <c r="C4219" s="53"/>
      <c r="D4219" s="23"/>
      <c r="E4219" s="53"/>
      <c r="F4219" s="54"/>
      <c r="G4219" s="23"/>
      <c r="H4219" s="54"/>
      <c r="I4219" s="53"/>
      <c r="J4219" s="53"/>
      <c r="K4219" s="23"/>
      <c r="L4219" s="53"/>
      <c r="M4219" s="54"/>
    </row>
    <row r="4220">
      <c r="A4220" s="23"/>
      <c r="B4220" s="52"/>
      <c r="C4220" s="53"/>
      <c r="D4220" s="23"/>
      <c r="E4220" s="53"/>
      <c r="F4220" s="54"/>
      <c r="G4220" s="54"/>
      <c r="H4220" s="54"/>
      <c r="I4220" s="53"/>
      <c r="J4220" s="53"/>
      <c r="K4220" s="23"/>
      <c r="L4220" s="53"/>
      <c r="M4220" s="54"/>
    </row>
    <row r="4221">
      <c r="A4221" s="23"/>
      <c r="B4221" s="52"/>
      <c r="C4221" s="53"/>
      <c r="D4221" s="23"/>
      <c r="E4221" s="53"/>
      <c r="F4221" s="54"/>
      <c r="G4221" s="54"/>
      <c r="H4221" s="54"/>
      <c r="I4221" s="53"/>
      <c r="J4221" s="53"/>
      <c r="K4221" s="23"/>
      <c r="L4221" s="53"/>
      <c r="M4221" s="54"/>
    </row>
    <row r="4222">
      <c r="A4222" s="23"/>
      <c r="B4222" s="52"/>
      <c r="C4222" s="53"/>
      <c r="D4222" s="23"/>
      <c r="E4222" s="53"/>
      <c r="F4222" s="54"/>
      <c r="G4222" s="54"/>
      <c r="H4222" s="54"/>
      <c r="I4222" s="53"/>
      <c r="J4222" s="53"/>
      <c r="K4222" s="23"/>
      <c r="L4222" s="53"/>
      <c r="M4222" s="54"/>
    </row>
    <row r="4223">
      <c r="A4223" s="23"/>
      <c r="B4223" s="52"/>
      <c r="C4223" s="53"/>
      <c r="D4223" s="23"/>
      <c r="E4223" s="53"/>
      <c r="F4223" s="54"/>
      <c r="G4223" s="54"/>
      <c r="H4223" s="54"/>
      <c r="I4223" s="53"/>
      <c r="J4223" s="53"/>
      <c r="K4223" s="23"/>
      <c r="L4223" s="53"/>
      <c r="M4223" s="54"/>
    </row>
    <row r="4224">
      <c r="A4224" s="23"/>
      <c r="B4224" s="52"/>
      <c r="C4224" s="53"/>
      <c r="D4224" s="23"/>
      <c r="E4224" s="53"/>
      <c r="F4224" s="54"/>
      <c r="G4224" s="23"/>
      <c r="H4224" s="54"/>
      <c r="I4224" s="53"/>
      <c r="J4224" s="53"/>
      <c r="K4224" s="23"/>
      <c r="L4224" s="53"/>
      <c r="M4224" s="54"/>
    </row>
    <row r="4225">
      <c r="A4225" s="23"/>
      <c r="B4225" s="52"/>
      <c r="C4225" s="53"/>
      <c r="D4225" s="23"/>
      <c r="E4225" s="53"/>
      <c r="F4225" s="54"/>
      <c r="G4225" s="23"/>
      <c r="H4225" s="54"/>
      <c r="I4225" s="53"/>
      <c r="J4225" s="23"/>
      <c r="K4225" s="23"/>
      <c r="L4225" s="53"/>
      <c r="M4225" s="54"/>
    </row>
    <row r="4226">
      <c r="A4226" s="23"/>
      <c r="B4226" s="52"/>
      <c r="C4226" s="53"/>
      <c r="D4226" s="23"/>
      <c r="E4226" s="53"/>
      <c r="F4226" s="54"/>
      <c r="G4226" s="54"/>
      <c r="H4226" s="54"/>
      <c r="I4226" s="53"/>
      <c r="J4226" s="53"/>
      <c r="K4226" s="23"/>
      <c r="L4226" s="53"/>
      <c r="M4226" s="54"/>
    </row>
    <row r="4227">
      <c r="A4227" s="23"/>
      <c r="B4227" s="52"/>
      <c r="C4227" s="53"/>
      <c r="D4227" s="23"/>
      <c r="E4227" s="53"/>
      <c r="F4227" s="54"/>
      <c r="G4227" s="54"/>
      <c r="H4227" s="54"/>
      <c r="I4227" s="53"/>
      <c r="J4227" s="53"/>
      <c r="K4227" s="23"/>
      <c r="L4227" s="53"/>
      <c r="M4227" s="54"/>
    </row>
    <row r="4228">
      <c r="A4228" s="23"/>
      <c r="B4228" s="52"/>
      <c r="C4228" s="53"/>
      <c r="D4228" s="23"/>
      <c r="E4228" s="53"/>
      <c r="F4228" s="54"/>
      <c r="G4228" s="54"/>
      <c r="H4228" s="54"/>
      <c r="I4228" s="53"/>
      <c r="J4228" s="53"/>
      <c r="K4228" s="23"/>
      <c r="L4228" s="53"/>
      <c r="M4228" s="54"/>
    </row>
    <row r="4229">
      <c r="A4229" s="23"/>
      <c r="B4229" s="52"/>
      <c r="C4229" s="53"/>
      <c r="D4229" s="23"/>
      <c r="E4229" s="53"/>
      <c r="F4229" s="54"/>
      <c r="G4229" s="54"/>
      <c r="H4229" s="54"/>
      <c r="I4229" s="53"/>
      <c r="J4229" s="53"/>
      <c r="K4229" s="23"/>
      <c r="L4229" s="53"/>
      <c r="M4229" s="54"/>
    </row>
    <row r="4230">
      <c r="A4230" s="23"/>
      <c r="B4230" s="52"/>
      <c r="C4230" s="53"/>
      <c r="D4230" s="23"/>
      <c r="E4230" s="53"/>
      <c r="F4230" s="54"/>
      <c r="G4230" s="23"/>
      <c r="H4230" s="54"/>
      <c r="I4230" s="53"/>
      <c r="J4230" s="23"/>
      <c r="K4230" s="23"/>
      <c r="L4230" s="53"/>
      <c r="M4230" s="54"/>
    </row>
    <row r="4231">
      <c r="A4231" s="23"/>
      <c r="B4231" s="52"/>
      <c r="C4231" s="53"/>
      <c r="D4231" s="23"/>
      <c r="E4231" s="53"/>
      <c r="F4231" s="54"/>
      <c r="G4231" s="23"/>
      <c r="H4231" s="54"/>
      <c r="I4231" s="53"/>
      <c r="J4231" s="53"/>
      <c r="K4231" s="23"/>
      <c r="L4231" s="53"/>
      <c r="M4231" s="54"/>
    </row>
    <row r="4232">
      <c r="A4232" s="23"/>
      <c r="B4232" s="52"/>
      <c r="C4232" s="53"/>
      <c r="D4232" s="23"/>
      <c r="E4232" s="53"/>
      <c r="F4232" s="54"/>
      <c r="G4232" s="23"/>
      <c r="H4232" s="54"/>
      <c r="I4232" s="53"/>
      <c r="J4232" s="53"/>
      <c r="K4232" s="23"/>
      <c r="L4232" s="53"/>
      <c r="M4232" s="54"/>
    </row>
    <row r="4233">
      <c r="A4233" s="23"/>
      <c r="B4233" s="52"/>
      <c r="C4233" s="53"/>
      <c r="D4233" s="23"/>
      <c r="E4233" s="53"/>
      <c r="F4233" s="54"/>
      <c r="G4233" s="54"/>
      <c r="H4233" s="54"/>
      <c r="I4233" s="53"/>
      <c r="J4233" s="53"/>
      <c r="K4233" s="23"/>
      <c r="L4233" s="53"/>
      <c r="M4233" s="54"/>
    </row>
    <row r="4234">
      <c r="A4234" s="23"/>
      <c r="B4234" s="52"/>
      <c r="C4234" s="53"/>
      <c r="D4234" s="23"/>
      <c r="E4234" s="53"/>
      <c r="F4234" s="54"/>
      <c r="G4234" s="54"/>
      <c r="H4234" s="54"/>
      <c r="I4234" s="53"/>
      <c r="J4234" s="53"/>
      <c r="K4234" s="23"/>
      <c r="L4234" s="53"/>
      <c r="M4234" s="54"/>
    </row>
    <row r="4235">
      <c r="A4235" s="23"/>
      <c r="B4235" s="52"/>
      <c r="C4235" s="53"/>
      <c r="D4235" s="23"/>
      <c r="E4235" s="53"/>
      <c r="F4235" s="54"/>
      <c r="G4235" s="54"/>
      <c r="H4235" s="54"/>
      <c r="I4235" s="53"/>
      <c r="J4235" s="53"/>
      <c r="K4235" s="23"/>
      <c r="L4235" s="53"/>
      <c r="M4235" s="54"/>
    </row>
    <row r="4236">
      <c r="A4236" s="23"/>
      <c r="B4236" s="52"/>
      <c r="C4236" s="53"/>
      <c r="D4236" s="23"/>
      <c r="E4236" s="53"/>
      <c r="F4236" s="54"/>
      <c r="G4236" s="54"/>
      <c r="H4236" s="54"/>
      <c r="I4236" s="53"/>
      <c r="J4236" s="53"/>
      <c r="K4236" s="23"/>
      <c r="L4236" s="53"/>
      <c r="M4236" s="54"/>
    </row>
    <row r="4237">
      <c r="A4237" s="23"/>
      <c r="B4237" s="52"/>
      <c r="C4237" s="53"/>
      <c r="D4237" s="23"/>
      <c r="E4237" s="53"/>
      <c r="F4237" s="54"/>
      <c r="G4237" s="54"/>
      <c r="H4237" s="54"/>
      <c r="I4237" s="53"/>
      <c r="J4237" s="53"/>
      <c r="K4237" s="23"/>
      <c r="L4237" s="53"/>
      <c r="M4237" s="54"/>
    </row>
    <row r="4238">
      <c r="A4238" s="23"/>
      <c r="B4238" s="52"/>
      <c r="C4238" s="53"/>
      <c r="D4238" s="23"/>
      <c r="E4238" s="53"/>
      <c r="F4238" s="54"/>
      <c r="G4238" s="23"/>
      <c r="H4238" s="54"/>
      <c r="I4238" s="53"/>
      <c r="J4238" s="53"/>
      <c r="K4238" s="23"/>
      <c r="L4238" s="53"/>
      <c r="M4238" s="54"/>
    </row>
    <row r="4239">
      <c r="A4239" s="23"/>
      <c r="B4239" s="52"/>
      <c r="C4239" s="53"/>
      <c r="D4239" s="23"/>
      <c r="E4239" s="53"/>
      <c r="F4239" s="54"/>
      <c r="G4239" s="54"/>
      <c r="H4239" s="54"/>
      <c r="I4239" s="53"/>
      <c r="J4239" s="53"/>
      <c r="K4239" s="23"/>
      <c r="L4239" s="53"/>
      <c r="M4239" s="54"/>
    </row>
    <row r="4240">
      <c r="A4240" s="23"/>
      <c r="B4240" s="52"/>
      <c r="C4240" s="53"/>
      <c r="D4240" s="23"/>
      <c r="E4240" s="53"/>
      <c r="F4240" s="54"/>
      <c r="G4240" s="54"/>
      <c r="H4240" s="54"/>
      <c r="I4240" s="53"/>
      <c r="J4240" s="53"/>
      <c r="K4240" s="23"/>
      <c r="L4240" s="53"/>
      <c r="M4240" s="54"/>
    </row>
    <row r="4241">
      <c r="A4241" s="23"/>
      <c r="B4241" s="52"/>
      <c r="C4241" s="53"/>
      <c r="D4241" s="23"/>
      <c r="E4241" s="53"/>
      <c r="F4241" s="54"/>
      <c r="G4241" s="23"/>
      <c r="H4241" s="54"/>
      <c r="I4241" s="53"/>
      <c r="J4241" s="53"/>
      <c r="K4241" s="23"/>
      <c r="L4241" s="53"/>
      <c r="M4241" s="54"/>
    </row>
    <row r="4242">
      <c r="A4242" s="23"/>
      <c r="B4242" s="52"/>
      <c r="C4242" s="53"/>
      <c r="D4242" s="23"/>
      <c r="E4242" s="53"/>
      <c r="F4242" s="54"/>
      <c r="G4242" s="54"/>
      <c r="H4242" s="54"/>
      <c r="I4242" s="53"/>
      <c r="J4242" s="53"/>
      <c r="K4242" s="23"/>
      <c r="L4242" s="53"/>
      <c r="M4242" s="54"/>
    </row>
    <row r="4243">
      <c r="A4243" s="23"/>
      <c r="B4243" s="52"/>
      <c r="C4243" s="53"/>
      <c r="D4243" s="23"/>
      <c r="E4243" s="53"/>
      <c r="F4243" s="54"/>
      <c r="G4243" s="54"/>
      <c r="H4243" s="54"/>
      <c r="I4243" s="53"/>
      <c r="J4243" s="53"/>
      <c r="K4243" s="23"/>
      <c r="L4243" s="53"/>
      <c r="M4243" s="54"/>
    </row>
    <row r="4244">
      <c r="A4244" s="23"/>
      <c r="B4244" s="52"/>
      <c r="C4244" s="53"/>
      <c r="D4244" s="23"/>
      <c r="E4244" s="53"/>
      <c r="F4244" s="54"/>
      <c r="G4244" s="54"/>
      <c r="H4244" s="54"/>
      <c r="I4244" s="53"/>
      <c r="J4244" s="53"/>
      <c r="K4244" s="23"/>
      <c r="L4244" s="53"/>
      <c r="M4244" s="54"/>
    </row>
    <row r="4245">
      <c r="A4245" s="23"/>
      <c r="B4245" s="52"/>
      <c r="C4245" s="53"/>
      <c r="D4245" s="23"/>
      <c r="E4245" s="53"/>
      <c r="F4245" s="54"/>
      <c r="G4245" s="54"/>
      <c r="H4245" s="54"/>
      <c r="I4245" s="53"/>
      <c r="J4245" s="53"/>
      <c r="K4245" s="23"/>
      <c r="L4245" s="53"/>
      <c r="M4245" s="54"/>
    </row>
    <row r="4246">
      <c r="A4246" s="23"/>
      <c r="B4246" s="52"/>
      <c r="C4246" s="53"/>
      <c r="D4246" s="23"/>
      <c r="E4246" s="53"/>
      <c r="F4246" s="54"/>
      <c r="G4246" s="23"/>
      <c r="H4246" s="54"/>
      <c r="I4246" s="53"/>
      <c r="J4246" s="53"/>
      <c r="K4246" s="23"/>
      <c r="L4246" s="53"/>
      <c r="M4246" s="54"/>
    </row>
    <row r="4247">
      <c r="A4247" s="23"/>
      <c r="B4247" s="52"/>
      <c r="C4247" s="53"/>
      <c r="D4247" s="23"/>
      <c r="E4247" s="53"/>
      <c r="F4247" s="54"/>
      <c r="G4247" s="23"/>
      <c r="H4247" s="54"/>
      <c r="I4247" s="53"/>
      <c r="J4247" s="23"/>
      <c r="K4247" s="53"/>
      <c r="L4247" s="53"/>
      <c r="M4247" s="54"/>
    </row>
    <row r="4248">
      <c r="A4248" s="23"/>
      <c r="B4248" s="52"/>
      <c r="C4248" s="53"/>
      <c r="D4248" s="23"/>
      <c r="E4248" s="53"/>
      <c r="F4248" s="54"/>
      <c r="G4248" s="54"/>
      <c r="H4248" s="54"/>
      <c r="I4248" s="53"/>
      <c r="J4248" s="53"/>
      <c r="K4248" s="23"/>
      <c r="L4248" s="53"/>
      <c r="M4248" s="54"/>
    </row>
    <row r="4249">
      <c r="A4249" s="23"/>
      <c r="B4249" s="52"/>
      <c r="C4249" s="53"/>
      <c r="D4249" s="23"/>
      <c r="E4249" s="53"/>
      <c r="F4249" s="54"/>
      <c r="G4249" s="54"/>
      <c r="H4249" s="54"/>
      <c r="I4249" s="53"/>
      <c r="J4249" s="53"/>
      <c r="K4249" s="23"/>
      <c r="L4249" s="53"/>
      <c r="M4249" s="54"/>
    </row>
    <row r="4250">
      <c r="A4250" s="23"/>
      <c r="B4250" s="52"/>
      <c r="C4250" s="53"/>
      <c r="D4250" s="23"/>
      <c r="E4250" s="53"/>
      <c r="F4250" s="54"/>
      <c r="G4250" s="54"/>
      <c r="H4250" s="54"/>
      <c r="I4250" s="53"/>
      <c r="J4250" s="53"/>
      <c r="K4250" s="23"/>
      <c r="L4250" s="53"/>
      <c r="M4250" s="54"/>
    </row>
    <row r="4251">
      <c r="A4251" s="23"/>
      <c r="B4251" s="52"/>
      <c r="C4251" s="53"/>
      <c r="D4251" s="23"/>
      <c r="E4251" s="53"/>
      <c r="F4251" s="54"/>
      <c r="G4251" s="54"/>
      <c r="H4251" s="54"/>
      <c r="I4251" s="53"/>
      <c r="J4251" s="53"/>
      <c r="K4251" s="23"/>
      <c r="L4251" s="53"/>
      <c r="M4251" s="54"/>
    </row>
    <row r="4252">
      <c r="A4252" s="23"/>
      <c r="B4252" s="52"/>
      <c r="C4252" s="53"/>
      <c r="D4252" s="23"/>
      <c r="E4252" s="53"/>
      <c r="F4252" s="54"/>
      <c r="G4252" s="54"/>
      <c r="H4252" s="54"/>
      <c r="I4252" s="53"/>
      <c r="J4252" s="53"/>
      <c r="K4252" s="23"/>
      <c r="L4252" s="53"/>
      <c r="M4252" s="54"/>
    </row>
    <row r="4253">
      <c r="A4253" s="23"/>
      <c r="B4253" s="52"/>
      <c r="C4253" s="53"/>
      <c r="D4253" s="23"/>
      <c r="E4253" s="53"/>
      <c r="F4253" s="54"/>
      <c r="G4253" s="23"/>
      <c r="H4253" s="54"/>
      <c r="I4253" s="53"/>
      <c r="J4253" s="23"/>
      <c r="K4253" s="23"/>
      <c r="L4253" s="53"/>
      <c r="M4253" s="54"/>
    </row>
    <row r="4254">
      <c r="A4254" s="23"/>
      <c r="B4254" s="52"/>
      <c r="C4254" s="53"/>
      <c r="D4254" s="23"/>
      <c r="E4254" s="53"/>
      <c r="F4254" s="54"/>
      <c r="G4254" s="23"/>
      <c r="H4254" s="54"/>
      <c r="I4254" s="53"/>
      <c r="J4254" s="53"/>
      <c r="K4254" s="23"/>
      <c r="L4254" s="53"/>
      <c r="M4254" s="54"/>
    </row>
    <row r="4255">
      <c r="A4255" s="23"/>
      <c r="B4255" s="52"/>
      <c r="C4255" s="53"/>
      <c r="D4255" s="23"/>
      <c r="E4255" s="53"/>
      <c r="F4255" s="54"/>
      <c r="G4255" s="54"/>
      <c r="H4255" s="54"/>
      <c r="I4255" s="53"/>
      <c r="J4255" s="53"/>
      <c r="K4255" s="23"/>
      <c r="L4255" s="53"/>
      <c r="M4255" s="54"/>
    </row>
    <row r="4256">
      <c r="A4256" s="23"/>
      <c r="B4256" s="52"/>
      <c r="C4256" s="53"/>
      <c r="D4256" s="23"/>
      <c r="E4256" s="53"/>
      <c r="F4256" s="54"/>
      <c r="G4256" s="54"/>
      <c r="H4256" s="54"/>
      <c r="I4256" s="53"/>
      <c r="J4256" s="53"/>
      <c r="K4256" s="23"/>
      <c r="L4256" s="53"/>
      <c r="M4256" s="54"/>
    </row>
    <row r="4257">
      <c r="A4257" s="23"/>
      <c r="B4257" s="52"/>
      <c r="C4257" s="53"/>
      <c r="D4257" s="23"/>
      <c r="E4257" s="53"/>
      <c r="F4257" s="54"/>
      <c r="G4257" s="54"/>
      <c r="H4257" s="54"/>
      <c r="I4257" s="53"/>
      <c r="J4257" s="53"/>
      <c r="K4257" s="23"/>
      <c r="L4257" s="53"/>
      <c r="M4257" s="54"/>
    </row>
    <row r="4258">
      <c r="A4258" s="23"/>
      <c r="B4258" s="52"/>
      <c r="C4258" s="53"/>
      <c r="D4258" s="23"/>
      <c r="E4258" s="53"/>
      <c r="F4258" s="54"/>
      <c r="G4258" s="54"/>
      <c r="H4258" s="54"/>
      <c r="I4258" s="53"/>
      <c r="J4258" s="53"/>
      <c r="K4258" s="23"/>
      <c r="L4258" s="53"/>
      <c r="M4258" s="54"/>
    </row>
    <row r="4259">
      <c r="A4259" s="23"/>
      <c r="B4259" s="52"/>
      <c r="C4259" s="53"/>
      <c r="D4259" s="23"/>
      <c r="E4259" s="53"/>
      <c r="F4259" s="54"/>
      <c r="G4259" s="23"/>
      <c r="H4259" s="54"/>
      <c r="I4259" s="53"/>
      <c r="J4259" s="23"/>
      <c r="K4259" s="23"/>
      <c r="L4259" s="53"/>
      <c r="M4259" s="54"/>
    </row>
    <row r="4260">
      <c r="A4260" s="23"/>
      <c r="B4260" s="52"/>
      <c r="C4260" s="53"/>
      <c r="D4260" s="23"/>
      <c r="E4260" s="53"/>
      <c r="F4260" s="54"/>
      <c r="G4260" s="54"/>
      <c r="H4260" s="54"/>
      <c r="I4260" s="53"/>
      <c r="J4260" s="53"/>
      <c r="K4260" s="23"/>
      <c r="L4260" s="53"/>
      <c r="M4260" s="54"/>
    </row>
    <row r="4261">
      <c r="A4261" s="23"/>
      <c r="B4261" s="52"/>
      <c r="C4261" s="53"/>
      <c r="D4261" s="23"/>
      <c r="E4261" s="53"/>
      <c r="F4261" s="54"/>
      <c r="G4261" s="54"/>
      <c r="H4261" s="54"/>
      <c r="I4261" s="53"/>
      <c r="J4261" s="53"/>
      <c r="K4261" s="23"/>
      <c r="L4261" s="53"/>
      <c r="M4261" s="54"/>
    </row>
    <row r="4262">
      <c r="A4262" s="23"/>
      <c r="B4262" s="52"/>
      <c r="C4262" s="53"/>
      <c r="D4262" s="23"/>
      <c r="E4262" s="53"/>
      <c r="F4262" s="54"/>
      <c r="G4262" s="54"/>
      <c r="H4262" s="54"/>
      <c r="I4262" s="53"/>
      <c r="J4262" s="53"/>
      <c r="K4262" s="23"/>
      <c r="L4262" s="53"/>
      <c r="M4262" s="54"/>
    </row>
    <row r="4263">
      <c r="A4263" s="23"/>
      <c r="B4263" s="52"/>
      <c r="C4263" s="53"/>
      <c r="D4263" s="23"/>
      <c r="E4263" s="53"/>
      <c r="F4263" s="54"/>
      <c r="G4263" s="54"/>
      <c r="H4263" s="54"/>
      <c r="I4263" s="53"/>
      <c r="J4263" s="53"/>
      <c r="K4263" s="23"/>
      <c r="L4263" s="53"/>
      <c r="M4263" s="54"/>
    </row>
    <row r="4264">
      <c r="A4264" s="23"/>
      <c r="B4264" s="52"/>
      <c r="C4264" s="53"/>
      <c r="D4264" s="23"/>
      <c r="E4264" s="53"/>
      <c r="F4264" s="54"/>
      <c r="G4264" s="54"/>
      <c r="H4264" s="54"/>
      <c r="I4264" s="53"/>
      <c r="J4264" s="53"/>
      <c r="K4264" s="23"/>
      <c r="L4264" s="53"/>
      <c r="M4264" s="54"/>
    </row>
    <row r="4265">
      <c r="A4265" s="23"/>
      <c r="B4265" s="52"/>
      <c r="C4265" s="53"/>
      <c r="D4265" s="23"/>
      <c r="E4265" s="53"/>
      <c r="F4265" s="54"/>
      <c r="G4265" s="54"/>
      <c r="H4265" s="54"/>
      <c r="I4265" s="53"/>
      <c r="J4265" s="53"/>
      <c r="K4265" s="23"/>
      <c r="L4265" s="53"/>
      <c r="M4265" s="54"/>
    </row>
    <row r="4266">
      <c r="A4266" s="23"/>
      <c r="B4266" s="52"/>
      <c r="C4266" s="53"/>
      <c r="D4266" s="23"/>
      <c r="E4266" s="53"/>
      <c r="F4266" s="54"/>
      <c r="G4266" s="23"/>
      <c r="H4266" s="54"/>
      <c r="I4266" s="53"/>
      <c r="J4266" s="23"/>
      <c r="K4266" s="23"/>
      <c r="L4266" s="53"/>
      <c r="M4266" s="54"/>
    </row>
    <row r="4267">
      <c r="A4267" s="23"/>
      <c r="B4267" s="52"/>
      <c r="C4267" s="53"/>
      <c r="D4267" s="23"/>
      <c r="E4267" s="53"/>
      <c r="F4267" s="54"/>
      <c r="G4267" s="54"/>
      <c r="H4267" s="54"/>
      <c r="I4267" s="53"/>
      <c r="J4267" s="53"/>
      <c r="K4267" s="23"/>
      <c r="L4267" s="53"/>
      <c r="M4267" s="54"/>
    </row>
    <row r="4268">
      <c r="A4268" s="23"/>
      <c r="B4268" s="52"/>
      <c r="C4268" s="53"/>
      <c r="D4268" s="23"/>
      <c r="E4268" s="53"/>
      <c r="F4268" s="54"/>
      <c r="G4268" s="54"/>
      <c r="H4268" s="54"/>
      <c r="I4268" s="53"/>
      <c r="J4268" s="53"/>
      <c r="K4268" s="23"/>
      <c r="L4268" s="53"/>
      <c r="M4268" s="54"/>
    </row>
    <row r="4269">
      <c r="A4269" s="23"/>
      <c r="B4269" s="52"/>
      <c r="C4269" s="53"/>
      <c r="D4269" s="23"/>
      <c r="E4269" s="53"/>
      <c r="F4269" s="54"/>
      <c r="G4269" s="23"/>
      <c r="H4269" s="54"/>
      <c r="I4269" s="53"/>
      <c r="J4269" s="23"/>
      <c r="K4269" s="23"/>
      <c r="L4269" s="53"/>
      <c r="M4269" s="54"/>
    </row>
    <row r="4270">
      <c r="A4270" s="23"/>
      <c r="B4270" s="52"/>
      <c r="C4270" s="53"/>
      <c r="D4270" s="23"/>
      <c r="E4270" s="53"/>
      <c r="F4270" s="54"/>
      <c r="G4270" s="54"/>
      <c r="H4270" s="54"/>
      <c r="I4270" s="53"/>
      <c r="J4270" s="53"/>
      <c r="K4270" s="23"/>
      <c r="L4270" s="53"/>
      <c r="M4270" s="54"/>
    </row>
    <row r="4271">
      <c r="A4271" s="23"/>
      <c r="B4271" s="52"/>
      <c r="C4271" s="53"/>
      <c r="D4271" s="23"/>
      <c r="E4271" s="53"/>
      <c r="F4271" s="54"/>
      <c r="G4271" s="23"/>
      <c r="H4271" s="54"/>
      <c r="I4271" s="53"/>
      <c r="J4271" s="53"/>
      <c r="K4271" s="23"/>
      <c r="L4271" s="53"/>
      <c r="M4271" s="54"/>
    </row>
    <row r="4272">
      <c r="A4272" s="23"/>
      <c r="B4272" s="52"/>
      <c r="C4272" s="53"/>
      <c r="D4272" s="23"/>
      <c r="E4272" s="53"/>
      <c r="F4272" s="54"/>
      <c r="G4272" s="54"/>
      <c r="H4272" s="54"/>
      <c r="I4272" s="53"/>
      <c r="J4272" s="53"/>
      <c r="K4272" s="23"/>
      <c r="L4272" s="53"/>
      <c r="M4272" s="54"/>
    </row>
    <row r="4273">
      <c r="A4273" s="23"/>
      <c r="B4273" s="52"/>
      <c r="C4273" s="53"/>
      <c r="D4273" s="23"/>
      <c r="E4273" s="53"/>
      <c r="F4273" s="54"/>
      <c r="G4273" s="23"/>
      <c r="H4273" s="54"/>
      <c r="I4273" s="53"/>
      <c r="J4273" s="23"/>
      <c r="K4273" s="23"/>
      <c r="L4273" s="53"/>
      <c r="M4273" s="54"/>
    </row>
    <row r="4274">
      <c r="A4274" s="23"/>
      <c r="B4274" s="52"/>
      <c r="C4274" s="53"/>
      <c r="D4274" s="23"/>
      <c r="E4274" s="53"/>
      <c r="F4274" s="54"/>
      <c r="G4274" s="23"/>
      <c r="H4274" s="54"/>
      <c r="I4274" s="53"/>
      <c r="J4274" s="53"/>
      <c r="K4274" s="23"/>
      <c r="L4274" s="53"/>
      <c r="M4274" s="54"/>
    </row>
    <row r="4275">
      <c r="A4275" s="23"/>
      <c r="B4275" s="52"/>
      <c r="C4275" s="53"/>
      <c r="D4275" s="23"/>
      <c r="E4275" s="53"/>
      <c r="F4275" s="54"/>
      <c r="G4275" s="23"/>
      <c r="H4275" s="54"/>
      <c r="I4275" s="53"/>
      <c r="J4275" s="53"/>
      <c r="K4275" s="23"/>
      <c r="L4275" s="23"/>
      <c r="M4275" s="54"/>
    </row>
    <row r="4276">
      <c r="A4276" s="23"/>
      <c r="B4276" s="52"/>
      <c r="C4276" s="53"/>
      <c r="D4276" s="23"/>
      <c r="E4276" s="53"/>
      <c r="F4276" s="54"/>
      <c r="G4276" s="23"/>
      <c r="H4276" s="54"/>
      <c r="I4276" s="53"/>
      <c r="J4276" s="23"/>
      <c r="K4276" s="23"/>
      <c r="L4276" s="53"/>
      <c r="M4276" s="54"/>
    </row>
    <row r="4277">
      <c r="A4277" s="23"/>
      <c r="B4277" s="52"/>
      <c r="C4277" s="53"/>
      <c r="D4277" s="23"/>
      <c r="E4277" s="53"/>
      <c r="F4277" s="54"/>
      <c r="G4277" s="54"/>
      <c r="H4277" s="54"/>
      <c r="I4277" s="53"/>
      <c r="J4277" s="53"/>
      <c r="K4277" s="23"/>
      <c r="L4277" s="53"/>
      <c r="M4277" s="54"/>
    </row>
    <row r="4278">
      <c r="A4278" s="23"/>
      <c r="B4278" s="52"/>
      <c r="C4278" s="53"/>
      <c r="D4278" s="23"/>
      <c r="E4278" s="53"/>
      <c r="F4278" s="54"/>
      <c r="G4278" s="23"/>
      <c r="H4278" s="54"/>
      <c r="I4278" s="53"/>
      <c r="J4278" s="53"/>
      <c r="K4278" s="23"/>
      <c r="L4278" s="53"/>
      <c r="M4278" s="54"/>
    </row>
    <row r="4279">
      <c r="A4279" s="23"/>
      <c r="B4279" s="52"/>
      <c r="C4279" s="53"/>
      <c r="D4279" s="23"/>
      <c r="E4279" s="53"/>
      <c r="F4279" s="54"/>
      <c r="G4279" s="23"/>
      <c r="H4279" s="54"/>
      <c r="I4279" s="53"/>
      <c r="J4279" s="53"/>
      <c r="K4279" s="23"/>
      <c r="L4279" s="53"/>
      <c r="M4279" s="54"/>
    </row>
    <row r="4280">
      <c r="A4280" s="23"/>
      <c r="B4280" s="52"/>
      <c r="C4280" s="53"/>
      <c r="D4280" s="23"/>
      <c r="E4280" s="53"/>
      <c r="F4280" s="54"/>
      <c r="G4280" s="23"/>
      <c r="H4280" s="54"/>
      <c r="I4280" s="53"/>
      <c r="J4280" s="23"/>
      <c r="K4280" s="23"/>
      <c r="L4280" s="53"/>
      <c r="M4280" s="54"/>
    </row>
    <row r="4281">
      <c r="A4281" s="23"/>
      <c r="B4281" s="52"/>
      <c r="C4281" s="53"/>
      <c r="D4281" s="23"/>
      <c r="E4281" s="53"/>
      <c r="F4281" s="54"/>
      <c r="G4281" s="23"/>
      <c r="H4281" s="54"/>
      <c r="I4281" s="53"/>
      <c r="J4281" s="53"/>
      <c r="K4281" s="23"/>
      <c r="L4281" s="53"/>
      <c r="M4281" s="54"/>
    </row>
    <row r="4282">
      <c r="A4282" s="23"/>
      <c r="B4282" s="52"/>
      <c r="C4282" s="53"/>
      <c r="D4282" s="23"/>
      <c r="E4282" s="53"/>
      <c r="F4282" s="54"/>
      <c r="G4282" s="23"/>
      <c r="H4282" s="54"/>
      <c r="I4282" s="53"/>
      <c r="J4282" s="23"/>
      <c r="K4282" s="23"/>
      <c r="L4282" s="53"/>
      <c r="M4282" s="54"/>
    </row>
    <row r="4283">
      <c r="A4283" s="23"/>
      <c r="B4283" s="52"/>
      <c r="C4283" s="53"/>
      <c r="D4283" s="23"/>
      <c r="E4283" s="53"/>
      <c r="F4283" s="54"/>
      <c r="G4283" s="54"/>
      <c r="H4283" s="54"/>
      <c r="I4283" s="53"/>
      <c r="J4283" s="53"/>
      <c r="K4283" s="23"/>
      <c r="L4283" s="53"/>
      <c r="M4283" s="54"/>
    </row>
    <row r="4284">
      <c r="A4284" s="23"/>
      <c r="B4284" s="52"/>
      <c r="C4284" s="53"/>
      <c r="D4284" s="23"/>
      <c r="E4284" s="53"/>
      <c r="F4284" s="54"/>
      <c r="G4284" s="23"/>
      <c r="H4284" s="54"/>
      <c r="I4284" s="53"/>
      <c r="J4284" s="53"/>
      <c r="K4284" s="23"/>
      <c r="L4284" s="53"/>
      <c r="M4284" s="54"/>
    </row>
    <row r="4285">
      <c r="A4285" s="23"/>
      <c r="B4285" s="52"/>
      <c r="C4285" s="53"/>
      <c r="D4285" s="23"/>
      <c r="E4285" s="53"/>
      <c r="F4285" s="54"/>
      <c r="G4285" s="23"/>
      <c r="H4285" s="54"/>
      <c r="I4285" s="53"/>
      <c r="J4285" s="53"/>
      <c r="K4285" s="23"/>
      <c r="L4285" s="53"/>
      <c r="M4285" s="54"/>
    </row>
    <row r="4286">
      <c r="A4286" s="23"/>
      <c r="B4286" s="52"/>
      <c r="C4286" s="53"/>
      <c r="D4286" s="23"/>
      <c r="E4286" s="53"/>
      <c r="F4286" s="54"/>
      <c r="G4286" s="23"/>
      <c r="H4286" s="54"/>
      <c r="I4286" s="53"/>
      <c r="J4286" s="53"/>
      <c r="K4286" s="23"/>
      <c r="L4286" s="53"/>
      <c r="M4286" s="54"/>
    </row>
    <row r="4287">
      <c r="A4287" s="23"/>
      <c r="B4287" s="52"/>
      <c r="C4287" s="53"/>
      <c r="D4287" s="23"/>
      <c r="E4287" s="53"/>
      <c r="F4287" s="54"/>
      <c r="G4287" s="23"/>
      <c r="H4287" s="54"/>
      <c r="I4287" s="53"/>
      <c r="J4287" s="53"/>
      <c r="K4287" s="23"/>
      <c r="L4287" s="53"/>
      <c r="M4287" s="54"/>
    </row>
    <row r="4288">
      <c r="A4288" s="23"/>
      <c r="B4288" s="52"/>
      <c r="C4288" s="53"/>
      <c r="D4288" s="23"/>
      <c r="E4288" s="53"/>
      <c r="F4288" s="54"/>
      <c r="G4288" s="23"/>
      <c r="H4288" s="54"/>
      <c r="I4288" s="53"/>
      <c r="J4288" s="23"/>
      <c r="K4288" s="23"/>
      <c r="L4288" s="23"/>
      <c r="M4288" s="54"/>
    </row>
    <row r="4289">
      <c r="A4289" s="23"/>
      <c r="B4289" s="52"/>
      <c r="C4289" s="53"/>
      <c r="D4289" s="23"/>
      <c r="E4289" s="53"/>
      <c r="F4289" s="54"/>
      <c r="G4289" s="54"/>
      <c r="H4289" s="54"/>
      <c r="I4289" s="53"/>
      <c r="J4289" s="53"/>
      <c r="K4289" s="23"/>
      <c r="L4289" s="53"/>
      <c r="M4289" s="54"/>
    </row>
    <row r="4290">
      <c r="A4290" s="23"/>
      <c r="B4290" s="52"/>
      <c r="C4290" s="53"/>
      <c r="D4290" s="23"/>
      <c r="E4290" s="53"/>
      <c r="F4290" s="54"/>
      <c r="G4290" s="54"/>
      <c r="H4290" s="54"/>
      <c r="I4290" s="53"/>
      <c r="J4290" s="53"/>
      <c r="K4290" s="23"/>
      <c r="L4290" s="53"/>
      <c r="M4290" s="54"/>
    </row>
    <row r="4291">
      <c r="A4291" s="23"/>
      <c r="B4291" s="52"/>
      <c r="C4291" s="53"/>
      <c r="D4291" s="23"/>
      <c r="E4291" s="53"/>
      <c r="F4291" s="54"/>
      <c r="G4291" s="23"/>
      <c r="H4291" s="54"/>
      <c r="I4291" s="53"/>
      <c r="J4291" s="23"/>
      <c r="K4291" s="23"/>
      <c r="L4291" s="53"/>
      <c r="M4291" s="54"/>
    </row>
    <row r="4292">
      <c r="A4292" s="23"/>
      <c r="B4292" s="52"/>
      <c r="C4292" s="53"/>
      <c r="D4292" s="23"/>
      <c r="E4292" s="53"/>
      <c r="F4292" s="54"/>
      <c r="G4292" s="23"/>
      <c r="H4292" s="54"/>
      <c r="I4292" s="53"/>
      <c r="J4292" s="53"/>
      <c r="K4292" s="23"/>
      <c r="L4292" s="53"/>
      <c r="M4292" s="54"/>
    </row>
    <row r="4293">
      <c r="A4293" s="23"/>
      <c r="B4293" s="52"/>
      <c r="C4293" s="53"/>
      <c r="D4293" s="23"/>
      <c r="E4293" s="53"/>
      <c r="F4293" s="54"/>
      <c r="G4293" s="23"/>
      <c r="H4293" s="54"/>
      <c r="I4293" s="53"/>
      <c r="J4293" s="53"/>
      <c r="K4293" s="23"/>
      <c r="L4293" s="53"/>
      <c r="M4293" s="54"/>
    </row>
    <row r="4294">
      <c r="A4294" s="23"/>
      <c r="B4294" s="52"/>
      <c r="C4294" s="53"/>
      <c r="D4294" s="23"/>
      <c r="E4294" s="53"/>
      <c r="F4294" s="54"/>
      <c r="G4294" s="54"/>
      <c r="H4294" s="54"/>
      <c r="I4294" s="53"/>
      <c r="J4294" s="53"/>
      <c r="K4294" s="23"/>
      <c r="L4294" s="53"/>
      <c r="M4294" s="54"/>
    </row>
    <row r="4295">
      <c r="A4295" s="23"/>
      <c r="B4295" s="52"/>
      <c r="C4295" s="53"/>
      <c r="D4295" s="23"/>
      <c r="E4295" s="53"/>
      <c r="F4295" s="54"/>
      <c r="G4295" s="54"/>
      <c r="H4295" s="54"/>
      <c r="I4295" s="53"/>
      <c r="J4295" s="53"/>
      <c r="K4295" s="23"/>
      <c r="L4295" s="53"/>
      <c r="M4295" s="54"/>
    </row>
    <row r="4296">
      <c r="A4296" s="23"/>
      <c r="B4296" s="52"/>
      <c r="C4296" s="53"/>
      <c r="D4296" s="23"/>
      <c r="E4296" s="53"/>
      <c r="F4296" s="54"/>
      <c r="G4296" s="23"/>
      <c r="H4296" s="54"/>
      <c r="I4296" s="53"/>
      <c r="J4296" s="53"/>
      <c r="K4296" s="23"/>
      <c r="L4296" s="53"/>
      <c r="M4296" s="54"/>
    </row>
    <row r="4297">
      <c r="A4297" s="23"/>
      <c r="B4297" s="52"/>
      <c r="C4297" s="53"/>
      <c r="D4297" s="23"/>
      <c r="E4297" s="53"/>
      <c r="F4297" s="54"/>
      <c r="G4297" s="23"/>
      <c r="H4297" s="54"/>
      <c r="I4297" s="53"/>
      <c r="J4297" s="23"/>
      <c r="K4297" s="23"/>
      <c r="L4297" s="53"/>
      <c r="M4297" s="54"/>
    </row>
    <row r="4298">
      <c r="A4298" s="23"/>
      <c r="B4298" s="52"/>
      <c r="C4298" s="53"/>
      <c r="D4298" s="23"/>
      <c r="E4298" s="53"/>
      <c r="F4298" s="54"/>
      <c r="G4298" s="54"/>
      <c r="H4298" s="54"/>
      <c r="I4298" s="53"/>
      <c r="J4298" s="53"/>
      <c r="K4298" s="23"/>
      <c r="L4298" s="53"/>
      <c r="M4298" s="54"/>
    </row>
    <row r="4299">
      <c r="A4299" s="23"/>
      <c r="B4299" s="52"/>
      <c r="C4299" s="53"/>
      <c r="D4299" s="23"/>
      <c r="E4299" s="53"/>
      <c r="F4299" s="54"/>
      <c r="G4299" s="23"/>
      <c r="H4299" s="54"/>
      <c r="I4299" s="53"/>
      <c r="J4299" s="23"/>
      <c r="K4299" s="23"/>
      <c r="L4299" s="53"/>
      <c r="M4299" s="54"/>
    </row>
    <row r="4300">
      <c r="A4300" s="23"/>
      <c r="B4300" s="52"/>
      <c r="C4300" s="53"/>
      <c r="D4300" s="23"/>
      <c r="E4300" s="53"/>
      <c r="F4300" s="54"/>
      <c r="G4300" s="23"/>
      <c r="H4300" s="54"/>
      <c r="I4300" s="53"/>
      <c r="J4300" s="53"/>
      <c r="K4300" s="23"/>
      <c r="L4300" s="53"/>
      <c r="M4300" s="54"/>
    </row>
    <row r="4301">
      <c r="A4301" s="23"/>
      <c r="B4301" s="52"/>
      <c r="C4301" s="53"/>
      <c r="D4301" s="23"/>
      <c r="E4301" s="53"/>
      <c r="F4301" s="54"/>
      <c r="G4301" s="23"/>
      <c r="H4301" s="54"/>
      <c r="I4301" s="53"/>
      <c r="J4301" s="53"/>
      <c r="K4301" s="23"/>
      <c r="L4301" s="53"/>
      <c r="M4301" s="54"/>
    </row>
    <row r="4302">
      <c r="A4302" s="23"/>
      <c r="B4302" s="52"/>
      <c r="C4302" s="53"/>
      <c r="D4302" s="23"/>
      <c r="E4302" s="53"/>
      <c r="F4302" s="54"/>
      <c r="G4302" s="23"/>
      <c r="H4302" s="54"/>
      <c r="I4302" s="53"/>
      <c r="J4302" s="53"/>
      <c r="K4302" s="23"/>
      <c r="L4302" s="53"/>
      <c r="M4302" s="54"/>
    </row>
    <row r="4303">
      <c r="A4303" s="23"/>
      <c r="B4303" s="52"/>
      <c r="C4303" s="53"/>
      <c r="D4303" s="23"/>
      <c r="E4303" s="53"/>
      <c r="F4303" s="54"/>
      <c r="G4303" s="54"/>
      <c r="H4303" s="54"/>
      <c r="I4303" s="53"/>
      <c r="J4303" s="53"/>
      <c r="K4303" s="23"/>
      <c r="L4303" s="53"/>
      <c r="M4303" s="54"/>
    </row>
    <row r="4304">
      <c r="A4304" s="23"/>
      <c r="B4304" s="52"/>
      <c r="C4304" s="53"/>
      <c r="D4304" s="23"/>
      <c r="E4304" s="53"/>
      <c r="F4304" s="54"/>
      <c r="G4304" s="54"/>
      <c r="H4304" s="54"/>
      <c r="I4304" s="53"/>
      <c r="J4304" s="53"/>
      <c r="K4304" s="23"/>
      <c r="L4304" s="53"/>
      <c r="M4304" s="54"/>
    </row>
    <row r="4305">
      <c r="A4305" s="23"/>
      <c r="B4305" s="52"/>
      <c r="C4305" s="53"/>
      <c r="D4305" s="23"/>
      <c r="E4305" s="53"/>
      <c r="F4305" s="54"/>
      <c r="G4305" s="23"/>
      <c r="H4305" s="54"/>
      <c r="I4305" s="53"/>
      <c r="J4305" s="23"/>
      <c r="K4305" s="23"/>
      <c r="L4305" s="53"/>
      <c r="M4305" s="54"/>
    </row>
    <row r="4306">
      <c r="A4306" s="23"/>
      <c r="B4306" s="52"/>
      <c r="C4306" s="53"/>
      <c r="D4306" s="23"/>
      <c r="E4306" s="53"/>
      <c r="F4306" s="54"/>
      <c r="G4306" s="54"/>
      <c r="H4306" s="54"/>
      <c r="I4306" s="53"/>
      <c r="J4306" s="53"/>
      <c r="K4306" s="23"/>
      <c r="L4306" s="53"/>
      <c r="M4306" s="54"/>
    </row>
    <row r="4307">
      <c r="A4307" s="23"/>
      <c r="B4307" s="52"/>
      <c r="C4307" s="53"/>
      <c r="D4307" s="23"/>
      <c r="E4307" s="53"/>
      <c r="F4307" s="54"/>
      <c r="G4307" s="23"/>
      <c r="H4307" s="54"/>
      <c r="I4307" s="53"/>
      <c r="J4307" s="53"/>
      <c r="K4307" s="23"/>
      <c r="L4307" s="53"/>
      <c r="M4307" s="54"/>
    </row>
    <row r="4308">
      <c r="A4308" s="23"/>
      <c r="B4308" s="52"/>
      <c r="C4308" s="53"/>
      <c r="D4308" s="23"/>
      <c r="E4308" s="53"/>
      <c r="F4308" s="54"/>
      <c r="G4308" s="23"/>
      <c r="H4308" s="54"/>
      <c r="I4308" s="53"/>
      <c r="J4308" s="53"/>
      <c r="K4308" s="23"/>
      <c r="L4308" s="53"/>
      <c r="M4308" s="54"/>
    </row>
    <row r="4309">
      <c r="A4309" s="23"/>
      <c r="B4309" s="52"/>
      <c r="C4309" s="53"/>
      <c r="D4309" s="23"/>
      <c r="E4309" s="53"/>
      <c r="F4309" s="54"/>
      <c r="G4309" s="54"/>
      <c r="H4309" s="54"/>
      <c r="I4309" s="53"/>
      <c r="J4309" s="53"/>
      <c r="K4309" s="23"/>
      <c r="L4309" s="53"/>
      <c r="M4309" s="54"/>
    </row>
    <row r="4310">
      <c r="A4310" s="23"/>
      <c r="B4310" s="52"/>
      <c r="C4310" s="53"/>
      <c r="D4310" s="23"/>
      <c r="E4310" s="53"/>
      <c r="F4310" s="54"/>
      <c r="G4310" s="54"/>
      <c r="H4310" s="54"/>
      <c r="I4310" s="53"/>
      <c r="J4310" s="53"/>
      <c r="K4310" s="23"/>
      <c r="L4310" s="53"/>
      <c r="M4310" s="54"/>
    </row>
    <row r="4311">
      <c r="A4311" s="23"/>
      <c r="B4311" s="52"/>
      <c r="C4311" s="53"/>
      <c r="D4311" s="23"/>
      <c r="E4311" s="53"/>
      <c r="F4311" s="54"/>
      <c r="G4311" s="54"/>
      <c r="H4311" s="54"/>
      <c r="I4311" s="53"/>
      <c r="J4311" s="53"/>
      <c r="K4311" s="23"/>
      <c r="L4311" s="53"/>
      <c r="M4311" s="54"/>
    </row>
    <row r="4312">
      <c r="A4312" s="23"/>
      <c r="B4312" s="52"/>
      <c r="C4312" s="53"/>
      <c r="D4312" s="23"/>
      <c r="E4312" s="53"/>
      <c r="F4312" s="54"/>
      <c r="G4312" s="23"/>
      <c r="H4312" s="54"/>
      <c r="I4312" s="53"/>
      <c r="J4312" s="53"/>
      <c r="K4312" s="23"/>
      <c r="L4312" s="53"/>
      <c r="M4312" s="54"/>
    </row>
    <row r="4313">
      <c r="A4313" s="23"/>
      <c r="B4313" s="52"/>
      <c r="C4313" s="53"/>
      <c r="D4313" s="23"/>
      <c r="E4313" s="53"/>
      <c r="F4313" s="54"/>
      <c r="G4313" s="23"/>
      <c r="H4313" s="54"/>
      <c r="I4313" s="53"/>
      <c r="J4313" s="23"/>
      <c r="K4313" s="23"/>
      <c r="L4313" s="53"/>
      <c r="M4313" s="54"/>
    </row>
    <row r="4314">
      <c r="A4314" s="23"/>
      <c r="B4314" s="52"/>
      <c r="C4314" s="53"/>
      <c r="D4314" s="23"/>
      <c r="E4314" s="53"/>
      <c r="F4314" s="54"/>
      <c r="G4314" s="54"/>
      <c r="H4314" s="54"/>
      <c r="I4314" s="53"/>
      <c r="J4314" s="53"/>
      <c r="K4314" s="23"/>
      <c r="L4314" s="53"/>
      <c r="M4314" s="54"/>
    </row>
    <row r="4315">
      <c r="A4315" s="23"/>
      <c r="B4315" s="52"/>
      <c r="C4315" s="53"/>
      <c r="D4315" s="23"/>
      <c r="E4315" s="53"/>
      <c r="F4315" s="54"/>
      <c r="G4315" s="23"/>
      <c r="H4315" s="54"/>
      <c r="I4315" s="53"/>
      <c r="J4315" s="53"/>
      <c r="K4315" s="23"/>
      <c r="L4315" s="53"/>
      <c r="M4315" s="54"/>
    </row>
    <row r="4316">
      <c r="A4316" s="23"/>
      <c r="B4316" s="52"/>
      <c r="C4316" s="53"/>
      <c r="D4316" s="23"/>
      <c r="E4316" s="53"/>
      <c r="F4316" s="54"/>
      <c r="G4316" s="23"/>
      <c r="H4316" s="54"/>
      <c r="I4316" s="53"/>
      <c r="J4316" s="53"/>
      <c r="K4316" s="23"/>
      <c r="L4316" s="53"/>
      <c r="M4316" s="54"/>
    </row>
    <row r="4317">
      <c r="A4317" s="23"/>
      <c r="B4317" s="52"/>
      <c r="C4317" s="53"/>
      <c r="D4317" s="23"/>
      <c r="E4317" s="53"/>
      <c r="F4317" s="54"/>
      <c r="G4317" s="23"/>
      <c r="H4317" s="54"/>
      <c r="I4317" s="53"/>
      <c r="J4317" s="53"/>
      <c r="K4317" s="23"/>
      <c r="L4317" s="23"/>
      <c r="M4317" s="54"/>
    </row>
    <row r="4318">
      <c r="A4318" s="23"/>
      <c r="B4318" s="52"/>
      <c r="C4318" s="53"/>
      <c r="D4318" s="23"/>
      <c r="E4318" s="53"/>
      <c r="F4318" s="54"/>
      <c r="G4318" s="23"/>
      <c r="H4318" s="54"/>
      <c r="I4318" s="53"/>
      <c r="J4318" s="53"/>
      <c r="K4318" s="23"/>
      <c r="L4318" s="53"/>
      <c r="M4318" s="54"/>
    </row>
    <row r="4319">
      <c r="A4319" s="23"/>
      <c r="B4319" s="52"/>
      <c r="C4319" s="53"/>
      <c r="D4319" s="23"/>
      <c r="E4319" s="53"/>
      <c r="F4319" s="54"/>
      <c r="G4319" s="54"/>
      <c r="H4319" s="54"/>
      <c r="I4319" s="53"/>
      <c r="J4319" s="53"/>
      <c r="K4319" s="23"/>
      <c r="L4319" s="53"/>
      <c r="M4319" s="54"/>
    </row>
    <row r="4320">
      <c r="A4320" s="23"/>
      <c r="B4320" s="52"/>
      <c r="C4320" s="53"/>
      <c r="D4320" s="23"/>
      <c r="E4320" s="53"/>
      <c r="F4320" s="54"/>
      <c r="G4320" s="54"/>
      <c r="H4320" s="54"/>
      <c r="I4320" s="53"/>
      <c r="J4320" s="53"/>
      <c r="K4320" s="23"/>
      <c r="L4320" s="53"/>
      <c r="M4320" s="54"/>
    </row>
    <row r="4321">
      <c r="A4321" s="23"/>
      <c r="B4321" s="52"/>
      <c r="C4321" s="53"/>
      <c r="D4321" s="23"/>
      <c r="E4321" s="53"/>
      <c r="F4321" s="54"/>
      <c r="G4321" s="54"/>
      <c r="H4321" s="54"/>
      <c r="I4321" s="53"/>
      <c r="J4321" s="53"/>
      <c r="K4321" s="23"/>
      <c r="L4321" s="53"/>
      <c r="M4321" s="54"/>
    </row>
    <row r="4322">
      <c r="A4322" s="23"/>
      <c r="B4322" s="52"/>
      <c r="C4322" s="53"/>
      <c r="D4322" s="23"/>
      <c r="E4322" s="53"/>
      <c r="F4322" s="54"/>
      <c r="G4322" s="23"/>
      <c r="H4322" s="54"/>
      <c r="I4322" s="53"/>
      <c r="J4322" s="23"/>
      <c r="K4322" s="53"/>
      <c r="L4322" s="53"/>
      <c r="M4322" s="54"/>
    </row>
    <row r="4323">
      <c r="A4323" s="23"/>
      <c r="B4323" s="52"/>
      <c r="C4323" s="53"/>
      <c r="D4323" s="23"/>
      <c r="E4323" s="53"/>
      <c r="F4323" s="54"/>
      <c r="G4323" s="54"/>
      <c r="H4323" s="54"/>
      <c r="I4323" s="53"/>
      <c r="J4323" s="53"/>
      <c r="K4323" s="23"/>
      <c r="L4323" s="53"/>
      <c r="M4323" s="54"/>
    </row>
    <row r="4324">
      <c r="A4324" s="23"/>
      <c r="B4324" s="52"/>
      <c r="C4324" s="53"/>
      <c r="D4324" s="23"/>
      <c r="E4324" s="53"/>
      <c r="F4324" s="54"/>
      <c r="G4324" s="54"/>
      <c r="H4324" s="54"/>
      <c r="I4324" s="53"/>
      <c r="J4324" s="53"/>
      <c r="K4324" s="23"/>
      <c r="L4324" s="53"/>
      <c r="M4324" s="54"/>
    </row>
    <row r="4325">
      <c r="A4325" s="23"/>
      <c r="B4325" s="52"/>
      <c r="C4325" s="53"/>
      <c r="D4325" s="23"/>
      <c r="E4325" s="53"/>
      <c r="F4325" s="54"/>
      <c r="G4325" s="23"/>
      <c r="H4325" s="54"/>
      <c r="I4325" s="53"/>
      <c r="J4325" s="23"/>
      <c r="K4325" s="23"/>
      <c r="L4325" s="53"/>
      <c r="M4325" s="54"/>
    </row>
    <row r="4326">
      <c r="A4326" s="23"/>
      <c r="B4326" s="52"/>
      <c r="C4326" s="53"/>
      <c r="D4326" s="23"/>
      <c r="E4326" s="53"/>
      <c r="F4326" s="54"/>
      <c r="G4326" s="23"/>
      <c r="H4326" s="54"/>
      <c r="I4326" s="53"/>
      <c r="J4326" s="23"/>
      <c r="K4326" s="23"/>
      <c r="L4326" s="53"/>
      <c r="M4326" s="54"/>
    </row>
    <row r="4327">
      <c r="A4327" s="23"/>
      <c r="B4327" s="52"/>
      <c r="C4327" s="53"/>
      <c r="D4327" s="23"/>
      <c r="E4327" s="53"/>
      <c r="F4327" s="54"/>
      <c r="G4327" s="54"/>
      <c r="H4327" s="54"/>
      <c r="I4327" s="53"/>
      <c r="J4327" s="53"/>
      <c r="K4327" s="23"/>
      <c r="L4327" s="53"/>
      <c r="M4327" s="54"/>
    </row>
    <row r="4328">
      <c r="A4328" s="23"/>
      <c r="B4328" s="52"/>
      <c r="C4328" s="53"/>
      <c r="D4328" s="23"/>
      <c r="E4328" s="53"/>
      <c r="F4328" s="54"/>
      <c r="G4328" s="54"/>
      <c r="H4328" s="54"/>
      <c r="I4328" s="53"/>
      <c r="J4328" s="53"/>
      <c r="K4328" s="23"/>
      <c r="L4328" s="53"/>
      <c r="M4328" s="54"/>
    </row>
    <row r="4329">
      <c r="A4329" s="23"/>
      <c r="B4329" s="52"/>
      <c r="C4329" s="53"/>
      <c r="D4329" s="23"/>
      <c r="E4329" s="53"/>
      <c r="F4329" s="54"/>
      <c r="G4329" s="54"/>
      <c r="H4329" s="54"/>
      <c r="I4329" s="53"/>
      <c r="J4329" s="53"/>
      <c r="K4329" s="23"/>
      <c r="L4329" s="53"/>
      <c r="M4329" s="54"/>
    </row>
    <row r="4330">
      <c r="A4330" s="23"/>
      <c r="B4330" s="52"/>
      <c r="C4330" s="53"/>
      <c r="D4330" s="23"/>
      <c r="E4330" s="53"/>
      <c r="F4330" s="54"/>
      <c r="G4330" s="23"/>
      <c r="H4330" s="54"/>
      <c r="I4330" s="53"/>
      <c r="J4330" s="53"/>
      <c r="K4330" s="23"/>
      <c r="L4330" s="53"/>
      <c r="M4330" s="54"/>
    </row>
    <row r="4331">
      <c r="A4331" s="23"/>
      <c r="B4331" s="52"/>
      <c r="C4331" s="53"/>
      <c r="D4331" s="23"/>
      <c r="E4331" s="53"/>
      <c r="F4331" s="54"/>
      <c r="G4331" s="23"/>
      <c r="H4331" s="54"/>
      <c r="I4331" s="53"/>
      <c r="J4331" s="53"/>
      <c r="K4331" s="23"/>
      <c r="L4331" s="53"/>
      <c r="M4331" s="54"/>
    </row>
    <row r="4332">
      <c r="A4332" s="23"/>
      <c r="B4332" s="52"/>
      <c r="C4332" s="53"/>
      <c r="D4332" s="23"/>
      <c r="E4332" s="53"/>
      <c r="F4332" s="54"/>
      <c r="G4332" s="54"/>
      <c r="H4332" s="54"/>
      <c r="I4332" s="53"/>
      <c r="J4332" s="53"/>
      <c r="K4332" s="23"/>
      <c r="L4332" s="53"/>
      <c r="M4332" s="54"/>
    </row>
    <row r="4333">
      <c r="A4333" s="23"/>
      <c r="B4333" s="52"/>
      <c r="C4333" s="53"/>
      <c r="D4333" s="23"/>
      <c r="E4333" s="53"/>
      <c r="F4333" s="54"/>
      <c r="G4333" s="54"/>
      <c r="H4333" s="54"/>
      <c r="I4333" s="53"/>
      <c r="J4333" s="53"/>
      <c r="K4333" s="23"/>
      <c r="L4333" s="53"/>
      <c r="M4333" s="54"/>
    </row>
    <row r="4334">
      <c r="A4334" s="23"/>
      <c r="B4334" s="52"/>
      <c r="C4334" s="53"/>
      <c r="D4334" s="23"/>
      <c r="E4334" s="53"/>
      <c r="F4334" s="54"/>
      <c r="G4334" s="54"/>
      <c r="H4334" s="54"/>
      <c r="I4334" s="53"/>
      <c r="J4334" s="53"/>
      <c r="K4334" s="23"/>
      <c r="L4334" s="53"/>
      <c r="M4334" s="54"/>
    </row>
    <row r="4335">
      <c r="A4335" s="23"/>
      <c r="B4335" s="52"/>
      <c r="C4335" s="53"/>
      <c r="D4335" s="23"/>
      <c r="E4335" s="53"/>
      <c r="F4335" s="54"/>
      <c r="G4335" s="54"/>
      <c r="H4335" s="54"/>
      <c r="I4335" s="53"/>
      <c r="J4335" s="53"/>
      <c r="K4335" s="23"/>
      <c r="L4335" s="53"/>
      <c r="M4335" s="54"/>
    </row>
    <row r="4336">
      <c r="A4336" s="23"/>
      <c r="B4336" s="52"/>
      <c r="C4336" s="53"/>
      <c r="D4336" s="23"/>
      <c r="E4336" s="53"/>
      <c r="F4336" s="54"/>
      <c r="G4336" s="23"/>
      <c r="H4336" s="54"/>
      <c r="I4336" s="53"/>
      <c r="J4336" s="53"/>
      <c r="K4336" s="23"/>
      <c r="L4336" s="53"/>
      <c r="M4336" s="54"/>
    </row>
    <row r="4337">
      <c r="A4337" s="23"/>
      <c r="B4337" s="52"/>
      <c r="C4337" s="53"/>
      <c r="D4337" s="23"/>
      <c r="E4337" s="53"/>
      <c r="F4337" s="54"/>
      <c r="G4337" s="54"/>
      <c r="H4337" s="54"/>
      <c r="I4337" s="53"/>
      <c r="J4337" s="53"/>
      <c r="K4337" s="23"/>
      <c r="L4337" s="53"/>
      <c r="M4337" s="54"/>
    </row>
    <row r="4338">
      <c r="A4338" s="23"/>
      <c r="B4338" s="52"/>
      <c r="C4338" s="53"/>
      <c r="D4338" s="23"/>
      <c r="E4338" s="53"/>
      <c r="F4338" s="54"/>
      <c r="G4338" s="23"/>
      <c r="H4338" s="54"/>
      <c r="I4338" s="53"/>
      <c r="J4338" s="23"/>
      <c r="K4338" s="23"/>
      <c r="L4338" s="53"/>
      <c r="M4338" s="54"/>
    </row>
    <row r="4339">
      <c r="A4339" s="23"/>
      <c r="B4339" s="52"/>
      <c r="C4339" s="53"/>
      <c r="D4339" s="23"/>
      <c r="E4339" s="53"/>
      <c r="F4339" s="54"/>
      <c r="G4339" s="23"/>
      <c r="H4339" s="54"/>
      <c r="I4339" s="53"/>
      <c r="J4339" s="53"/>
      <c r="K4339" s="23"/>
      <c r="L4339" s="53"/>
      <c r="M4339" s="54"/>
    </row>
    <row r="4340">
      <c r="A4340" s="23"/>
      <c r="B4340" s="52"/>
      <c r="C4340" s="53"/>
      <c r="D4340" s="23"/>
      <c r="E4340" s="53"/>
      <c r="F4340" s="54"/>
      <c r="G4340" s="23"/>
      <c r="H4340" s="54"/>
      <c r="I4340" s="53"/>
      <c r="J4340" s="53"/>
      <c r="K4340" s="23"/>
      <c r="L4340" s="53"/>
      <c r="M4340" s="54"/>
    </row>
    <row r="4341">
      <c r="A4341" s="23"/>
      <c r="B4341" s="52"/>
      <c r="C4341" s="56"/>
      <c r="D4341" s="23"/>
      <c r="E4341" s="56"/>
      <c r="F4341" s="54"/>
      <c r="G4341" s="23"/>
      <c r="H4341" s="54"/>
      <c r="I4341" s="53"/>
      <c r="J4341" s="23"/>
      <c r="K4341" s="23"/>
      <c r="L4341" s="53"/>
      <c r="M4341" s="54"/>
    </row>
    <row r="4342">
      <c r="A4342" s="23"/>
      <c r="B4342" s="52"/>
      <c r="C4342" s="53"/>
      <c r="D4342" s="23"/>
      <c r="E4342" s="53"/>
      <c r="F4342" s="54"/>
      <c r="G4342" s="54"/>
      <c r="H4342" s="54"/>
      <c r="I4342" s="53"/>
      <c r="J4342" s="53"/>
      <c r="K4342" s="23"/>
      <c r="L4342" s="53"/>
      <c r="M4342" s="54"/>
    </row>
    <row r="4343">
      <c r="A4343" s="23"/>
      <c r="B4343" s="52"/>
      <c r="C4343" s="53"/>
      <c r="D4343" s="23"/>
      <c r="E4343" s="53"/>
      <c r="F4343" s="54"/>
      <c r="G4343" s="54"/>
      <c r="H4343" s="54"/>
      <c r="I4343" s="53"/>
      <c r="J4343" s="53"/>
      <c r="K4343" s="23"/>
      <c r="L4343" s="53"/>
      <c r="M4343" s="54"/>
    </row>
    <row r="4344">
      <c r="A4344" s="23"/>
      <c r="B4344" s="52"/>
      <c r="C4344" s="53"/>
      <c r="D4344" s="23"/>
      <c r="E4344" s="53"/>
      <c r="F4344" s="54"/>
      <c r="G4344" s="54"/>
      <c r="H4344" s="54"/>
      <c r="I4344" s="53"/>
      <c r="J4344" s="53"/>
      <c r="K4344" s="23"/>
      <c r="L4344" s="53"/>
      <c r="M4344" s="54"/>
    </row>
    <row r="4345">
      <c r="A4345" s="23"/>
      <c r="B4345" s="52"/>
      <c r="C4345" s="53"/>
      <c r="D4345" s="23"/>
      <c r="E4345" s="53"/>
      <c r="F4345" s="54"/>
      <c r="G4345" s="23"/>
      <c r="H4345" s="54"/>
      <c r="I4345" s="53"/>
      <c r="J4345" s="23"/>
      <c r="K4345" s="23"/>
      <c r="L4345" s="53"/>
      <c r="M4345" s="54"/>
    </row>
    <row r="4346">
      <c r="A4346" s="23"/>
      <c r="B4346" s="52"/>
      <c r="C4346" s="53"/>
      <c r="D4346" s="23"/>
      <c r="E4346" s="53"/>
      <c r="F4346" s="54"/>
      <c r="G4346" s="54"/>
      <c r="H4346" s="54"/>
      <c r="I4346" s="53"/>
      <c r="J4346" s="53"/>
      <c r="K4346" s="23"/>
      <c r="L4346" s="53"/>
      <c r="M4346" s="54"/>
    </row>
    <row r="4347">
      <c r="A4347" s="23"/>
      <c r="B4347" s="52"/>
      <c r="C4347" s="53"/>
      <c r="D4347" s="23"/>
      <c r="E4347" s="53"/>
      <c r="F4347" s="54"/>
      <c r="G4347" s="23"/>
      <c r="H4347" s="54"/>
      <c r="I4347" s="53"/>
      <c r="J4347" s="53"/>
      <c r="K4347" s="23"/>
      <c r="L4347" s="53"/>
      <c r="M4347" s="54"/>
    </row>
    <row r="4348">
      <c r="A4348" s="23"/>
      <c r="B4348" s="52"/>
      <c r="C4348" s="53"/>
      <c r="D4348" s="23"/>
      <c r="E4348" s="53"/>
      <c r="F4348" s="54"/>
      <c r="G4348" s="23"/>
      <c r="H4348" s="54"/>
      <c r="I4348" s="53"/>
      <c r="J4348" s="53"/>
      <c r="K4348" s="23"/>
      <c r="L4348" s="53"/>
      <c r="M4348" s="54"/>
    </row>
    <row r="4349">
      <c r="A4349" s="23"/>
      <c r="B4349" s="52"/>
      <c r="C4349" s="53"/>
      <c r="D4349" s="23"/>
      <c r="E4349" s="53"/>
      <c r="F4349" s="54"/>
      <c r="G4349" s="54"/>
      <c r="H4349" s="54"/>
      <c r="I4349" s="53"/>
      <c r="J4349" s="53"/>
      <c r="K4349" s="23"/>
      <c r="L4349" s="53"/>
      <c r="M4349" s="54"/>
    </row>
    <row r="4350">
      <c r="A4350" s="23"/>
      <c r="B4350" s="52"/>
      <c r="C4350" s="53"/>
      <c r="D4350" s="23"/>
      <c r="E4350" s="53"/>
      <c r="F4350" s="54"/>
      <c r="G4350" s="23"/>
      <c r="H4350" s="54"/>
      <c r="I4350" s="53"/>
      <c r="J4350" s="53"/>
      <c r="K4350" s="23"/>
      <c r="L4350" s="53"/>
      <c r="M4350" s="54"/>
    </row>
    <row r="4351">
      <c r="A4351" s="23"/>
      <c r="B4351" s="52"/>
      <c r="C4351" s="53"/>
      <c r="D4351" s="23"/>
      <c r="E4351" s="53"/>
      <c r="F4351" s="54"/>
      <c r="G4351" s="23"/>
      <c r="H4351" s="54"/>
      <c r="I4351" s="53"/>
      <c r="J4351" s="53"/>
      <c r="K4351" s="23"/>
      <c r="L4351" s="53"/>
      <c r="M4351" s="54"/>
    </row>
    <row r="4352">
      <c r="A4352" s="23"/>
      <c r="B4352" s="52"/>
      <c r="C4352" s="53"/>
      <c r="D4352" s="23"/>
      <c r="E4352" s="53"/>
      <c r="F4352" s="54"/>
      <c r="G4352" s="23"/>
      <c r="H4352" s="54"/>
      <c r="I4352" s="53"/>
      <c r="J4352" s="53"/>
      <c r="K4352" s="23"/>
      <c r="L4352" s="53"/>
      <c r="M4352" s="54"/>
    </row>
    <row r="4353">
      <c r="A4353" s="23"/>
      <c r="B4353" s="52"/>
      <c r="C4353" s="53"/>
      <c r="D4353" s="23"/>
      <c r="E4353" s="53"/>
      <c r="F4353" s="54"/>
      <c r="G4353" s="23"/>
      <c r="H4353" s="54"/>
      <c r="I4353" s="53"/>
      <c r="J4353" s="53"/>
      <c r="K4353" s="23"/>
      <c r="L4353" s="53"/>
      <c r="M4353" s="54"/>
    </row>
    <row r="4354">
      <c r="A4354" s="23"/>
      <c r="B4354" s="52"/>
      <c r="C4354" s="56"/>
      <c r="D4354" s="23"/>
      <c r="E4354" s="53"/>
      <c r="F4354" s="54"/>
      <c r="G4354" s="23"/>
      <c r="H4354" s="54"/>
      <c r="I4354" s="53"/>
      <c r="J4354" s="53"/>
      <c r="K4354" s="23"/>
      <c r="L4354" s="53"/>
      <c r="M4354" s="54"/>
    </row>
    <row r="4355">
      <c r="A4355" s="23"/>
      <c r="B4355" s="52"/>
      <c r="C4355" s="53"/>
      <c r="D4355" s="23"/>
      <c r="E4355" s="53"/>
      <c r="F4355" s="54"/>
      <c r="G4355" s="23"/>
      <c r="H4355" s="54"/>
      <c r="I4355" s="53"/>
      <c r="J4355" s="53"/>
      <c r="K4355" s="23"/>
      <c r="L4355" s="53"/>
      <c r="M4355" s="54"/>
    </row>
    <row r="4356">
      <c r="A4356" s="23"/>
      <c r="B4356" s="52"/>
      <c r="C4356" s="53"/>
      <c r="D4356" s="23"/>
      <c r="E4356" s="53"/>
      <c r="F4356" s="54"/>
      <c r="G4356" s="23"/>
      <c r="H4356" s="54"/>
      <c r="I4356" s="53"/>
      <c r="J4356" s="53"/>
      <c r="K4356" s="23"/>
      <c r="L4356" s="53"/>
      <c r="M4356" s="54"/>
    </row>
    <row r="4357">
      <c r="A4357" s="23"/>
      <c r="B4357" s="52"/>
      <c r="C4357" s="53"/>
      <c r="D4357" s="23"/>
      <c r="E4357" s="53"/>
      <c r="F4357" s="54"/>
      <c r="G4357" s="54"/>
      <c r="H4357" s="54"/>
      <c r="I4357" s="53"/>
      <c r="J4357" s="53"/>
      <c r="K4357" s="23"/>
      <c r="L4357" s="53"/>
      <c r="M4357" s="54"/>
    </row>
    <row r="4358">
      <c r="A4358" s="23"/>
      <c r="B4358" s="52"/>
      <c r="C4358" s="53"/>
      <c r="D4358" s="23"/>
      <c r="E4358" s="53"/>
      <c r="F4358" s="54"/>
      <c r="G4358" s="23"/>
      <c r="H4358" s="54"/>
      <c r="I4358" s="53"/>
      <c r="J4358" s="53"/>
      <c r="K4358" s="23"/>
      <c r="L4358" s="53"/>
      <c r="M4358" s="54"/>
    </row>
    <row r="4359">
      <c r="A4359" s="23"/>
      <c r="B4359" s="52"/>
      <c r="C4359" s="53"/>
      <c r="D4359" s="23"/>
      <c r="E4359" s="53"/>
      <c r="F4359" s="54"/>
      <c r="G4359" s="23"/>
      <c r="H4359" s="54"/>
      <c r="I4359" s="53"/>
      <c r="J4359" s="53"/>
      <c r="K4359" s="23"/>
      <c r="L4359" s="53"/>
      <c r="M4359" s="54"/>
    </row>
    <row r="4360">
      <c r="A4360" s="23"/>
      <c r="B4360" s="52"/>
      <c r="C4360" s="53"/>
      <c r="D4360" s="23"/>
      <c r="E4360" s="53"/>
      <c r="F4360" s="54"/>
      <c r="G4360" s="23"/>
      <c r="H4360" s="54"/>
      <c r="I4360" s="53"/>
      <c r="J4360" s="23"/>
      <c r="K4360" s="23"/>
      <c r="L4360" s="53"/>
      <c r="M4360" s="54"/>
    </row>
    <row r="4361">
      <c r="A4361" s="23"/>
      <c r="B4361" s="52"/>
      <c r="C4361" s="53"/>
      <c r="D4361" s="23"/>
      <c r="E4361" s="53"/>
      <c r="F4361" s="54"/>
      <c r="G4361" s="23"/>
      <c r="H4361" s="54"/>
      <c r="I4361" s="53"/>
      <c r="J4361" s="23"/>
      <c r="K4361" s="23"/>
      <c r="L4361" s="53"/>
      <c r="M4361" s="54"/>
    </row>
    <row r="4362">
      <c r="A4362" s="23"/>
      <c r="B4362" s="52"/>
      <c r="C4362" s="53"/>
      <c r="D4362" s="23"/>
      <c r="E4362" s="53"/>
      <c r="F4362" s="54"/>
      <c r="G4362" s="54"/>
      <c r="H4362" s="54"/>
      <c r="I4362" s="53"/>
      <c r="J4362" s="53"/>
      <c r="K4362" s="23"/>
      <c r="L4362" s="53"/>
      <c r="M4362" s="54"/>
    </row>
    <row r="4363">
      <c r="A4363" s="23"/>
      <c r="B4363" s="52"/>
      <c r="C4363" s="53"/>
      <c r="D4363" s="23"/>
      <c r="E4363" s="53"/>
      <c r="F4363" s="54"/>
      <c r="G4363" s="54"/>
      <c r="H4363" s="54"/>
      <c r="I4363" s="53"/>
      <c r="J4363" s="53"/>
      <c r="K4363" s="23"/>
      <c r="L4363" s="53"/>
      <c r="M4363" s="54"/>
    </row>
    <row r="4364">
      <c r="A4364" s="23"/>
      <c r="B4364" s="52"/>
      <c r="C4364" s="53"/>
      <c r="D4364" s="23"/>
      <c r="E4364" s="53"/>
      <c r="F4364" s="54"/>
      <c r="G4364" s="23"/>
      <c r="H4364" s="54"/>
      <c r="I4364" s="53"/>
      <c r="J4364" s="53"/>
      <c r="K4364" s="23"/>
      <c r="L4364" s="53"/>
      <c r="M4364" s="54"/>
    </row>
    <row r="4365">
      <c r="A4365" s="23"/>
      <c r="B4365" s="52"/>
      <c r="C4365" s="53"/>
      <c r="D4365" s="23"/>
      <c r="E4365" s="53"/>
      <c r="F4365" s="54"/>
      <c r="G4365" s="54"/>
      <c r="H4365" s="54"/>
      <c r="I4365" s="53"/>
      <c r="J4365" s="53"/>
      <c r="K4365" s="23"/>
      <c r="L4365" s="53"/>
      <c r="M4365" s="54"/>
    </row>
    <row r="4366">
      <c r="A4366" s="23"/>
      <c r="B4366" s="52"/>
      <c r="C4366" s="53"/>
      <c r="D4366" s="23"/>
      <c r="E4366" s="53"/>
      <c r="F4366" s="54"/>
      <c r="G4366" s="23"/>
      <c r="H4366" s="54"/>
      <c r="I4366" s="53"/>
      <c r="J4366" s="53"/>
      <c r="K4366" s="23"/>
      <c r="L4366" s="53"/>
      <c r="M4366" s="54"/>
    </row>
    <row r="4367">
      <c r="A4367" s="23"/>
      <c r="B4367" s="52"/>
      <c r="C4367" s="53"/>
      <c r="D4367" s="23"/>
      <c r="E4367" s="53"/>
      <c r="F4367" s="54"/>
      <c r="G4367" s="54"/>
      <c r="H4367" s="54"/>
      <c r="I4367" s="53"/>
      <c r="J4367" s="53"/>
      <c r="K4367" s="23"/>
      <c r="L4367" s="53"/>
      <c r="M4367" s="54"/>
    </row>
    <row r="4368">
      <c r="A4368" s="23"/>
      <c r="B4368" s="52"/>
      <c r="C4368" s="53"/>
      <c r="D4368" s="23"/>
      <c r="E4368" s="53"/>
      <c r="F4368" s="54"/>
      <c r="G4368" s="23"/>
      <c r="H4368" s="54"/>
      <c r="I4368" s="53"/>
      <c r="J4368" s="53"/>
      <c r="K4368" s="23"/>
      <c r="L4368" s="53"/>
      <c r="M4368" s="54"/>
    </row>
    <row r="4369">
      <c r="A4369" s="23"/>
      <c r="B4369" s="52"/>
      <c r="C4369" s="53"/>
      <c r="D4369" s="23"/>
      <c r="E4369" s="53"/>
      <c r="F4369" s="54"/>
      <c r="G4369" s="54"/>
      <c r="H4369" s="54"/>
      <c r="I4369" s="53"/>
      <c r="J4369" s="53"/>
      <c r="K4369" s="23"/>
      <c r="L4369" s="53"/>
      <c r="M4369" s="54"/>
    </row>
    <row r="4370">
      <c r="A4370" s="23"/>
      <c r="B4370" s="52"/>
      <c r="C4370" s="53"/>
      <c r="D4370" s="23"/>
      <c r="E4370" s="53"/>
      <c r="F4370" s="54"/>
      <c r="G4370" s="23"/>
      <c r="H4370" s="54"/>
      <c r="I4370" s="53"/>
      <c r="J4370" s="53"/>
      <c r="K4370" s="23"/>
      <c r="L4370" s="53"/>
      <c r="M4370" s="54"/>
    </row>
    <row r="4371">
      <c r="A4371" s="23"/>
      <c r="B4371" s="52"/>
      <c r="C4371" s="53"/>
      <c r="D4371" s="23"/>
      <c r="E4371" s="53"/>
      <c r="F4371" s="54"/>
      <c r="G4371" s="23"/>
      <c r="H4371" s="54"/>
      <c r="I4371" s="53"/>
      <c r="J4371" s="23"/>
      <c r="K4371" s="23"/>
      <c r="L4371" s="53"/>
      <c r="M4371" s="54"/>
    </row>
    <row r="4372">
      <c r="A4372" s="23"/>
      <c r="B4372" s="52"/>
      <c r="C4372" s="53"/>
      <c r="D4372" s="23"/>
      <c r="E4372" s="53"/>
      <c r="F4372" s="54"/>
      <c r="G4372" s="23"/>
      <c r="H4372" s="54"/>
      <c r="I4372" s="53"/>
      <c r="J4372" s="23"/>
      <c r="K4372" s="23"/>
      <c r="L4372" s="53"/>
      <c r="M4372" s="54"/>
    </row>
    <row r="4373">
      <c r="A4373" s="23"/>
      <c r="B4373" s="52"/>
      <c r="C4373" s="53"/>
      <c r="D4373" s="23"/>
      <c r="E4373" s="53"/>
      <c r="F4373" s="54"/>
      <c r="G4373" s="23"/>
      <c r="H4373" s="54"/>
      <c r="I4373" s="53"/>
      <c r="J4373" s="23"/>
      <c r="K4373" s="23"/>
      <c r="L4373" s="53"/>
      <c r="M4373" s="54"/>
    </row>
    <row r="4374">
      <c r="A4374" s="23"/>
      <c r="B4374" s="52"/>
      <c r="C4374" s="53"/>
      <c r="D4374" s="23"/>
      <c r="E4374" s="53"/>
      <c r="F4374" s="54"/>
      <c r="G4374" s="54"/>
      <c r="H4374" s="54"/>
      <c r="I4374" s="53"/>
      <c r="J4374" s="53"/>
      <c r="K4374" s="23"/>
      <c r="L4374" s="53"/>
      <c r="M4374" s="54"/>
    </row>
    <row r="4375">
      <c r="A4375" s="23"/>
      <c r="B4375" s="52"/>
      <c r="C4375" s="53"/>
      <c r="D4375" s="23"/>
      <c r="E4375" s="53"/>
      <c r="F4375" s="54"/>
      <c r="G4375" s="54"/>
      <c r="H4375" s="54"/>
      <c r="I4375" s="53"/>
      <c r="J4375" s="53"/>
      <c r="K4375" s="23"/>
      <c r="L4375" s="53"/>
      <c r="M4375" s="54"/>
    </row>
    <row r="4376">
      <c r="A4376" s="23"/>
      <c r="B4376" s="52"/>
      <c r="C4376" s="53"/>
      <c r="D4376" s="23"/>
      <c r="E4376" s="53"/>
      <c r="F4376" s="54"/>
      <c r="G4376" s="23"/>
      <c r="H4376" s="54"/>
      <c r="I4376" s="53"/>
      <c r="J4376" s="23"/>
      <c r="K4376" s="23"/>
      <c r="L4376" s="53"/>
      <c r="M4376" s="54"/>
    </row>
    <row r="4377">
      <c r="A4377" s="23"/>
      <c r="B4377" s="52"/>
      <c r="C4377" s="53"/>
      <c r="D4377" s="23"/>
      <c r="E4377" s="56"/>
      <c r="F4377" s="54"/>
      <c r="G4377" s="23"/>
      <c r="H4377" s="54"/>
      <c r="I4377" s="53"/>
      <c r="J4377" s="53"/>
      <c r="K4377" s="23"/>
      <c r="L4377" s="53"/>
      <c r="M4377" s="54"/>
    </row>
    <row r="4378">
      <c r="A4378" s="23"/>
      <c r="B4378" s="52"/>
      <c r="C4378" s="53"/>
      <c r="D4378" s="23"/>
      <c r="E4378" s="53"/>
      <c r="F4378" s="54"/>
      <c r="G4378" s="54"/>
      <c r="H4378" s="54"/>
      <c r="I4378" s="53"/>
      <c r="J4378" s="53"/>
      <c r="K4378" s="23"/>
      <c r="L4378" s="53"/>
      <c r="M4378" s="54"/>
    </row>
    <row r="4379">
      <c r="A4379" s="23"/>
      <c r="B4379" s="52"/>
      <c r="C4379" s="53"/>
      <c r="D4379" s="23"/>
      <c r="E4379" s="53"/>
      <c r="F4379" s="54"/>
      <c r="G4379" s="23"/>
      <c r="H4379" s="54"/>
      <c r="I4379" s="53"/>
      <c r="J4379" s="53"/>
      <c r="K4379" s="23"/>
      <c r="L4379" s="53"/>
      <c r="M4379" s="54"/>
    </row>
    <row r="4380">
      <c r="A4380" s="23"/>
      <c r="B4380" s="52"/>
      <c r="C4380" s="53"/>
      <c r="D4380" s="23"/>
      <c r="E4380" s="53"/>
      <c r="F4380" s="54"/>
      <c r="G4380" s="54"/>
      <c r="H4380" s="54"/>
      <c r="I4380" s="53"/>
      <c r="J4380" s="53"/>
      <c r="K4380" s="23"/>
      <c r="L4380" s="53"/>
      <c r="M4380" s="54"/>
    </row>
    <row r="4381">
      <c r="A4381" s="23"/>
      <c r="B4381" s="52"/>
      <c r="C4381" s="53"/>
      <c r="D4381" s="23"/>
      <c r="E4381" s="53"/>
      <c r="F4381" s="54"/>
      <c r="G4381" s="23"/>
      <c r="H4381" s="54"/>
      <c r="I4381" s="53"/>
      <c r="J4381" s="53"/>
      <c r="K4381" s="23"/>
      <c r="L4381" s="53"/>
      <c r="M4381" s="54"/>
    </row>
    <row r="4382">
      <c r="A4382" s="23"/>
      <c r="B4382" s="52"/>
      <c r="C4382" s="53"/>
      <c r="D4382" s="23"/>
      <c r="E4382" s="53"/>
      <c r="F4382" s="54"/>
      <c r="G4382" s="54"/>
      <c r="H4382" s="54"/>
      <c r="I4382" s="53"/>
      <c r="J4382" s="53"/>
      <c r="K4382" s="23"/>
      <c r="L4382" s="53"/>
      <c r="M4382" s="54"/>
    </row>
    <row r="4383">
      <c r="A4383" s="23"/>
      <c r="B4383" s="52"/>
      <c r="C4383" s="53"/>
      <c r="D4383" s="23"/>
      <c r="E4383" s="53"/>
      <c r="F4383" s="54"/>
      <c r="G4383" s="23"/>
      <c r="H4383" s="54"/>
      <c r="I4383" s="53"/>
      <c r="J4383" s="23"/>
      <c r="K4383" s="23"/>
      <c r="L4383" s="53"/>
      <c r="M4383" s="54"/>
    </row>
    <row r="4384">
      <c r="A4384" s="23"/>
      <c r="B4384" s="52"/>
      <c r="C4384" s="53"/>
      <c r="D4384" s="23"/>
      <c r="E4384" s="53"/>
      <c r="F4384" s="54"/>
      <c r="G4384" s="23"/>
      <c r="H4384" s="54"/>
      <c r="I4384" s="53"/>
      <c r="J4384" s="23"/>
      <c r="K4384" s="23"/>
      <c r="L4384" s="53"/>
      <c r="M4384" s="54"/>
    </row>
    <row r="4385">
      <c r="A4385" s="23"/>
      <c r="B4385" s="52"/>
      <c r="C4385" s="53"/>
      <c r="D4385" s="23"/>
      <c r="E4385" s="53"/>
      <c r="F4385" s="54"/>
      <c r="G4385" s="54"/>
      <c r="H4385" s="54"/>
      <c r="I4385" s="53"/>
      <c r="J4385" s="53"/>
      <c r="K4385" s="23"/>
      <c r="L4385" s="53"/>
      <c r="M4385" s="54"/>
    </row>
    <row r="4386">
      <c r="A4386" s="23"/>
      <c r="B4386" s="52"/>
      <c r="C4386" s="53"/>
      <c r="D4386" s="23"/>
      <c r="E4386" s="53"/>
      <c r="F4386" s="54"/>
      <c r="G4386" s="54"/>
      <c r="H4386" s="54"/>
      <c r="I4386" s="53"/>
      <c r="J4386" s="53"/>
      <c r="K4386" s="23"/>
      <c r="L4386" s="53"/>
      <c r="M4386" s="54"/>
    </row>
    <row r="4387">
      <c r="A4387" s="23"/>
      <c r="B4387" s="52"/>
      <c r="C4387" s="53"/>
      <c r="D4387" s="23"/>
      <c r="E4387" s="53"/>
      <c r="F4387" s="54"/>
      <c r="G4387" s="54"/>
      <c r="H4387" s="54"/>
      <c r="I4387" s="53"/>
      <c r="J4387" s="53"/>
      <c r="K4387" s="23"/>
      <c r="L4387" s="53"/>
      <c r="M4387" s="54"/>
    </row>
    <row r="4388">
      <c r="A4388" s="23"/>
      <c r="B4388" s="52"/>
      <c r="C4388" s="53"/>
      <c r="D4388" s="23"/>
      <c r="E4388" s="53"/>
      <c r="F4388" s="54"/>
      <c r="G4388" s="54"/>
      <c r="H4388" s="54"/>
      <c r="I4388" s="53"/>
      <c r="J4388" s="53"/>
      <c r="K4388" s="23"/>
      <c r="L4388" s="53"/>
      <c r="M4388" s="54"/>
    </row>
    <row r="4389">
      <c r="A4389" s="23"/>
      <c r="B4389" s="52"/>
      <c r="C4389" s="53"/>
      <c r="D4389" s="23"/>
      <c r="E4389" s="53"/>
      <c r="F4389" s="54"/>
      <c r="G4389" s="23"/>
      <c r="H4389" s="54"/>
      <c r="I4389" s="53"/>
      <c r="J4389" s="23"/>
      <c r="K4389" s="23"/>
      <c r="L4389" s="53"/>
      <c r="M4389" s="54"/>
    </row>
    <row r="4390">
      <c r="A4390" s="23"/>
      <c r="B4390" s="52"/>
      <c r="C4390" s="53"/>
      <c r="D4390" s="23"/>
      <c r="E4390" s="53"/>
      <c r="F4390" s="54"/>
      <c r="G4390" s="23"/>
      <c r="H4390" s="54"/>
      <c r="I4390" s="53"/>
      <c r="J4390" s="23"/>
      <c r="K4390" s="23"/>
      <c r="L4390" s="53"/>
      <c r="M4390" s="54"/>
    </row>
    <row r="4391">
      <c r="A4391" s="23"/>
      <c r="B4391" s="52"/>
      <c r="C4391" s="53"/>
      <c r="D4391" s="23"/>
      <c r="E4391" s="53"/>
      <c r="F4391" s="54"/>
      <c r="G4391" s="23"/>
      <c r="H4391" s="54"/>
      <c r="I4391" s="53"/>
      <c r="J4391" s="53"/>
      <c r="K4391" s="23"/>
      <c r="L4391" s="53"/>
      <c r="M4391" s="54"/>
    </row>
    <row r="4392">
      <c r="A4392" s="23"/>
      <c r="B4392" s="52"/>
      <c r="C4392" s="53"/>
      <c r="D4392" s="23"/>
      <c r="E4392" s="53"/>
      <c r="F4392" s="54"/>
      <c r="G4392" s="54"/>
      <c r="H4392" s="54"/>
      <c r="I4392" s="53"/>
      <c r="J4392" s="53"/>
      <c r="K4392" s="23"/>
      <c r="L4392" s="53"/>
      <c r="M4392" s="54"/>
    </row>
    <row r="4393">
      <c r="A4393" s="23"/>
      <c r="B4393" s="52"/>
      <c r="C4393" s="53"/>
      <c r="D4393" s="23"/>
      <c r="E4393" s="53"/>
      <c r="F4393" s="54"/>
      <c r="G4393" s="54"/>
      <c r="H4393" s="54"/>
      <c r="I4393" s="53"/>
      <c r="J4393" s="53"/>
      <c r="K4393" s="23"/>
      <c r="L4393" s="53"/>
      <c r="M4393" s="54"/>
    </row>
    <row r="4394">
      <c r="A4394" s="23"/>
      <c r="B4394" s="52"/>
      <c r="C4394" s="53"/>
      <c r="D4394" s="23"/>
      <c r="E4394" s="53"/>
      <c r="F4394" s="54"/>
      <c r="G4394" s="23"/>
      <c r="H4394" s="54"/>
      <c r="I4394" s="53"/>
      <c r="J4394" s="53"/>
      <c r="K4394" s="23"/>
      <c r="L4394" s="53"/>
      <c r="M4394" s="54"/>
    </row>
    <row r="4395">
      <c r="A4395" s="23"/>
      <c r="B4395" s="52"/>
      <c r="C4395" s="53"/>
      <c r="D4395" s="23"/>
      <c r="E4395" s="53"/>
      <c r="F4395" s="54"/>
      <c r="G4395" s="23"/>
      <c r="H4395" s="54"/>
      <c r="I4395" s="53"/>
      <c r="J4395" s="53"/>
      <c r="K4395" s="53"/>
      <c r="L4395" s="53"/>
      <c r="M4395" s="54"/>
    </row>
    <row r="4396">
      <c r="A4396" s="23"/>
      <c r="B4396" s="52"/>
      <c r="C4396" s="53"/>
      <c r="D4396" s="23"/>
      <c r="E4396" s="53"/>
      <c r="F4396" s="54"/>
      <c r="G4396" s="54"/>
      <c r="H4396" s="54"/>
      <c r="I4396" s="53"/>
      <c r="J4396" s="53"/>
      <c r="K4396" s="23"/>
      <c r="L4396" s="53"/>
      <c r="M4396" s="54"/>
    </row>
    <row r="4397">
      <c r="A4397" s="23"/>
      <c r="B4397" s="52"/>
      <c r="C4397" s="53"/>
      <c r="D4397" s="23"/>
      <c r="E4397" s="53"/>
      <c r="F4397" s="54"/>
      <c r="G4397" s="54"/>
      <c r="H4397" s="54"/>
      <c r="I4397" s="53"/>
      <c r="J4397" s="53"/>
      <c r="K4397" s="23"/>
      <c r="L4397" s="53"/>
      <c r="M4397" s="54"/>
    </row>
    <row r="4398">
      <c r="A4398" s="23"/>
      <c r="B4398" s="52"/>
      <c r="C4398" s="53"/>
      <c r="D4398" s="23"/>
      <c r="E4398" s="53"/>
      <c r="F4398" s="54"/>
      <c r="G4398" s="54"/>
      <c r="H4398" s="54"/>
      <c r="I4398" s="53"/>
      <c r="J4398" s="53"/>
      <c r="K4398" s="23"/>
      <c r="L4398" s="53"/>
      <c r="M4398" s="54"/>
    </row>
    <row r="4399">
      <c r="A4399" s="23"/>
      <c r="B4399" s="52"/>
      <c r="C4399" s="53"/>
      <c r="D4399" s="23"/>
      <c r="E4399" s="53"/>
      <c r="F4399" s="54"/>
      <c r="G4399" s="54"/>
      <c r="H4399" s="54"/>
      <c r="I4399" s="53"/>
      <c r="J4399" s="53"/>
      <c r="K4399" s="23"/>
      <c r="L4399" s="53"/>
      <c r="M4399" s="54"/>
    </row>
    <row r="4400">
      <c r="A4400" s="23"/>
      <c r="B4400" s="52"/>
      <c r="C4400" s="53"/>
      <c r="D4400" s="23"/>
      <c r="E4400" s="53"/>
      <c r="F4400" s="54"/>
      <c r="G4400" s="54"/>
      <c r="H4400" s="54"/>
      <c r="I4400" s="53"/>
      <c r="J4400" s="53"/>
      <c r="K4400" s="23"/>
      <c r="L4400" s="53"/>
      <c r="M4400" s="54"/>
    </row>
    <row r="4401">
      <c r="A4401" s="23"/>
      <c r="B4401" s="52"/>
      <c r="C4401" s="53"/>
      <c r="D4401" s="23"/>
      <c r="E4401" s="53"/>
      <c r="F4401" s="54"/>
      <c r="G4401" s="23"/>
      <c r="H4401" s="54"/>
      <c r="I4401" s="53"/>
      <c r="J4401" s="53"/>
      <c r="K4401" s="23"/>
      <c r="L4401" s="53"/>
      <c r="M4401" s="54"/>
    </row>
    <row r="4402">
      <c r="A4402" s="23"/>
      <c r="B4402" s="52"/>
      <c r="C4402" s="53"/>
      <c r="D4402" s="23"/>
      <c r="E4402" s="53"/>
      <c r="F4402" s="54"/>
      <c r="G4402" s="23"/>
      <c r="H4402" s="54"/>
      <c r="I4402" s="53"/>
      <c r="J4402" s="53"/>
      <c r="K4402" s="23"/>
      <c r="L4402" s="53"/>
      <c r="M4402" s="54"/>
    </row>
    <row r="4403">
      <c r="A4403" s="23"/>
      <c r="B4403" s="52"/>
      <c r="C4403" s="53"/>
      <c r="D4403" s="23"/>
      <c r="E4403" s="53"/>
      <c r="F4403" s="54"/>
      <c r="G4403" s="23"/>
      <c r="H4403" s="54"/>
      <c r="I4403" s="53"/>
      <c r="J4403" s="53"/>
      <c r="K4403" s="23"/>
      <c r="L4403" s="53"/>
      <c r="M4403" s="54"/>
    </row>
    <row r="4404">
      <c r="A4404" s="23"/>
      <c r="B4404" s="52"/>
      <c r="C4404" s="53"/>
      <c r="D4404" s="23"/>
      <c r="E4404" s="53"/>
      <c r="F4404" s="54"/>
      <c r="G4404" s="23"/>
      <c r="H4404" s="54"/>
      <c r="I4404" s="53"/>
      <c r="J4404" s="53"/>
      <c r="K4404" s="23"/>
      <c r="L4404" s="53"/>
      <c r="M4404" s="54"/>
    </row>
    <row r="4405">
      <c r="A4405" s="23"/>
      <c r="B4405" s="52"/>
      <c r="C4405" s="53"/>
      <c r="D4405" s="23"/>
      <c r="E4405" s="53"/>
      <c r="F4405" s="54"/>
      <c r="G4405" s="23"/>
      <c r="H4405" s="54"/>
      <c r="I4405" s="53"/>
      <c r="J4405" s="23"/>
      <c r="K4405" s="23"/>
      <c r="L4405" s="53"/>
      <c r="M4405" s="54"/>
    </row>
    <row r="4406">
      <c r="A4406" s="23"/>
      <c r="B4406" s="52"/>
      <c r="C4406" s="53"/>
      <c r="D4406" s="23"/>
      <c r="E4406" s="53"/>
      <c r="F4406" s="54"/>
      <c r="G4406" s="23"/>
      <c r="H4406" s="54"/>
      <c r="I4406" s="53"/>
      <c r="J4406" s="53"/>
      <c r="K4406" s="23"/>
      <c r="L4406" s="53"/>
      <c r="M4406" s="54"/>
    </row>
    <row r="4407">
      <c r="A4407" s="23"/>
      <c r="B4407" s="52"/>
      <c r="C4407" s="53"/>
      <c r="D4407" s="23"/>
      <c r="E4407" s="53"/>
      <c r="F4407" s="54"/>
      <c r="G4407" s="54"/>
      <c r="H4407" s="54"/>
      <c r="I4407" s="53"/>
      <c r="J4407" s="53"/>
      <c r="K4407" s="23"/>
      <c r="L4407" s="53"/>
      <c r="M4407" s="54"/>
    </row>
    <row r="4408">
      <c r="A4408" s="23"/>
      <c r="B4408" s="52"/>
      <c r="C4408" s="53"/>
      <c r="D4408" s="23"/>
      <c r="E4408" s="53"/>
      <c r="F4408" s="54"/>
      <c r="G4408" s="54"/>
      <c r="H4408" s="54"/>
      <c r="I4408" s="53"/>
      <c r="J4408" s="53"/>
      <c r="K4408" s="23"/>
      <c r="L4408" s="53"/>
      <c r="M4408" s="54"/>
    </row>
    <row r="4409">
      <c r="A4409" s="23"/>
      <c r="B4409" s="52"/>
      <c r="C4409" s="53"/>
      <c r="D4409" s="23"/>
      <c r="E4409" s="53"/>
      <c r="F4409" s="54"/>
      <c r="G4409" s="54"/>
      <c r="H4409" s="54"/>
      <c r="I4409" s="53"/>
      <c r="J4409" s="53"/>
      <c r="K4409" s="23"/>
      <c r="L4409" s="53"/>
      <c r="M4409" s="54"/>
    </row>
    <row r="4410">
      <c r="A4410" s="23"/>
      <c r="B4410" s="52"/>
      <c r="C4410" s="53"/>
      <c r="D4410" s="23"/>
      <c r="E4410" s="53"/>
      <c r="F4410" s="54"/>
      <c r="G4410" s="23"/>
      <c r="H4410" s="54"/>
      <c r="I4410" s="53"/>
      <c r="J4410" s="53"/>
      <c r="K4410" s="23"/>
      <c r="L4410" s="53"/>
      <c r="M4410" s="54"/>
    </row>
    <row r="4411">
      <c r="A4411" s="23"/>
      <c r="B4411" s="52"/>
      <c r="C4411" s="53"/>
      <c r="D4411" s="23"/>
      <c r="E4411" s="53"/>
      <c r="F4411" s="54"/>
      <c r="G4411" s="54"/>
      <c r="H4411" s="54"/>
      <c r="I4411" s="53"/>
      <c r="J4411" s="53"/>
      <c r="K4411" s="23"/>
      <c r="L4411" s="53"/>
      <c r="M4411" s="54"/>
    </row>
    <row r="4412">
      <c r="A4412" s="23"/>
      <c r="B4412" s="52"/>
      <c r="C4412" s="53"/>
      <c r="D4412" s="23"/>
      <c r="E4412" s="53"/>
      <c r="F4412" s="54"/>
      <c r="G4412" s="23"/>
      <c r="H4412" s="54"/>
      <c r="I4412" s="53"/>
      <c r="J4412" s="23"/>
      <c r="K4412" s="23"/>
      <c r="L4412" s="53"/>
      <c r="M4412" s="54"/>
    </row>
    <row r="4413">
      <c r="A4413" s="23"/>
      <c r="B4413" s="52"/>
      <c r="C4413" s="53"/>
      <c r="D4413" s="23"/>
      <c r="E4413" s="53"/>
      <c r="F4413" s="54"/>
      <c r="G4413" s="23"/>
      <c r="H4413" s="54"/>
      <c r="I4413" s="53"/>
      <c r="J4413" s="53"/>
      <c r="K4413" s="23"/>
      <c r="L4413" s="53"/>
      <c r="M4413" s="54"/>
    </row>
    <row r="4414">
      <c r="A4414" s="23"/>
      <c r="B4414" s="52"/>
      <c r="C4414" s="53"/>
      <c r="D4414" s="23"/>
      <c r="E4414" s="53"/>
      <c r="F4414" s="54"/>
      <c r="G4414" s="54"/>
      <c r="H4414" s="54"/>
      <c r="I4414" s="53"/>
      <c r="J4414" s="53"/>
      <c r="K4414" s="23"/>
      <c r="L4414" s="53"/>
      <c r="M4414" s="54"/>
    </row>
    <row r="4415">
      <c r="A4415" s="23"/>
      <c r="B4415" s="52"/>
      <c r="C4415" s="53"/>
      <c r="D4415" s="23"/>
      <c r="E4415" s="53"/>
      <c r="F4415" s="54"/>
      <c r="G4415" s="23"/>
      <c r="H4415" s="54"/>
      <c r="I4415" s="53"/>
      <c r="J4415" s="53"/>
      <c r="K4415" s="23"/>
      <c r="L4415" s="53"/>
      <c r="M4415" s="54"/>
    </row>
    <row r="4416">
      <c r="A4416" s="23"/>
      <c r="B4416" s="52"/>
      <c r="C4416" s="53"/>
      <c r="D4416" s="23"/>
      <c r="E4416" s="53"/>
      <c r="F4416" s="54"/>
      <c r="G4416" s="54"/>
      <c r="H4416" s="54"/>
      <c r="I4416" s="53"/>
      <c r="J4416" s="53"/>
      <c r="K4416" s="23"/>
      <c r="L4416" s="53"/>
      <c r="M4416" s="54"/>
    </row>
    <row r="4417">
      <c r="A4417" s="23"/>
      <c r="B4417" s="52"/>
      <c r="C4417" s="53"/>
      <c r="D4417" s="23"/>
      <c r="E4417" s="53"/>
      <c r="F4417" s="54"/>
      <c r="G4417" s="23"/>
      <c r="H4417" s="54"/>
      <c r="I4417" s="53"/>
      <c r="J4417" s="53"/>
      <c r="K4417" s="23"/>
      <c r="L4417" s="53"/>
      <c r="M4417" s="54"/>
    </row>
    <row r="4418">
      <c r="A4418" s="23"/>
      <c r="B4418" s="52"/>
      <c r="C4418" s="53"/>
      <c r="D4418" s="23"/>
      <c r="E4418" s="53"/>
      <c r="F4418" s="54"/>
      <c r="G4418" s="23"/>
      <c r="H4418" s="54"/>
      <c r="I4418" s="53"/>
      <c r="J4418" s="53"/>
      <c r="K4418" s="23"/>
      <c r="L4418" s="53"/>
      <c r="M4418" s="54"/>
    </row>
    <row r="4419">
      <c r="A4419" s="23"/>
      <c r="B4419" s="52"/>
      <c r="C4419" s="53"/>
      <c r="D4419" s="23"/>
      <c r="E4419" s="53"/>
      <c r="F4419" s="54"/>
      <c r="G4419" s="23"/>
      <c r="H4419" s="54"/>
      <c r="I4419" s="53"/>
      <c r="J4419" s="23"/>
      <c r="K4419" s="23"/>
      <c r="L4419" s="53"/>
      <c r="M4419" s="54"/>
    </row>
    <row r="4420">
      <c r="A4420" s="23"/>
      <c r="B4420" s="52"/>
      <c r="C4420" s="53"/>
      <c r="D4420" s="23"/>
      <c r="E4420" s="53"/>
      <c r="F4420" s="54"/>
      <c r="G4420" s="23"/>
      <c r="H4420" s="54"/>
      <c r="I4420" s="53"/>
      <c r="J4420" s="53"/>
      <c r="K4420" s="23"/>
      <c r="L4420" s="53"/>
      <c r="M4420" s="54"/>
    </row>
    <row r="4421">
      <c r="A4421" s="23"/>
      <c r="B4421" s="52"/>
      <c r="C4421" s="53"/>
      <c r="D4421" s="23"/>
      <c r="E4421" s="53"/>
      <c r="F4421" s="54"/>
      <c r="G4421" s="54"/>
      <c r="H4421" s="54"/>
      <c r="I4421" s="53"/>
      <c r="J4421" s="53"/>
      <c r="K4421" s="23"/>
      <c r="L4421" s="53"/>
      <c r="M4421" s="54"/>
    </row>
    <row r="4422">
      <c r="A4422" s="23"/>
      <c r="B4422" s="52"/>
      <c r="C4422" s="53"/>
      <c r="D4422" s="23"/>
      <c r="E4422" s="53"/>
      <c r="F4422" s="54"/>
      <c r="G4422" s="54"/>
      <c r="H4422" s="54"/>
      <c r="I4422" s="53"/>
      <c r="J4422" s="53"/>
      <c r="K4422" s="23"/>
      <c r="L4422" s="53"/>
      <c r="M4422" s="54"/>
    </row>
    <row r="4423">
      <c r="A4423" s="23"/>
      <c r="B4423" s="52"/>
      <c r="C4423" s="53"/>
      <c r="D4423" s="23"/>
      <c r="E4423" s="53"/>
      <c r="F4423" s="54"/>
      <c r="G4423" s="54"/>
      <c r="H4423" s="54"/>
      <c r="I4423" s="53"/>
      <c r="J4423" s="53"/>
      <c r="K4423" s="23"/>
      <c r="L4423" s="53"/>
      <c r="M4423" s="54"/>
    </row>
    <row r="4424">
      <c r="A4424" s="23"/>
      <c r="B4424" s="52"/>
      <c r="C4424" s="53"/>
      <c r="D4424" s="23"/>
      <c r="E4424" s="53"/>
      <c r="F4424" s="54"/>
      <c r="G4424" s="23"/>
      <c r="H4424" s="54"/>
      <c r="I4424" s="53"/>
      <c r="J4424" s="53"/>
      <c r="K4424" s="23"/>
      <c r="L4424" s="53"/>
      <c r="M4424" s="54"/>
    </row>
    <row r="4425">
      <c r="A4425" s="23"/>
      <c r="B4425" s="52"/>
      <c r="C4425" s="53"/>
      <c r="D4425" s="23"/>
      <c r="E4425" s="53"/>
      <c r="F4425" s="54"/>
      <c r="G4425" s="54"/>
      <c r="H4425" s="54"/>
      <c r="I4425" s="53"/>
      <c r="J4425" s="53"/>
      <c r="K4425" s="23"/>
      <c r="L4425" s="53"/>
      <c r="M4425" s="54"/>
    </row>
    <row r="4426">
      <c r="A4426" s="23"/>
      <c r="B4426" s="52"/>
      <c r="C4426" s="53"/>
      <c r="D4426" s="23"/>
      <c r="E4426" s="53"/>
      <c r="F4426" s="54"/>
      <c r="G4426" s="54"/>
      <c r="H4426" s="54"/>
      <c r="I4426" s="53"/>
      <c r="J4426" s="53"/>
      <c r="K4426" s="23"/>
      <c r="L4426" s="53"/>
      <c r="M4426" s="54"/>
    </row>
    <row r="4427">
      <c r="A4427" s="23"/>
      <c r="B4427" s="52"/>
      <c r="C4427" s="53"/>
      <c r="D4427" s="23"/>
      <c r="E4427" s="53"/>
      <c r="F4427" s="54"/>
      <c r="G4427" s="23"/>
      <c r="H4427" s="54"/>
      <c r="I4427" s="53"/>
      <c r="J4427" s="53"/>
      <c r="K4427" s="23"/>
      <c r="L4427" s="53"/>
      <c r="M4427" s="54"/>
    </row>
    <row r="4428">
      <c r="A4428" s="23"/>
      <c r="B4428" s="52"/>
      <c r="C4428" s="53"/>
      <c r="D4428" s="23"/>
      <c r="E4428" s="53"/>
      <c r="F4428" s="54"/>
      <c r="G4428" s="54"/>
      <c r="H4428" s="54"/>
      <c r="I4428" s="53"/>
      <c r="J4428" s="53"/>
      <c r="K4428" s="23"/>
      <c r="L4428" s="53"/>
      <c r="M4428" s="54"/>
    </row>
    <row r="4429">
      <c r="A4429" s="23"/>
      <c r="B4429" s="52"/>
      <c r="C4429" s="53"/>
      <c r="D4429" s="23"/>
      <c r="E4429" s="53"/>
      <c r="F4429" s="54"/>
      <c r="G4429" s="23"/>
      <c r="H4429" s="54"/>
      <c r="I4429" s="53"/>
      <c r="J4429" s="53"/>
      <c r="K4429" s="23"/>
      <c r="L4429" s="53"/>
      <c r="M4429" s="54"/>
    </row>
    <row r="4430">
      <c r="A4430" s="23"/>
      <c r="B4430" s="52"/>
      <c r="C4430" s="53"/>
      <c r="D4430" s="23"/>
      <c r="E4430" s="53"/>
      <c r="F4430" s="54"/>
      <c r="G4430" s="54"/>
      <c r="H4430" s="54"/>
      <c r="I4430" s="53"/>
      <c r="J4430" s="53"/>
      <c r="K4430" s="23"/>
      <c r="L4430" s="53"/>
      <c r="M4430" s="54"/>
    </row>
    <row r="4431">
      <c r="A4431" s="23"/>
      <c r="B4431" s="52"/>
      <c r="C4431" s="53"/>
      <c r="D4431" s="23"/>
      <c r="E4431" s="53"/>
      <c r="F4431" s="54"/>
      <c r="G4431" s="54"/>
      <c r="H4431" s="54"/>
      <c r="I4431" s="53"/>
      <c r="J4431" s="53"/>
      <c r="K4431" s="23"/>
      <c r="L4431" s="53"/>
      <c r="M4431" s="54"/>
    </row>
    <row r="4432">
      <c r="A4432" s="23"/>
      <c r="B4432" s="52"/>
      <c r="C4432" s="53"/>
      <c r="D4432" s="23"/>
      <c r="E4432" s="53"/>
      <c r="F4432" s="54"/>
      <c r="G4432" s="23"/>
      <c r="H4432" s="54"/>
      <c r="I4432" s="53"/>
      <c r="J4432" s="23"/>
      <c r="K4432" s="23"/>
      <c r="L4432" s="53"/>
      <c r="M4432" s="54"/>
    </row>
    <row r="4433">
      <c r="A4433" s="23"/>
      <c r="B4433" s="52"/>
      <c r="C4433" s="53"/>
      <c r="D4433" s="23"/>
      <c r="E4433" s="53"/>
      <c r="F4433" s="54"/>
      <c r="G4433" s="23"/>
      <c r="H4433" s="54"/>
      <c r="I4433" s="53"/>
      <c r="J4433" s="53"/>
      <c r="K4433" s="23"/>
      <c r="L4433" s="53"/>
      <c r="M4433" s="54"/>
    </row>
    <row r="4434">
      <c r="A4434" s="23"/>
      <c r="B4434" s="52"/>
      <c r="C4434" s="53"/>
      <c r="D4434" s="23"/>
      <c r="E4434" s="53"/>
      <c r="F4434" s="54"/>
      <c r="G4434" s="54"/>
      <c r="H4434" s="54"/>
      <c r="I4434" s="53"/>
      <c r="J4434" s="53"/>
      <c r="K4434" s="23"/>
      <c r="L4434" s="53"/>
      <c r="M4434" s="54"/>
    </row>
    <row r="4435">
      <c r="A4435" s="23"/>
      <c r="B4435" s="52"/>
      <c r="C4435" s="53"/>
      <c r="D4435" s="23"/>
      <c r="E4435" s="53"/>
      <c r="F4435" s="54"/>
      <c r="G4435" s="23"/>
      <c r="H4435" s="54"/>
      <c r="I4435" s="53"/>
      <c r="J4435" s="53"/>
      <c r="K4435" s="23"/>
      <c r="L4435" s="53"/>
      <c r="M4435" s="54"/>
    </row>
    <row r="4436">
      <c r="A4436" s="23"/>
      <c r="B4436" s="52"/>
      <c r="C4436" s="53"/>
      <c r="D4436" s="23"/>
      <c r="E4436" s="53"/>
      <c r="F4436" s="54"/>
      <c r="G4436" s="23"/>
      <c r="H4436" s="54"/>
      <c r="I4436" s="53"/>
      <c r="J4436" s="23"/>
      <c r="K4436" s="23"/>
      <c r="L4436" s="53"/>
      <c r="M4436" s="54"/>
    </row>
    <row r="4437">
      <c r="A4437" s="23"/>
      <c r="B4437" s="52"/>
      <c r="C4437" s="53"/>
      <c r="D4437" s="23"/>
      <c r="E4437" s="53"/>
      <c r="F4437" s="54"/>
      <c r="G4437" s="23"/>
      <c r="H4437" s="54"/>
      <c r="I4437" s="53"/>
      <c r="J4437" s="23"/>
      <c r="K4437" s="23"/>
      <c r="L4437" s="53"/>
      <c r="M4437" s="54"/>
    </row>
    <row r="4438">
      <c r="A4438" s="23"/>
      <c r="B4438" s="52"/>
      <c r="C4438" s="53"/>
      <c r="D4438" s="23"/>
      <c r="E4438" s="56"/>
      <c r="F4438" s="54"/>
      <c r="G4438" s="23"/>
      <c r="H4438" s="54"/>
      <c r="I4438" s="53"/>
      <c r="J4438" s="23"/>
      <c r="K4438" s="23"/>
      <c r="L4438" s="53"/>
      <c r="M4438" s="54"/>
    </row>
    <row r="4439">
      <c r="A4439" s="23"/>
      <c r="B4439" s="52"/>
      <c r="C4439" s="53"/>
      <c r="D4439" s="23"/>
      <c r="E4439" s="53"/>
      <c r="F4439" s="54"/>
      <c r="G4439" s="23"/>
      <c r="H4439" s="54"/>
      <c r="I4439" s="53"/>
      <c r="J4439" s="53"/>
      <c r="K4439" s="23"/>
      <c r="L4439" s="53"/>
      <c r="M4439" s="54"/>
    </row>
    <row r="4440">
      <c r="A4440" s="23"/>
      <c r="B4440" s="52"/>
      <c r="C4440" s="53"/>
      <c r="D4440" s="23"/>
      <c r="E4440" s="53"/>
      <c r="F4440" s="54"/>
      <c r="G4440" s="23"/>
      <c r="H4440" s="54"/>
      <c r="I4440" s="53"/>
      <c r="J4440" s="53"/>
      <c r="K4440" s="23"/>
      <c r="L4440" s="53"/>
      <c r="M4440" s="54"/>
    </row>
    <row r="4441">
      <c r="A4441" s="23"/>
      <c r="B4441" s="52"/>
      <c r="C4441" s="53"/>
      <c r="D4441" s="23"/>
      <c r="E4441" s="53"/>
      <c r="F4441" s="54"/>
      <c r="G4441" s="23"/>
      <c r="H4441" s="54"/>
      <c r="I4441" s="53"/>
      <c r="J4441" s="53"/>
      <c r="K4441" s="23"/>
      <c r="L4441" s="53"/>
      <c r="M4441" s="54"/>
    </row>
    <row r="4442">
      <c r="A4442" s="23"/>
      <c r="B4442" s="52"/>
      <c r="C4442" s="53"/>
      <c r="D4442" s="23"/>
      <c r="E4442" s="53"/>
      <c r="F4442" s="54"/>
      <c r="G4442" s="23"/>
      <c r="H4442" s="54"/>
      <c r="I4442" s="53"/>
      <c r="J4442" s="23"/>
      <c r="K4442" s="23"/>
      <c r="L4442" s="53"/>
      <c r="M4442" s="54"/>
    </row>
    <row r="4443">
      <c r="A4443" s="23"/>
      <c r="B4443" s="52"/>
      <c r="C4443" s="53"/>
      <c r="D4443" s="23"/>
      <c r="E4443" s="53"/>
      <c r="F4443" s="54"/>
      <c r="G4443" s="23"/>
      <c r="H4443" s="54"/>
      <c r="I4443" s="53"/>
      <c r="J4443" s="53"/>
      <c r="K4443" s="23"/>
      <c r="L4443" s="53"/>
      <c r="M4443" s="54"/>
    </row>
    <row r="4444">
      <c r="A4444" s="23"/>
      <c r="B4444" s="52"/>
      <c r="C4444" s="53"/>
      <c r="D4444" s="23"/>
      <c r="E4444" s="53"/>
      <c r="F4444" s="54"/>
      <c r="G4444" s="23"/>
      <c r="H4444" s="54"/>
      <c r="I4444" s="53"/>
      <c r="J4444" s="23"/>
      <c r="K4444" s="23"/>
      <c r="L4444" s="53"/>
      <c r="M4444" s="54"/>
    </row>
    <row r="4445">
      <c r="A4445" s="23"/>
      <c r="B4445" s="52"/>
      <c r="C4445" s="53"/>
      <c r="D4445" s="23"/>
      <c r="E4445" s="53"/>
      <c r="F4445" s="54"/>
      <c r="G4445" s="54"/>
      <c r="H4445" s="54"/>
      <c r="I4445" s="53"/>
      <c r="J4445" s="53"/>
      <c r="K4445" s="23"/>
      <c r="L4445" s="53"/>
      <c r="M4445" s="54"/>
    </row>
    <row r="4446">
      <c r="A4446" s="23"/>
      <c r="B4446" s="52"/>
      <c r="C4446" s="53"/>
      <c r="D4446" s="23"/>
      <c r="E4446" s="53"/>
      <c r="F4446" s="54"/>
      <c r="G4446" s="23"/>
      <c r="H4446" s="54"/>
      <c r="I4446" s="53"/>
      <c r="J4446" s="23"/>
      <c r="K4446" s="23"/>
      <c r="L4446" s="53"/>
      <c r="M4446" s="54"/>
    </row>
    <row r="4447">
      <c r="A4447" s="23"/>
      <c r="B4447" s="52"/>
      <c r="C4447" s="53"/>
      <c r="D4447" s="23"/>
      <c r="E4447" s="53"/>
      <c r="F4447" s="54"/>
      <c r="G4447" s="23"/>
      <c r="H4447" s="54"/>
      <c r="I4447" s="53"/>
      <c r="J4447" s="23"/>
      <c r="K4447" s="23"/>
      <c r="L4447" s="53"/>
      <c r="M4447" s="54"/>
    </row>
    <row r="4448">
      <c r="A4448" s="23"/>
      <c r="B4448" s="52"/>
      <c r="C4448" s="53"/>
      <c r="D4448" s="23"/>
      <c r="E4448" s="53"/>
      <c r="F4448" s="54"/>
      <c r="G4448" s="23"/>
      <c r="H4448" s="54"/>
      <c r="I4448" s="53"/>
      <c r="J4448" s="23"/>
      <c r="K4448" s="23"/>
      <c r="L4448" s="53"/>
      <c r="M4448" s="54"/>
    </row>
    <row r="4449">
      <c r="A4449" s="23"/>
      <c r="B4449" s="52"/>
      <c r="C4449" s="53"/>
      <c r="D4449" s="23"/>
      <c r="E4449" s="53"/>
      <c r="F4449" s="54"/>
      <c r="G4449" s="23"/>
      <c r="H4449" s="54"/>
      <c r="I4449" s="53"/>
      <c r="J4449" s="23"/>
      <c r="K4449" s="23"/>
      <c r="L4449" s="53"/>
      <c r="M4449" s="54"/>
    </row>
    <row r="4450">
      <c r="A4450" s="23"/>
      <c r="B4450" s="52"/>
      <c r="C4450" s="53"/>
      <c r="D4450" s="23"/>
      <c r="E4450" s="53"/>
      <c r="F4450" s="54"/>
      <c r="G4450" s="23"/>
      <c r="H4450" s="54"/>
      <c r="I4450" s="53"/>
      <c r="J4450" s="53"/>
      <c r="K4450" s="23"/>
      <c r="L4450" s="53"/>
      <c r="M4450" s="54"/>
    </row>
    <row r="4451">
      <c r="A4451" s="23"/>
      <c r="B4451" s="52"/>
      <c r="C4451" s="53"/>
      <c r="D4451" s="23"/>
      <c r="E4451" s="53"/>
      <c r="F4451" s="54"/>
      <c r="G4451" s="54"/>
      <c r="H4451" s="54"/>
      <c r="I4451" s="53"/>
      <c r="J4451" s="53"/>
      <c r="K4451" s="23"/>
      <c r="L4451" s="53"/>
      <c r="M4451" s="54"/>
    </row>
    <row r="4452">
      <c r="A4452" s="23"/>
      <c r="B4452" s="52"/>
      <c r="C4452" s="53"/>
      <c r="D4452" s="23"/>
      <c r="E4452" s="53"/>
      <c r="F4452" s="54"/>
      <c r="G4452" s="23"/>
      <c r="H4452" s="54"/>
      <c r="I4452" s="53"/>
      <c r="J4452" s="23"/>
      <c r="K4452" s="23"/>
      <c r="L4452" s="53"/>
      <c r="M4452" s="54"/>
    </row>
    <row r="4453">
      <c r="A4453" s="23"/>
      <c r="B4453" s="52"/>
      <c r="C4453" s="53"/>
      <c r="D4453" s="23"/>
      <c r="E4453" s="53"/>
      <c r="F4453" s="54"/>
      <c r="G4453" s="23"/>
      <c r="H4453" s="54"/>
      <c r="I4453" s="53"/>
      <c r="J4453" s="53"/>
      <c r="K4453" s="23"/>
      <c r="L4453" s="53"/>
      <c r="M4453" s="54"/>
    </row>
    <row r="4454">
      <c r="A4454" s="23"/>
      <c r="B4454" s="52"/>
      <c r="C4454" s="53"/>
      <c r="D4454" s="23"/>
      <c r="E4454" s="53"/>
      <c r="F4454" s="54"/>
      <c r="G4454" s="54"/>
      <c r="H4454" s="54"/>
      <c r="I4454" s="53"/>
      <c r="J4454" s="53"/>
      <c r="K4454" s="23"/>
      <c r="L4454" s="53"/>
      <c r="M4454" s="54"/>
    </row>
    <row r="4455">
      <c r="A4455" s="23"/>
      <c r="B4455" s="52"/>
      <c r="C4455" s="53"/>
      <c r="D4455" s="23"/>
      <c r="E4455" s="53"/>
      <c r="F4455" s="54"/>
      <c r="G4455" s="54"/>
      <c r="H4455" s="54"/>
      <c r="I4455" s="53"/>
      <c r="J4455" s="53"/>
      <c r="K4455" s="23"/>
      <c r="L4455" s="53"/>
      <c r="M4455" s="54"/>
    </row>
    <row r="4456">
      <c r="A4456" s="23"/>
      <c r="B4456" s="52"/>
      <c r="C4456" s="53"/>
      <c r="D4456" s="23"/>
      <c r="E4456" s="53"/>
      <c r="F4456" s="54"/>
      <c r="G4456" s="23"/>
      <c r="H4456" s="54"/>
      <c r="I4456" s="53"/>
      <c r="J4456" s="53"/>
      <c r="K4456" s="23"/>
      <c r="L4456" s="53"/>
      <c r="M4456" s="54"/>
    </row>
    <row r="4457">
      <c r="A4457" s="23"/>
      <c r="B4457" s="52"/>
      <c r="C4457" s="53"/>
      <c r="D4457" s="23"/>
      <c r="E4457" s="53"/>
      <c r="F4457" s="54"/>
      <c r="G4457" s="54"/>
      <c r="H4457" s="54"/>
      <c r="I4457" s="53"/>
      <c r="J4457" s="53"/>
      <c r="K4457" s="23"/>
      <c r="L4457" s="53"/>
      <c r="M4457" s="54"/>
    </row>
    <row r="4458">
      <c r="A4458" s="23"/>
      <c r="B4458" s="52"/>
      <c r="C4458" s="53"/>
      <c r="D4458" s="23"/>
      <c r="E4458" s="53"/>
      <c r="F4458" s="54"/>
      <c r="G4458" s="54"/>
      <c r="H4458" s="54"/>
      <c r="I4458" s="53"/>
      <c r="J4458" s="53"/>
      <c r="K4458" s="23"/>
      <c r="L4458" s="53"/>
      <c r="M4458" s="54"/>
    </row>
    <row r="4459">
      <c r="A4459" s="23"/>
      <c r="B4459" s="52"/>
      <c r="C4459" s="53"/>
      <c r="D4459" s="23"/>
      <c r="E4459" s="53"/>
      <c r="F4459" s="54"/>
      <c r="G4459" s="54"/>
      <c r="H4459" s="54"/>
      <c r="I4459" s="53"/>
      <c r="J4459" s="53"/>
      <c r="K4459" s="23"/>
      <c r="L4459" s="53"/>
      <c r="M4459" s="54"/>
    </row>
    <row r="4460">
      <c r="A4460" s="23"/>
      <c r="B4460" s="52"/>
      <c r="C4460" s="53"/>
      <c r="D4460" s="23"/>
      <c r="E4460" s="53"/>
      <c r="F4460" s="54"/>
      <c r="G4460" s="23"/>
      <c r="H4460" s="54"/>
      <c r="I4460" s="53"/>
      <c r="J4460" s="53"/>
      <c r="K4460" s="23"/>
      <c r="L4460" s="53"/>
      <c r="M4460" s="54"/>
    </row>
    <row r="4461">
      <c r="A4461" s="23"/>
      <c r="B4461" s="52"/>
      <c r="C4461" s="53"/>
      <c r="D4461" s="23"/>
      <c r="E4461" s="53"/>
      <c r="F4461" s="54"/>
      <c r="G4461" s="54"/>
      <c r="H4461" s="54"/>
      <c r="I4461" s="53"/>
      <c r="J4461" s="53"/>
      <c r="K4461" s="23"/>
      <c r="L4461" s="53"/>
      <c r="M4461" s="54"/>
    </row>
    <row r="4462">
      <c r="A4462" s="23"/>
      <c r="B4462" s="52"/>
      <c r="C4462" s="53"/>
      <c r="D4462" s="23"/>
      <c r="E4462" s="53"/>
      <c r="F4462" s="54"/>
      <c r="G4462" s="54"/>
      <c r="H4462" s="54"/>
      <c r="I4462" s="53"/>
      <c r="J4462" s="53"/>
      <c r="K4462" s="23"/>
      <c r="L4462" s="53"/>
      <c r="M4462" s="54"/>
    </row>
    <row r="4463">
      <c r="A4463" s="23"/>
      <c r="B4463" s="52"/>
      <c r="C4463" s="53"/>
      <c r="D4463" s="23"/>
      <c r="E4463" s="53"/>
      <c r="F4463" s="54"/>
      <c r="G4463" s="23"/>
      <c r="H4463" s="54"/>
      <c r="I4463" s="53"/>
      <c r="J4463" s="53"/>
      <c r="K4463" s="23"/>
      <c r="L4463" s="53"/>
      <c r="M4463" s="54"/>
    </row>
    <row r="4464">
      <c r="A4464" s="23"/>
      <c r="B4464" s="52"/>
      <c r="C4464" s="53"/>
      <c r="D4464" s="23"/>
      <c r="E4464" s="53"/>
      <c r="F4464" s="54"/>
      <c r="G4464" s="54"/>
      <c r="H4464" s="54"/>
      <c r="I4464" s="53"/>
      <c r="J4464" s="53"/>
      <c r="K4464" s="23"/>
      <c r="L4464" s="53"/>
      <c r="M4464" s="54"/>
    </row>
    <row r="4465">
      <c r="A4465" s="23"/>
      <c r="B4465" s="52"/>
      <c r="C4465" s="53"/>
      <c r="D4465" s="23"/>
      <c r="E4465" s="53"/>
      <c r="F4465" s="54"/>
      <c r="G4465" s="54"/>
      <c r="H4465" s="54"/>
      <c r="I4465" s="53"/>
      <c r="J4465" s="53"/>
      <c r="K4465" s="23"/>
      <c r="L4465" s="53"/>
      <c r="M4465" s="54"/>
    </row>
    <row r="4466">
      <c r="A4466" s="23"/>
      <c r="B4466" s="52"/>
      <c r="C4466" s="53"/>
      <c r="D4466" s="23"/>
      <c r="E4466" s="53"/>
      <c r="F4466" s="54"/>
      <c r="G4466" s="23"/>
      <c r="H4466" s="54"/>
      <c r="I4466" s="53"/>
      <c r="J4466" s="23"/>
      <c r="K4466" s="23"/>
      <c r="L4466" s="53"/>
      <c r="M4466" s="54"/>
    </row>
    <row r="4467">
      <c r="A4467" s="23"/>
      <c r="B4467" s="52"/>
      <c r="C4467" s="53"/>
      <c r="D4467" s="23"/>
      <c r="E4467" s="53"/>
      <c r="F4467" s="54"/>
      <c r="G4467" s="54"/>
      <c r="H4467" s="54"/>
      <c r="I4467" s="53"/>
      <c r="J4467" s="53"/>
      <c r="K4467" s="23"/>
      <c r="L4467" s="53"/>
      <c r="M4467" s="54"/>
    </row>
    <row r="4468">
      <c r="A4468" s="23"/>
      <c r="B4468" s="52"/>
      <c r="C4468" s="53"/>
      <c r="D4468" s="23"/>
      <c r="E4468" s="53"/>
      <c r="F4468" s="54"/>
      <c r="G4468" s="23"/>
      <c r="H4468" s="54"/>
      <c r="I4468" s="53"/>
      <c r="J4468" s="53"/>
      <c r="K4468" s="23"/>
      <c r="L4468" s="53"/>
      <c r="M4468" s="54"/>
    </row>
    <row r="4469">
      <c r="A4469" s="23"/>
      <c r="B4469" s="52"/>
      <c r="C4469" s="53"/>
      <c r="D4469" s="23"/>
      <c r="E4469" s="53"/>
      <c r="F4469" s="54"/>
      <c r="G4469" s="23"/>
      <c r="H4469" s="54"/>
      <c r="I4469" s="53"/>
      <c r="J4469" s="53"/>
      <c r="K4469" s="23"/>
      <c r="L4469" s="53"/>
      <c r="M4469" s="54"/>
    </row>
    <row r="4470">
      <c r="A4470" s="23"/>
      <c r="B4470" s="52"/>
      <c r="C4470" s="53"/>
      <c r="D4470" s="23"/>
      <c r="E4470" s="53"/>
      <c r="F4470" s="54"/>
      <c r="G4470" s="23"/>
      <c r="H4470" s="54"/>
      <c r="I4470" s="53"/>
      <c r="J4470" s="23"/>
      <c r="K4470" s="23"/>
      <c r="L4470" s="53"/>
      <c r="M4470" s="54"/>
    </row>
    <row r="4471">
      <c r="A4471" s="23"/>
      <c r="B4471" s="52"/>
      <c r="C4471" s="53"/>
      <c r="D4471" s="23"/>
      <c r="E4471" s="53"/>
      <c r="F4471" s="54"/>
      <c r="G4471" s="54"/>
      <c r="H4471" s="54"/>
      <c r="I4471" s="53"/>
      <c r="J4471" s="53"/>
      <c r="K4471" s="23"/>
      <c r="L4471" s="53"/>
      <c r="M4471" s="54"/>
    </row>
    <row r="4472">
      <c r="A4472" s="23"/>
      <c r="B4472" s="52"/>
      <c r="C4472" s="53"/>
      <c r="D4472" s="23"/>
      <c r="E4472" s="53"/>
      <c r="F4472" s="54"/>
      <c r="G4472" s="23"/>
      <c r="H4472" s="54"/>
      <c r="I4472" s="53"/>
      <c r="J4472" s="53"/>
      <c r="K4472" s="23"/>
      <c r="L4472" s="53"/>
      <c r="M4472" s="54"/>
    </row>
    <row r="4473">
      <c r="A4473" s="23"/>
      <c r="B4473" s="52"/>
      <c r="C4473" s="53"/>
      <c r="D4473" s="23"/>
      <c r="E4473" s="53"/>
      <c r="F4473" s="54"/>
      <c r="G4473" s="23"/>
      <c r="H4473" s="54"/>
      <c r="I4473" s="53"/>
      <c r="J4473" s="53"/>
      <c r="K4473" s="23"/>
      <c r="L4473" s="23"/>
      <c r="M4473" s="54"/>
    </row>
    <row r="4474">
      <c r="A4474" s="23"/>
      <c r="B4474" s="52"/>
      <c r="C4474" s="53"/>
      <c r="D4474" s="23"/>
      <c r="E4474" s="53"/>
      <c r="F4474" s="54"/>
      <c r="G4474" s="23"/>
      <c r="H4474" s="54"/>
      <c r="I4474" s="53"/>
      <c r="J4474" s="53"/>
      <c r="K4474" s="23"/>
      <c r="L4474" s="53"/>
      <c r="M4474" s="54"/>
    </row>
    <row r="4475">
      <c r="A4475" s="23"/>
      <c r="B4475" s="52"/>
      <c r="C4475" s="53"/>
      <c r="D4475" s="23"/>
      <c r="E4475" s="53"/>
      <c r="F4475" s="54"/>
      <c r="G4475" s="23"/>
      <c r="H4475" s="54"/>
      <c r="I4475" s="53"/>
      <c r="J4475" s="23"/>
      <c r="K4475" s="23"/>
      <c r="L4475" s="53"/>
      <c r="M4475" s="54"/>
    </row>
    <row r="4476">
      <c r="A4476" s="23"/>
      <c r="B4476" s="52"/>
      <c r="C4476" s="53"/>
      <c r="D4476" s="23"/>
      <c r="E4476" s="53"/>
      <c r="F4476" s="54"/>
      <c r="G4476" s="23"/>
      <c r="H4476" s="54"/>
      <c r="I4476" s="53"/>
      <c r="J4476" s="53"/>
      <c r="K4476" s="23"/>
      <c r="L4476" s="53"/>
      <c r="M4476" s="54"/>
    </row>
    <row r="4477">
      <c r="A4477" s="23"/>
      <c r="B4477" s="52"/>
      <c r="C4477" s="53"/>
      <c r="D4477" s="23"/>
      <c r="E4477" s="53"/>
      <c r="F4477" s="54"/>
      <c r="G4477" s="23"/>
      <c r="H4477" s="54"/>
      <c r="I4477" s="53"/>
      <c r="J4477" s="23"/>
      <c r="K4477" s="23"/>
      <c r="L4477" s="53"/>
      <c r="M4477" s="54"/>
    </row>
    <row r="4478">
      <c r="A4478" s="23"/>
      <c r="B4478" s="52"/>
      <c r="C4478" s="53"/>
      <c r="D4478" s="23"/>
      <c r="E4478" s="53"/>
      <c r="F4478" s="54"/>
      <c r="G4478" s="23"/>
      <c r="H4478" s="54"/>
      <c r="I4478" s="53"/>
      <c r="J4478" s="23"/>
      <c r="K4478" s="23"/>
      <c r="L4478" s="53"/>
      <c r="M4478" s="54"/>
    </row>
    <row r="4479">
      <c r="A4479" s="23"/>
      <c r="B4479" s="52"/>
      <c r="C4479" s="53"/>
      <c r="D4479" s="23"/>
      <c r="E4479" s="53"/>
      <c r="F4479" s="54"/>
      <c r="G4479" s="54"/>
      <c r="H4479" s="54"/>
      <c r="I4479" s="53"/>
      <c r="J4479" s="53"/>
      <c r="K4479" s="23"/>
      <c r="L4479" s="53"/>
      <c r="M4479" s="54"/>
    </row>
    <row r="4480">
      <c r="A4480" s="23"/>
      <c r="B4480" s="52"/>
      <c r="C4480" s="53"/>
      <c r="D4480" s="23"/>
      <c r="E4480" s="53"/>
      <c r="F4480" s="54"/>
      <c r="G4480" s="54"/>
      <c r="H4480" s="54"/>
      <c r="I4480" s="53"/>
      <c r="J4480" s="53"/>
      <c r="K4480" s="23"/>
      <c r="L4480" s="53"/>
      <c r="M4480" s="54"/>
    </row>
    <row r="4481">
      <c r="A4481" s="23"/>
      <c r="B4481" s="52"/>
      <c r="C4481" s="53"/>
      <c r="D4481" s="23"/>
      <c r="E4481" s="53"/>
      <c r="F4481" s="54"/>
      <c r="G4481" s="54"/>
      <c r="H4481" s="54"/>
      <c r="I4481" s="53"/>
      <c r="J4481" s="53"/>
      <c r="K4481" s="23"/>
      <c r="L4481" s="53"/>
      <c r="M4481" s="54"/>
    </row>
    <row r="4482">
      <c r="A4482" s="23"/>
      <c r="B4482" s="52"/>
      <c r="C4482" s="53"/>
      <c r="D4482" s="23"/>
      <c r="E4482" s="53"/>
      <c r="F4482" s="54"/>
      <c r="G4482" s="54"/>
      <c r="H4482" s="54"/>
      <c r="I4482" s="53"/>
      <c r="J4482" s="53"/>
      <c r="K4482" s="23"/>
      <c r="L4482" s="53"/>
      <c r="M4482" s="54"/>
    </row>
    <row r="4483">
      <c r="A4483" s="23"/>
      <c r="B4483" s="52"/>
      <c r="C4483" s="53"/>
      <c r="D4483" s="23"/>
      <c r="E4483" s="53"/>
      <c r="F4483" s="54"/>
      <c r="G4483" s="54"/>
      <c r="H4483" s="54"/>
      <c r="I4483" s="53"/>
      <c r="J4483" s="53"/>
      <c r="K4483" s="23"/>
      <c r="L4483" s="53"/>
      <c r="M4483" s="54"/>
    </row>
    <row r="4484">
      <c r="A4484" s="23"/>
      <c r="B4484" s="52"/>
      <c r="C4484" s="53"/>
      <c r="D4484" s="23"/>
      <c r="E4484" s="53"/>
      <c r="F4484" s="54"/>
      <c r="G4484" s="23"/>
      <c r="H4484" s="54"/>
      <c r="I4484" s="53"/>
      <c r="J4484" s="53"/>
      <c r="K4484" s="53"/>
      <c r="L4484" s="23"/>
      <c r="M4484" s="54"/>
    </row>
    <row r="4485">
      <c r="A4485" s="23"/>
      <c r="B4485" s="52"/>
      <c r="C4485" s="53"/>
      <c r="D4485" s="23"/>
      <c r="E4485" s="53"/>
      <c r="F4485" s="54"/>
      <c r="G4485" s="54"/>
      <c r="H4485" s="54"/>
      <c r="I4485" s="53"/>
      <c r="J4485" s="53"/>
      <c r="K4485" s="53"/>
      <c r="L4485" s="53"/>
      <c r="M4485" s="54"/>
    </row>
    <row r="4486">
      <c r="A4486" s="23"/>
      <c r="B4486" s="52"/>
      <c r="C4486" s="53"/>
      <c r="D4486" s="23"/>
      <c r="E4486" s="53"/>
      <c r="F4486" s="54"/>
      <c r="G4486" s="23"/>
      <c r="H4486" s="54"/>
      <c r="I4486" s="53"/>
      <c r="J4486" s="53"/>
      <c r="K4486" s="53"/>
      <c r="L4486" s="53"/>
      <c r="M4486" s="54"/>
    </row>
    <row r="4487">
      <c r="A4487" s="23"/>
      <c r="B4487" s="52"/>
      <c r="C4487" s="53"/>
      <c r="D4487" s="23"/>
      <c r="E4487" s="53"/>
      <c r="F4487" s="54"/>
      <c r="G4487" s="54"/>
      <c r="H4487" s="54"/>
      <c r="I4487" s="53"/>
      <c r="J4487" s="53"/>
      <c r="K4487" s="23"/>
      <c r="L4487" s="53"/>
      <c r="M4487" s="54"/>
    </row>
    <row r="4488">
      <c r="A4488" s="23"/>
      <c r="B4488" s="52"/>
      <c r="C4488" s="53"/>
      <c r="D4488" s="23"/>
      <c r="E4488" s="53"/>
      <c r="F4488" s="54"/>
      <c r="G4488" s="54"/>
      <c r="H4488" s="54"/>
      <c r="I4488" s="53"/>
      <c r="J4488" s="53"/>
      <c r="K4488" s="23"/>
      <c r="L4488" s="53"/>
      <c r="M4488" s="54"/>
    </row>
    <row r="4489">
      <c r="A4489" s="23"/>
      <c r="B4489" s="52"/>
      <c r="C4489" s="53"/>
      <c r="D4489" s="23"/>
      <c r="E4489" s="53"/>
      <c r="F4489" s="54"/>
      <c r="G4489" s="54"/>
      <c r="H4489" s="54"/>
      <c r="I4489" s="53"/>
      <c r="J4489" s="53"/>
      <c r="K4489" s="23"/>
      <c r="L4489" s="53"/>
      <c r="M4489" s="54"/>
    </row>
    <row r="4490">
      <c r="A4490" s="23"/>
      <c r="B4490" s="52"/>
      <c r="C4490" s="53"/>
      <c r="D4490" s="23"/>
      <c r="E4490" s="53"/>
      <c r="F4490" s="54"/>
      <c r="G4490" s="23"/>
      <c r="H4490" s="54"/>
      <c r="I4490" s="53"/>
      <c r="J4490" s="53"/>
      <c r="K4490" s="23"/>
      <c r="L4490" s="53"/>
      <c r="M4490" s="54"/>
    </row>
    <row r="4491">
      <c r="A4491" s="23"/>
      <c r="B4491" s="52"/>
      <c r="C4491" s="53"/>
      <c r="D4491" s="23"/>
      <c r="E4491" s="53"/>
      <c r="F4491" s="54"/>
      <c r="G4491" s="54"/>
      <c r="H4491" s="54"/>
      <c r="I4491" s="53"/>
      <c r="J4491" s="53"/>
      <c r="K4491" s="23"/>
      <c r="L4491" s="53"/>
      <c r="M4491" s="54"/>
    </row>
    <row r="4492">
      <c r="A4492" s="23"/>
      <c r="B4492" s="52"/>
      <c r="C4492" s="53"/>
      <c r="D4492" s="23"/>
      <c r="E4492" s="53"/>
      <c r="F4492" s="54"/>
      <c r="G4492" s="23"/>
      <c r="H4492" s="54"/>
      <c r="I4492" s="53"/>
      <c r="J4492" s="53"/>
      <c r="K4492" s="23"/>
      <c r="L4492" s="53"/>
      <c r="M4492" s="54"/>
    </row>
    <row r="4493">
      <c r="A4493" s="23"/>
      <c r="B4493" s="52"/>
      <c r="C4493" s="53"/>
      <c r="D4493" s="23"/>
      <c r="E4493" s="53"/>
      <c r="F4493" s="54"/>
      <c r="G4493" s="23"/>
      <c r="H4493" s="54"/>
      <c r="I4493" s="53"/>
      <c r="J4493" s="23"/>
      <c r="K4493" s="23"/>
      <c r="L4493" s="53"/>
      <c r="M4493" s="54"/>
    </row>
    <row r="4494">
      <c r="A4494" s="23"/>
      <c r="B4494" s="52"/>
      <c r="C4494" s="53"/>
      <c r="D4494" s="23"/>
      <c r="E4494" s="53"/>
      <c r="F4494" s="54"/>
      <c r="G4494" s="54"/>
      <c r="H4494" s="54"/>
      <c r="I4494" s="53"/>
      <c r="J4494" s="53"/>
      <c r="K4494" s="23"/>
      <c r="L4494" s="53"/>
      <c r="M4494" s="54"/>
    </row>
    <row r="4495">
      <c r="A4495" s="23"/>
      <c r="B4495" s="52"/>
      <c r="C4495" s="53"/>
      <c r="D4495" s="23"/>
      <c r="E4495" s="53"/>
      <c r="F4495" s="54"/>
      <c r="G4495" s="23"/>
      <c r="H4495" s="54"/>
      <c r="I4495" s="53"/>
      <c r="J4495" s="23"/>
      <c r="K4495" s="23"/>
      <c r="L4495" s="53"/>
      <c r="M4495" s="54"/>
    </row>
    <row r="4496">
      <c r="A4496" s="23"/>
      <c r="B4496" s="52"/>
      <c r="C4496" s="53"/>
      <c r="D4496" s="23"/>
      <c r="E4496" s="53"/>
      <c r="F4496" s="54"/>
      <c r="G4496" s="23"/>
      <c r="H4496" s="54"/>
      <c r="I4496" s="53"/>
      <c r="J4496" s="53"/>
      <c r="K4496" s="53"/>
      <c r="L4496" s="23"/>
      <c r="M4496" s="54"/>
    </row>
    <row r="4497">
      <c r="A4497" s="23"/>
      <c r="B4497" s="52"/>
      <c r="C4497" s="53"/>
      <c r="D4497" s="23"/>
      <c r="E4497" s="53"/>
      <c r="F4497" s="54"/>
      <c r="G4497" s="54"/>
      <c r="H4497" s="54"/>
      <c r="I4497" s="53"/>
      <c r="J4497" s="53"/>
      <c r="K4497" s="53"/>
      <c r="L4497" s="53"/>
      <c r="M4497" s="54"/>
    </row>
    <row r="4498">
      <c r="A4498" s="23"/>
      <c r="B4498" s="52"/>
      <c r="C4498" s="53"/>
      <c r="D4498" s="23"/>
      <c r="E4498" s="53"/>
      <c r="F4498" s="54"/>
      <c r="G4498" s="54"/>
      <c r="H4498" s="54"/>
      <c r="I4498" s="53"/>
      <c r="J4498" s="53"/>
      <c r="K4498" s="53"/>
      <c r="L4498" s="53"/>
      <c r="M4498" s="54"/>
    </row>
    <row r="4499">
      <c r="A4499" s="23"/>
      <c r="B4499" s="52"/>
      <c r="C4499" s="53"/>
      <c r="D4499" s="23"/>
      <c r="E4499" s="53"/>
      <c r="F4499" s="54"/>
      <c r="G4499" s="54"/>
      <c r="H4499" s="54"/>
      <c r="I4499" s="53"/>
      <c r="J4499" s="53"/>
      <c r="K4499" s="53"/>
      <c r="L4499" s="53"/>
      <c r="M4499" s="54"/>
    </row>
    <row r="4500">
      <c r="A4500" s="23"/>
      <c r="B4500" s="52"/>
      <c r="C4500" s="53"/>
      <c r="D4500" s="23"/>
      <c r="E4500" s="53"/>
      <c r="F4500" s="54"/>
      <c r="G4500" s="23"/>
      <c r="H4500" s="54"/>
      <c r="I4500" s="53"/>
      <c r="J4500" s="23"/>
      <c r="K4500" s="23"/>
      <c r="L4500" s="53"/>
      <c r="M4500" s="54"/>
    </row>
    <row r="4501">
      <c r="A4501" s="23"/>
      <c r="B4501" s="52"/>
      <c r="C4501" s="53"/>
      <c r="D4501" s="23"/>
      <c r="E4501" s="53"/>
      <c r="F4501" s="54"/>
      <c r="G4501" s="23"/>
      <c r="H4501" s="54"/>
      <c r="I4501" s="53"/>
      <c r="J4501" s="53"/>
      <c r="K4501" s="23"/>
      <c r="L4501" s="53"/>
      <c r="M4501" s="54"/>
    </row>
    <row r="4502">
      <c r="A4502" s="23"/>
      <c r="B4502" s="52"/>
      <c r="C4502" s="53"/>
      <c r="D4502" s="23"/>
      <c r="E4502" s="53"/>
      <c r="F4502" s="54"/>
      <c r="G4502" s="54"/>
      <c r="H4502" s="54"/>
      <c r="I4502" s="53"/>
      <c r="J4502" s="53"/>
      <c r="K4502" s="23"/>
      <c r="L4502" s="53"/>
      <c r="M4502" s="54"/>
    </row>
    <row r="4503">
      <c r="A4503" s="23"/>
      <c r="B4503" s="52"/>
      <c r="C4503" s="53"/>
      <c r="D4503" s="23"/>
      <c r="E4503" s="53"/>
      <c r="F4503" s="54"/>
      <c r="G4503" s="54"/>
      <c r="H4503" s="54"/>
      <c r="I4503" s="53"/>
      <c r="J4503" s="53"/>
      <c r="K4503" s="23"/>
      <c r="L4503" s="53"/>
      <c r="M4503" s="54"/>
    </row>
    <row r="4504">
      <c r="A4504" s="23"/>
      <c r="B4504" s="52"/>
      <c r="C4504" s="53"/>
      <c r="D4504" s="23"/>
      <c r="E4504" s="53"/>
      <c r="F4504" s="54"/>
      <c r="G4504" s="54"/>
      <c r="H4504" s="54"/>
      <c r="I4504" s="53"/>
      <c r="J4504" s="53"/>
      <c r="K4504" s="23"/>
      <c r="L4504" s="53"/>
      <c r="M4504" s="54"/>
    </row>
    <row r="4505">
      <c r="A4505" s="23"/>
      <c r="B4505" s="52"/>
      <c r="C4505" s="53"/>
      <c r="D4505" s="23"/>
      <c r="E4505" s="53"/>
      <c r="F4505" s="54"/>
      <c r="G4505" s="23"/>
      <c r="H4505" s="54"/>
      <c r="I4505" s="53"/>
      <c r="J4505" s="53"/>
      <c r="K4505" s="23"/>
      <c r="L4505" s="53"/>
      <c r="M4505" s="54"/>
    </row>
    <row r="4506">
      <c r="A4506" s="23"/>
      <c r="B4506" s="52"/>
      <c r="C4506" s="53"/>
      <c r="D4506" s="23"/>
      <c r="E4506" s="53"/>
      <c r="F4506" s="54"/>
      <c r="G4506" s="23"/>
      <c r="H4506" s="54"/>
      <c r="I4506" s="53"/>
      <c r="J4506" s="53"/>
      <c r="K4506" s="23"/>
      <c r="L4506" s="53"/>
      <c r="M4506" s="54"/>
    </row>
    <row r="4507">
      <c r="A4507" s="23"/>
      <c r="B4507" s="52"/>
      <c r="C4507" s="53"/>
      <c r="D4507" s="23"/>
      <c r="E4507" s="53"/>
      <c r="F4507" s="54"/>
      <c r="G4507" s="23"/>
      <c r="H4507" s="54"/>
      <c r="I4507" s="53"/>
      <c r="J4507" s="53"/>
      <c r="K4507" s="23"/>
      <c r="L4507" s="53"/>
      <c r="M4507" s="54"/>
    </row>
    <row r="4508">
      <c r="A4508" s="23"/>
      <c r="B4508" s="52"/>
      <c r="C4508" s="53"/>
      <c r="D4508" s="23"/>
      <c r="E4508" s="53"/>
      <c r="F4508" s="54"/>
      <c r="G4508" s="54"/>
      <c r="H4508" s="54"/>
      <c r="I4508" s="53"/>
      <c r="J4508" s="53"/>
      <c r="K4508" s="23"/>
      <c r="L4508" s="53"/>
      <c r="M4508" s="54"/>
    </row>
    <row r="4509">
      <c r="A4509" s="23"/>
      <c r="B4509" s="52"/>
      <c r="C4509" s="53"/>
      <c r="D4509" s="23"/>
      <c r="E4509" s="53"/>
      <c r="F4509" s="54"/>
      <c r="G4509" s="54"/>
      <c r="H4509" s="54"/>
      <c r="I4509" s="53"/>
      <c r="J4509" s="53"/>
      <c r="K4509" s="23"/>
      <c r="L4509" s="53"/>
      <c r="M4509" s="54"/>
    </row>
    <row r="4510">
      <c r="A4510" s="23"/>
      <c r="B4510" s="52"/>
      <c r="C4510" s="53"/>
      <c r="D4510" s="23"/>
      <c r="E4510" s="53"/>
      <c r="F4510" s="54"/>
      <c r="G4510" s="54"/>
      <c r="H4510" s="54"/>
      <c r="I4510" s="53"/>
      <c r="J4510" s="53"/>
      <c r="K4510" s="23"/>
      <c r="L4510" s="53"/>
      <c r="M4510" s="54"/>
    </row>
    <row r="4511">
      <c r="A4511" s="23"/>
      <c r="B4511" s="52"/>
      <c r="C4511" s="53"/>
      <c r="D4511" s="23"/>
      <c r="E4511" s="53"/>
      <c r="F4511" s="54"/>
      <c r="G4511" s="54"/>
      <c r="H4511" s="54"/>
      <c r="I4511" s="53"/>
      <c r="J4511" s="53"/>
      <c r="K4511" s="23"/>
      <c r="L4511" s="53"/>
      <c r="M4511" s="54"/>
    </row>
    <row r="4512">
      <c r="A4512" s="23"/>
      <c r="B4512" s="52"/>
      <c r="C4512" s="53"/>
      <c r="D4512" s="23"/>
      <c r="E4512" s="53"/>
      <c r="F4512" s="54"/>
      <c r="G4512" s="54"/>
      <c r="H4512" s="54"/>
      <c r="I4512" s="53"/>
      <c r="J4512" s="53"/>
      <c r="K4512" s="23"/>
      <c r="L4512" s="53"/>
      <c r="M4512" s="54"/>
    </row>
    <row r="4513">
      <c r="A4513" s="23"/>
      <c r="B4513" s="52"/>
      <c r="C4513" s="53"/>
      <c r="D4513" s="23"/>
      <c r="E4513" s="53"/>
      <c r="F4513" s="54"/>
      <c r="G4513" s="23"/>
      <c r="H4513" s="54"/>
      <c r="I4513" s="53"/>
      <c r="J4513" s="23"/>
      <c r="K4513" s="23"/>
      <c r="L4513" s="53"/>
      <c r="M4513" s="54"/>
    </row>
    <row r="4514">
      <c r="A4514" s="23"/>
      <c r="B4514" s="52"/>
      <c r="C4514" s="53"/>
      <c r="D4514" s="23"/>
      <c r="E4514" s="53"/>
      <c r="F4514" s="54"/>
      <c r="G4514" s="54"/>
      <c r="H4514" s="54"/>
      <c r="I4514" s="53"/>
      <c r="J4514" s="53"/>
      <c r="K4514" s="23"/>
      <c r="L4514" s="53"/>
      <c r="M4514" s="54"/>
    </row>
    <row r="4515">
      <c r="A4515" s="23"/>
      <c r="B4515" s="52"/>
      <c r="C4515" s="53"/>
      <c r="D4515" s="23"/>
      <c r="E4515" s="53"/>
      <c r="F4515" s="54"/>
      <c r="G4515" s="23"/>
      <c r="H4515" s="54"/>
      <c r="I4515" s="53"/>
      <c r="J4515" s="53"/>
      <c r="K4515" s="23"/>
      <c r="L4515" s="53"/>
      <c r="M4515" s="54"/>
    </row>
    <row r="4516">
      <c r="A4516" s="23"/>
      <c r="B4516" s="52"/>
      <c r="C4516" s="53"/>
      <c r="D4516" s="23"/>
      <c r="E4516" s="53"/>
      <c r="F4516" s="54"/>
      <c r="G4516" s="54"/>
      <c r="H4516" s="54"/>
      <c r="I4516" s="53"/>
      <c r="J4516" s="53"/>
      <c r="K4516" s="23"/>
      <c r="L4516" s="53"/>
      <c r="M4516" s="54"/>
    </row>
    <row r="4517">
      <c r="A4517" s="23"/>
      <c r="B4517" s="52"/>
      <c r="C4517" s="53"/>
      <c r="D4517" s="23"/>
      <c r="E4517" s="53"/>
      <c r="F4517" s="54"/>
      <c r="G4517" s="54"/>
      <c r="H4517" s="54"/>
      <c r="I4517" s="53"/>
      <c r="J4517" s="53"/>
      <c r="K4517" s="23"/>
      <c r="L4517" s="53"/>
      <c r="M4517" s="54"/>
    </row>
    <row r="4518">
      <c r="A4518" s="23"/>
      <c r="B4518" s="52"/>
      <c r="C4518" s="53"/>
      <c r="D4518" s="23"/>
      <c r="E4518" s="53"/>
      <c r="F4518" s="54"/>
      <c r="G4518" s="54"/>
      <c r="H4518" s="54"/>
      <c r="I4518" s="53"/>
      <c r="J4518" s="53"/>
      <c r="K4518" s="23"/>
      <c r="L4518" s="53"/>
      <c r="M4518" s="54"/>
    </row>
    <row r="4519">
      <c r="A4519" s="23"/>
      <c r="B4519" s="52"/>
      <c r="C4519" s="53"/>
      <c r="D4519" s="23"/>
      <c r="E4519" s="53"/>
      <c r="F4519" s="54"/>
      <c r="G4519" s="54"/>
      <c r="H4519" s="54"/>
      <c r="I4519" s="53"/>
      <c r="J4519" s="53"/>
      <c r="K4519" s="23"/>
      <c r="L4519" s="53"/>
      <c r="M4519" s="54"/>
    </row>
    <row r="4520">
      <c r="A4520" s="23"/>
      <c r="B4520" s="52"/>
      <c r="C4520" s="53"/>
      <c r="D4520" s="23"/>
      <c r="E4520" s="53"/>
      <c r="F4520" s="54"/>
      <c r="G4520" s="23"/>
      <c r="H4520" s="54"/>
      <c r="I4520" s="53"/>
      <c r="J4520" s="53"/>
      <c r="K4520" s="23"/>
      <c r="L4520" s="53"/>
      <c r="M4520" s="54"/>
    </row>
    <row r="4521">
      <c r="A4521" s="23"/>
      <c r="B4521" s="52"/>
      <c r="C4521" s="53"/>
      <c r="D4521" s="23"/>
      <c r="E4521" s="53"/>
      <c r="F4521" s="54"/>
      <c r="G4521" s="23"/>
      <c r="H4521" s="54"/>
      <c r="I4521" s="53"/>
      <c r="J4521" s="53"/>
      <c r="K4521" s="23"/>
      <c r="L4521" s="53"/>
      <c r="M4521" s="54"/>
    </row>
    <row r="4522">
      <c r="A4522" s="23"/>
      <c r="B4522" s="52"/>
      <c r="C4522" s="53"/>
      <c r="D4522" s="23"/>
      <c r="E4522" s="53"/>
      <c r="F4522" s="54"/>
      <c r="G4522" s="54"/>
      <c r="H4522" s="54"/>
      <c r="I4522" s="53"/>
      <c r="J4522" s="53"/>
      <c r="K4522" s="23"/>
      <c r="L4522" s="53"/>
      <c r="M4522" s="54"/>
    </row>
    <row r="4523">
      <c r="A4523" s="23"/>
      <c r="B4523" s="52"/>
      <c r="C4523" s="53"/>
      <c r="D4523" s="23"/>
      <c r="E4523" s="53"/>
      <c r="F4523" s="54"/>
      <c r="G4523" s="54"/>
      <c r="H4523" s="54"/>
      <c r="I4523" s="53"/>
      <c r="J4523" s="53"/>
      <c r="K4523" s="23"/>
      <c r="L4523" s="53"/>
      <c r="M4523" s="54"/>
    </row>
    <row r="4524">
      <c r="A4524" s="23"/>
      <c r="B4524" s="52"/>
      <c r="C4524" s="53"/>
      <c r="D4524" s="23"/>
      <c r="E4524" s="53"/>
      <c r="F4524" s="54"/>
      <c r="G4524" s="23"/>
      <c r="H4524" s="54"/>
      <c r="I4524" s="53"/>
      <c r="J4524" s="53"/>
      <c r="K4524" s="23"/>
      <c r="L4524" s="53"/>
      <c r="M4524" s="54"/>
    </row>
    <row r="4525">
      <c r="A4525" s="23"/>
      <c r="B4525" s="52"/>
      <c r="C4525" s="53"/>
      <c r="D4525" s="23"/>
      <c r="E4525" s="53"/>
      <c r="F4525" s="54"/>
      <c r="G4525" s="23"/>
      <c r="H4525" s="54"/>
      <c r="I4525" s="53"/>
      <c r="J4525" s="23"/>
      <c r="K4525" s="23"/>
      <c r="L4525" s="53"/>
      <c r="M4525" s="54"/>
    </row>
    <row r="4526">
      <c r="A4526" s="23"/>
      <c r="B4526" s="52"/>
      <c r="C4526" s="53"/>
      <c r="D4526" s="23"/>
      <c r="E4526" s="53"/>
      <c r="F4526" s="54"/>
      <c r="G4526" s="23"/>
      <c r="H4526" s="54"/>
      <c r="I4526" s="53"/>
      <c r="J4526" s="23"/>
      <c r="K4526" s="23"/>
      <c r="L4526" s="53"/>
      <c r="M4526" s="54"/>
    </row>
    <row r="4527">
      <c r="A4527" s="23"/>
      <c r="B4527" s="52"/>
      <c r="C4527" s="53"/>
      <c r="D4527" s="23"/>
      <c r="E4527" s="53"/>
      <c r="F4527" s="54"/>
      <c r="G4527" s="54"/>
      <c r="H4527" s="54"/>
      <c r="I4527" s="53"/>
      <c r="J4527" s="53"/>
      <c r="K4527" s="23"/>
      <c r="L4527" s="53"/>
      <c r="M4527" s="54"/>
    </row>
    <row r="4528">
      <c r="A4528" s="23"/>
      <c r="B4528" s="52"/>
      <c r="C4528" s="53"/>
      <c r="D4528" s="23"/>
      <c r="E4528" s="53"/>
      <c r="F4528" s="54"/>
      <c r="G4528" s="23"/>
      <c r="H4528" s="54"/>
      <c r="I4528" s="53"/>
      <c r="J4528" s="53"/>
      <c r="K4528" s="23"/>
      <c r="L4528" s="53"/>
      <c r="M4528" s="54"/>
    </row>
    <row r="4529">
      <c r="A4529" s="23"/>
      <c r="B4529" s="52"/>
      <c r="C4529" s="53"/>
      <c r="D4529" s="23"/>
      <c r="E4529" s="53"/>
      <c r="F4529" s="54"/>
      <c r="G4529" s="54"/>
      <c r="H4529" s="54"/>
      <c r="I4529" s="53"/>
      <c r="J4529" s="53"/>
      <c r="K4529" s="23"/>
      <c r="L4529" s="53"/>
      <c r="M4529" s="54"/>
    </row>
    <row r="4530">
      <c r="A4530" s="23"/>
      <c r="B4530" s="52"/>
      <c r="C4530" s="53"/>
      <c r="D4530" s="23"/>
      <c r="E4530" s="53"/>
      <c r="F4530" s="54"/>
      <c r="G4530" s="23"/>
      <c r="H4530" s="54"/>
      <c r="I4530" s="53"/>
      <c r="J4530" s="23"/>
      <c r="K4530" s="23"/>
      <c r="L4530" s="53"/>
      <c r="M4530" s="54"/>
    </row>
    <row r="4531">
      <c r="A4531" s="23"/>
      <c r="B4531" s="52"/>
      <c r="C4531" s="53"/>
      <c r="D4531" s="23"/>
      <c r="E4531" s="53"/>
      <c r="F4531" s="54"/>
      <c r="G4531" s="54"/>
      <c r="H4531" s="54"/>
      <c r="I4531" s="53"/>
      <c r="J4531" s="53"/>
      <c r="K4531" s="23"/>
      <c r="L4531" s="53"/>
      <c r="M4531" s="54"/>
    </row>
    <row r="4532">
      <c r="A4532" s="23"/>
      <c r="B4532" s="52"/>
      <c r="C4532" s="53"/>
      <c r="D4532" s="23"/>
      <c r="E4532" s="53"/>
      <c r="F4532" s="54"/>
      <c r="G4532" s="54"/>
      <c r="H4532" s="54"/>
      <c r="I4532" s="53"/>
      <c r="J4532" s="53"/>
      <c r="K4532" s="23"/>
      <c r="L4532" s="53"/>
      <c r="M4532" s="54"/>
    </row>
    <row r="4533">
      <c r="A4533" s="23"/>
      <c r="B4533" s="52"/>
      <c r="C4533" s="53"/>
      <c r="D4533" s="23"/>
      <c r="E4533" s="53"/>
      <c r="F4533" s="54"/>
      <c r="G4533" s="23"/>
      <c r="H4533" s="54"/>
      <c r="I4533" s="53"/>
      <c r="J4533" s="53"/>
      <c r="K4533" s="23"/>
      <c r="L4533" s="53"/>
      <c r="M4533" s="54"/>
    </row>
    <row r="4534">
      <c r="A4534" s="23"/>
      <c r="B4534" s="52"/>
      <c r="C4534" s="53"/>
      <c r="D4534" s="23"/>
      <c r="E4534" s="53"/>
      <c r="F4534" s="54"/>
      <c r="G4534" s="54"/>
      <c r="H4534" s="54"/>
      <c r="I4534" s="53"/>
      <c r="J4534" s="53"/>
      <c r="K4534" s="23"/>
      <c r="L4534" s="53"/>
      <c r="M4534" s="54"/>
    </row>
    <row r="4535">
      <c r="A4535" s="23"/>
      <c r="B4535" s="52"/>
      <c r="C4535" s="53"/>
      <c r="D4535" s="23"/>
      <c r="E4535" s="53"/>
      <c r="F4535" s="54"/>
      <c r="G4535" s="23"/>
      <c r="H4535" s="54"/>
      <c r="I4535" s="53"/>
      <c r="J4535" s="53"/>
      <c r="K4535" s="23"/>
      <c r="L4535" s="53"/>
      <c r="M4535" s="54"/>
    </row>
    <row r="4536">
      <c r="A4536" s="23"/>
      <c r="B4536" s="52"/>
      <c r="C4536" s="53"/>
      <c r="D4536" s="23"/>
      <c r="E4536" s="53"/>
      <c r="F4536" s="54"/>
      <c r="G4536" s="54"/>
      <c r="H4536" s="54"/>
      <c r="I4536" s="53"/>
      <c r="J4536" s="53"/>
      <c r="K4536" s="23"/>
      <c r="L4536" s="53"/>
      <c r="M4536" s="54"/>
    </row>
    <row r="4537">
      <c r="A4537" s="23"/>
      <c r="B4537" s="52"/>
      <c r="C4537" s="53"/>
      <c r="D4537" s="23"/>
      <c r="E4537" s="53"/>
      <c r="F4537" s="54"/>
      <c r="G4537" s="54"/>
      <c r="H4537" s="54"/>
      <c r="I4537" s="53"/>
      <c r="J4537" s="53"/>
      <c r="K4537" s="23"/>
      <c r="L4537" s="53"/>
      <c r="M4537" s="54"/>
    </row>
    <row r="4538">
      <c r="A4538" s="23"/>
      <c r="B4538" s="52"/>
      <c r="C4538" s="53"/>
      <c r="D4538" s="23"/>
      <c r="E4538" s="53"/>
      <c r="F4538" s="54"/>
      <c r="G4538" s="54"/>
      <c r="H4538" s="54"/>
      <c r="I4538" s="53"/>
      <c r="J4538" s="53"/>
      <c r="K4538" s="23"/>
      <c r="L4538" s="53"/>
      <c r="M4538" s="54"/>
    </row>
    <row r="4539">
      <c r="A4539" s="23"/>
      <c r="B4539" s="52"/>
      <c r="C4539" s="53"/>
      <c r="D4539" s="23"/>
      <c r="E4539" s="53"/>
      <c r="F4539" s="54"/>
      <c r="G4539" s="23"/>
      <c r="H4539" s="54"/>
      <c r="I4539" s="53"/>
      <c r="J4539" s="23"/>
      <c r="K4539" s="23"/>
      <c r="L4539" s="53"/>
      <c r="M4539" s="54"/>
    </row>
    <row r="4540">
      <c r="A4540" s="23"/>
      <c r="B4540" s="52"/>
      <c r="C4540" s="53"/>
      <c r="D4540" s="23"/>
      <c r="E4540" s="53"/>
      <c r="F4540" s="54"/>
      <c r="G4540" s="23"/>
      <c r="H4540" s="54"/>
      <c r="I4540" s="53"/>
      <c r="J4540" s="53"/>
      <c r="K4540" s="23"/>
      <c r="L4540" s="53"/>
      <c r="M4540" s="54"/>
    </row>
    <row r="4541">
      <c r="A4541" s="23"/>
      <c r="B4541" s="52"/>
      <c r="C4541" s="53"/>
      <c r="D4541" s="23"/>
      <c r="E4541" s="53"/>
      <c r="F4541" s="54"/>
      <c r="G4541" s="23"/>
      <c r="H4541" s="54"/>
      <c r="I4541" s="53"/>
      <c r="J4541" s="53"/>
      <c r="K4541" s="23"/>
      <c r="L4541" s="53"/>
      <c r="M4541" s="54"/>
    </row>
    <row r="4542">
      <c r="A4542" s="23"/>
      <c r="B4542" s="52"/>
      <c r="C4542" s="53"/>
      <c r="D4542" s="23"/>
      <c r="E4542" s="53"/>
      <c r="F4542" s="54"/>
      <c r="G4542" s="54"/>
      <c r="H4542" s="54"/>
      <c r="I4542" s="53"/>
      <c r="J4542" s="53"/>
      <c r="K4542" s="23"/>
      <c r="L4542" s="53"/>
      <c r="M4542" s="54"/>
    </row>
    <row r="4543">
      <c r="A4543" s="23"/>
      <c r="B4543" s="52"/>
      <c r="C4543" s="53"/>
      <c r="D4543" s="23"/>
      <c r="E4543" s="53"/>
      <c r="F4543" s="54"/>
      <c r="G4543" s="54"/>
      <c r="H4543" s="54"/>
      <c r="I4543" s="53"/>
      <c r="J4543" s="53"/>
      <c r="K4543" s="23"/>
      <c r="L4543" s="53"/>
      <c r="M4543" s="54"/>
    </row>
    <row r="4544">
      <c r="A4544" s="23"/>
      <c r="B4544" s="52"/>
      <c r="C4544" s="53"/>
      <c r="D4544" s="23"/>
      <c r="E4544" s="53"/>
      <c r="F4544" s="54"/>
      <c r="G4544" s="23"/>
      <c r="H4544" s="54"/>
      <c r="I4544" s="53"/>
      <c r="J4544" s="23"/>
      <c r="K4544" s="23"/>
      <c r="L4544" s="53"/>
      <c r="M4544" s="54"/>
    </row>
    <row r="4545">
      <c r="A4545" s="23"/>
      <c r="B4545" s="52"/>
      <c r="C4545" s="53"/>
      <c r="D4545" s="23"/>
      <c r="E4545" s="53"/>
      <c r="F4545" s="54"/>
      <c r="G4545" s="54"/>
      <c r="H4545" s="54"/>
      <c r="I4545" s="53"/>
      <c r="J4545" s="53"/>
      <c r="K4545" s="23"/>
      <c r="L4545" s="53"/>
      <c r="M4545" s="54"/>
    </row>
    <row r="4546">
      <c r="A4546" s="23"/>
      <c r="B4546" s="52"/>
      <c r="C4546" s="53"/>
      <c r="D4546" s="23"/>
      <c r="E4546" s="53"/>
      <c r="F4546" s="54"/>
      <c r="G4546" s="54"/>
      <c r="H4546" s="54"/>
      <c r="I4546" s="53"/>
      <c r="J4546" s="53"/>
      <c r="K4546" s="23"/>
      <c r="L4546" s="53"/>
      <c r="M4546" s="54"/>
    </row>
    <row r="4547">
      <c r="A4547" s="23"/>
      <c r="B4547" s="52"/>
      <c r="C4547" s="53"/>
      <c r="D4547" s="23"/>
      <c r="E4547" s="53"/>
      <c r="F4547" s="54"/>
      <c r="G4547" s="54"/>
      <c r="H4547" s="54"/>
      <c r="I4547" s="53"/>
      <c r="J4547" s="53"/>
      <c r="K4547" s="23"/>
      <c r="L4547" s="53"/>
      <c r="M4547" s="54"/>
    </row>
    <row r="4548">
      <c r="A4548" s="23"/>
      <c r="B4548" s="52"/>
      <c r="C4548" s="53"/>
      <c r="D4548" s="23"/>
      <c r="E4548" s="53"/>
      <c r="F4548" s="54"/>
      <c r="G4548" s="54"/>
      <c r="H4548" s="54"/>
      <c r="I4548" s="53"/>
      <c r="J4548" s="53"/>
      <c r="K4548" s="23"/>
      <c r="L4548" s="53"/>
      <c r="M4548" s="54"/>
    </row>
    <row r="4549">
      <c r="A4549" s="23"/>
      <c r="B4549" s="52"/>
      <c r="C4549" s="53"/>
      <c r="D4549" s="23"/>
      <c r="E4549" s="53"/>
      <c r="F4549" s="54"/>
      <c r="G4549" s="23"/>
      <c r="H4549" s="54"/>
      <c r="I4549" s="53"/>
      <c r="J4549" s="23"/>
      <c r="K4549" s="23"/>
      <c r="L4549" s="53"/>
      <c r="M4549" s="54"/>
    </row>
    <row r="4550">
      <c r="A4550" s="23"/>
      <c r="B4550" s="52"/>
      <c r="C4550" s="53"/>
      <c r="D4550" s="23"/>
      <c r="E4550" s="53"/>
      <c r="F4550" s="54"/>
      <c r="G4550" s="54"/>
      <c r="H4550" s="54"/>
      <c r="I4550" s="53"/>
      <c r="J4550" s="53"/>
      <c r="K4550" s="23"/>
      <c r="L4550" s="53"/>
      <c r="M4550" s="54"/>
    </row>
    <row r="4551">
      <c r="A4551" s="23"/>
      <c r="B4551" s="52"/>
      <c r="C4551" s="53"/>
      <c r="D4551" s="23"/>
      <c r="E4551" s="53"/>
      <c r="F4551" s="54"/>
      <c r="G4551" s="23"/>
      <c r="H4551" s="54"/>
      <c r="I4551" s="53"/>
      <c r="J4551" s="23"/>
      <c r="K4551" s="23"/>
      <c r="L4551" s="53"/>
      <c r="M4551" s="54"/>
    </row>
    <row r="4552">
      <c r="A4552" s="23"/>
      <c r="B4552" s="52"/>
      <c r="C4552" s="53"/>
      <c r="D4552" s="23"/>
      <c r="E4552" s="53"/>
      <c r="F4552" s="54"/>
      <c r="G4552" s="23"/>
      <c r="H4552" s="54"/>
      <c r="I4552" s="53"/>
      <c r="J4552" s="53"/>
      <c r="K4552" s="23"/>
      <c r="L4552" s="53"/>
      <c r="M4552" s="54"/>
    </row>
    <row r="4553">
      <c r="A4553" s="23"/>
      <c r="B4553" s="52"/>
      <c r="C4553" s="53"/>
      <c r="D4553" s="23"/>
      <c r="E4553" s="53"/>
      <c r="F4553" s="54"/>
      <c r="G4553" s="23"/>
      <c r="H4553" s="54"/>
      <c r="I4553" s="53"/>
      <c r="J4553" s="23"/>
      <c r="K4553" s="23"/>
      <c r="L4553" s="53"/>
      <c r="M4553" s="54"/>
    </row>
    <row r="4554">
      <c r="A4554" s="23"/>
      <c r="B4554" s="52"/>
      <c r="C4554" s="53"/>
      <c r="D4554" s="23"/>
      <c r="E4554" s="53"/>
      <c r="F4554" s="54"/>
      <c r="G4554" s="54"/>
      <c r="H4554" s="54"/>
      <c r="I4554" s="53"/>
      <c r="J4554" s="53"/>
      <c r="K4554" s="23"/>
      <c r="L4554" s="53"/>
      <c r="M4554" s="54"/>
    </row>
    <row r="4555">
      <c r="A4555" s="23"/>
      <c r="B4555" s="52"/>
      <c r="C4555" s="53"/>
      <c r="D4555" s="23"/>
      <c r="E4555" s="53"/>
      <c r="F4555" s="54"/>
      <c r="G4555" s="54"/>
      <c r="H4555" s="54"/>
      <c r="I4555" s="53"/>
      <c r="J4555" s="53"/>
      <c r="K4555" s="23"/>
      <c r="L4555" s="53"/>
      <c r="M4555" s="54"/>
    </row>
    <row r="4556">
      <c r="A4556" s="23"/>
      <c r="B4556" s="52"/>
      <c r="C4556" s="53"/>
      <c r="D4556" s="23"/>
      <c r="E4556" s="53"/>
      <c r="F4556" s="54"/>
      <c r="G4556" s="23"/>
      <c r="H4556" s="54"/>
      <c r="I4556" s="53"/>
      <c r="J4556" s="23"/>
      <c r="K4556" s="23"/>
      <c r="L4556" s="53"/>
      <c r="M4556" s="54"/>
    </row>
    <row r="4557">
      <c r="A4557" s="23"/>
      <c r="B4557" s="52"/>
      <c r="C4557" s="53"/>
      <c r="D4557" s="23"/>
      <c r="E4557" s="53"/>
      <c r="F4557" s="54"/>
      <c r="G4557" s="23"/>
      <c r="H4557" s="54"/>
      <c r="I4557" s="53"/>
      <c r="J4557" s="23"/>
      <c r="K4557" s="23"/>
      <c r="L4557" s="53"/>
      <c r="M4557" s="54"/>
    </row>
    <row r="4558">
      <c r="A4558" s="23"/>
      <c r="B4558" s="52"/>
      <c r="C4558" s="53"/>
      <c r="D4558" s="23"/>
      <c r="E4558" s="53"/>
      <c r="F4558" s="54"/>
      <c r="G4558" s="54"/>
      <c r="H4558" s="54"/>
      <c r="I4558" s="53"/>
      <c r="J4558" s="53"/>
      <c r="K4558" s="23"/>
      <c r="L4558" s="53"/>
      <c r="M4558" s="54"/>
    </row>
    <row r="4559">
      <c r="A4559" s="23"/>
      <c r="B4559" s="52"/>
      <c r="C4559" s="53"/>
      <c r="D4559" s="23"/>
      <c r="E4559" s="53"/>
      <c r="F4559" s="54"/>
      <c r="G4559" s="23"/>
      <c r="H4559" s="54"/>
      <c r="I4559" s="53"/>
      <c r="J4559" s="23"/>
      <c r="K4559" s="23"/>
      <c r="L4559" s="53"/>
      <c r="M4559" s="54"/>
    </row>
    <row r="4560">
      <c r="A4560" s="23"/>
      <c r="B4560" s="52"/>
      <c r="C4560" s="53"/>
      <c r="D4560" s="23"/>
      <c r="E4560" s="53"/>
      <c r="F4560" s="54"/>
      <c r="G4560" s="23"/>
      <c r="H4560" s="54"/>
      <c r="I4560" s="53"/>
      <c r="J4560" s="23"/>
      <c r="K4560" s="23"/>
      <c r="L4560" s="53"/>
      <c r="M4560" s="54"/>
    </row>
    <row r="4561">
      <c r="A4561" s="23"/>
      <c r="B4561" s="52"/>
      <c r="C4561" s="53"/>
      <c r="D4561" s="23"/>
      <c r="E4561" s="53"/>
      <c r="F4561" s="54"/>
      <c r="G4561" s="54"/>
      <c r="H4561" s="54"/>
      <c r="I4561" s="53"/>
      <c r="J4561" s="53"/>
      <c r="K4561" s="23"/>
      <c r="L4561" s="53"/>
      <c r="M4561" s="54"/>
    </row>
    <row r="4562">
      <c r="A4562" s="23"/>
      <c r="B4562" s="52"/>
      <c r="C4562" s="53"/>
      <c r="D4562" s="23"/>
      <c r="E4562" s="53"/>
      <c r="F4562" s="54"/>
      <c r="G4562" s="54"/>
      <c r="H4562" s="54"/>
      <c r="I4562" s="53"/>
      <c r="J4562" s="53"/>
      <c r="K4562" s="23"/>
      <c r="L4562" s="53"/>
      <c r="M4562" s="54"/>
    </row>
    <row r="4563">
      <c r="A4563" s="23"/>
      <c r="B4563" s="52"/>
      <c r="C4563" s="53"/>
      <c r="D4563" s="23"/>
      <c r="E4563" s="53"/>
      <c r="F4563" s="54"/>
      <c r="G4563" s="23"/>
      <c r="H4563" s="54"/>
      <c r="I4563" s="53"/>
      <c r="J4563" s="53"/>
      <c r="K4563" s="23"/>
      <c r="L4563" s="53"/>
      <c r="M4563" s="54"/>
    </row>
    <row r="4564">
      <c r="A4564" s="23"/>
      <c r="B4564" s="52"/>
      <c r="C4564" s="53"/>
      <c r="D4564" s="23"/>
      <c r="E4564" s="53"/>
      <c r="F4564" s="54"/>
      <c r="G4564" s="23"/>
      <c r="H4564" s="54"/>
      <c r="I4564" s="53"/>
      <c r="J4564" s="23"/>
      <c r="K4564" s="23"/>
      <c r="L4564" s="53"/>
      <c r="M4564" s="54"/>
    </row>
    <row r="4565">
      <c r="A4565" s="23"/>
      <c r="B4565" s="52"/>
      <c r="C4565" s="53"/>
      <c r="D4565" s="23"/>
      <c r="E4565" s="53"/>
      <c r="F4565" s="54"/>
      <c r="G4565" s="23"/>
      <c r="H4565" s="54"/>
      <c r="I4565" s="53"/>
      <c r="J4565" s="53"/>
      <c r="K4565" s="23"/>
      <c r="L4565" s="53"/>
      <c r="M4565" s="54"/>
    </row>
    <row r="4566">
      <c r="A4566" s="23"/>
      <c r="B4566" s="52"/>
      <c r="C4566" s="53"/>
      <c r="D4566" s="23"/>
      <c r="E4566" s="53"/>
      <c r="F4566" s="54"/>
      <c r="G4566" s="23"/>
      <c r="H4566" s="54"/>
      <c r="I4566" s="53"/>
      <c r="J4566" s="23"/>
      <c r="K4566" s="23"/>
      <c r="L4566" s="53"/>
      <c r="M4566" s="54"/>
    </row>
    <row r="4567">
      <c r="A4567" s="23"/>
      <c r="B4567" s="52"/>
      <c r="C4567" s="53"/>
      <c r="D4567" s="23"/>
      <c r="E4567" s="53"/>
      <c r="F4567" s="54"/>
      <c r="G4567" s="23"/>
      <c r="H4567" s="54"/>
      <c r="I4567" s="53"/>
      <c r="J4567" s="53"/>
      <c r="K4567" s="23"/>
      <c r="L4567" s="53"/>
      <c r="M4567" s="54"/>
    </row>
    <row r="4568">
      <c r="A4568" s="23"/>
      <c r="B4568" s="52"/>
      <c r="C4568" s="53"/>
      <c r="D4568" s="23"/>
      <c r="E4568" s="53"/>
      <c r="F4568" s="54"/>
      <c r="G4568" s="54"/>
      <c r="H4568" s="54"/>
      <c r="I4568" s="53"/>
      <c r="J4568" s="53"/>
      <c r="K4568" s="23"/>
      <c r="L4568" s="53"/>
      <c r="M4568" s="54"/>
    </row>
    <row r="4569">
      <c r="A4569" s="23"/>
      <c r="B4569" s="52"/>
      <c r="C4569" s="53"/>
      <c r="D4569" s="23"/>
      <c r="E4569" s="53"/>
      <c r="F4569" s="54"/>
      <c r="G4569" s="54"/>
      <c r="H4569" s="54"/>
      <c r="I4569" s="53"/>
      <c r="J4569" s="53"/>
      <c r="K4569" s="23"/>
      <c r="L4569" s="53"/>
      <c r="M4569" s="54"/>
    </row>
    <row r="4570">
      <c r="A4570" s="23"/>
      <c r="B4570" s="52"/>
      <c r="C4570" s="53"/>
      <c r="D4570" s="23"/>
      <c r="E4570" s="53"/>
      <c r="F4570" s="54"/>
      <c r="G4570" s="23"/>
      <c r="H4570" s="54"/>
      <c r="I4570" s="53"/>
      <c r="J4570" s="23"/>
      <c r="K4570" s="23"/>
      <c r="L4570" s="53"/>
      <c r="M4570" s="54"/>
    </row>
    <row r="4571">
      <c r="A4571" s="23"/>
      <c r="B4571" s="52"/>
      <c r="C4571" s="53"/>
      <c r="D4571" s="23"/>
      <c r="E4571" s="53"/>
      <c r="F4571" s="54"/>
      <c r="G4571" s="23"/>
      <c r="H4571" s="54"/>
      <c r="I4571" s="53"/>
      <c r="J4571" s="23"/>
      <c r="K4571" s="23"/>
      <c r="L4571" s="53"/>
      <c r="M4571" s="54"/>
    </row>
    <row r="4572">
      <c r="A4572" s="23"/>
      <c r="B4572" s="52"/>
      <c r="C4572" s="53"/>
      <c r="D4572" s="23"/>
      <c r="E4572" s="53"/>
      <c r="F4572" s="54"/>
      <c r="G4572" s="23"/>
      <c r="H4572" s="54"/>
      <c r="I4572" s="53"/>
      <c r="J4572" s="23"/>
      <c r="K4572" s="23"/>
      <c r="L4572" s="53"/>
      <c r="M4572" s="54"/>
    </row>
    <row r="4573">
      <c r="A4573" s="23"/>
      <c r="B4573" s="52"/>
      <c r="C4573" s="53"/>
      <c r="D4573" s="23"/>
      <c r="E4573" s="53"/>
      <c r="F4573" s="54"/>
      <c r="G4573" s="23"/>
      <c r="H4573" s="54"/>
      <c r="I4573" s="53"/>
      <c r="J4573" s="53"/>
      <c r="K4573" s="23"/>
      <c r="L4573" s="53"/>
      <c r="M4573" s="54"/>
    </row>
    <row r="4574">
      <c r="A4574" s="23"/>
      <c r="B4574" s="52"/>
      <c r="C4574" s="53"/>
      <c r="D4574" s="23"/>
      <c r="E4574" s="53"/>
      <c r="F4574" s="54"/>
      <c r="G4574" s="23"/>
      <c r="H4574" s="54"/>
      <c r="I4574" s="53"/>
      <c r="J4574" s="23"/>
      <c r="K4574" s="23"/>
      <c r="L4574" s="53"/>
      <c r="M4574" s="54"/>
    </row>
    <row r="4575">
      <c r="A4575" s="23"/>
      <c r="B4575" s="52"/>
      <c r="C4575" s="53"/>
      <c r="D4575" s="23"/>
      <c r="E4575" s="53"/>
      <c r="F4575" s="54"/>
      <c r="G4575" s="23"/>
      <c r="H4575" s="54"/>
      <c r="I4575" s="53"/>
      <c r="J4575" s="53"/>
      <c r="K4575" s="23"/>
      <c r="L4575" s="53"/>
      <c r="M4575" s="54"/>
    </row>
    <row r="4576">
      <c r="A4576" s="23"/>
      <c r="B4576" s="52"/>
      <c r="C4576" s="53"/>
      <c r="D4576" s="23"/>
      <c r="E4576" s="53"/>
      <c r="F4576" s="54"/>
      <c r="G4576" s="23"/>
      <c r="H4576" s="54"/>
      <c r="I4576" s="53"/>
      <c r="J4576" s="53"/>
      <c r="K4576" s="23"/>
      <c r="L4576" s="53"/>
      <c r="M4576" s="54"/>
    </row>
    <row r="4577">
      <c r="A4577" s="23"/>
      <c r="B4577" s="52"/>
      <c r="C4577" s="53"/>
      <c r="D4577" s="23"/>
      <c r="E4577" s="53"/>
      <c r="F4577" s="54"/>
      <c r="G4577" s="54"/>
      <c r="H4577" s="54"/>
      <c r="I4577" s="53"/>
      <c r="J4577" s="53"/>
      <c r="K4577" s="23"/>
      <c r="L4577" s="53"/>
      <c r="M4577" s="54"/>
    </row>
    <row r="4578">
      <c r="A4578" s="23"/>
      <c r="B4578" s="52"/>
      <c r="C4578" s="53"/>
      <c r="D4578" s="23"/>
      <c r="E4578" s="53"/>
      <c r="F4578" s="54"/>
      <c r="G4578" s="23"/>
      <c r="H4578" s="54"/>
      <c r="I4578" s="53"/>
      <c r="J4578" s="23"/>
      <c r="K4578" s="23"/>
      <c r="L4578" s="53"/>
      <c r="M4578" s="54"/>
    </row>
    <row r="4579">
      <c r="A4579" s="23"/>
      <c r="B4579" s="52"/>
      <c r="C4579" s="53"/>
      <c r="D4579" s="23"/>
      <c r="E4579" s="53"/>
      <c r="F4579" s="54"/>
      <c r="G4579" s="54"/>
      <c r="H4579" s="54"/>
      <c r="I4579" s="53"/>
      <c r="J4579" s="53"/>
      <c r="K4579" s="23"/>
      <c r="L4579" s="53"/>
      <c r="M4579" s="54"/>
    </row>
    <row r="4580">
      <c r="A4580" s="23"/>
      <c r="B4580" s="52"/>
      <c r="C4580" s="53"/>
      <c r="D4580" s="23"/>
      <c r="E4580" s="53"/>
      <c r="F4580" s="54"/>
      <c r="G4580" s="23"/>
      <c r="H4580" s="54"/>
      <c r="I4580" s="53"/>
      <c r="J4580" s="23"/>
      <c r="K4580" s="23"/>
      <c r="L4580" s="53"/>
      <c r="M4580" s="54"/>
    </row>
    <row r="4581">
      <c r="A4581" s="23"/>
      <c r="B4581" s="52"/>
      <c r="C4581" s="53"/>
      <c r="D4581" s="23"/>
      <c r="E4581" s="53"/>
      <c r="F4581" s="54"/>
      <c r="G4581" s="23"/>
      <c r="H4581" s="54"/>
      <c r="I4581" s="53"/>
      <c r="J4581" s="53"/>
      <c r="K4581" s="23"/>
      <c r="L4581" s="53"/>
      <c r="M4581" s="54"/>
    </row>
    <row r="4582">
      <c r="A4582" s="23"/>
      <c r="B4582" s="52"/>
      <c r="C4582" s="53"/>
      <c r="D4582" s="23"/>
      <c r="E4582" s="53"/>
      <c r="F4582" s="54"/>
      <c r="G4582" s="23"/>
      <c r="H4582" s="54"/>
      <c r="I4582" s="53"/>
      <c r="J4582" s="53"/>
      <c r="K4582" s="23"/>
      <c r="L4582" s="53"/>
      <c r="M4582" s="54"/>
    </row>
    <row r="4583">
      <c r="A4583" s="23"/>
      <c r="B4583" s="52"/>
      <c r="C4583" s="53"/>
      <c r="D4583" s="23"/>
      <c r="E4583" s="53"/>
      <c r="F4583" s="54"/>
      <c r="G4583" s="23"/>
      <c r="H4583" s="54"/>
      <c r="I4583" s="53"/>
      <c r="J4583" s="53"/>
      <c r="K4583" s="23"/>
      <c r="L4583" s="53"/>
      <c r="M4583" s="54"/>
    </row>
    <row r="4584">
      <c r="A4584" s="23"/>
      <c r="B4584" s="52"/>
      <c r="C4584" s="53"/>
      <c r="D4584" s="23"/>
      <c r="E4584" s="53"/>
      <c r="F4584" s="54"/>
      <c r="G4584" s="23"/>
      <c r="H4584" s="54"/>
      <c r="I4584" s="53"/>
      <c r="J4584" s="23"/>
      <c r="K4584" s="23"/>
      <c r="L4584" s="53"/>
      <c r="M4584" s="54"/>
    </row>
    <row r="4585">
      <c r="A4585" s="23"/>
      <c r="B4585" s="52"/>
      <c r="C4585" s="53"/>
      <c r="D4585" s="23"/>
      <c r="E4585" s="53"/>
      <c r="F4585" s="54"/>
      <c r="G4585" s="23"/>
      <c r="H4585" s="54"/>
      <c r="I4585" s="53"/>
      <c r="J4585" s="23"/>
      <c r="K4585" s="23"/>
      <c r="L4585" s="53"/>
      <c r="M4585" s="54"/>
    </row>
    <row r="4586">
      <c r="A4586" s="23"/>
      <c r="B4586" s="52"/>
      <c r="C4586" s="53"/>
      <c r="D4586" s="23"/>
      <c r="E4586" s="53"/>
      <c r="F4586" s="54"/>
      <c r="G4586" s="54"/>
      <c r="H4586" s="54"/>
      <c r="I4586" s="53"/>
      <c r="J4586" s="53"/>
      <c r="K4586" s="23"/>
      <c r="L4586" s="53"/>
      <c r="M4586" s="54"/>
    </row>
    <row r="4587">
      <c r="A4587" s="23"/>
      <c r="B4587" s="52"/>
      <c r="C4587" s="53"/>
      <c r="D4587" s="23"/>
      <c r="E4587" s="53"/>
      <c r="F4587" s="54"/>
      <c r="G4587" s="23"/>
      <c r="H4587" s="54"/>
      <c r="I4587" s="53"/>
      <c r="J4587" s="23"/>
      <c r="K4587" s="23"/>
      <c r="L4587" s="53"/>
      <c r="M4587" s="54"/>
    </row>
    <row r="4588">
      <c r="A4588" s="23"/>
      <c r="B4588" s="52"/>
      <c r="C4588" s="53"/>
      <c r="D4588" s="23"/>
      <c r="E4588" s="53"/>
      <c r="F4588" s="54"/>
      <c r="G4588" s="23"/>
      <c r="H4588" s="54"/>
      <c r="I4588" s="53"/>
      <c r="J4588" s="23"/>
      <c r="K4588" s="23"/>
      <c r="L4588" s="53"/>
      <c r="M4588" s="54"/>
    </row>
    <row r="4589">
      <c r="A4589" s="23"/>
      <c r="B4589" s="52"/>
      <c r="C4589" s="53"/>
      <c r="D4589" s="23"/>
      <c r="E4589" s="53"/>
      <c r="F4589" s="54"/>
      <c r="G4589" s="23"/>
      <c r="H4589" s="54"/>
      <c r="I4589" s="53"/>
      <c r="J4589" s="23"/>
      <c r="K4589" s="23"/>
      <c r="L4589" s="53"/>
      <c r="M4589" s="54"/>
    </row>
    <row r="4590">
      <c r="A4590" s="23"/>
      <c r="B4590" s="52"/>
      <c r="C4590" s="53"/>
      <c r="D4590" s="23"/>
      <c r="E4590" s="53"/>
      <c r="F4590" s="54"/>
      <c r="G4590" s="23"/>
      <c r="H4590" s="54"/>
      <c r="I4590" s="53"/>
      <c r="J4590" s="23"/>
      <c r="K4590" s="23"/>
      <c r="L4590" s="53"/>
      <c r="M4590" s="54"/>
    </row>
    <row r="4591">
      <c r="A4591" s="23"/>
      <c r="B4591" s="52"/>
      <c r="C4591" s="53"/>
      <c r="D4591" s="23"/>
      <c r="E4591" s="53"/>
      <c r="F4591" s="54"/>
      <c r="G4591" s="54"/>
      <c r="H4591" s="54"/>
      <c r="I4591" s="53"/>
      <c r="J4591" s="53"/>
      <c r="K4591" s="23"/>
      <c r="L4591" s="53"/>
      <c r="M4591" s="54"/>
    </row>
    <row r="4592">
      <c r="A4592" s="23"/>
      <c r="B4592" s="52"/>
      <c r="C4592" s="53"/>
      <c r="D4592" s="23"/>
      <c r="E4592" s="53"/>
      <c r="F4592" s="54"/>
      <c r="G4592" s="23"/>
      <c r="H4592" s="54"/>
      <c r="I4592" s="53"/>
      <c r="J4592" s="53"/>
      <c r="K4592" s="23"/>
      <c r="L4592" s="53"/>
      <c r="M4592" s="54"/>
    </row>
    <row r="4593">
      <c r="A4593" s="23"/>
      <c r="B4593" s="52"/>
      <c r="C4593" s="53"/>
      <c r="D4593" s="23"/>
      <c r="E4593" s="53"/>
      <c r="F4593" s="54"/>
      <c r="G4593" s="23"/>
      <c r="H4593" s="54"/>
      <c r="I4593" s="53"/>
      <c r="J4593" s="53"/>
      <c r="K4593" s="23"/>
      <c r="L4593" s="53"/>
      <c r="M4593" s="54"/>
    </row>
    <row r="4594">
      <c r="A4594" s="23"/>
      <c r="B4594" s="52"/>
      <c r="C4594" s="53"/>
      <c r="D4594" s="23"/>
      <c r="E4594" s="53"/>
      <c r="F4594" s="54"/>
      <c r="G4594" s="54"/>
      <c r="H4594" s="54"/>
      <c r="I4594" s="53"/>
      <c r="J4594" s="53"/>
      <c r="K4594" s="23"/>
      <c r="L4594" s="53"/>
      <c r="M4594" s="54"/>
    </row>
    <row r="4595">
      <c r="A4595" s="23"/>
      <c r="B4595" s="52"/>
      <c r="C4595" s="53"/>
      <c r="D4595" s="23"/>
      <c r="E4595" s="53"/>
      <c r="F4595" s="54"/>
      <c r="G4595" s="23"/>
      <c r="H4595" s="54"/>
      <c r="I4595" s="53"/>
      <c r="J4595" s="23"/>
      <c r="K4595" s="23"/>
      <c r="L4595" s="53"/>
      <c r="M4595" s="54"/>
    </row>
    <row r="4596">
      <c r="A4596" s="23"/>
      <c r="B4596" s="52"/>
      <c r="C4596" s="53"/>
      <c r="D4596" s="23"/>
      <c r="E4596" s="53"/>
      <c r="F4596" s="54"/>
      <c r="G4596" s="23"/>
      <c r="H4596" s="54"/>
      <c r="I4596" s="53"/>
      <c r="J4596" s="23"/>
      <c r="K4596" s="23"/>
      <c r="L4596" s="53"/>
      <c r="M4596" s="54"/>
    </row>
    <row r="4597">
      <c r="A4597" s="23"/>
      <c r="B4597" s="52"/>
      <c r="C4597" s="53"/>
      <c r="D4597" s="23"/>
      <c r="E4597" s="53"/>
      <c r="F4597" s="54"/>
      <c r="G4597" s="23"/>
      <c r="H4597" s="54"/>
      <c r="I4597" s="53"/>
      <c r="J4597" s="23"/>
      <c r="K4597" s="23"/>
      <c r="L4597" s="53"/>
      <c r="M4597" s="54"/>
    </row>
    <row r="4598">
      <c r="A4598" s="23"/>
      <c r="B4598" s="52"/>
      <c r="C4598" s="53"/>
      <c r="D4598" s="23"/>
      <c r="E4598" s="53"/>
      <c r="F4598" s="54"/>
      <c r="G4598" s="54"/>
      <c r="H4598" s="54"/>
      <c r="I4598" s="53"/>
      <c r="J4598" s="53"/>
      <c r="K4598" s="23"/>
      <c r="L4598" s="53"/>
      <c r="M4598" s="54"/>
    </row>
    <row r="4599">
      <c r="A4599" s="23"/>
      <c r="B4599" s="52"/>
      <c r="C4599" s="53"/>
      <c r="D4599" s="23"/>
      <c r="E4599" s="53"/>
      <c r="F4599" s="54"/>
      <c r="G4599" s="23"/>
      <c r="H4599" s="54"/>
      <c r="I4599" s="53"/>
      <c r="J4599" s="53"/>
      <c r="K4599" s="23"/>
      <c r="L4599" s="53"/>
      <c r="M4599" s="54"/>
    </row>
    <row r="4600">
      <c r="A4600" s="23"/>
      <c r="B4600" s="52"/>
      <c r="C4600" s="53"/>
      <c r="D4600" s="23"/>
      <c r="E4600" s="53"/>
      <c r="F4600" s="54"/>
      <c r="G4600" s="23"/>
      <c r="H4600" s="54"/>
      <c r="I4600" s="53"/>
      <c r="J4600" s="53"/>
      <c r="K4600" s="23"/>
      <c r="L4600" s="53"/>
      <c r="M4600" s="54"/>
    </row>
    <row r="4601">
      <c r="A4601" s="23"/>
      <c r="B4601" s="52"/>
      <c r="C4601" s="53"/>
      <c r="D4601" s="23"/>
      <c r="E4601" s="53"/>
      <c r="F4601" s="54"/>
      <c r="G4601" s="23"/>
      <c r="H4601" s="54"/>
      <c r="I4601" s="53"/>
      <c r="J4601" s="23"/>
      <c r="K4601" s="23"/>
      <c r="L4601" s="53"/>
      <c r="M4601" s="54"/>
    </row>
    <row r="4602">
      <c r="A4602" s="23"/>
      <c r="B4602" s="52"/>
      <c r="C4602" s="53"/>
      <c r="D4602" s="23"/>
      <c r="E4602" s="53"/>
      <c r="F4602" s="54"/>
      <c r="G4602" s="54"/>
      <c r="H4602" s="54"/>
      <c r="I4602" s="53"/>
      <c r="J4602" s="53"/>
      <c r="K4602" s="23"/>
      <c r="L4602" s="53"/>
      <c r="M4602" s="54"/>
    </row>
    <row r="4603">
      <c r="A4603" s="23"/>
      <c r="B4603" s="52"/>
      <c r="C4603" s="53"/>
      <c r="D4603" s="23"/>
      <c r="E4603" s="53"/>
      <c r="F4603" s="54"/>
      <c r="G4603" s="23"/>
      <c r="H4603" s="54"/>
      <c r="I4603" s="53"/>
      <c r="J4603" s="23"/>
      <c r="K4603" s="23"/>
      <c r="L4603" s="53"/>
      <c r="M4603" s="54"/>
    </row>
    <row r="4604">
      <c r="A4604" s="23"/>
      <c r="B4604" s="52"/>
      <c r="C4604" s="53"/>
      <c r="D4604" s="23"/>
      <c r="E4604" s="53"/>
      <c r="F4604" s="54"/>
      <c r="G4604" s="54"/>
      <c r="H4604" s="54"/>
      <c r="I4604" s="53"/>
      <c r="J4604" s="53"/>
      <c r="K4604" s="23"/>
      <c r="L4604" s="53"/>
      <c r="M4604" s="54"/>
    </row>
    <row r="4605">
      <c r="A4605" s="23"/>
      <c r="B4605" s="52"/>
      <c r="C4605" s="53"/>
      <c r="D4605" s="23"/>
      <c r="E4605" s="53"/>
      <c r="F4605" s="54"/>
      <c r="G4605" s="23"/>
      <c r="H4605" s="54"/>
      <c r="I4605" s="53"/>
      <c r="J4605" s="53"/>
      <c r="K4605" s="23"/>
      <c r="L4605" s="53"/>
      <c r="M4605" s="54"/>
    </row>
    <row r="4606">
      <c r="A4606" s="23"/>
      <c r="B4606" s="52"/>
      <c r="C4606" s="53"/>
      <c r="D4606" s="23"/>
      <c r="E4606" s="53"/>
      <c r="F4606" s="54"/>
      <c r="G4606" s="54"/>
      <c r="H4606" s="54"/>
      <c r="I4606" s="53"/>
      <c r="J4606" s="53"/>
      <c r="K4606" s="23"/>
      <c r="L4606" s="53"/>
      <c r="M4606" s="54"/>
    </row>
    <row r="4607">
      <c r="A4607" s="23"/>
      <c r="B4607" s="52"/>
      <c r="C4607" s="53"/>
      <c r="D4607" s="23"/>
      <c r="E4607" s="53"/>
      <c r="F4607" s="54"/>
      <c r="G4607" s="54"/>
      <c r="H4607" s="54"/>
      <c r="I4607" s="53"/>
      <c r="J4607" s="53"/>
      <c r="K4607" s="23"/>
      <c r="L4607" s="53"/>
      <c r="M4607" s="54"/>
    </row>
    <row r="4608">
      <c r="A4608" s="23"/>
      <c r="B4608" s="52"/>
      <c r="C4608" s="53"/>
      <c r="D4608" s="23"/>
      <c r="E4608" s="53"/>
      <c r="F4608" s="54"/>
      <c r="G4608" s="54"/>
      <c r="H4608" s="54"/>
      <c r="I4608" s="53"/>
      <c r="J4608" s="53"/>
      <c r="K4608" s="23"/>
      <c r="L4608" s="53"/>
      <c r="M4608" s="54"/>
    </row>
    <row r="4609">
      <c r="A4609" s="23"/>
      <c r="B4609" s="52"/>
      <c r="C4609" s="53"/>
      <c r="D4609" s="23"/>
      <c r="E4609" s="53"/>
      <c r="F4609" s="54"/>
      <c r="G4609" s="23"/>
      <c r="H4609" s="54"/>
      <c r="I4609" s="53"/>
      <c r="J4609" s="23"/>
      <c r="K4609" s="23"/>
      <c r="L4609" s="53"/>
      <c r="M4609" s="54"/>
    </row>
    <row r="4610">
      <c r="A4610" s="23"/>
      <c r="B4610" s="52"/>
      <c r="C4610" s="53"/>
      <c r="D4610" s="23"/>
      <c r="E4610" s="53"/>
      <c r="F4610" s="54"/>
      <c r="G4610" s="23"/>
      <c r="H4610" s="54"/>
      <c r="I4610" s="53"/>
      <c r="J4610" s="53"/>
      <c r="K4610" s="23"/>
      <c r="L4610" s="53"/>
      <c r="M4610" s="54"/>
    </row>
    <row r="4611">
      <c r="A4611" s="23"/>
      <c r="B4611" s="52"/>
      <c r="C4611" s="53"/>
      <c r="D4611" s="23"/>
      <c r="E4611" s="53"/>
      <c r="F4611" s="54"/>
      <c r="G4611" s="54"/>
      <c r="H4611" s="54"/>
      <c r="I4611" s="53"/>
      <c r="J4611" s="53"/>
      <c r="K4611" s="23"/>
      <c r="L4611" s="53"/>
      <c r="M4611" s="54"/>
    </row>
    <row r="4612">
      <c r="A4612" s="23"/>
      <c r="B4612" s="52"/>
      <c r="C4612" s="53"/>
      <c r="D4612" s="23"/>
      <c r="E4612" s="53"/>
      <c r="F4612" s="54"/>
      <c r="G4612" s="23"/>
      <c r="H4612" s="54"/>
      <c r="I4612" s="53"/>
      <c r="J4612" s="53"/>
      <c r="K4612" s="23"/>
      <c r="L4612" s="53"/>
      <c r="M4612" s="54"/>
    </row>
    <row r="4613">
      <c r="A4613" s="23"/>
      <c r="B4613" s="52"/>
      <c r="C4613" s="53"/>
      <c r="D4613" s="23"/>
      <c r="E4613" s="53"/>
      <c r="F4613" s="54"/>
      <c r="G4613" s="54"/>
      <c r="H4613" s="54"/>
      <c r="I4613" s="53"/>
      <c r="J4613" s="53"/>
      <c r="K4613" s="23"/>
      <c r="L4613" s="53"/>
      <c r="M4613" s="54"/>
    </row>
    <row r="4614">
      <c r="A4614" s="23"/>
      <c r="B4614" s="52"/>
      <c r="C4614" s="53"/>
      <c r="D4614" s="23"/>
      <c r="E4614" s="53"/>
      <c r="F4614" s="54"/>
      <c r="G4614" s="23"/>
      <c r="H4614" s="54"/>
      <c r="I4614" s="53"/>
      <c r="J4614" s="53"/>
      <c r="K4614" s="23"/>
      <c r="L4614" s="53"/>
      <c r="M4614" s="54"/>
    </row>
    <row r="4615">
      <c r="A4615" s="23"/>
      <c r="B4615" s="52"/>
      <c r="C4615" s="53"/>
      <c r="D4615" s="23"/>
      <c r="E4615" s="53"/>
      <c r="F4615" s="54"/>
      <c r="G4615" s="54"/>
      <c r="H4615" s="54"/>
      <c r="I4615" s="53"/>
      <c r="J4615" s="53"/>
      <c r="K4615" s="23"/>
      <c r="L4615" s="53"/>
      <c r="M4615" s="54"/>
    </row>
    <row r="4616">
      <c r="A4616" s="23"/>
      <c r="B4616" s="52"/>
      <c r="C4616" s="53"/>
      <c r="D4616" s="23"/>
      <c r="E4616" s="53"/>
      <c r="F4616" s="54"/>
      <c r="G4616" s="23"/>
      <c r="H4616" s="54"/>
      <c r="I4616" s="53"/>
      <c r="J4616" s="23"/>
      <c r="K4616" s="23"/>
      <c r="L4616" s="53"/>
      <c r="M4616" s="54"/>
    </row>
    <row r="4617">
      <c r="A4617" s="23"/>
      <c r="B4617" s="52"/>
      <c r="C4617" s="53"/>
      <c r="D4617" s="23"/>
      <c r="E4617" s="53"/>
      <c r="F4617" s="54"/>
      <c r="G4617" s="23"/>
      <c r="H4617" s="54"/>
      <c r="I4617" s="53"/>
      <c r="J4617" s="53"/>
      <c r="K4617" s="23"/>
      <c r="L4617" s="53"/>
      <c r="M4617" s="54"/>
    </row>
    <row r="4618">
      <c r="A4618" s="23"/>
      <c r="B4618" s="52"/>
      <c r="C4618" s="53"/>
      <c r="D4618" s="23"/>
      <c r="E4618" s="53"/>
      <c r="F4618" s="54"/>
      <c r="G4618" s="23"/>
      <c r="H4618" s="54"/>
      <c r="I4618" s="53"/>
      <c r="J4618" s="53"/>
      <c r="K4618" s="23"/>
      <c r="L4618" s="53"/>
      <c r="M4618" s="54"/>
    </row>
    <row r="4619">
      <c r="A4619" s="23"/>
      <c r="B4619" s="52"/>
      <c r="C4619" s="53"/>
      <c r="D4619" s="23"/>
      <c r="E4619" s="53"/>
      <c r="F4619" s="54"/>
      <c r="G4619" s="54"/>
      <c r="H4619" s="54"/>
      <c r="I4619" s="53"/>
      <c r="J4619" s="53"/>
      <c r="K4619" s="23"/>
      <c r="L4619" s="53"/>
      <c r="M4619" s="54"/>
    </row>
    <row r="4620">
      <c r="A4620" s="23"/>
      <c r="B4620" s="52"/>
      <c r="C4620" s="53"/>
      <c r="D4620" s="23"/>
      <c r="E4620" s="53"/>
      <c r="F4620" s="54"/>
      <c r="G4620" s="23"/>
      <c r="H4620" s="54"/>
      <c r="I4620" s="53"/>
      <c r="J4620" s="53"/>
      <c r="K4620" s="23"/>
      <c r="L4620" s="53"/>
      <c r="M4620" s="54"/>
    </row>
    <row r="4621">
      <c r="A4621" s="23"/>
      <c r="B4621" s="52"/>
      <c r="C4621" s="53"/>
      <c r="D4621" s="23"/>
      <c r="E4621" s="53"/>
      <c r="F4621" s="54"/>
      <c r="G4621" s="23"/>
      <c r="H4621" s="54"/>
      <c r="I4621" s="53"/>
      <c r="J4621" s="53"/>
      <c r="K4621" s="23"/>
      <c r="L4621" s="53"/>
      <c r="M4621" s="54"/>
    </row>
    <row r="4622">
      <c r="A4622" s="23"/>
      <c r="B4622" s="52"/>
      <c r="C4622" s="53"/>
      <c r="D4622" s="23"/>
      <c r="E4622" s="53"/>
      <c r="F4622" s="54"/>
      <c r="G4622" s="54"/>
      <c r="H4622" s="54"/>
      <c r="I4622" s="53"/>
      <c r="J4622" s="53"/>
      <c r="K4622" s="23"/>
      <c r="L4622" s="53"/>
      <c r="M4622" s="54"/>
    </row>
    <row r="4623">
      <c r="A4623" s="23"/>
      <c r="B4623" s="52"/>
      <c r="C4623" s="53"/>
      <c r="D4623" s="23"/>
      <c r="E4623" s="53"/>
      <c r="F4623" s="54"/>
      <c r="G4623" s="54"/>
      <c r="H4623" s="54"/>
      <c r="I4623" s="53"/>
      <c r="J4623" s="53"/>
      <c r="K4623" s="23"/>
      <c r="L4623" s="53"/>
      <c r="M4623" s="54"/>
    </row>
    <row r="4624">
      <c r="A4624" s="23"/>
      <c r="B4624" s="52"/>
      <c r="C4624" s="53"/>
      <c r="D4624" s="23"/>
      <c r="E4624" s="53"/>
      <c r="F4624" s="54"/>
      <c r="G4624" s="54"/>
      <c r="H4624" s="54"/>
      <c r="I4624" s="53"/>
      <c r="J4624" s="53"/>
      <c r="K4624" s="23"/>
      <c r="L4624" s="53"/>
      <c r="M4624" s="54"/>
    </row>
    <row r="4625">
      <c r="A4625" s="23"/>
      <c r="B4625" s="52"/>
      <c r="C4625" s="53"/>
      <c r="D4625" s="23"/>
      <c r="E4625" s="53"/>
      <c r="F4625" s="54"/>
      <c r="G4625" s="54"/>
      <c r="H4625" s="54"/>
      <c r="I4625" s="53"/>
      <c r="J4625" s="53"/>
      <c r="K4625" s="23"/>
      <c r="L4625" s="53"/>
      <c r="M4625" s="54"/>
    </row>
    <row r="4626">
      <c r="A4626" s="23"/>
      <c r="B4626" s="52"/>
      <c r="C4626" s="53"/>
      <c r="D4626" s="23"/>
      <c r="E4626" s="53"/>
      <c r="F4626" s="54"/>
      <c r="G4626" s="23"/>
      <c r="H4626" s="54"/>
      <c r="I4626" s="53"/>
      <c r="J4626" s="23"/>
      <c r="K4626" s="23"/>
      <c r="L4626" s="53"/>
      <c r="M4626" s="54"/>
    </row>
    <row r="4627">
      <c r="A4627" s="23"/>
      <c r="B4627" s="52"/>
      <c r="C4627" s="53"/>
      <c r="D4627" s="23"/>
      <c r="E4627" s="53"/>
      <c r="F4627" s="54"/>
      <c r="G4627" s="54"/>
      <c r="H4627" s="54"/>
      <c r="I4627" s="53"/>
      <c r="J4627" s="53"/>
      <c r="K4627" s="23"/>
      <c r="L4627" s="53"/>
      <c r="M4627" s="54"/>
    </row>
    <row r="4628">
      <c r="A4628" s="23"/>
      <c r="B4628" s="52"/>
      <c r="C4628" s="53"/>
      <c r="D4628" s="23"/>
      <c r="E4628" s="53"/>
      <c r="F4628" s="54"/>
      <c r="G4628" s="54"/>
      <c r="H4628" s="54"/>
      <c r="I4628" s="53"/>
      <c r="J4628" s="53"/>
      <c r="K4628" s="23"/>
      <c r="L4628" s="53"/>
      <c r="M4628" s="54"/>
    </row>
    <row r="4629">
      <c r="A4629" s="23"/>
      <c r="B4629" s="52"/>
      <c r="C4629" s="53"/>
      <c r="D4629" s="23"/>
      <c r="E4629" s="53"/>
      <c r="F4629" s="54"/>
      <c r="G4629" s="23"/>
      <c r="H4629" s="54"/>
      <c r="I4629" s="53"/>
      <c r="J4629" s="53"/>
      <c r="K4629" s="23"/>
      <c r="L4629" s="53"/>
      <c r="M4629" s="54"/>
    </row>
    <row r="4630">
      <c r="A4630" s="23"/>
      <c r="B4630" s="52"/>
      <c r="C4630" s="53"/>
      <c r="D4630" s="23"/>
      <c r="E4630" s="53"/>
      <c r="F4630" s="54"/>
      <c r="G4630" s="23"/>
      <c r="H4630" s="54"/>
      <c r="I4630" s="53"/>
      <c r="J4630" s="23"/>
      <c r="K4630" s="23"/>
      <c r="L4630" s="53"/>
      <c r="M4630" s="54"/>
    </row>
    <row r="4631">
      <c r="A4631" s="23"/>
      <c r="B4631" s="52"/>
      <c r="C4631" s="53"/>
      <c r="D4631" s="23"/>
      <c r="E4631" s="53"/>
      <c r="F4631" s="54"/>
      <c r="G4631" s="23"/>
      <c r="H4631" s="54"/>
      <c r="I4631" s="53"/>
      <c r="J4631" s="23"/>
      <c r="K4631" s="23"/>
      <c r="L4631" s="53"/>
      <c r="M4631" s="54"/>
    </row>
    <row r="4632">
      <c r="A4632" s="23"/>
      <c r="B4632" s="52"/>
      <c r="C4632" s="53"/>
      <c r="D4632" s="23"/>
      <c r="E4632" s="53"/>
      <c r="F4632" s="54"/>
      <c r="G4632" s="54"/>
      <c r="H4632" s="54"/>
      <c r="I4632" s="53"/>
      <c r="J4632" s="53"/>
      <c r="K4632" s="23"/>
      <c r="L4632" s="53"/>
      <c r="M4632" s="54"/>
    </row>
    <row r="4633">
      <c r="A4633" s="23"/>
      <c r="B4633" s="52"/>
      <c r="C4633" s="53"/>
      <c r="D4633" s="23"/>
      <c r="E4633" s="53"/>
      <c r="F4633" s="54"/>
      <c r="G4633" s="23"/>
      <c r="H4633" s="54"/>
      <c r="I4633" s="53"/>
      <c r="J4633" s="23"/>
      <c r="K4633" s="23"/>
      <c r="L4633" s="53"/>
      <c r="M4633" s="54"/>
    </row>
    <row r="4634">
      <c r="A4634" s="23"/>
      <c r="B4634" s="52"/>
      <c r="C4634" s="53"/>
      <c r="D4634" s="23"/>
      <c r="E4634" s="53"/>
      <c r="F4634" s="54"/>
      <c r="G4634" s="54"/>
      <c r="H4634" s="54"/>
      <c r="I4634" s="53"/>
      <c r="J4634" s="53"/>
      <c r="K4634" s="23"/>
      <c r="L4634" s="53"/>
      <c r="M4634" s="54"/>
    </row>
    <row r="4635">
      <c r="A4635" s="23"/>
      <c r="B4635" s="52"/>
      <c r="C4635" s="53"/>
      <c r="D4635" s="23"/>
      <c r="E4635" s="53"/>
      <c r="F4635" s="54"/>
      <c r="G4635" s="23"/>
      <c r="H4635" s="54"/>
      <c r="I4635" s="53"/>
      <c r="J4635" s="53"/>
      <c r="K4635" s="23"/>
      <c r="L4635" s="53"/>
      <c r="M4635" s="54"/>
    </row>
    <row r="4636">
      <c r="A4636" s="23"/>
      <c r="B4636" s="52"/>
      <c r="C4636" s="53"/>
      <c r="D4636" s="23"/>
      <c r="E4636" s="53"/>
      <c r="F4636" s="54"/>
      <c r="G4636" s="23"/>
      <c r="H4636" s="54"/>
      <c r="I4636" s="53"/>
      <c r="J4636" s="53"/>
      <c r="K4636" s="23"/>
      <c r="L4636" s="53"/>
      <c r="M4636" s="54"/>
    </row>
    <row r="4637">
      <c r="A4637" s="23"/>
      <c r="B4637" s="52"/>
      <c r="C4637" s="53"/>
      <c r="D4637" s="23"/>
      <c r="E4637" s="53"/>
      <c r="F4637" s="54"/>
      <c r="G4637" s="54"/>
      <c r="H4637" s="54"/>
      <c r="I4637" s="53"/>
      <c r="J4637" s="53"/>
      <c r="K4637" s="23"/>
      <c r="L4637" s="53"/>
      <c r="M4637" s="54"/>
    </row>
    <row r="4638">
      <c r="A4638" s="23"/>
      <c r="B4638" s="52"/>
      <c r="C4638" s="53"/>
      <c r="D4638" s="23"/>
      <c r="E4638" s="53"/>
      <c r="F4638" s="54"/>
      <c r="G4638" s="54"/>
      <c r="H4638" s="54"/>
      <c r="I4638" s="53"/>
      <c r="J4638" s="53"/>
      <c r="K4638" s="23"/>
      <c r="L4638" s="53"/>
      <c r="M4638" s="54"/>
    </row>
    <row r="4639">
      <c r="A4639" s="23"/>
      <c r="B4639" s="52"/>
      <c r="C4639" s="53"/>
      <c r="D4639" s="23"/>
      <c r="E4639" s="53"/>
      <c r="F4639" s="54"/>
      <c r="G4639" s="54"/>
      <c r="H4639" s="54"/>
      <c r="I4639" s="53"/>
      <c r="J4639" s="53"/>
      <c r="K4639" s="23"/>
      <c r="L4639" s="53"/>
      <c r="M4639" s="54"/>
    </row>
    <row r="4640">
      <c r="A4640" s="23"/>
      <c r="B4640" s="52"/>
      <c r="C4640" s="53"/>
      <c r="D4640" s="23"/>
      <c r="E4640" s="53"/>
      <c r="F4640" s="54"/>
      <c r="G4640" s="54"/>
      <c r="H4640" s="54"/>
      <c r="I4640" s="53"/>
      <c r="J4640" s="53"/>
      <c r="K4640" s="23"/>
      <c r="L4640" s="53"/>
      <c r="M4640" s="54"/>
    </row>
    <row r="4641">
      <c r="A4641" s="23"/>
      <c r="B4641" s="52"/>
      <c r="C4641" s="53"/>
      <c r="D4641" s="23"/>
      <c r="E4641" s="53"/>
      <c r="F4641" s="54"/>
      <c r="G4641" s="54"/>
      <c r="H4641" s="54"/>
      <c r="I4641" s="53"/>
      <c r="J4641" s="53"/>
      <c r="K4641" s="23"/>
      <c r="L4641" s="53"/>
      <c r="M4641" s="54"/>
    </row>
    <row r="4642">
      <c r="A4642" s="23"/>
      <c r="B4642" s="52"/>
      <c r="C4642" s="53"/>
      <c r="D4642" s="23"/>
      <c r="E4642" s="53"/>
      <c r="F4642" s="54"/>
      <c r="G4642" s="23"/>
      <c r="H4642" s="54"/>
      <c r="I4642" s="53"/>
      <c r="J4642" s="53"/>
      <c r="K4642" s="23"/>
      <c r="L4642" s="53"/>
      <c r="M4642" s="54"/>
    </row>
    <row r="4643">
      <c r="A4643" s="23"/>
      <c r="B4643" s="52"/>
      <c r="C4643" s="53"/>
      <c r="D4643" s="23"/>
      <c r="E4643" s="53"/>
      <c r="F4643" s="54"/>
      <c r="G4643" s="54"/>
      <c r="H4643" s="54"/>
      <c r="I4643" s="53"/>
      <c r="J4643" s="53"/>
      <c r="K4643" s="23"/>
      <c r="L4643" s="53"/>
      <c r="M4643" s="54"/>
    </row>
    <row r="4644">
      <c r="A4644" s="23"/>
      <c r="B4644" s="52"/>
      <c r="C4644" s="53"/>
      <c r="D4644" s="23"/>
      <c r="E4644" s="53"/>
      <c r="F4644" s="54"/>
      <c r="G4644" s="54"/>
      <c r="H4644" s="54"/>
      <c r="I4644" s="53"/>
      <c r="J4644" s="53"/>
      <c r="K4644" s="23"/>
      <c r="L4644" s="53"/>
      <c r="M4644" s="54"/>
    </row>
    <row r="4645">
      <c r="A4645" s="23"/>
      <c r="B4645" s="52"/>
      <c r="C4645" s="53"/>
      <c r="D4645" s="23"/>
      <c r="E4645" s="53"/>
      <c r="F4645" s="54"/>
      <c r="G4645" s="23"/>
      <c r="H4645" s="54"/>
      <c r="I4645" s="53"/>
      <c r="J4645" s="23"/>
      <c r="K4645" s="23"/>
      <c r="L4645" s="53"/>
      <c r="M4645" s="54"/>
    </row>
    <row r="4646">
      <c r="A4646" s="23"/>
      <c r="B4646" s="52"/>
      <c r="C4646" s="53"/>
      <c r="D4646" s="23"/>
      <c r="E4646" s="53"/>
      <c r="F4646" s="54"/>
      <c r="G4646" s="54"/>
      <c r="H4646" s="54"/>
      <c r="I4646" s="53"/>
      <c r="J4646" s="53"/>
      <c r="K4646" s="23"/>
      <c r="L4646" s="53"/>
      <c r="M4646" s="54"/>
    </row>
    <row r="4647">
      <c r="A4647" s="23"/>
      <c r="B4647" s="52"/>
      <c r="C4647" s="53"/>
      <c r="D4647" s="23"/>
      <c r="E4647" s="53"/>
      <c r="F4647" s="54"/>
      <c r="G4647" s="23"/>
      <c r="H4647" s="54"/>
      <c r="I4647" s="53"/>
      <c r="J4647" s="23"/>
      <c r="K4647" s="23"/>
      <c r="L4647" s="53"/>
      <c r="M4647" s="54"/>
    </row>
    <row r="4648">
      <c r="A4648" s="23"/>
      <c r="B4648" s="52"/>
      <c r="C4648" s="53"/>
      <c r="D4648" s="23"/>
      <c r="E4648" s="53"/>
      <c r="F4648" s="54"/>
      <c r="G4648" s="54"/>
      <c r="H4648" s="54"/>
      <c r="I4648" s="53"/>
      <c r="J4648" s="53"/>
      <c r="K4648" s="23"/>
      <c r="L4648" s="53"/>
      <c r="M4648" s="54"/>
    </row>
    <row r="4649">
      <c r="A4649" s="23"/>
      <c r="B4649" s="52"/>
      <c r="C4649" s="53"/>
      <c r="D4649" s="23"/>
      <c r="E4649" s="53"/>
      <c r="F4649" s="54"/>
      <c r="G4649" s="54"/>
      <c r="H4649" s="54"/>
      <c r="I4649" s="53"/>
      <c r="J4649" s="53"/>
      <c r="K4649" s="23"/>
      <c r="L4649" s="53"/>
      <c r="M4649" s="54"/>
    </row>
    <row r="4650">
      <c r="A4650" s="23"/>
      <c r="B4650" s="52"/>
      <c r="C4650" s="53"/>
      <c r="D4650" s="23"/>
      <c r="E4650" s="53"/>
      <c r="F4650" s="54"/>
      <c r="G4650" s="23"/>
      <c r="H4650" s="54"/>
      <c r="I4650" s="53"/>
      <c r="J4650" s="23"/>
      <c r="K4650" s="23"/>
      <c r="L4650" s="53"/>
      <c r="M4650" s="54"/>
    </row>
    <row r="4651">
      <c r="A4651" s="23"/>
      <c r="B4651" s="52"/>
      <c r="C4651" s="53"/>
      <c r="D4651" s="23"/>
      <c r="E4651" s="53"/>
      <c r="F4651" s="54"/>
      <c r="G4651" s="23"/>
      <c r="H4651" s="54"/>
      <c r="I4651" s="53"/>
      <c r="J4651" s="23"/>
      <c r="K4651" s="23"/>
      <c r="L4651" s="53"/>
      <c r="M4651" s="54"/>
    </row>
    <row r="4652">
      <c r="A4652" s="23"/>
      <c r="B4652" s="52"/>
      <c r="C4652" s="53"/>
      <c r="D4652" s="23"/>
      <c r="E4652" s="53"/>
      <c r="F4652" s="54"/>
      <c r="G4652" s="54"/>
      <c r="H4652" s="54"/>
      <c r="I4652" s="53"/>
      <c r="J4652" s="53"/>
      <c r="K4652" s="23"/>
      <c r="L4652" s="53"/>
      <c r="M4652" s="54"/>
    </row>
    <row r="4653">
      <c r="A4653" s="23"/>
      <c r="B4653" s="52"/>
      <c r="C4653" s="53"/>
      <c r="D4653" s="23"/>
      <c r="E4653" s="53"/>
      <c r="F4653" s="54"/>
      <c r="G4653" s="23"/>
      <c r="H4653" s="54"/>
      <c r="I4653" s="53"/>
      <c r="J4653" s="53"/>
      <c r="K4653" s="23"/>
      <c r="L4653" s="23"/>
      <c r="M4653" s="54"/>
    </row>
    <row r="4654">
      <c r="A4654" s="23"/>
      <c r="B4654" s="52"/>
      <c r="C4654" s="53"/>
      <c r="D4654" s="23"/>
      <c r="E4654" s="53"/>
      <c r="F4654" s="54"/>
      <c r="G4654" s="23"/>
      <c r="H4654" s="54"/>
      <c r="I4654" s="53"/>
      <c r="J4654" s="53"/>
      <c r="K4654" s="23"/>
      <c r="L4654" s="53"/>
      <c r="M4654" s="54"/>
    </row>
    <row r="4655">
      <c r="A4655" s="23"/>
      <c r="B4655" s="52"/>
      <c r="C4655" s="53"/>
      <c r="D4655" s="23"/>
      <c r="E4655" s="53"/>
      <c r="F4655" s="54"/>
      <c r="G4655" s="54"/>
      <c r="H4655" s="54"/>
      <c r="I4655" s="53"/>
      <c r="J4655" s="53"/>
      <c r="K4655" s="23"/>
      <c r="L4655" s="53"/>
      <c r="M4655" s="54"/>
    </row>
    <row r="4656">
      <c r="A4656" s="23"/>
      <c r="B4656" s="52"/>
      <c r="C4656" s="53"/>
      <c r="D4656" s="23"/>
      <c r="E4656" s="53"/>
      <c r="F4656" s="54"/>
      <c r="G4656" s="23"/>
      <c r="H4656" s="54"/>
      <c r="I4656" s="53"/>
      <c r="J4656" s="53"/>
      <c r="K4656" s="23"/>
      <c r="L4656" s="53"/>
      <c r="M4656" s="54"/>
    </row>
    <row r="4657">
      <c r="A4657" s="23"/>
      <c r="B4657" s="52"/>
      <c r="C4657" s="53"/>
      <c r="D4657" s="23"/>
      <c r="E4657" s="53"/>
      <c r="F4657" s="54"/>
      <c r="G4657" s="23"/>
      <c r="H4657" s="54"/>
      <c r="I4657" s="53"/>
      <c r="J4657" s="53"/>
      <c r="K4657" s="23"/>
      <c r="L4657" s="53"/>
      <c r="M4657" s="54"/>
    </row>
    <row r="4658">
      <c r="A4658" s="23"/>
      <c r="B4658" s="52"/>
      <c r="C4658" s="53"/>
      <c r="D4658" s="23"/>
      <c r="E4658" s="53"/>
      <c r="F4658" s="54"/>
      <c r="G4658" s="23"/>
      <c r="H4658" s="54"/>
      <c r="I4658" s="53"/>
      <c r="J4658" s="23"/>
      <c r="K4658" s="23"/>
      <c r="L4658" s="53"/>
      <c r="M4658" s="54"/>
    </row>
    <row r="4659">
      <c r="A4659" s="23"/>
      <c r="B4659" s="52"/>
      <c r="C4659" s="53"/>
      <c r="D4659" s="23"/>
      <c r="E4659" s="53"/>
      <c r="F4659" s="54"/>
      <c r="G4659" s="23"/>
      <c r="H4659" s="54"/>
      <c r="I4659" s="53"/>
      <c r="J4659" s="23"/>
      <c r="K4659" s="23"/>
      <c r="L4659" s="53"/>
      <c r="M4659" s="54"/>
    </row>
    <row r="4660">
      <c r="A4660" s="23"/>
      <c r="B4660" s="52"/>
      <c r="C4660" s="53"/>
      <c r="D4660" s="23"/>
      <c r="E4660" s="53"/>
      <c r="F4660" s="54"/>
      <c r="G4660" s="23"/>
      <c r="H4660" s="54"/>
      <c r="I4660" s="53"/>
      <c r="J4660" s="23"/>
      <c r="K4660" s="23"/>
      <c r="L4660" s="53"/>
      <c r="M4660" s="54"/>
    </row>
    <row r="4661">
      <c r="A4661" s="23"/>
      <c r="B4661" s="52"/>
      <c r="C4661" s="53"/>
      <c r="D4661" s="23"/>
      <c r="E4661" s="53"/>
      <c r="F4661" s="54"/>
      <c r="G4661" s="23"/>
      <c r="H4661" s="54"/>
      <c r="I4661" s="53"/>
      <c r="J4661" s="23"/>
      <c r="K4661" s="23"/>
      <c r="L4661" s="53"/>
      <c r="M4661" s="54"/>
    </row>
    <row r="4662">
      <c r="A4662" s="23"/>
      <c r="B4662" s="52"/>
      <c r="C4662" s="53"/>
      <c r="D4662" s="23"/>
      <c r="E4662" s="53"/>
      <c r="F4662" s="54"/>
      <c r="G4662" s="23"/>
      <c r="H4662" s="54"/>
      <c r="I4662" s="53"/>
      <c r="J4662" s="23"/>
      <c r="K4662" s="23"/>
      <c r="L4662" s="53"/>
      <c r="M4662" s="54"/>
    </row>
    <row r="4663">
      <c r="A4663" s="23"/>
      <c r="B4663" s="52"/>
      <c r="C4663" s="53"/>
      <c r="D4663" s="23"/>
      <c r="E4663" s="53"/>
      <c r="F4663" s="54"/>
      <c r="G4663" s="23"/>
      <c r="H4663" s="54"/>
      <c r="I4663" s="53"/>
      <c r="J4663" s="53"/>
      <c r="K4663" s="23"/>
      <c r="L4663" s="53"/>
      <c r="M4663" s="54"/>
    </row>
    <row r="4664">
      <c r="A4664" s="23"/>
      <c r="B4664" s="52"/>
      <c r="C4664" s="53"/>
      <c r="D4664" s="23"/>
      <c r="E4664" s="53"/>
      <c r="F4664" s="54"/>
      <c r="G4664" s="54"/>
      <c r="H4664" s="54"/>
      <c r="I4664" s="53"/>
      <c r="J4664" s="53"/>
      <c r="K4664" s="23"/>
      <c r="L4664" s="53"/>
      <c r="M4664" s="54"/>
    </row>
    <row r="4665">
      <c r="A4665" s="23"/>
      <c r="B4665" s="52"/>
      <c r="C4665" s="53"/>
      <c r="D4665" s="23"/>
      <c r="E4665" s="53"/>
      <c r="F4665" s="54"/>
      <c r="G4665" s="23"/>
      <c r="H4665" s="54"/>
      <c r="I4665" s="53"/>
      <c r="J4665" s="23"/>
      <c r="K4665" s="23"/>
      <c r="L4665" s="53"/>
      <c r="M4665" s="54"/>
    </row>
    <row r="4666">
      <c r="A4666" s="23"/>
      <c r="B4666" s="52"/>
      <c r="C4666" s="53"/>
      <c r="D4666" s="23"/>
      <c r="E4666" s="53"/>
      <c r="F4666" s="54"/>
      <c r="G4666" s="23"/>
      <c r="H4666" s="54"/>
      <c r="I4666" s="53"/>
      <c r="J4666" s="23"/>
      <c r="K4666" s="23"/>
      <c r="L4666" s="53"/>
      <c r="M4666" s="54"/>
    </row>
    <row r="4667">
      <c r="A4667" s="23"/>
      <c r="B4667" s="52"/>
      <c r="C4667" s="53"/>
      <c r="D4667" s="23"/>
      <c r="E4667" s="53"/>
      <c r="F4667" s="54"/>
      <c r="G4667" s="23"/>
      <c r="H4667" s="54"/>
      <c r="I4667" s="53"/>
      <c r="J4667" s="23"/>
      <c r="K4667" s="23"/>
      <c r="L4667" s="53"/>
      <c r="M4667" s="54"/>
    </row>
    <row r="4668">
      <c r="A4668" s="23"/>
      <c r="B4668" s="52"/>
      <c r="C4668" s="53"/>
      <c r="D4668" s="23"/>
      <c r="E4668" s="53"/>
      <c r="F4668" s="54"/>
      <c r="G4668" s="54"/>
      <c r="H4668" s="54"/>
      <c r="I4668" s="53"/>
      <c r="J4668" s="53"/>
      <c r="K4668" s="23"/>
      <c r="L4668" s="53"/>
      <c r="M4668" s="54"/>
    </row>
    <row r="4669">
      <c r="A4669" s="23"/>
      <c r="B4669" s="52"/>
      <c r="C4669" s="53"/>
      <c r="D4669" s="23"/>
      <c r="E4669" s="53"/>
      <c r="F4669" s="54"/>
      <c r="G4669" s="23"/>
      <c r="H4669" s="54"/>
      <c r="I4669" s="53"/>
      <c r="J4669" s="23"/>
      <c r="K4669" s="23"/>
      <c r="L4669" s="53"/>
      <c r="M4669" s="54"/>
    </row>
    <row r="4670">
      <c r="A4670" s="23"/>
      <c r="B4670" s="52"/>
      <c r="C4670" s="53"/>
      <c r="D4670" s="23"/>
      <c r="E4670" s="53"/>
      <c r="F4670" s="54"/>
      <c r="G4670" s="54"/>
      <c r="H4670" s="54"/>
      <c r="I4670" s="53"/>
      <c r="J4670" s="53"/>
      <c r="K4670" s="23"/>
      <c r="L4670" s="53"/>
      <c r="M4670" s="54"/>
    </row>
    <row r="4671">
      <c r="A4671" s="23"/>
      <c r="B4671" s="52"/>
      <c r="C4671" s="53"/>
      <c r="D4671" s="23"/>
      <c r="E4671" s="53"/>
      <c r="F4671" s="54"/>
      <c r="G4671" s="54"/>
      <c r="H4671" s="54"/>
      <c r="I4671" s="53"/>
      <c r="J4671" s="53"/>
      <c r="K4671" s="23"/>
      <c r="L4671" s="53"/>
      <c r="M4671" s="54"/>
    </row>
    <row r="4672">
      <c r="A4672" s="23"/>
      <c r="B4672" s="52"/>
      <c r="C4672" s="53"/>
      <c r="D4672" s="23"/>
      <c r="E4672" s="53"/>
      <c r="F4672" s="54"/>
      <c r="G4672" s="23"/>
      <c r="H4672" s="54"/>
      <c r="I4672" s="53"/>
      <c r="J4672" s="23"/>
      <c r="K4672" s="23"/>
      <c r="L4672" s="53"/>
      <c r="M4672" s="54"/>
    </row>
    <row r="4673">
      <c r="A4673" s="23"/>
      <c r="B4673" s="52"/>
      <c r="C4673" s="53"/>
      <c r="D4673" s="23"/>
      <c r="E4673" s="53"/>
      <c r="F4673" s="54"/>
      <c r="G4673" s="23"/>
      <c r="H4673" s="54"/>
      <c r="I4673" s="53"/>
      <c r="J4673" s="23"/>
      <c r="K4673" s="23"/>
      <c r="L4673" s="53"/>
      <c r="M4673" s="54"/>
    </row>
    <row r="4674">
      <c r="A4674" s="23"/>
      <c r="B4674" s="52"/>
      <c r="C4674" s="53"/>
      <c r="D4674" s="23"/>
      <c r="E4674" s="53"/>
      <c r="F4674" s="54"/>
      <c r="G4674" s="54"/>
      <c r="H4674" s="54"/>
      <c r="I4674" s="53"/>
      <c r="J4674" s="53"/>
      <c r="K4674" s="23"/>
      <c r="L4674" s="53"/>
      <c r="M4674" s="54"/>
    </row>
    <row r="4675">
      <c r="A4675" s="23"/>
      <c r="B4675" s="52"/>
      <c r="C4675" s="53"/>
      <c r="D4675" s="23"/>
      <c r="E4675" s="53"/>
      <c r="F4675" s="54"/>
      <c r="G4675" s="23"/>
      <c r="H4675" s="54"/>
      <c r="I4675" s="53"/>
      <c r="J4675" s="23"/>
      <c r="K4675" s="23"/>
      <c r="L4675" s="53"/>
      <c r="M4675" s="54"/>
    </row>
    <row r="4676">
      <c r="A4676" s="23"/>
      <c r="B4676" s="52"/>
      <c r="C4676" s="53"/>
      <c r="D4676" s="23"/>
      <c r="E4676" s="53"/>
      <c r="F4676" s="54"/>
      <c r="G4676" s="23"/>
      <c r="H4676" s="54"/>
      <c r="I4676" s="53"/>
      <c r="J4676" s="23"/>
      <c r="K4676" s="23"/>
      <c r="L4676" s="53"/>
      <c r="M4676" s="54"/>
    </row>
    <row r="4677">
      <c r="A4677" s="23"/>
      <c r="B4677" s="52"/>
      <c r="C4677" s="53"/>
      <c r="D4677" s="23"/>
      <c r="E4677" s="53"/>
      <c r="F4677" s="54"/>
      <c r="G4677" s="23"/>
      <c r="H4677" s="54"/>
      <c r="I4677" s="53"/>
      <c r="J4677" s="53"/>
      <c r="K4677" s="23"/>
      <c r="L4677" s="53"/>
      <c r="M4677" s="54"/>
    </row>
    <row r="4678">
      <c r="A4678" s="23"/>
      <c r="B4678" s="52"/>
      <c r="C4678" s="53"/>
      <c r="D4678" s="23"/>
      <c r="E4678" s="53"/>
      <c r="F4678" s="54"/>
      <c r="G4678" s="54"/>
      <c r="H4678" s="54"/>
      <c r="I4678" s="53"/>
      <c r="J4678" s="53"/>
      <c r="K4678" s="23"/>
      <c r="L4678" s="53"/>
      <c r="M4678" s="54"/>
    </row>
    <row r="4679">
      <c r="A4679" s="23"/>
      <c r="B4679" s="52"/>
      <c r="C4679" s="53"/>
      <c r="D4679" s="23"/>
      <c r="E4679" s="53"/>
      <c r="F4679" s="54"/>
      <c r="G4679" s="23"/>
      <c r="H4679" s="54"/>
      <c r="I4679" s="53"/>
      <c r="J4679" s="53"/>
      <c r="K4679" s="23"/>
      <c r="L4679" s="53"/>
      <c r="M4679" s="54"/>
    </row>
    <row r="4680">
      <c r="A4680" s="23"/>
      <c r="B4680" s="52"/>
      <c r="C4680" s="53"/>
      <c r="D4680" s="23"/>
      <c r="E4680" s="53"/>
      <c r="F4680" s="54"/>
      <c r="G4680" s="54"/>
      <c r="H4680" s="54"/>
      <c r="I4680" s="53"/>
      <c r="J4680" s="53"/>
      <c r="K4680" s="23"/>
      <c r="L4680" s="53"/>
      <c r="M4680" s="54"/>
    </row>
    <row r="4681">
      <c r="A4681" s="23"/>
      <c r="B4681" s="52"/>
      <c r="C4681" s="53"/>
      <c r="D4681" s="23"/>
      <c r="E4681" s="53"/>
      <c r="F4681" s="54"/>
      <c r="G4681" s="23"/>
      <c r="H4681" s="54"/>
      <c r="I4681" s="53"/>
      <c r="J4681" s="53"/>
      <c r="K4681" s="23"/>
      <c r="L4681" s="53"/>
      <c r="M4681" s="54"/>
    </row>
    <row r="4682">
      <c r="A4682" s="23"/>
      <c r="B4682" s="52"/>
      <c r="C4682" s="53"/>
      <c r="D4682" s="23"/>
      <c r="E4682" s="53"/>
      <c r="F4682" s="54"/>
      <c r="G4682" s="23"/>
      <c r="H4682" s="54"/>
      <c r="I4682" s="53"/>
      <c r="J4682" s="53"/>
      <c r="K4682" s="23"/>
      <c r="L4682" s="53"/>
      <c r="M4682" s="54"/>
    </row>
    <row r="4683">
      <c r="A4683" s="23"/>
      <c r="B4683" s="52"/>
      <c r="C4683" s="53"/>
      <c r="D4683" s="23"/>
      <c r="E4683" s="53"/>
      <c r="F4683" s="54"/>
      <c r="G4683" s="23"/>
      <c r="H4683" s="54"/>
      <c r="I4683" s="53"/>
      <c r="J4683" s="23"/>
      <c r="K4683" s="23"/>
      <c r="L4683" s="53"/>
      <c r="M4683" s="54"/>
    </row>
    <row r="4684">
      <c r="A4684" s="23"/>
      <c r="B4684" s="52"/>
      <c r="C4684" s="53"/>
      <c r="D4684" s="23"/>
      <c r="E4684" s="53"/>
      <c r="F4684" s="54"/>
      <c r="G4684" s="23"/>
      <c r="H4684" s="54"/>
      <c r="I4684" s="53"/>
      <c r="J4684" s="23"/>
      <c r="K4684" s="53"/>
      <c r="L4684" s="23"/>
      <c r="M4684" s="54"/>
    </row>
    <row r="4685">
      <c r="A4685" s="23"/>
      <c r="B4685" s="52"/>
      <c r="C4685" s="53"/>
      <c r="D4685" s="23"/>
      <c r="E4685" s="53"/>
      <c r="F4685" s="54"/>
      <c r="G4685" s="23"/>
      <c r="H4685" s="54"/>
      <c r="I4685" s="53"/>
      <c r="J4685" s="53"/>
      <c r="K4685" s="23"/>
      <c r="L4685" s="53"/>
      <c r="M4685" s="54"/>
    </row>
    <row r="4686">
      <c r="A4686" s="23"/>
      <c r="B4686" s="52"/>
      <c r="C4686" s="53"/>
      <c r="D4686" s="23"/>
      <c r="E4686" s="53"/>
      <c r="F4686" s="54"/>
      <c r="G4686" s="23"/>
      <c r="H4686" s="54"/>
      <c r="I4686" s="53"/>
      <c r="J4686" s="23"/>
      <c r="K4686" s="23"/>
      <c r="L4686" s="53"/>
      <c r="M4686" s="54"/>
    </row>
    <row r="4687">
      <c r="A4687" s="23"/>
      <c r="B4687" s="52"/>
      <c r="C4687" s="53"/>
      <c r="D4687" s="23"/>
      <c r="E4687" s="53"/>
      <c r="F4687" s="54"/>
      <c r="G4687" s="23"/>
      <c r="H4687" s="54"/>
      <c r="I4687" s="53"/>
      <c r="J4687" s="53"/>
      <c r="K4687" s="23"/>
      <c r="L4687" s="53"/>
      <c r="M4687" s="54"/>
    </row>
    <row r="4688">
      <c r="A4688" s="23"/>
      <c r="B4688" s="52"/>
      <c r="C4688" s="53"/>
      <c r="D4688" s="23"/>
      <c r="E4688" s="53"/>
      <c r="F4688" s="54"/>
      <c r="G4688" s="23"/>
      <c r="H4688" s="54"/>
      <c r="I4688" s="53"/>
      <c r="J4688" s="23"/>
      <c r="K4688" s="23"/>
      <c r="L4688" s="53"/>
      <c r="M4688" s="54"/>
    </row>
    <row r="4689">
      <c r="A4689" s="23"/>
      <c r="B4689" s="52"/>
      <c r="C4689" s="53"/>
      <c r="D4689" s="23"/>
      <c r="E4689" s="53"/>
      <c r="F4689" s="54"/>
      <c r="G4689" s="23"/>
      <c r="H4689" s="54"/>
      <c r="I4689" s="53"/>
      <c r="J4689" s="53"/>
      <c r="K4689" s="23"/>
      <c r="L4689" s="53"/>
      <c r="M4689" s="54"/>
    </row>
    <row r="4690">
      <c r="A4690" s="23"/>
      <c r="B4690" s="52"/>
      <c r="C4690" s="53"/>
      <c r="D4690" s="23"/>
      <c r="E4690" s="53"/>
      <c r="F4690" s="54"/>
      <c r="G4690" s="23"/>
      <c r="H4690" s="54"/>
      <c r="I4690" s="53"/>
      <c r="J4690" s="53"/>
      <c r="K4690" s="23"/>
      <c r="L4690" s="53"/>
      <c r="M4690" s="54"/>
    </row>
    <row r="4691">
      <c r="A4691" s="23"/>
      <c r="B4691" s="52"/>
      <c r="C4691" s="53"/>
      <c r="D4691" s="23"/>
      <c r="E4691" s="53"/>
      <c r="F4691" s="54"/>
      <c r="G4691" s="23"/>
      <c r="H4691" s="54"/>
      <c r="I4691" s="53"/>
      <c r="J4691" s="23"/>
      <c r="K4691" s="23"/>
      <c r="L4691" s="53"/>
      <c r="M4691" s="54"/>
    </row>
    <row r="4692">
      <c r="A4692" s="23"/>
      <c r="B4692" s="52"/>
      <c r="C4692" s="53"/>
      <c r="D4692" s="23"/>
      <c r="E4692" s="53"/>
      <c r="F4692" s="54"/>
      <c r="G4692" s="23"/>
      <c r="H4692" s="54"/>
      <c r="I4692" s="53"/>
      <c r="J4692" s="53"/>
      <c r="K4692" s="23"/>
      <c r="L4692" s="53"/>
      <c r="M4692" s="54"/>
    </row>
    <row r="4693">
      <c r="A4693" s="23"/>
      <c r="B4693" s="52"/>
      <c r="C4693" s="53"/>
      <c r="D4693" s="23"/>
      <c r="E4693" s="53"/>
      <c r="F4693" s="54"/>
      <c r="G4693" s="23"/>
      <c r="H4693" s="54"/>
      <c r="I4693" s="53"/>
      <c r="J4693" s="23"/>
      <c r="K4693" s="23"/>
      <c r="L4693" s="53"/>
      <c r="M4693" s="54"/>
    </row>
    <row r="4694">
      <c r="A4694" s="23"/>
      <c r="B4694" s="52"/>
      <c r="C4694" s="53"/>
      <c r="D4694" s="23"/>
      <c r="E4694" s="53"/>
      <c r="F4694" s="54"/>
      <c r="G4694" s="23"/>
      <c r="H4694" s="54"/>
      <c r="I4694" s="53"/>
      <c r="J4694" s="53"/>
      <c r="K4694" s="23"/>
      <c r="L4694" s="53"/>
      <c r="M4694" s="54"/>
    </row>
    <row r="4695">
      <c r="A4695" s="23"/>
      <c r="B4695" s="52"/>
      <c r="C4695" s="53"/>
      <c r="D4695" s="23"/>
      <c r="E4695" s="53"/>
      <c r="F4695" s="54"/>
      <c r="G4695" s="23"/>
      <c r="H4695" s="54"/>
      <c r="I4695" s="53"/>
      <c r="J4695" s="23"/>
      <c r="K4695" s="23"/>
      <c r="L4695" s="53"/>
      <c r="M4695" s="54"/>
    </row>
    <row r="4696">
      <c r="A4696" s="23"/>
      <c r="B4696" s="52"/>
      <c r="C4696" s="53"/>
      <c r="D4696" s="23"/>
      <c r="E4696" s="53"/>
      <c r="F4696" s="54"/>
      <c r="G4696" s="23"/>
      <c r="H4696" s="54"/>
      <c r="I4696" s="53"/>
      <c r="J4696" s="53"/>
      <c r="K4696" s="23"/>
      <c r="L4696" s="53"/>
      <c r="M4696" s="54"/>
    </row>
    <row r="4697">
      <c r="A4697" s="23"/>
      <c r="B4697" s="52"/>
      <c r="C4697" s="53"/>
      <c r="D4697" s="23"/>
      <c r="E4697" s="53"/>
      <c r="F4697" s="54"/>
      <c r="G4697" s="23"/>
      <c r="H4697" s="54"/>
      <c r="I4697" s="53"/>
      <c r="J4697" s="53"/>
      <c r="K4697" s="23"/>
      <c r="L4697" s="53"/>
      <c r="M4697" s="54"/>
    </row>
    <row r="4698">
      <c r="A4698" s="23"/>
      <c r="B4698" s="52"/>
      <c r="C4698" s="53"/>
      <c r="D4698" s="23"/>
      <c r="E4698" s="53"/>
      <c r="F4698" s="54"/>
      <c r="G4698" s="23"/>
      <c r="H4698" s="54"/>
      <c r="I4698" s="53"/>
      <c r="J4698" s="23"/>
      <c r="K4698" s="23"/>
      <c r="L4698" s="53"/>
      <c r="M4698" s="54"/>
    </row>
    <row r="4699">
      <c r="A4699" s="23"/>
      <c r="B4699" s="52"/>
      <c r="C4699" s="53"/>
      <c r="D4699" s="23"/>
      <c r="E4699" s="53"/>
      <c r="F4699" s="54"/>
      <c r="G4699" s="23"/>
      <c r="H4699" s="54"/>
      <c r="I4699" s="53"/>
      <c r="J4699" s="53"/>
      <c r="K4699" s="23"/>
      <c r="L4699" s="53"/>
      <c r="M4699" s="54"/>
    </row>
    <row r="4700">
      <c r="A4700" s="23"/>
      <c r="B4700" s="52"/>
      <c r="C4700" s="53"/>
      <c r="D4700" s="23"/>
      <c r="E4700" s="53"/>
      <c r="F4700" s="54"/>
      <c r="G4700" s="54"/>
      <c r="H4700" s="54"/>
      <c r="I4700" s="53"/>
      <c r="J4700" s="53"/>
      <c r="K4700" s="23"/>
      <c r="L4700" s="53"/>
      <c r="M4700" s="54"/>
    </row>
    <row r="4701">
      <c r="A4701" s="23"/>
      <c r="B4701" s="52"/>
      <c r="C4701" s="53"/>
      <c r="D4701" s="23"/>
      <c r="E4701" s="53"/>
      <c r="F4701" s="54"/>
      <c r="G4701" s="23"/>
      <c r="H4701" s="54"/>
      <c r="I4701" s="53"/>
      <c r="J4701" s="53"/>
      <c r="K4701" s="23"/>
      <c r="L4701" s="53"/>
      <c r="M4701" s="54"/>
    </row>
    <row r="4702">
      <c r="A4702" s="23"/>
      <c r="B4702" s="52"/>
      <c r="C4702" s="53"/>
      <c r="D4702" s="23"/>
      <c r="E4702" s="53"/>
      <c r="F4702" s="54"/>
      <c r="G4702" s="23"/>
      <c r="H4702" s="54"/>
      <c r="I4702" s="53"/>
      <c r="J4702" s="53"/>
      <c r="K4702" s="23"/>
      <c r="L4702" s="53"/>
      <c r="M4702" s="54"/>
    </row>
    <row r="4703">
      <c r="A4703" s="23"/>
      <c r="B4703" s="52"/>
      <c r="C4703" s="53"/>
      <c r="D4703" s="23"/>
      <c r="E4703" s="53"/>
      <c r="F4703" s="54"/>
      <c r="G4703" s="23"/>
      <c r="H4703" s="54"/>
      <c r="I4703" s="53"/>
      <c r="J4703" s="53"/>
      <c r="K4703" s="23"/>
      <c r="L4703" s="53"/>
      <c r="M4703" s="54"/>
    </row>
    <row r="4704">
      <c r="A4704" s="23"/>
      <c r="B4704" s="52"/>
      <c r="C4704" s="53"/>
      <c r="D4704" s="23"/>
      <c r="E4704" s="53"/>
      <c r="F4704" s="54"/>
      <c r="G4704" s="23"/>
      <c r="H4704" s="54"/>
      <c r="I4704" s="53"/>
      <c r="J4704" s="53"/>
      <c r="K4704" s="23"/>
      <c r="L4704" s="53"/>
      <c r="M4704" s="54"/>
    </row>
    <row r="4705">
      <c r="A4705" s="23"/>
      <c r="B4705" s="52"/>
      <c r="C4705" s="53"/>
      <c r="D4705" s="23"/>
      <c r="E4705" s="53"/>
      <c r="F4705" s="54"/>
      <c r="G4705" s="23"/>
      <c r="H4705" s="54"/>
      <c r="I4705" s="53"/>
      <c r="J4705" s="53"/>
      <c r="K4705" s="23"/>
      <c r="L4705" s="53"/>
      <c r="M4705" s="54"/>
    </row>
    <row r="4706">
      <c r="A4706" s="23"/>
      <c r="B4706" s="52"/>
      <c r="C4706" s="53"/>
      <c r="D4706" s="23"/>
      <c r="E4706" s="53"/>
      <c r="F4706" s="54"/>
      <c r="G4706" s="23"/>
      <c r="H4706" s="54"/>
      <c r="I4706" s="53"/>
      <c r="J4706" s="23"/>
      <c r="K4706" s="23"/>
      <c r="L4706" s="53"/>
      <c r="M4706" s="54"/>
    </row>
    <row r="4707">
      <c r="A4707" s="23"/>
      <c r="B4707" s="52"/>
      <c r="C4707" s="53"/>
      <c r="D4707" s="23"/>
      <c r="E4707" s="53"/>
      <c r="F4707" s="54"/>
      <c r="G4707" s="23"/>
      <c r="H4707" s="54"/>
      <c r="I4707" s="53"/>
      <c r="J4707" s="53"/>
      <c r="K4707" s="23"/>
      <c r="L4707" s="53"/>
      <c r="M4707" s="54"/>
    </row>
    <row r="4708">
      <c r="A4708" s="23"/>
      <c r="B4708" s="52"/>
      <c r="C4708" s="53"/>
      <c r="D4708" s="23"/>
      <c r="E4708" s="53"/>
      <c r="F4708" s="54"/>
      <c r="G4708" s="23"/>
      <c r="H4708" s="54"/>
      <c r="I4708" s="53"/>
      <c r="J4708" s="23"/>
      <c r="K4708" s="23"/>
      <c r="L4708" s="53"/>
      <c r="M4708" s="54"/>
    </row>
    <row r="4709">
      <c r="A4709" s="23"/>
      <c r="B4709" s="52"/>
      <c r="C4709" s="53"/>
      <c r="D4709" s="23"/>
      <c r="E4709" s="53"/>
      <c r="F4709" s="54"/>
      <c r="G4709" s="23"/>
      <c r="H4709" s="54"/>
      <c r="I4709" s="53"/>
      <c r="J4709" s="53"/>
      <c r="K4709" s="23"/>
      <c r="L4709" s="53"/>
      <c r="M4709" s="54"/>
    </row>
    <row r="4710">
      <c r="A4710" s="23"/>
      <c r="B4710" s="52"/>
      <c r="C4710" s="53"/>
      <c r="D4710" s="23"/>
      <c r="E4710" s="53"/>
      <c r="F4710" s="54"/>
      <c r="G4710" s="23"/>
      <c r="H4710" s="54"/>
      <c r="I4710" s="53"/>
      <c r="J4710" s="53"/>
      <c r="K4710" s="23"/>
      <c r="L4710" s="53"/>
      <c r="M4710" s="54"/>
    </row>
    <row r="4711">
      <c r="A4711" s="23"/>
      <c r="B4711" s="52"/>
      <c r="C4711" s="53"/>
      <c r="D4711" s="23"/>
      <c r="E4711" s="53"/>
      <c r="F4711" s="54"/>
      <c r="G4711" s="23"/>
      <c r="H4711" s="54"/>
      <c r="I4711" s="53"/>
      <c r="J4711" s="53"/>
      <c r="K4711" s="23"/>
      <c r="L4711" s="53"/>
      <c r="M4711" s="54"/>
    </row>
    <row r="4712">
      <c r="A4712" s="23"/>
      <c r="B4712" s="52"/>
      <c r="C4712" s="53"/>
      <c r="D4712" s="23"/>
      <c r="E4712" s="53"/>
      <c r="F4712" s="54"/>
      <c r="G4712" s="23"/>
      <c r="H4712" s="54"/>
      <c r="I4712" s="53"/>
      <c r="J4712" s="23"/>
      <c r="K4712" s="23"/>
      <c r="L4712" s="53"/>
      <c r="M4712" s="54"/>
    </row>
    <row r="4713">
      <c r="A4713" s="23"/>
      <c r="B4713" s="52"/>
      <c r="C4713" s="53"/>
      <c r="D4713" s="23"/>
      <c r="E4713" s="53"/>
      <c r="F4713" s="54"/>
      <c r="G4713" s="23"/>
      <c r="H4713" s="54"/>
      <c r="I4713" s="53"/>
      <c r="J4713" s="23"/>
      <c r="K4713" s="23"/>
      <c r="L4713" s="53"/>
      <c r="M4713" s="54"/>
    </row>
    <row r="4714">
      <c r="A4714" s="23"/>
      <c r="B4714" s="52"/>
      <c r="C4714" s="53"/>
      <c r="D4714" s="23"/>
      <c r="E4714" s="53"/>
      <c r="F4714" s="54"/>
      <c r="G4714" s="23"/>
      <c r="H4714" s="54"/>
      <c r="I4714" s="53"/>
      <c r="J4714" s="23"/>
      <c r="K4714" s="23"/>
      <c r="L4714" s="53"/>
      <c r="M4714" s="54"/>
    </row>
    <row r="4715">
      <c r="A4715" s="23"/>
      <c r="B4715" s="52"/>
      <c r="C4715" s="53"/>
      <c r="D4715" s="23"/>
      <c r="E4715" s="53"/>
      <c r="F4715" s="54"/>
      <c r="G4715" s="23"/>
      <c r="H4715" s="54"/>
      <c r="I4715" s="53"/>
      <c r="J4715" s="23"/>
      <c r="K4715" s="23"/>
      <c r="L4715" s="53"/>
      <c r="M4715" s="54"/>
    </row>
    <row r="4716">
      <c r="A4716" s="23"/>
      <c r="B4716" s="52"/>
      <c r="C4716" s="53"/>
      <c r="D4716" s="23"/>
      <c r="E4716" s="53"/>
      <c r="F4716" s="54"/>
      <c r="G4716" s="23"/>
      <c r="H4716" s="54"/>
      <c r="I4716" s="53"/>
      <c r="J4716" s="23"/>
      <c r="K4716" s="23"/>
      <c r="L4716" s="53"/>
      <c r="M4716" s="54"/>
    </row>
    <row r="4717">
      <c r="A4717" s="23"/>
      <c r="B4717" s="52"/>
      <c r="C4717" s="53"/>
      <c r="D4717" s="23"/>
      <c r="E4717" s="53"/>
      <c r="F4717" s="54"/>
      <c r="G4717" s="23"/>
      <c r="H4717" s="54"/>
      <c r="I4717" s="53"/>
      <c r="J4717" s="23"/>
      <c r="K4717" s="23"/>
      <c r="L4717" s="53"/>
      <c r="M4717" s="54"/>
    </row>
    <row r="4718">
      <c r="A4718" s="23"/>
      <c r="B4718" s="52"/>
      <c r="C4718" s="53"/>
      <c r="D4718" s="23"/>
      <c r="E4718" s="53"/>
      <c r="F4718" s="54"/>
      <c r="G4718" s="23"/>
      <c r="H4718" s="54"/>
      <c r="I4718" s="53"/>
      <c r="J4718" s="53"/>
      <c r="K4718" s="23"/>
      <c r="L4718" s="53"/>
      <c r="M4718" s="54"/>
    </row>
    <row r="4719">
      <c r="A4719" s="23"/>
      <c r="B4719" s="52"/>
      <c r="C4719" s="53"/>
      <c r="D4719" s="23"/>
      <c r="E4719" s="53"/>
      <c r="F4719" s="54"/>
      <c r="G4719" s="54"/>
      <c r="H4719" s="54"/>
      <c r="I4719" s="53"/>
      <c r="J4719" s="53"/>
      <c r="K4719" s="23"/>
      <c r="L4719" s="53"/>
      <c r="M4719" s="54"/>
    </row>
    <row r="4720">
      <c r="A4720" s="23"/>
      <c r="B4720" s="52"/>
      <c r="C4720" s="53"/>
      <c r="D4720" s="23"/>
      <c r="E4720" s="53"/>
      <c r="F4720" s="54"/>
      <c r="G4720" s="23"/>
      <c r="H4720" s="54"/>
      <c r="I4720" s="53"/>
      <c r="J4720" s="53"/>
      <c r="K4720" s="23"/>
      <c r="L4720" s="53"/>
      <c r="M4720" s="54"/>
    </row>
    <row r="4721">
      <c r="A4721" s="23"/>
      <c r="B4721" s="52"/>
      <c r="C4721" s="53"/>
      <c r="D4721" s="23"/>
      <c r="E4721" s="53"/>
      <c r="F4721" s="54"/>
      <c r="G4721" s="23"/>
      <c r="H4721" s="54"/>
      <c r="I4721" s="53"/>
      <c r="J4721" s="53"/>
      <c r="K4721" s="23"/>
      <c r="L4721" s="23"/>
      <c r="M4721" s="54"/>
    </row>
    <row r="4722">
      <c r="A4722" s="23"/>
      <c r="B4722" s="52"/>
      <c r="C4722" s="53"/>
      <c r="D4722" s="23"/>
      <c r="E4722" s="53"/>
      <c r="F4722" s="54"/>
      <c r="G4722" s="23"/>
      <c r="H4722" s="54"/>
      <c r="I4722" s="53"/>
      <c r="J4722" s="53"/>
      <c r="K4722" s="23"/>
      <c r="L4722" s="53"/>
      <c r="M4722" s="54"/>
    </row>
    <row r="4723">
      <c r="A4723" s="23"/>
      <c r="B4723" s="52"/>
      <c r="C4723" s="53"/>
      <c r="D4723" s="23"/>
      <c r="E4723" s="53"/>
      <c r="F4723" s="54"/>
      <c r="G4723" s="23"/>
      <c r="H4723" s="54"/>
      <c r="I4723" s="53"/>
      <c r="J4723" s="53"/>
      <c r="K4723" s="23"/>
      <c r="L4723" s="53"/>
      <c r="M4723" s="54"/>
    </row>
    <row r="4724">
      <c r="A4724" s="23"/>
      <c r="B4724" s="52"/>
      <c r="C4724" s="53"/>
      <c r="D4724" s="23"/>
      <c r="E4724" s="53"/>
      <c r="F4724" s="54"/>
      <c r="G4724" s="23"/>
      <c r="H4724" s="54"/>
      <c r="I4724" s="53"/>
      <c r="J4724" s="23"/>
      <c r="K4724" s="53"/>
      <c r="L4724" s="53"/>
      <c r="M4724" s="54"/>
    </row>
    <row r="4725">
      <c r="A4725" s="23"/>
      <c r="B4725" s="52"/>
      <c r="C4725" s="53"/>
      <c r="D4725" s="23"/>
      <c r="E4725" s="53"/>
      <c r="F4725" s="54"/>
      <c r="G4725" s="23"/>
      <c r="H4725" s="54"/>
      <c r="I4725" s="53"/>
      <c r="J4725" s="23"/>
      <c r="K4725" s="23"/>
      <c r="L4725" s="53"/>
      <c r="M4725" s="54"/>
    </row>
    <row r="4726">
      <c r="A4726" s="23"/>
      <c r="B4726" s="52"/>
      <c r="C4726" s="53"/>
      <c r="D4726" s="23"/>
      <c r="E4726" s="53"/>
      <c r="F4726" s="54"/>
      <c r="G4726" s="23"/>
      <c r="H4726" s="54"/>
      <c r="I4726" s="53"/>
      <c r="J4726" s="23"/>
      <c r="K4726" s="23"/>
      <c r="L4726" s="53"/>
      <c r="M4726" s="54"/>
    </row>
    <row r="4727">
      <c r="A4727" s="23"/>
      <c r="B4727" s="52"/>
      <c r="C4727" s="53"/>
      <c r="D4727" s="23"/>
      <c r="E4727" s="53"/>
      <c r="F4727" s="54"/>
      <c r="G4727" s="23"/>
      <c r="H4727" s="54"/>
      <c r="I4727" s="53"/>
      <c r="J4727" s="23"/>
      <c r="K4727" s="23"/>
      <c r="L4727" s="53"/>
      <c r="M4727" s="54"/>
    </row>
    <row r="4728">
      <c r="A4728" s="23"/>
      <c r="B4728" s="52"/>
      <c r="C4728" s="53"/>
      <c r="D4728" s="23"/>
      <c r="E4728" s="53"/>
      <c r="F4728" s="54"/>
      <c r="G4728" s="23"/>
      <c r="H4728" s="54"/>
      <c r="I4728" s="53"/>
      <c r="J4728" s="53"/>
      <c r="K4728" s="23"/>
      <c r="L4728" s="53"/>
      <c r="M4728" s="54"/>
    </row>
    <row r="4729">
      <c r="A4729" s="23"/>
      <c r="B4729" s="52"/>
      <c r="C4729" s="53"/>
      <c r="D4729" s="23"/>
      <c r="E4729" s="53"/>
      <c r="F4729" s="54"/>
      <c r="G4729" s="23"/>
      <c r="H4729" s="54"/>
      <c r="I4729" s="53"/>
      <c r="J4729" s="23"/>
      <c r="K4729" s="23"/>
      <c r="L4729" s="53"/>
      <c r="M4729" s="54"/>
    </row>
    <row r="4730">
      <c r="A4730" s="23"/>
      <c r="B4730" s="52"/>
      <c r="C4730" s="53"/>
      <c r="D4730" s="23"/>
      <c r="E4730" s="53"/>
      <c r="F4730" s="54"/>
      <c r="G4730" s="23"/>
      <c r="H4730" s="54"/>
      <c r="I4730" s="53"/>
      <c r="J4730" s="23"/>
      <c r="K4730" s="23"/>
      <c r="L4730" s="53"/>
      <c r="M4730" s="54"/>
    </row>
    <row r="4731">
      <c r="A4731" s="23"/>
      <c r="B4731" s="52"/>
      <c r="C4731" s="53"/>
      <c r="D4731" s="23"/>
      <c r="E4731" s="53"/>
      <c r="F4731" s="54"/>
      <c r="G4731" s="23"/>
      <c r="H4731" s="54"/>
      <c r="I4731" s="53"/>
      <c r="J4731" s="53"/>
      <c r="K4731" s="23"/>
      <c r="L4731" s="53"/>
      <c r="M4731" s="54"/>
    </row>
    <row r="4732">
      <c r="A4732" s="23"/>
      <c r="B4732" s="52"/>
      <c r="C4732" s="53"/>
      <c r="D4732" s="23"/>
      <c r="E4732" s="53"/>
      <c r="F4732" s="54"/>
      <c r="G4732" s="23"/>
      <c r="H4732" s="54"/>
      <c r="I4732" s="53"/>
      <c r="J4732" s="23"/>
      <c r="K4732" s="23"/>
      <c r="L4732" s="53"/>
      <c r="M4732" s="54"/>
    </row>
    <row r="4733">
      <c r="A4733" s="23"/>
      <c r="B4733" s="52"/>
      <c r="C4733" s="53"/>
      <c r="D4733" s="23"/>
      <c r="E4733" s="53"/>
      <c r="F4733" s="54"/>
      <c r="G4733" s="23"/>
      <c r="H4733" s="54"/>
      <c r="I4733" s="53"/>
      <c r="J4733" s="53"/>
      <c r="K4733" s="23"/>
      <c r="L4733" s="53"/>
      <c r="M4733" s="54"/>
    </row>
    <row r="4734">
      <c r="A4734" s="23"/>
      <c r="B4734" s="52"/>
      <c r="C4734" s="53"/>
      <c r="D4734" s="23"/>
      <c r="E4734" s="53"/>
      <c r="F4734" s="54"/>
      <c r="G4734" s="23"/>
      <c r="H4734" s="54"/>
      <c r="I4734" s="53"/>
      <c r="J4734" s="53"/>
      <c r="K4734" s="23"/>
      <c r="L4734" s="53"/>
      <c r="M4734" s="54"/>
    </row>
    <row r="4735">
      <c r="A4735" s="23"/>
      <c r="B4735" s="52"/>
      <c r="C4735" s="56"/>
      <c r="D4735" s="23"/>
      <c r="E4735" s="53"/>
      <c r="F4735" s="54"/>
      <c r="G4735" s="23"/>
      <c r="H4735" s="54"/>
      <c r="I4735" s="53"/>
      <c r="J4735" s="53"/>
      <c r="K4735" s="23"/>
      <c r="L4735" s="53"/>
      <c r="M4735" s="54"/>
    </row>
    <row r="4736">
      <c r="A4736" s="23"/>
      <c r="B4736" s="52"/>
      <c r="C4736" s="53"/>
      <c r="D4736" s="23"/>
      <c r="E4736" s="53"/>
      <c r="F4736" s="54"/>
      <c r="G4736" s="23"/>
      <c r="H4736" s="54"/>
      <c r="I4736" s="53"/>
      <c r="J4736" s="53"/>
      <c r="K4736" s="23"/>
      <c r="L4736" s="53"/>
      <c r="M4736" s="54"/>
    </row>
    <row r="4737">
      <c r="A4737" s="23"/>
      <c r="B4737" s="52"/>
      <c r="C4737" s="53"/>
      <c r="D4737" s="23"/>
      <c r="E4737" s="53"/>
      <c r="F4737" s="54"/>
      <c r="G4737" s="23"/>
      <c r="H4737" s="54"/>
      <c r="I4737" s="53"/>
      <c r="J4737" s="23"/>
      <c r="K4737" s="23"/>
      <c r="L4737" s="53"/>
      <c r="M4737" s="54"/>
    </row>
    <row r="4738">
      <c r="A4738" s="23"/>
      <c r="B4738" s="52"/>
      <c r="C4738" s="53"/>
      <c r="D4738" s="23"/>
      <c r="E4738" s="53"/>
      <c r="F4738" s="54"/>
      <c r="G4738" s="23"/>
      <c r="H4738" s="54"/>
      <c r="I4738" s="53"/>
      <c r="J4738" s="53"/>
      <c r="K4738" s="23"/>
      <c r="L4738" s="53"/>
      <c r="M4738" s="54"/>
    </row>
    <row r="4739">
      <c r="A4739" s="23"/>
      <c r="B4739" s="52"/>
      <c r="C4739" s="53"/>
      <c r="D4739" s="23"/>
      <c r="E4739" s="53"/>
      <c r="F4739" s="54"/>
      <c r="G4739" s="23"/>
      <c r="H4739" s="54"/>
      <c r="I4739" s="53"/>
      <c r="J4739" s="53"/>
      <c r="K4739" s="23"/>
      <c r="L4739" s="53"/>
      <c r="M4739" s="54"/>
    </row>
    <row r="4740">
      <c r="A4740" s="23"/>
      <c r="B4740" s="52"/>
      <c r="C4740" s="53"/>
      <c r="D4740" s="23"/>
      <c r="E4740" s="53"/>
      <c r="F4740" s="54"/>
      <c r="G4740" s="23"/>
      <c r="H4740" s="54"/>
      <c r="I4740" s="53"/>
      <c r="J4740" s="53"/>
      <c r="K4740" s="23"/>
      <c r="L4740" s="53"/>
      <c r="M4740" s="54"/>
    </row>
    <row r="4741">
      <c r="A4741" s="23"/>
      <c r="B4741" s="52"/>
      <c r="C4741" s="53"/>
      <c r="D4741" s="23"/>
      <c r="E4741" s="53"/>
      <c r="F4741" s="54"/>
      <c r="G4741" s="23"/>
      <c r="H4741" s="54"/>
      <c r="I4741" s="53"/>
      <c r="J4741" s="53"/>
      <c r="K4741" s="53"/>
      <c r="L4741" s="53"/>
      <c r="M4741" s="54"/>
    </row>
    <row r="4742">
      <c r="A4742" s="23"/>
      <c r="B4742" s="52"/>
      <c r="C4742" s="53"/>
      <c r="D4742" s="23"/>
      <c r="E4742" s="53"/>
      <c r="F4742" s="54"/>
      <c r="G4742" s="23"/>
      <c r="H4742" s="54"/>
      <c r="I4742" s="53"/>
      <c r="J4742" s="53"/>
      <c r="K4742" s="53"/>
      <c r="L4742" s="53"/>
      <c r="M4742" s="54"/>
    </row>
    <row r="4743">
      <c r="A4743" s="23"/>
      <c r="B4743" s="52"/>
      <c r="C4743" s="53"/>
      <c r="D4743" s="23"/>
      <c r="E4743" s="53"/>
      <c r="F4743" s="54"/>
      <c r="G4743" s="23"/>
      <c r="H4743" s="54"/>
      <c r="I4743" s="53"/>
      <c r="J4743" s="53"/>
      <c r="K4743" s="53"/>
      <c r="L4743" s="53"/>
      <c r="M4743" s="54"/>
    </row>
    <row r="4744">
      <c r="A4744" s="23"/>
      <c r="B4744" s="52"/>
      <c r="C4744" s="56"/>
      <c r="D4744" s="23"/>
      <c r="E4744" s="56"/>
      <c r="F4744" s="54"/>
      <c r="G4744" s="23"/>
      <c r="H4744" s="54"/>
      <c r="I4744" s="53"/>
      <c r="J4744" s="53"/>
      <c r="K4744" s="53"/>
      <c r="L4744" s="53"/>
      <c r="M4744" s="54"/>
    </row>
    <row r="4745">
      <c r="A4745" s="23"/>
      <c r="B4745" s="52"/>
      <c r="C4745" s="53"/>
      <c r="D4745" s="23"/>
      <c r="E4745" s="53"/>
      <c r="F4745" s="54"/>
      <c r="G4745" s="23"/>
      <c r="H4745" s="54"/>
      <c r="I4745" s="53"/>
      <c r="J4745" s="53"/>
      <c r="K4745" s="53"/>
      <c r="L4745" s="23"/>
      <c r="M4745" s="54"/>
    </row>
    <row r="4746">
      <c r="A4746" s="23"/>
      <c r="B4746" s="52"/>
      <c r="C4746" s="53"/>
      <c r="D4746" s="23"/>
      <c r="E4746" s="53"/>
      <c r="F4746" s="54"/>
      <c r="G4746" s="23"/>
      <c r="H4746" s="54"/>
      <c r="I4746" s="53"/>
      <c r="J4746" s="23"/>
      <c r="K4746" s="23"/>
      <c r="L4746" s="23"/>
      <c r="M4746" s="54"/>
    </row>
    <row r="4747">
      <c r="A4747" s="23"/>
      <c r="B4747" s="52"/>
      <c r="C4747" s="53"/>
      <c r="D4747" s="23"/>
      <c r="E4747" s="53"/>
      <c r="F4747" s="54"/>
      <c r="G4747" s="23"/>
      <c r="H4747" s="54"/>
      <c r="I4747" s="53"/>
      <c r="J4747" s="53"/>
      <c r="K4747" s="53"/>
      <c r="L4747" s="23"/>
      <c r="M4747" s="54"/>
    </row>
    <row r="4748">
      <c r="A4748" s="23"/>
      <c r="B4748" s="52"/>
      <c r="C4748" s="53"/>
      <c r="D4748" s="23"/>
      <c r="E4748" s="53"/>
      <c r="F4748" s="54"/>
      <c r="G4748" s="23"/>
      <c r="H4748" s="54"/>
      <c r="I4748" s="53"/>
      <c r="J4748" s="23"/>
      <c r="K4748" s="23"/>
      <c r="L4748" s="23"/>
      <c r="M4748" s="54"/>
    </row>
    <row r="4749">
      <c r="A4749" s="23"/>
      <c r="B4749" s="52"/>
      <c r="C4749" s="53"/>
      <c r="D4749" s="23"/>
      <c r="E4749" s="53"/>
      <c r="F4749" s="54"/>
      <c r="G4749" s="23"/>
      <c r="H4749" s="54"/>
      <c r="I4749" s="53"/>
      <c r="J4749" s="23"/>
      <c r="K4749" s="23"/>
      <c r="L4749" s="23"/>
      <c r="M4749" s="54"/>
    </row>
    <row r="4750">
      <c r="A4750" s="23"/>
      <c r="B4750" s="52"/>
      <c r="C4750" s="53"/>
      <c r="D4750" s="23"/>
      <c r="E4750" s="53"/>
      <c r="F4750" s="54"/>
      <c r="G4750" s="23"/>
      <c r="H4750" s="54"/>
      <c r="I4750" s="53"/>
      <c r="J4750" s="23"/>
      <c r="K4750" s="23"/>
      <c r="L4750" s="23"/>
      <c r="M4750" s="54"/>
    </row>
    <row r="4751">
      <c r="A4751" s="23"/>
      <c r="B4751" s="52"/>
      <c r="C4751" s="53"/>
      <c r="D4751" s="23"/>
      <c r="E4751" s="53"/>
      <c r="F4751" s="54"/>
      <c r="G4751" s="23"/>
      <c r="H4751" s="54"/>
      <c r="I4751" s="53"/>
      <c r="J4751" s="23"/>
      <c r="K4751" s="23"/>
      <c r="L4751" s="23"/>
      <c r="M4751" s="54"/>
    </row>
    <row r="4752">
      <c r="A4752" s="23"/>
      <c r="B4752" s="52"/>
      <c r="C4752" s="53"/>
      <c r="D4752" s="23"/>
      <c r="E4752" s="53"/>
      <c r="F4752" s="54"/>
      <c r="G4752" s="23"/>
      <c r="H4752" s="54"/>
      <c r="I4752" s="53"/>
      <c r="J4752" s="23"/>
      <c r="K4752" s="23"/>
      <c r="L4752" s="23"/>
      <c r="M4752" s="54"/>
    </row>
    <row r="4753">
      <c r="A4753" s="23"/>
      <c r="B4753" s="52"/>
      <c r="C4753" s="53"/>
      <c r="D4753" s="23"/>
      <c r="E4753" s="53"/>
      <c r="F4753" s="54"/>
      <c r="G4753" s="23"/>
      <c r="H4753" s="54"/>
      <c r="I4753" s="53"/>
      <c r="J4753" s="23"/>
      <c r="K4753" s="23"/>
      <c r="L4753" s="23"/>
      <c r="M4753" s="54"/>
    </row>
    <row r="4754">
      <c r="A4754" s="23"/>
      <c r="B4754" s="52"/>
      <c r="C4754" s="53"/>
      <c r="D4754" s="23"/>
      <c r="E4754" s="53"/>
      <c r="F4754" s="54"/>
      <c r="G4754" s="23"/>
      <c r="H4754" s="54"/>
      <c r="I4754" s="53"/>
      <c r="J4754" s="23"/>
      <c r="K4754" s="23"/>
      <c r="L4754" s="23"/>
      <c r="M4754" s="54"/>
    </row>
    <row r="4755">
      <c r="A4755" s="23"/>
      <c r="B4755" s="52"/>
      <c r="C4755" s="53"/>
      <c r="D4755" s="23"/>
      <c r="E4755" s="53"/>
      <c r="F4755" s="54"/>
      <c r="G4755" s="23"/>
      <c r="H4755" s="54"/>
      <c r="I4755" s="53"/>
      <c r="J4755" s="23"/>
      <c r="K4755" s="23"/>
      <c r="L4755" s="23"/>
      <c r="M4755" s="54"/>
    </row>
    <row r="4756">
      <c r="A4756" s="23"/>
      <c r="B4756" s="52"/>
      <c r="C4756" s="53"/>
      <c r="D4756" s="23"/>
      <c r="E4756" s="53"/>
      <c r="F4756" s="54"/>
      <c r="G4756" s="23"/>
      <c r="H4756" s="54"/>
      <c r="I4756" s="53"/>
      <c r="J4756" s="23"/>
      <c r="K4756" s="23"/>
      <c r="L4756" s="23"/>
      <c r="M4756" s="54"/>
    </row>
    <row r="4757">
      <c r="A4757" s="23"/>
      <c r="B4757" s="52"/>
      <c r="C4757" s="53"/>
      <c r="D4757" s="23"/>
      <c r="E4757" s="53"/>
      <c r="F4757" s="54"/>
      <c r="G4757" s="23"/>
      <c r="H4757" s="54"/>
      <c r="I4757" s="53"/>
      <c r="J4757" s="23"/>
      <c r="K4757" s="23"/>
      <c r="L4757" s="23"/>
      <c r="M4757" s="54"/>
    </row>
  </sheetData>
  <mergeCells count="3">
    <mergeCell ref="H1:I2"/>
    <mergeCell ref="J1:K2"/>
    <mergeCell ref="L1:L2"/>
  </mergeCells>
  <dataValidations>
    <dataValidation type="list" allowBlank="1" sqref="F2">
      <formula1>Admin_Lists!$C$2:$C$20</formula1>
    </dataValidation>
    <dataValidation type="list" allowBlank="1" sqref="A2">
      <formula1>Admin_Lists!$A$2:$A$20</formula1>
    </dataValidation>
    <dataValidation type="custom" allowBlank="1" showDropDown="1" sqref="B2:C2">
      <formula1>OR(NOT(ISERROR(DATEVALUE(B2))), AND(ISNUMBER(B2), LEFT(CELL("format", B2))="D"))</formula1>
    </dataValidation>
    <dataValidation type="list" allowBlank="1" sqref="D2">
      <formula1>Admin_Lists!$B$2:$B$14</formula1>
    </dataValidation>
    <dataValidation type="list" allowBlank="1" sqref="G2">
      <formula1>Admin_Lists!$K$2:$K$16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9" max="29" width="15.75"/>
    <col customWidth="1" min="32" max="32" width="25.75"/>
    <col customWidth="1" min="33" max="33" width="20.0"/>
    <col customWidth="1" min="34" max="35" width="23.88"/>
  </cols>
  <sheetData>
    <row r="1">
      <c r="A1" s="57"/>
      <c r="B1" s="58"/>
      <c r="C1" s="58" t="s">
        <v>381</v>
      </c>
      <c r="D1" s="59" t="s">
        <v>381</v>
      </c>
      <c r="E1" s="60"/>
      <c r="F1" s="61" t="s">
        <v>382</v>
      </c>
      <c r="G1" s="62" t="s">
        <v>382</v>
      </c>
      <c r="H1" s="63" t="s">
        <v>382</v>
      </c>
      <c r="I1" s="64" t="s">
        <v>382</v>
      </c>
      <c r="J1" s="58" t="s">
        <v>381</v>
      </c>
      <c r="K1" s="64" t="s">
        <v>382</v>
      </c>
      <c r="L1" s="63"/>
      <c r="M1" s="65" t="s">
        <v>382</v>
      </c>
      <c r="N1" s="66" t="s">
        <v>382</v>
      </c>
      <c r="O1" s="64" t="s">
        <v>382</v>
      </c>
      <c r="P1" s="67" t="s">
        <v>381</v>
      </c>
      <c r="Q1" s="63" t="s">
        <v>382</v>
      </c>
      <c r="R1" s="63" t="s">
        <v>382</v>
      </c>
      <c r="S1" s="58" t="s">
        <v>381</v>
      </c>
      <c r="T1" s="63" t="s">
        <v>382</v>
      </c>
      <c r="U1" s="68"/>
      <c r="V1" s="69"/>
      <c r="W1" s="58" t="s">
        <v>381</v>
      </c>
      <c r="X1" s="70"/>
    </row>
    <row r="2">
      <c r="A2" s="71" t="s">
        <v>383</v>
      </c>
      <c r="B2" s="72"/>
      <c r="C2" s="72"/>
      <c r="D2" s="73"/>
      <c r="E2" s="74"/>
      <c r="F2" s="75"/>
      <c r="G2" s="76">
        <f>AVERAGE(G5:G35)</f>
        <v>3161.322039</v>
      </c>
      <c r="H2" s="72"/>
      <c r="I2" s="77"/>
      <c r="J2" s="76">
        <f>AVERAGE(J5:J35)</f>
        <v>28605.70355</v>
      </c>
      <c r="K2" s="77"/>
      <c r="L2" s="72"/>
      <c r="M2" s="73"/>
      <c r="N2" s="78">
        <f t="shared" ref="N2:O2" si="1">AVERAGE(N5:N35)</f>
        <v>10808.00097</v>
      </c>
      <c r="O2" s="79">
        <f t="shared" si="1"/>
        <v>70.82763608</v>
      </c>
      <c r="P2" s="80"/>
      <c r="Q2" s="81"/>
      <c r="R2" s="81"/>
      <c r="S2" s="76">
        <f t="shared" ref="S2:T2" si="2">AVERAGE(S5:S35)</f>
        <v>40.74193548</v>
      </c>
      <c r="T2" s="76">
        <f t="shared" si="2"/>
        <v>5.096774194</v>
      </c>
      <c r="U2" s="74"/>
      <c r="V2" s="72"/>
      <c r="W2" s="76">
        <f>AVERAGE(W5:W35)</f>
        <v>35.64516129</v>
      </c>
      <c r="X2" s="70"/>
    </row>
    <row r="3">
      <c r="A3" s="71" t="s">
        <v>384</v>
      </c>
      <c r="B3" s="82">
        <f>AVERAGE(B5:B35)</f>
        <v>3138.33667</v>
      </c>
      <c r="C3" s="82">
        <f>sum(C5:C35)</f>
        <v>2450024.58</v>
      </c>
      <c r="D3" s="83">
        <f>SUM(D5:D35)</f>
        <v>903820</v>
      </c>
      <c r="E3" s="84">
        <f>AVERAGE(E5:E35)</f>
        <v>0.3675754565</v>
      </c>
      <c r="F3" s="85">
        <f t="shared" ref="F3:G3" si="3">SUM(F5:F35)</f>
        <v>2352023.597</v>
      </c>
      <c r="G3" s="76">
        <f t="shared" si="3"/>
        <v>98000.9832</v>
      </c>
      <c r="H3" s="76">
        <f>sum(F5:F35)</f>
        <v>2352023.597</v>
      </c>
      <c r="I3" s="86">
        <f>AVERAGE(I5:I35)</f>
        <v>38.8031161</v>
      </c>
      <c r="J3" s="76">
        <f t="shared" ref="J3:K3" si="4">sum(J5:J35)</f>
        <v>886776.81</v>
      </c>
      <c r="K3" s="80">
        <f t="shared" si="4"/>
        <v>0</v>
      </c>
      <c r="L3" s="76">
        <f>SUM(L5:L35)</f>
        <v>319000.9832</v>
      </c>
      <c r="M3" s="87">
        <f t="shared" ref="M3:N3" si="5">sum(M5:M35)</f>
        <v>324379.74</v>
      </c>
      <c r="N3" s="78">
        <f t="shared" si="5"/>
        <v>335048.03</v>
      </c>
      <c r="O3" s="79">
        <f t="shared" ref="O3:R3" si="6">AVERAGE(O5:O35)</f>
        <v>70.82763608</v>
      </c>
      <c r="P3" s="86">
        <f t="shared" si="6"/>
        <v>4.732590415</v>
      </c>
      <c r="Q3" s="82">
        <f t="shared" si="6"/>
        <v>747.4367651</v>
      </c>
      <c r="R3" s="82">
        <f t="shared" si="6"/>
        <v>851.586164</v>
      </c>
      <c r="S3" s="76">
        <f t="shared" ref="S3:T3" si="7">sum(S5:S35)</f>
        <v>1263</v>
      </c>
      <c r="T3" s="76">
        <f t="shared" si="7"/>
        <v>158</v>
      </c>
      <c r="U3" s="88">
        <f>AVERAGE(U5:U35)</f>
        <v>0.1237348659</v>
      </c>
      <c r="V3" s="82">
        <f t="shared" ref="V3:W3" si="8">sum(V5:V35)</f>
        <v>0</v>
      </c>
      <c r="W3" s="76">
        <f t="shared" si="8"/>
        <v>1105</v>
      </c>
      <c r="X3" s="89">
        <f>AVERAGE(X5:X35)</f>
        <v>0.8762651341</v>
      </c>
      <c r="Y3" s="90">
        <f t="shared" ref="Y3:Z3" si="9">sum(Y5:Y35)</f>
        <v>786</v>
      </c>
      <c r="Z3" s="90">
        <f t="shared" si="9"/>
        <v>318</v>
      </c>
      <c r="AA3" s="91">
        <f>SUM(AA5:AA35)</f>
        <v>1</v>
      </c>
      <c r="AB3" s="90">
        <f>sum(AB5:AB35)</f>
        <v>1</v>
      </c>
      <c r="AC3" s="90"/>
      <c r="AD3" s="90">
        <f>SUM(AD5:AD35)</f>
        <v>2447525.58</v>
      </c>
      <c r="AE3" s="92">
        <f>sum(AE5:AE35)</f>
        <v>2499</v>
      </c>
    </row>
    <row r="4">
      <c r="A4" s="93" t="s">
        <v>385</v>
      </c>
      <c r="B4" s="94" t="s">
        <v>386</v>
      </c>
      <c r="C4" s="94" t="s">
        <v>387</v>
      </c>
      <c r="D4" s="95" t="s">
        <v>388</v>
      </c>
      <c r="E4" s="95" t="s">
        <v>389</v>
      </c>
      <c r="F4" s="96" t="s">
        <v>390</v>
      </c>
      <c r="G4" s="97" t="s">
        <v>391</v>
      </c>
      <c r="H4" s="97" t="s">
        <v>392</v>
      </c>
      <c r="I4" s="98" t="s">
        <v>393</v>
      </c>
      <c r="J4" s="97" t="s">
        <v>394</v>
      </c>
      <c r="K4" s="99" t="s">
        <v>395</v>
      </c>
      <c r="L4" s="94" t="s">
        <v>396</v>
      </c>
      <c r="M4" s="95" t="s">
        <v>397</v>
      </c>
      <c r="N4" s="100" t="s">
        <v>398</v>
      </c>
      <c r="O4" s="101" t="s">
        <v>399</v>
      </c>
      <c r="P4" s="102" t="s">
        <v>400</v>
      </c>
      <c r="Q4" s="103" t="s">
        <v>401</v>
      </c>
      <c r="R4" s="103" t="s">
        <v>402</v>
      </c>
      <c r="S4" s="104" t="s">
        <v>403</v>
      </c>
      <c r="T4" s="104" t="s">
        <v>404</v>
      </c>
      <c r="U4" s="105" t="s">
        <v>405</v>
      </c>
      <c r="V4" s="106" t="s">
        <v>406</v>
      </c>
      <c r="W4" s="106" t="s">
        <v>407</v>
      </c>
      <c r="X4" s="12" t="s">
        <v>408</v>
      </c>
      <c r="Y4" s="12" t="s">
        <v>409</v>
      </c>
      <c r="Z4" s="12" t="s">
        <v>410</v>
      </c>
      <c r="AA4" s="12" t="s">
        <v>411</v>
      </c>
      <c r="AB4" s="12" t="s">
        <v>412</v>
      </c>
      <c r="AC4" s="12" t="s">
        <v>413</v>
      </c>
      <c r="AD4" s="12" t="s">
        <v>414</v>
      </c>
      <c r="AE4" s="12" t="s">
        <v>415</v>
      </c>
      <c r="AF4" s="12" t="s">
        <v>416</v>
      </c>
      <c r="AG4" s="12" t="s">
        <v>417</v>
      </c>
      <c r="AH4" s="12" t="s">
        <v>418</v>
      </c>
      <c r="AI4" s="12"/>
    </row>
    <row r="5">
      <c r="A5" s="107">
        <v>45992.0</v>
      </c>
      <c r="B5" s="108">
        <f t="shared" ref="B5:B35" si="10">C5/Y5</f>
        <v>2773.571429</v>
      </c>
      <c r="C5" s="108">
        <f>SUMIFS(Orders!$H:$H, Orders!$Z:$Z, $A5, Orders!$M:$M, "Delivered")</f>
        <v>77660</v>
      </c>
      <c r="D5" s="109">
        <f>SUMIFS(Orders!$Q:$Q, Orders!$Z:$Z, $A5, Orders!$M:$M, "Delivered")</f>
        <v>26870</v>
      </c>
      <c r="E5" s="110">
        <f t="shared" ref="E5:E35" si="11">D5/C5</f>
        <v>0.3459953644</v>
      </c>
      <c r="F5" s="111">
        <f t="shared" ref="F5:F35" si="12">C5-(C5*4/100)</f>
        <v>74553.6</v>
      </c>
      <c r="G5" s="111">
        <f t="shared" ref="G5:G35" si="13">C5-F5</f>
        <v>3106.4</v>
      </c>
      <c r="H5" s="111">
        <f t="shared" ref="H5:H35" si="14">C5-D5</f>
        <v>50790</v>
      </c>
      <c r="I5" s="112">
        <f t="shared" ref="I5:I35" si="15">IFERROR(J5/C5, 0)*100</f>
        <v>48.79989699</v>
      </c>
      <c r="J5" s="113">
        <v>37898.0</v>
      </c>
      <c r="K5" s="114"/>
      <c r="L5" s="115">
        <f t="shared" ref="L5:L35" si="16">(200*W5)+C5*4%</f>
        <v>11506.4</v>
      </c>
      <c r="M5" s="116">
        <f>SUMIFS(Orders!$W:$W, Orders!$Z:$Z, $A5)</f>
        <v>11400</v>
      </c>
      <c r="N5" s="117">
        <f t="shared" ref="N5:N35" si="17">H5-J5-K5-M5</f>
        <v>1492</v>
      </c>
      <c r="O5" s="118">
        <f t="shared" ref="O5:O35" si="18">Y5/W5*100</f>
        <v>66.66666667</v>
      </c>
      <c r="P5" s="113">
        <v>3.84428172</v>
      </c>
      <c r="Q5" s="119">
        <f t="shared" ref="Q5:Q35" si="19">J5/S5</f>
        <v>823.8695652</v>
      </c>
      <c r="R5" s="120">
        <f t="shared" ref="R5:R35" si="20">J5/W5</f>
        <v>902.3333333</v>
      </c>
      <c r="S5" s="109">
        <f>COUNTIFS(Orders!$Z:$Z, $A5)</f>
        <v>46</v>
      </c>
      <c r="T5" s="111">
        <f>COUNTIFS(Orders!$Z:$Z, $A5, Orders!$M:$M, "Cancelled")</f>
        <v>4</v>
      </c>
      <c r="U5" s="121">
        <f t="shared" ref="U5:U35" si="21">T5/S5</f>
        <v>0.08695652174</v>
      </c>
      <c r="V5" s="122">
        <f>COUNTIFS(Orders!$Z:$Z, $A5, Orders!$M:$M, "pending")</f>
        <v>0</v>
      </c>
      <c r="W5" s="122">
        <f t="shared" ref="W5:W35" si="22">S5-T5</f>
        <v>42</v>
      </c>
      <c r="X5" s="70">
        <f t="shared" ref="X5:X35" si="23">W5/S5</f>
        <v>0.9130434783</v>
      </c>
      <c r="Y5" s="6">
        <f>COUNTIFS(Orders!$Z:$Z, $A5, Orders!$M:$M, "Delivered")</f>
        <v>28</v>
      </c>
      <c r="Z5" s="6">
        <f>COUNTIFS(Orders!$Z:$Z, $A5, Orders!$M:$M, "Return Received")</f>
        <v>14</v>
      </c>
      <c r="AA5" s="123">
        <f t="shared" ref="AA5:AA35" si="24">W5-Y5-Z5-V5</f>
        <v>0</v>
      </c>
      <c r="AB5" s="6">
        <f t="array" ref="AB5">SUM(COUNTIFS(Orders!$Z:$Z, $A5, Orders!$M:$M, {"Returned","Returned to Shipper"}))</f>
        <v>0</v>
      </c>
      <c r="AC5" s="6">
        <f t="shared" ref="AC5:AC35" si="25">COUNTIFS(Orders!$Z:$Z, $A5, Orders!$I:$I, "", Orders!$M:$M, "&lt;&gt;Cancelled")</f>
        <v>0</v>
      </c>
      <c r="AD5" s="2">
        <f>SUMIFS(Orders!$U:$U, Orders!$Z:$Z, $A5, Orders!$M:$M, "Delivered")</f>
        <v>75161</v>
      </c>
      <c r="AE5" s="124">
        <f t="shared" ref="AE5:AE35" si="26">C5-AD5</f>
        <v>2499</v>
      </c>
      <c r="AF5" s="2" t="str">
        <f>IFERROR(__xludf.DUMMYFUNCTION("IFERROR(TEXTJOIN("", "", TRUE, FILTER(Orders!$B$2:$B$2517, (TEXT(Orders!$D$2:$D$2517,""d-mmm"")=TEXT($A5,""d-mmm"")) * (ABS(Orders!$H$2:$H$2517 - Orders!$U$2:$U$2517) &gt;= 1) * (Orders!$M$2:$M$2517=""Delivered""))), ""All Balanced"")"),"TR26747")</f>
        <v>TR26747</v>
      </c>
      <c r="AG5" s="2" t="str">
        <f>IFERROR(__xludf.DUMMYFUNCTION("IFERROR(TEXTJOIN("", "", TRUE, FILTER(Orders!$I$2:$I$2517, (Orders!$M$2:$M$2517=""Delivered"") * (Orders!$N$2:$N$2517&lt;&gt;""Paid"") * (Orders!$Z$2:$Z$2517=$A5))), """")"),"23120050019955")</f>
        <v>23120050019955</v>
      </c>
      <c r="AH5" s="2">
        <f t="shared" ref="AH5:AH35" si="27">COUNTIFS(Orders!$M:$M, "Delivered", Orders!$N:$N, "&lt;&gt;Paid", Orders!$Z:$Z, $A5)</f>
        <v>0</v>
      </c>
    </row>
    <row r="6">
      <c r="A6" s="107">
        <v>45993.0</v>
      </c>
      <c r="B6" s="108">
        <f t="shared" si="10"/>
        <v>3035.921875</v>
      </c>
      <c r="C6" s="108">
        <f>SUMIFS(Orders!$H:$H, Orders!$Z:$Z, $A6, Orders!$M:$M, "Delivered")</f>
        <v>194299</v>
      </c>
      <c r="D6" s="109">
        <f>SUMIFS(Orders!$Q:$Q, Orders!$Z:$Z, $A6, Orders!$M:$M, "Delivered")</f>
        <v>73085</v>
      </c>
      <c r="E6" s="110">
        <f t="shared" si="11"/>
        <v>0.3761470723</v>
      </c>
      <c r="F6" s="111">
        <f t="shared" si="12"/>
        <v>186527.04</v>
      </c>
      <c r="G6" s="111">
        <f t="shared" si="13"/>
        <v>7771.96</v>
      </c>
      <c r="H6" s="111">
        <f t="shared" si="14"/>
        <v>121214</v>
      </c>
      <c r="I6" s="112">
        <f t="shared" si="15"/>
        <v>17.93227448</v>
      </c>
      <c r="J6" s="113">
        <v>34842.23</v>
      </c>
      <c r="K6" s="114"/>
      <c r="L6" s="115">
        <f t="shared" si="16"/>
        <v>23171.96</v>
      </c>
      <c r="M6" s="116">
        <f>SUMIFS(Orders!$W:$W, Orders!$Z:$Z, $A6)</f>
        <v>23755.2</v>
      </c>
      <c r="N6" s="117">
        <f t="shared" si="17"/>
        <v>62616.57</v>
      </c>
      <c r="O6" s="118">
        <f t="shared" si="18"/>
        <v>83.11688312</v>
      </c>
      <c r="P6" s="113">
        <v>4.50740732</v>
      </c>
      <c r="Q6" s="119">
        <f t="shared" si="19"/>
        <v>419.7859036</v>
      </c>
      <c r="R6" s="120">
        <f t="shared" si="20"/>
        <v>452.4964935</v>
      </c>
      <c r="S6" s="109">
        <f>COUNTIFS(Orders!$Z:$Z, $A6)</f>
        <v>83</v>
      </c>
      <c r="T6" s="111">
        <f>COUNTIFS(Orders!$Z:$Z, $A6, Orders!$M:$M, "Cancelled")</f>
        <v>6</v>
      </c>
      <c r="U6" s="121">
        <f t="shared" si="21"/>
        <v>0.07228915663</v>
      </c>
      <c r="V6" s="122">
        <f>COUNTIFS(Orders!$Z:$Z, $A6, Orders!$M:$M, "pending")</f>
        <v>0</v>
      </c>
      <c r="W6" s="122">
        <f t="shared" si="22"/>
        <v>77</v>
      </c>
      <c r="X6" s="70">
        <f t="shared" si="23"/>
        <v>0.9277108434</v>
      </c>
      <c r="Y6" s="6">
        <f>COUNTIFS(Orders!$Z:$Z, $A6, Orders!$M:$M, "Delivered")</f>
        <v>64</v>
      </c>
      <c r="Z6" s="6">
        <f>COUNTIFS(Orders!$Z:$Z, $A6, Orders!$M:$M, "Return Received")</f>
        <v>13</v>
      </c>
      <c r="AA6" s="123">
        <f t="shared" si="24"/>
        <v>0</v>
      </c>
      <c r="AB6" s="6">
        <f t="array" ref="AB6">SUM(COUNTIFS(Orders!$Z:$Z, $A6, Orders!$M:$M, {"Returned","Returned to Shipper"}))</f>
        <v>0</v>
      </c>
      <c r="AC6" s="6">
        <f t="shared" si="25"/>
        <v>0</v>
      </c>
      <c r="AD6" s="2">
        <f>SUMIFS(Orders!$U:$U, Orders!$Z:$Z, $A6, Orders!$M:$M, "Delivered")</f>
        <v>194299</v>
      </c>
      <c r="AE6" s="124">
        <f t="shared" si="26"/>
        <v>0</v>
      </c>
      <c r="AF6" s="2" t="str">
        <f>IFERROR(__xludf.DUMMYFUNCTION("IFERROR(TEXTJOIN("", "", TRUE, FILTER(Orders!$B$2:$B$2517, (TEXT(Orders!$D$2:$D$2517,""d-mmm"")=TEXT($A6,""d-mmm"")) * (ABS(Orders!$H$2:$H$2517 - Orders!$U$2:$U$2517) &gt;= 1) * (Orders!$M$2:$M$2517=""Delivered""))), ""All Balanced"")"),"All Balanced")</f>
        <v>All Balanced</v>
      </c>
      <c r="AG6" s="2" t="str">
        <f>IFERROR(__xludf.DUMMYFUNCTION("IFERROR(TEXTJOIN("", "", TRUE, FILTER(Orders!$I$2:$I$3000, (Orders!$M$2:$M$3000=""Delivered"") * (Orders!$N$2:$N$3000&lt;&gt;""Paid"") * (Orders!$Z$2:$Z$3000=$A6))), """")"),"")</f>
        <v/>
      </c>
      <c r="AH6" s="2">
        <f t="shared" si="27"/>
        <v>0</v>
      </c>
    </row>
    <row r="7">
      <c r="A7" s="107">
        <v>45994.0</v>
      </c>
      <c r="B7" s="108">
        <f t="shared" si="10"/>
        <v>2751.904762</v>
      </c>
      <c r="C7" s="108">
        <f>SUMIFS(Orders!$H:$H, Orders!$Z:$Z, $A7, Orders!$M:$M, "Delivered")</f>
        <v>57790</v>
      </c>
      <c r="D7" s="109">
        <f>SUMIFS(Orders!$Q:$Q, Orders!$Z:$Z, $A7, Orders!$M:$M, "Delivered")</f>
        <v>22175</v>
      </c>
      <c r="E7" s="110">
        <f t="shared" si="11"/>
        <v>0.383716906</v>
      </c>
      <c r="F7" s="111">
        <f t="shared" si="12"/>
        <v>55478.4</v>
      </c>
      <c r="G7" s="111">
        <f t="shared" si="13"/>
        <v>2311.6</v>
      </c>
      <c r="H7" s="111">
        <f t="shared" si="14"/>
        <v>35615</v>
      </c>
      <c r="I7" s="112">
        <f t="shared" si="15"/>
        <v>31.43358713</v>
      </c>
      <c r="J7" s="113">
        <v>18165.47</v>
      </c>
      <c r="K7" s="114"/>
      <c r="L7" s="115">
        <f t="shared" si="16"/>
        <v>8911.6</v>
      </c>
      <c r="M7" s="116">
        <f>SUMIFS(Orders!$W:$W, Orders!$Z:$Z, $A7)</f>
        <v>9020.16</v>
      </c>
      <c r="N7" s="117">
        <f t="shared" si="17"/>
        <v>8429.37</v>
      </c>
      <c r="O7" s="118">
        <f t="shared" si="18"/>
        <v>63.63636364</v>
      </c>
      <c r="P7" s="113">
        <v>6.89364093</v>
      </c>
      <c r="Q7" s="119">
        <f t="shared" si="19"/>
        <v>443.0602439</v>
      </c>
      <c r="R7" s="120">
        <f t="shared" si="20"/>
        <v>550.4687879</v>
      </c>
      <c r="S7" s="109">
        <f>COUNTIFS(Orders!$Z:$Z, $A7)</f>
        <v>41</v>
      </c>
      <c r="T7" s="111">
        <f>COUNTIFS(Orders!$Z:$Z, $A7, Orders!$M:$M, "Cancelled")</f>
        <v>8</v>
      </c>
      <c r="U7" s="121">
        <f t="shared" si="21"/>
        <v>0.1951219512</v>
      </c>
      <c r="V7" s="122">
        <f>COUNTIFS(Orders!$Z:$Z, $A7, Orders!$M:$M, "pending")</f>
        <v>0</v>
      </c>
      <c r="W7" s="122">
        <f t="shared" si="22"/>
        <v>33</v>
      </c>
      <c r="X7" s="70">
        <f t="shared" si="23"/>
        <v>0.8048780488</v>
      </c>
      <c r="Y7" s="6">
        <f>COUNTIFS(Orders!$Z:$Z, $A7, Orders!$M:$M, "Delivered")</f>
        <v>21</v>
      </c>
      <c r="Z7" s="6">
        <f>COUNTIFS(Orders!$Z:$Z, $A7, Orders!$M:$M, "Return Received")</f>
        <v>12</v>
      </c>
      <c r="AA7" s="123">
        <f t="shared" si="24"/>
        <v>0</v>
      </c>
      <c r="AB7" s="6">
        <f t="array" ref="AB7">SUM(COUNTIFS(Orders!$Z:$Z, $A7, Orders!$M:$M, {"Returned","Returned to Shipper"}))</f>
        <v>0</v>
      </c>
      <c r="AC7" s="6">
        <f t="shared" si="25"/>
        <v>0</v>
      </c>
      <c r="AD7" s="2">
        <f>SUMIFS(Orders!$U:$U, Orders!$Z:$Z, $A7, Orders!$M:$M, "Delivered")</f>
        <v>57790</v>
      </c>
      <c r="AE7" s="124">
        <f t="shared" si="26"/>
        <v>0</v>
      </c>
      <c r="AF7" s="2" t="str">
        <f>IFERROR(__xludf.DUMMYFUNCTION("IFERROR(TEXTJOIN("", "", TRUE, FILTER(Orders!$B$2:$B$2517, (TEXT(Orders!$D$2:$D$2517,""d-mmm"")=TEXT($A7,""d-mmm"")) * (ABS(Orders!$H$2:$H$2517 - Orders!$U$2:$U$2517) &gt;= 1) * (Orders!$M$2:$M$2517=""Delivered""))), ""All Balanced"")"),"All Balanced")</f>
        <v>All Balanced</v>
      </c>
      <c r="AG7" s="2" t="str">
        <f>IFERROR(__xludf.DUMMYFUNCTION("IFERROR(TEXTJOIN("", "", TRUE, FILTER(Orders!$I$2:$I$3000, (Orders!$M$2:$M$3000=""Delivered"") * (Orders!$N$2:$N$3000&lt;&gt;""Paid"") * (Orders!$Z$2:$Z$3000=$A7))), """")"),"")</f>
        <v/>
      </c>
      <c r="AH7" s="2">
        <f t="shared" si="27"/>
        <v>0</v>
      </c>
    </row>
    <row r="8">
      <c r="A8" s="107">
        <v>45995.0</v>
      </c>
      <c r="B8" s="108">
        <f t="shared" si="10"/>
        <v>3473.92</v>
      </c>
      <c r="C8" s="108">
        <f>SUMIFS(Orders!$H:$H, Orders!$Z:$Z, $A8, Orders!$M:$M, "Delivered")</f>
        <v>86848</v>
      </c>
      <c r="D8" s="109">
        <f>SUMIFS(Orders!$Q:$Q, Orders!$Z:$Z, $A8, Orders!$M:$M, "Delivered")</f>
        <v>32460</v>
      </c>
      <c r="E8" s="110">
        <f t="shared" si="11"/>
        <v>0.373756448</v>
      </c>
      <c r="F8" s="111">
        <f t="shared" si="12"/>
        <v>83374.08</v>
      </c>
      <c r="G8" s="111">
        <f t="shared" si="13"/>
        <v>3473.92</v>
      </c>
      <c r="H8" s="111">
        <f t="shared" si="14"/>
        <v>54388</v>
      </c>
      <c r="I8" s="112">
        <f t="shared" si="15"/>
        <v>22.9917442</v>
      </c>
      <c r="J8" s="113">
        <v>19967.87</v>
      </c>
      <c r="K8" s="114"/>
      <c r="L8" s="115">
        <f t="shared" si="16"/>
        <v>11073.92</v>
      </c>
      <c r="M8" s="116">
        <f>SUMIFS(Orders!$W:$W, Orders!$Z:$Z, $A8)</f>
        <v>10852</v>
      </c>
      <c r="N8" s="117">
        <f t="shared" si="17"/>
        <v>23568.13</v>
      </c>
      <c r="O8" s="118">
        <f t="shared" si="18"/>
        <v>65.78947368</v>
      </c>
      <c r="P8" s="113">
        <v>7.54591213</v>
      </c>
      <c r="Q8" s="119">
        <f t="shared" si="19"/>
        <v>424.8482979</v>
      </c>
      <c r="R8" s="120">
        <f t="shared" si="20"/>
        <v>525.4702632</v>
      </c>
      <c r="S8" s="109">
        <f>COUNTIFS(Orders!$Z:$Z, $A8)</f>
        <v>47</v>
      </c>
      <c r="T8" s="111">
        <f>COUNTIFS(Orders!$Z:$Z, $A8, Orders!$M:$M, "Cancelled")</f>
        <v>9</v>
      </c>
      <c r="U8" s="121">
        <f t="shared" si="21"/>
        <v>0.1914893617</v>
      </c>
      <c r="V8" s="122">
        <f>COUNTIFS(Orders!$Z:$Z, $A8, Orders!$M:$M, "pending")</f>
        <v>0</v>
      </c>
      <c r="W8" s="122">
        <f t="shared" si="22"/>
        <v>38</v>
      </c>
      <c r="X8" s="70">
        <f t="shared" si="23"/>
        <v>0.8085106383</v>
      </c>
      <c r="Y8" s="6">
        <f>COUNTIFS(Orders!$Z:$Z, $A8, Orders!$M:$M, "Delivered")</f>
        <v>25</v>
      </c>
      <c r="Z8" s="6">
        <f>COUNTIFS(Orders!$Z:$Z, $A8, Orders!$M:$M, "Return Received")</f>
        <v>13</v>
      </c>
      <c r="AA8" s="123">
        <f t="shared" si="24"/>
        <v>0</v>
      </c>
      <c r="AB8" s="6">
        <f t="array" ref="AB8">SUM(COUNTIFS(Orders!$Z:$Z, $A8, Orders!$M:$M, {"Returned","Returned to Shipper"}))</f>
        <v>0</v>
      </c>
      <c r="AC8" s="6">
        <f t="shared" si="25"/>
        <v>0</v>
      </c>
      <c r="AD8" s="2">
        <f>SUMIFS(Orders!$U:$U, Orders!$Z:$Z, $A8, Orders!$M:$M, "Delivered")</f>
        <v>86848</v>
      </c>
      <c r="AE8" s="124">
        <f t="shared" si="26"/>
        <v>0</v>
      </c>
      <c r="AF8" s="2" t="str">
        <f>IFERROR(__xludf.DUMMYFUNCTION("IFERROR(TEXTJOIN("", "", TRUE, FILTER(Orders!$B$2:$B$2517, (TEXT(Orders!$D$2:$D$2517,""d-mmm"")=TEXT($A8,""d-mmm"")) * (ABS(Orders!$H$2:$H$2517 - Orders!$U$2:$U$2517) &gt;= 1) * (Orders!$M$2:$M$2517=""Delivered""))), ""All Balanced"")"),"All Balanced")</f>
        <v>All Balanced</v>
      </c>
      <c r="AG8" s="2" t="str">
        <f>IFERROR(__xludf.DUMMYFUNCTION("IFERROR(TEXTJOIN("", "", TRUE, FILTER(Orders!$I$2:$I$3000, (Orders!$M$2:$M$3000=""Delivered"") * (Orders!$N$2:$N$3000&lt;&gt;""Paid"") * (Orders!$Z$2:$Z$3000=$A8))), """")"),"")</f>
        <v/>
      </c>
      <c r="AH8" s="2">
        <f t="shared" si="27"/>
        <v>0</v>
      </c>
    </row>
    <row r="9">
      <c r="A9" s="107">
        <v>45996.0</v>
      </c>
      <c r="B9" s="108">
        <f t="shared" si="10"/>
        <v>2979.296296</v>
      </c>
      <c r="C9" s="108">
        <f>SUMIFS(Orders!$H:$H, Orders!$Z:$Z, $A9, Orders!$M:$M, "Delivered")</f>
        <v>80441</v>
      </c>
      <c r="D9" s="109">
        <f>SUMIFS(Orders!$Q:$Q, Orders!$Z:$Z, $A9, Orders!$M:$M, "Delivered")</f>
        <v>28195</v>
      </c>
      <c r="E9" s="110">
        <f t="shared" si="11"/>
        <v>0.3505053393</v>
      </c>
      <c r="F9" s="111">
        <f t="shared" si="12"/>
        <v>77223.36</v>
      </c>
      <c r="G9" s="111">
        <f t="shared" si="13"/>
        <v>3217.64</v>
      </c>
      <c r="H9" s="111">
        <f t="shared" si="14"/>
        <v>52246</v>
      </c>
      <c r="I9" s="112">
        <f t="shared" si="15"/>
        <v>35.84943002</v>
      </c>
      <c r="J9" s="113">
        <v>28837.64</v>
      </c>
      <c r="K9" s="114"/>
      <c r="L9" s="115">
        <f t="shared" si="16"/>
        <v>10217.64</v>
      </c>
      <c r="M9" s="116">
        <f>SUMIFS(Orders!$W:$W, Orders!$Z:$Z, $A9)</f>
        <v>10474.88</v>
      </c>
      <c r="N9" s="117">
        <f t="shared" si="17"/>
        <v>12933.48</v>
      </c>
      <c r="O9" s="118">
        <f t="shared" si="18"/>
        <v>77.14285714</v>
      </c>
      <c r="P9" s="113">
        <v>4.59932164</v>
      </c>
      <c r="Q9" s="119">
        <f t="shared" si="19"/>
        <v>758.8852632</v>
      </c>
      <c r="R9" s="120">
        <f t="shared" si="20"/>
        <v>823.9325714</v>
      </c>
      <c r="S9" s="109">
        <f>COUNTIFS(Orders!$Z:$Z, $A9)</f>
        <v>38</v>
      </c>
      <c r="T9" s="111">
        <f>COUNTIFS(Orders!$Z:$Z, $A9, Orders!$M:$M, "Cancelled")</f>
        <v>3</v>
      </c>
      <c r="U9" s="121">
        <f t="shared" si="21"/>
        <v>0.07894736842</v>
      </c>
      <c r="V9" s="122">
        <f>COUNTIFS(Orders!$Z:$Z, $A9, Orders!$M:$M, "pending")</f>
        <v>0</v>
      </c>
      <c r="W9" s="122">
        <f t="shared" si="22"/>
        <v>35</v>
      </c>
      <c r="X9" s="70">
        <f t="shared" si="23"/>
        <v>0.9210526316</v>
      </c>
      <c r="Y9" s="6">
        <f>COUNTIFS(Orders!$Z:$Z, $A9, Orders!$M:$M, "Delivered")</f>
        <v>27</v>
      </c>
      <c r="Z9" s="6">
        <f>COUNTIFS(Orders!$Z:$Z, $A9, Orders!$M:$M, "Return Received")</f>
        <v>8</v>
      </c>
      <c r="AA9" s="123">
        <f t="shared" si="24"/>
        <v>0</v>
      </c>
      <c r="AB9" s="6">
        <f t="array" ref="AB9">SUM(COUNTIFS(Orders!$Z:$Z, $A9, Orders!$M:$M, {"Returned","Returned to Shipper"}))</f>
        <v>0</v>
      </c>
      <c r="AC9" s="6">
        <f t="shared" si="25"/>
        <v>0</v>
      </c>
      <c r="AD9" s="2">
        <f>SUMIFS(Orders!$U:$U, Orders!$Z:$Z, $A9, Orders!$M:$M, "Delivered")</f>
        <v>80441</v>
      </c>
      <c r="AE9" s="124">
        <f t="shared" si="26"/>
        <v>0</v>
      </c>
      <c r="AF9" s="2" t="str">
        <f>IFERROR(__xludf.DUMMYFUNCTION("IFERROR(TEXTJOIN("", "", TRUE, FILTER(Orders!$B$2:$B$2517, (TEXT(Orders!$D$2:$D$2517,""d-mmm"")=TEXT($A9,""d-mmm"")) * (ABS(Orders!$H$2:$H$2517 - Orders!$U$2:$U$2517) &gt;= 1) * (Orders!$M$2:$M$2517=""Delivered""))), ""All Balanced"")"),"All Balanced")</f>
        <v>All Balanced</v>
      </c>
      <c r="AG9" s="2" t="str">
        <f>IFERROR(__xludf.DUMMYFUNCTION("IFERROR(TEXTJOIN("", "", TRUE, FILTER(Orders!$I$2:$I$3000, (Orders!$M$2:$M$3000=""Delivered"") * (Orders!$N$2:$N$3000&lt;&gt;""Paid"") * (Orders!$Z$2:$Z$3000=$A9))), """")"),"")</f>
        <v/>
      </c>
      <c r="AH9" s="2">
        <f t="shared" si="27"/>
        <v>0</v>
      </c>
      <c r="AI9" s="2"/>
    </row>
    <row r="10">
      <c r="A10" s="107">
        <v>45997.0</v>
      </c>
      <c r="B10" s="108">
        <f t="shared" si="10"/>
        <v>3091.05</v>
      </c>
      <c r="C10" s="108">
        <f>SUMIFS(Orders!$H:$H, Orders!$Z:$Z, $A10, Orders!$M:$M, "Delivered")</f>
        <v>61821</v>
      </c>
      <c r="D10" s="109">
        <f>SUMIFS(Orders!$Q:$Q, Orders!$Z:$Z, $A10, Orders!$M:$M, "Delivered")</f>
        <v>21310</v>
      </c>
      <c r="E10" s="110">
        <f t="shared" si="11"/>
        <v>0.3447048737</v>
      </c>
      <c r="F10" s="111">
        <f t="shared" si="12"/>
        <v>59348.16</v>
      </c>
      <c r="G10" s="111">
        <f t="shared" si="13"/>
        <v>2472.84</v>
      </c>
      <c r="H10" s="111">
        <f t="shared" si="14"/>
        <v>40511</v>
      </c>
      <c r="I10" s="112">
        <f t="shared" si="15"/>
        <v>43.84251306</v>
      </c>
      <c r="J10" s="113">
        <v>27103.88</v>
      </c>
      <c r="K10" s="114"/>
      <c r="L10" s="115">
        <f t="shared" si="16"/>
        <v>8472.84</v>
      </c>
      <c r="M10" s="116">
        <f>SUMIFS(Orders!$W:$W, Orders!$Z:$Z, $A10)</f>
        <v>9083.4</v>
      </c>
      <c r="N10" s="117">
        <f t="shared" si="17"/>
        <v>4323.72</v>
      </c>
      <c r="O10" s="118">
        <f t="shared" si="18"/>
        <v>66.66666667</v>
      </c>
      <c r="P10" s="113">
        <v>4.19255118</v>
      </c>
      <c r="Q10" s="119">
        <f t="shared" si="19"/>
        <v>797.1729412</v>
      </c>
      <c r="R10" s="120">
        <f t="shared" si="20"/>
        <v>903.4626667</v>
      </c>
      <c r="S10" s="109">
        <f>COUNTIFS(Orders!$Z:$Z, $A10)</f>
        <v>34</v>
      </c>
      <c r="T10" s="111">
        <f>COUNTIFS(Orders!$Z:$Z, $A10, Orders!$M:$M, "Cancelled")</f>
        <v>4</v>
      </c>
      <c r="U10" s="121">
        <f t="shared" si="21"/>
        <v>0.1176470588</v>
      </c>
      <c r="V10" s="122">
        <f>COUNTIFS(Orders!$Z:$Z, $A10, Orders!$M:$M, "pending")</f>
        <v>0</v>
      </c>
      <c r="W10" s="122">
        <f t="shared" si="22"/>
        <v>30</v>
      </c>
      <c r="X10" s="70">
        <f t="shared" si="23"/>
        <v>0.8823529412</v>
      </c>
      <c r="Y10" s="6">
        <f>COUNTIFS(Orders!$Z:$Z, $A10, Orders!$M:$M, "Delivered")</f>
        <v>20</v>
      </c>
      <c r="Z10" s="6">
        <f>COUNTIFS(Orders!$Z:$Z, $A10, Orders!$M:$M, "Return Received")</f>
        <v>10</v>
      </c>
      <c r="AA10" s="123">
        <f t="shared" si="24"/>
        <v>0</v>
      </c>
      <c r="AB10" s="6">
        <f t="array" ref="AB10">SUM(COUNTIFS(Orders!$Z:$Z, $A10, Orders!$M:$M, {"Returned","Returned to Shipper"}))</f>
        <v>0</v>
      </c>
      <c r="AC10" s="6">
        <f t="shared" si="25"/>
        <v>0</v>
      </c>
      <c r="AD10" s="2">
        <f>SUMIFS(Orders!$U:$U, Orders!$Z:$Z, $A10, Orders!$M:$M, "Delivered")</f>
        <v>61821</v>
      </c>
      <c r="AE10" s="124">
        <f t="shared" si="26"/>
        <v>0</v>
      </c>
      <c r="AF10" s="2" t="str">
        <f>IFERROR(__xludf.DUMMYFUNCTION("IFERROR(TEXTJOIN("", "", TRUE, FILTER(Orders!$B$2:$B$2517, (TEXT(Orders!$D$2:$D$2517,""d-mmm"")=TEXT($A10,""d-mmm"")) * (ABS(Orders!$H$2:$H$2517 - Orders!$U$2:$U$2517) &gt;= 1) * (Orders!$M$2:$M$2517=""Delivered""))), ""All Balanced"")"),"All Balanced")</f>
        <v>All Balanced</v>
      </c>
      <c r="AG10" s="2" t="str">
        <f>IFERROR(__xludf.DUMMYFUNCTION("IFERROR(TEXTJOIN("", "", TRUE, FILTER(Orders!$I$2:$I$3000, (Orders!$M$2:$M$3000=""Delivered"") * (Orders!$N$2:$N$3000&lt;&gt;""Paid"") * (Orders!$Z$2:$Z$3000=$A10))), """")"),"")</f>
        <v/>
      </c>
      <c r="AH10" s="2">
        <f t="shared" si="27"/>
        <v>0</v>
      </c>
      <c r="AI10" s="2"/>
    </row>
    <row r="11">
      <c r="A11" s="107">
        <v>45998.0</v>
      </c>
      <c r="B11" s="108">
        <f t="shared" si="10"/>
        <v>2998.75</v>
      </c>
      <c r="C11" s="108">
        <f>SUMIFS(Orders!$H:$H, Orders!$Z:$Z, $A11, Orders!$M:$M, "Delivered")</f>
        <v>83965</v>
      </c>
      <c r="D11" s="109">
        <f>SUMIFS(Orders!$Q:$Q, Orders!$Z:$Z, $A11, Orders!$M:$M, "Delivered")</f>
        <v>28110</v>
      </c>
      <c r="E11" s="110">
        <f t="shared" si="11"/>
        <v>0.3347823498</v>
      </c>
      <c r="F11" s="111">
        <f t="shared" si="12"/>
        <v>80606.4</v>
      </c>
      <c r="G11" s="111">
        <f t="shared" si="13"/>
        <v>3358.6</v>
      </c>
      <c r="H11" s="111">
        <f t="shared" si="14"/>
        <v>55855</v>
      </c>
      <c r="I11" s="112">
        <f t="shared" si="15"/>
        <v>32.9848151</v>
      </c>
      <c r="J11" s="113">
        <v>27695.7</v>
      </c>
      <c r="K11" s="114"/>
      <c r="L11" s="115">
        <f t="shared" si="16"/>
        <v>10558.6</v>
      </c>
      <c r="M11" s="116">
        <f>SUMIFS(Orders!$W:$W, Orders!$Z:$Z, $A11)</f>
        <v>11519.56</v>
      </c>
      <c r="N11" s="117">
        <f t="shared" si="17"/>
        <v>16639.74</v>
      </c>
      <c r="O11" s="118">
        <f t="shared" si="18"/>
        <v>77.77777778</v>
      </c>
      <c r="P11" s="113">
        <v>5.05776691</v>
      </c>
      <c r="Q11" s="119">
        <f t="shared" si="19"/>
        <v>659.4214286</v>
      </c>
      <c r="R11" s="120">
        <f t="shared" si="20"/>
        <v>769.325</v>
      </c>
      <c r="S11" s="109">
        <f>COUNTIFS(Orders!$Z:$Z, $A11)</f>
        <v>42</v>
      </c>
      <c r="T11" s="111">
        <f>COUNTIFS(Orders!$Z:$Z, $A11, Orders!$M:$M, "Cancelled")</f>
        <v>6</v>
      </c>
      <c r="U11" s="121">
        <f t="shared" si="21"/>
        <v>0.1428571429</v>
      </c>
      <c r="V11" s="122">
        <f>COUNTIFS(Orders!$Z:$Z, $A11, Orders!$M:$M, "pending")</f>
        <v>0</v>
      </c>
      <c r="W11" s="122">
        <f t="shared" si="22"/>
        <v>36</v>
      </c>
      <c r="X11" s="70">
        <f t="shared" si="23"/>
        <v>0.8571428571</v>
      </c>
      <c r="Y11" s="6">
        <f>COUNTIFS(Orders!$Z:$Z, $A11, Orders!$M:$M, "Delivered")</f>
        <v>28</v>
      </c>
      <c r="Z11" s="6">
        <f>COUNTIFS(Orders!$Z:$Z, $A11, Orders!$M:$M, "Return Received")</f>
        <v>8</v>
      </c>
      <c r="AA11" s="123">
        <f t="shared" si="24"/>
        <v>0</v>
      </c>
      <c r="AB11" s="6">
        <f t="array" ref="AB11">SUM(COUNTIFS(Orders!$Z:$Z, $A11, Orders!$M:$M, {"Returned","Returned to Shipper"}))</f>
        <v>0</v>
      </c>
      <c r="AC11" s="6">
        <f t="shared" si="25"/>
        <v>0</v>
      </c>
      <c r="AD11" s="2">
        <f>SUMIFS(Orders!$U:$U, Orders!$Z:$Z, $A11, Orders!$M:$M, "Delivered")</f>
        <v>83965</v>
      </c>
      <c r="AE11" s="124">
        <f t="shared" si="26"/>
        <v>0</v>
      </c>
      <c r="AF11" s="2" t="str">
        <f>IFERROR(__xludf.DUMMYFUNCTION("IFERROR(TEXTJOIN("", "", TRUE, FILTER(Orders!$B$2:$B$2517, (TEXT(Orders!$D$2:$D$2517,""d-mmm"")=TEXT($A11,""d-mmm"")) * (ABS(Orders!$H$2:$H$2517 - Orders!$U$2:$U$2517) &gt;= 1) * (Orders!$M$2:$M$2517=""Delivered""))), ""All Balanced"")"),"All Balanced")</f>
        <v>All Balanced</v>
      </c>
      <c r="AG11" s="2" t="str">
        <f>IFERROR(__xludf.DUMMYFUNCTION("IFERROR(TEXTJOIN("", "", TRUE, FILTER(Orders!$I$2:$I$3000, (Orders!$M$2:$M$3000=""Delivered"") * (Orders!$N$2:$N$3000&lt;&gt;""Paid"") * (Orders!$Z$2:$Z$3000=$A11))), """")"),"")</f>
        <v/>
      </c>
      <c r="AH11" s="2">
        <f t="shared" si="27"/>
        <v>0</v>
      </c>
      <c r="AI11" s="2"/>
    </row>
    <row r="12">
      <c r="A12" s="107">
        <v>45999.0</v>
      </c>
      <c r="B12" s="108">
        <f t="shared" si="10"/>
        <v>3008.9</v>
      </c>
      <c r="C12" s="108">
        <f>SUMIFS(Orders!$H:$H, Orders!$Z:$Z, $A12, Orders!$M:$M, "Delivered")</f>
        <v>87258.1</v>
      </c>
      <c r="D12" s="109">
        <f>SUMIFS(Orders!$Q:$Q, Orders!$Z:$Z, $A12, Orders!$M:$M, "Delivered")</f>
        <v>32245</v>
      </c>
      <c r="E12" s="110">
        <f t="shared" si="11"/>
        <v>0.3695358941</v>
      </c>
      <c r="F12" s="111">
        <f t="shared" si="12"/>
        <v>83767.776</v>
      </c>
      <c r="G12" s="111">
        <f t="shared" si="13"/>
        <v>3490.324</v>
      </c>
      <c r="H12" s="111">
        <f t="shared" si="14"/>
        <v>55013.1</v>
      </c>
      <c r="I12" s="112">
        <f t="shared" si="15"/>
        <v>34.53440999</v>
      </c>
      <c r="J12" s="113">
        <v>30134.07</v>
      </c>
      <c r="K12" s="114"/>
      <c r="L12" s="115">
        <f t="shared" si="16"/>
        <v>11490.324</v>
      </c>
      <c r="M12" s="116">
        <f>SUMIFS(Orders!$W:$W, Orders!$Z:$Z, $A12)</f>
        <v>11715.48</v>
      </c>
      <c r="N12" s="117">
        <f t="shared" si="17"/>
        <v>13163.55</v>
      </c>
      <c r="O12" s="118">
        <f t="shared" si="18"/>
        <v>72.5</v>
      </c>
      <c r="P12" s="113">
        <v>5.49144521</v>
      </c>
      <c r="Q12" s="119">
        <f t="shared" si="19"/>
        <v>684.8652273</v>
      </c>
      <c r="R12" s="120">
        <f t="shared" si="20"/>
        <v>753.35175</v>
      </c>
      <c r="S12" s="109">
        <f>COUNTIFS(Orders!$Z:$Z, $A12)</f>
        <v>44</v>
      </c>
      <c r="T12" s="111">
        <f>COUNTIFS(Orders!$Z:$Z, $A12, Orders!$M:$M, "Cancelled")</f>
        <v>4</v>
      </c>
      <c r="U12" s="121">
        <f t="shared" si="21"/>
        <v>0.09090909091</v>
      </c>
      <c r="V12" s="122">
        <f>COUNTIFS(Orders!$Z:$Z, $A12, Orders!$M:$M, "pending")</f>
        <v>0</v>
      </c>
      <c r="W12" s="122">
        <f t="shared" si="22"/>
        <v>40</v>
      </c>
      <c r="X12" s="70">
        <f t="shared" si="23"/>
        <v>0.9090909091</v>
      </c>
      <c r="Y12" s="6">
        <f>COUNTIFS(Orders!$Z:$Z, $A12, Orders!$M:$M, "Delivered")</f>
        <v>29</v>
      </c>
      <c r="Z12" s="6">
        <f>COUNTIFS(Orders!$Z:$Z, $A12, Orders!$M:$M, "Return Received")</f>
        <v>11</v>
      </c>
      <c r="AA12" s="123">
        <f t="shared" si="24"/>
        <v>0</v>
      </c>
      <c r="AB12" s="6">
        <f t="array" ref="AB12">SUM(COUNTIFS(Orders!$Z:$Z, $A12, Orders!$M:$M, {"Returned","Returned to Shipper"}))</f>
        <v>0</v>
      </c>
      <c r="AC12" s="6">
        <f t="shared" si="25"/>
        <v>0</v>
      </c>
      <c r="AD12" s="2">
        <f>SUMIFS(Orders!$U:$U, Orders!$Z:$Z, $A12, Orders!$M:$M, "Delivered")</f>
        <v>87258.1</v>
      </c>
      <c r="AE12" s="124">
        <f t="shared" si="26"/>
        <v>0</v>
      </c>
      <c r="AF12" s="2" t="str">
        <f>IFERROR(__xludf.DUMMYFUNCTION("IFERROR(TEXTJOIN("", "", TRUE, FILTER(Orders!$B$2:$B$2517, (TEXT(Orders!$D$2:$D$2517,""d-mmm"")=TEXT($A12,""d-mmm"")) * (ABS(Orders!$H$2:$H$2517 - Orders!$U$2:$U$2517) &gt;= 1) * (Orders!$M$2:$M$2517=""Delivered""))), ""All Balanced"")"),"All Balanced")</f>
        <v>All Balanced</v>
      </c>
      <c r="AG12" s="2" t="str">
        <f>IFERROR(__xludf.DUMMYFUNCTION("IFERROR(TEXTJOIN("", "", TRUE, FILTER(Orders!$I$2:$I$3000, (Orders!$M$2:$M$3000=""Delivered"") * (Orders!$N$2:$N$3000&lt;&gt;""Paid"") * (Orders!$Z$2:$Z$3000=$A12))), """")"),"")</f>
        <v/>
      </c>
      <c r="AH12" s="2">
        <f t="shared" si="27"/>
        <v>0</v>
      </c>
      <c r="AI12" s="2"/>
    </row>
    <row r="13">
      <c r="A13" s="107">
        <v>46000.0</v>
      </c>
      <c r="B13" s="108">
        <f t="shared" si="10"/>
        <v>2971.055556</v>
      </c>
      <c r="C13" s="108">
        <f>SUMIFS(Orders!$H:$H, Orders!$Z:$Z, $A13, Orders!$M:$M, "Delivered")</f>
        <v>53479</v>
      </c>
      <c r="D13" s="109">
        <f>SUMIFS(Orders!$Q:$Q, Orders!$Z:$Z, $A13, Orders!$M:$M, "Delivered")</f>
        <v>18605</v>
      </c>
      <c r="E13" s="110">
        <f t="shared" si="11"/>
        <v>0.3478935657</v>
      </c>
      <c r="F13" s="111">
        <f t="shared" si="12"/>
        <v>51339.84</v>
      </c>
      <c r="G13" s="111">
        <f t="shared" si="13"/>
        <v>2139.16</v>
      </c>
      <c r="H13" s="111">
        <f t="shared" si="14"/>
        <v>34874</v>
      </c>
      <c r="I13" s="112">
        <f t="shared" si="15"/>
        <v>50.43267451</v>
      </c>
      <c r="J13" s="113">
        <v>26970.89</v>
      </c>
      <c r="K13" s="114"/>
      <c r="L13" s="115">
        <f t="shared" si="16"/>
        <v>6539.16</v>
      </c>
      <c r="M13" s="116">
        <f>SUMIFS(Orders!$W:$W, Orders!$Z:$Z, $A13)</f>
        <v>6871</v>
      </c>
      <c r="N13" s="117">
        <f t="shared" si="17"/>
        <v>1032.11</v>
      </c>
      <c r="O13" s="118">
        <f t="shared" si="18"/>
        <v>81.81818182</v>
      </c>
      <c r="P13" s="113">
        <v>2.67021602</v>
      </c>
      <c r="Q13" s="119">
        <f t="shared" si="19"/>
        <v>1078.8356</v>
      </c>
      <c r="R13" s="120">
        <f t="shared" si="20"/>
        <v>1225.949545</v>
      </c>
      <c r="S13" s="109">
        <f>COUNTIFS(Orders!$Z:$Z, $A13)</f>
        <v>25</v>
      </c>
      <c r="T13" s="111">
        <f>COUNTIFS(Orders!$Z:$Z, $A13, Orders!$M:$M, "Cancelled")</f>
        <v>3</v>
      </c>
      <c r="U13" s="121">
        <f t="shared" si="21"/>
        <v>0.12</v>
      </c>
      <c r="V13" s="122">
        <f>COUNTIFS(Orders!$Z:$Z, $A13, Orders!$M:$M, "pending")</f>
        <v>0</v>
      </c>
      <c r="W13" s="122">
        <f t="shared" si="22"/>
        <v>22</v>
      </c>
      <c r="X13" s="70">
        <f t="shared" si="23"/>
        <v>0.88</v>
      </c>
      <c r="Y13" s="6">
        <f>COUNTIFS(Orders!$Z:$Z, $A13, Orders!$M:$M, "Delivered")</f>
        <v>18</v>
      </c>
      <c r="Z13" s="6">
        <f>COUNTIFS(Orders!$Z:$Z, $A13, Orders!$M:$M, "Return Received")</f>
        <v>4</v>
      </c>
      <c r="AA13" s="123">
        <f t="shared" si="24"/>
        <v>0</v>
      </c>
      <c r="AB13" s="6">
        <f t="array" ref="AB13">SUM(COUNTIFS(Orders!$Z:$Z, $A13, Orders!$M:$M, {"Returned","Returned to Shipper"}))</f>
        <v>0</v>
      </c>
      <c r="AC13" s="6">
        <f t="shared" si="25"/>
        <v>0</v>
      </c>
      <c r="AD13" s="2">
        <f>SUMIFS(Orders!$U:$U, Orders!$Z:$Z, $A13, Orders!$M:$M, "Delivered")</f>
        <v>53479</v>
      </c>
      <c r="AE13" s="124">
        <f t="shared" si="26"/>
        <v>0</v>
      </c>
      <c r="AF13" s="2" t="str">
        <f>IFERROR(__xludf.DUMMYFUNCTION("IFERROR(TEXTJOIN("", "", TRUE, FILTER(Orders!$B$2:$B$2517, (TEXT(Orders!$D$2:$D$2517,""d-mmm"")=TEXT($A13,""d-mmm"")) * (ABS(Orders!$H$2:$H$2517 - Orders!$U$2:$U$2517) &gt;= 1) * (Orders!$M$2:$M$2517=""Delivered""))), ""All Balanced"")"),"All Balanced")</f>
        <v>All Balanced</v>
      </c>
      <c r="AG13" s="2" t="str">
        <f>IFERROR(__xludf.DUMMYFUNCTION("IFERROR(TEXTJOIN("", "", TRUE, FILTER(Orders!$I$2:$I$3000, (Orders!$M$2:$M$3000=""Delivered"") * (Orders!$N$2:$N$3000&lt;&gt;""Paid"") * (Orders!$Z$2:$Z$3000=$A13))), """")"),"")</f>
        <v/>
      </c>
      <c r="AH13" s="2">
        <f t="shared" si="27"/>
        <v>0</v>
      </c>
      <c r="AI13" s="2"/>
    </row>
    <row r="14">
      <c r="A14" s="107">
        <v>46001.0</v>
      </c>
      <c r="B14" s="108">
        <f t="shared" si="10"/>
        <v>2917.066667</v>
      </c>
      <c r="C14" s="108">
        <f>SUMIFS(Orders!$H:$H, Orders!$Z:$Z, $A14, Orders!$M:$M, "Delivered")</f>
        <v>87512</v>
      </c>
      <c r="D14" s="109">
        <f>SUMIFS(Orders!$Q:$Q, Orders!$Z:$Z, $A14, Orders!$M:$M, "Delivered")</f>
        <v>32055</v>
      </c>
      <c r="E14" s="110">
        <f t="shared" si="11"/>
        <v>0.3662926227</v>
      </c>
      <c r="F14" s="111">
        <f t="shared" si="12"/>
        <v>84011.52</v>
      </c>
      <c r="G14" s="111">
        <f t="shared" si="13"/>
        <v>3500.48</v>
      </c>
      <c r="H14" s="111">
        <f t="shared" si="14"/>
        <v>55457</v>
      </c>
      <c r="I14" s="112">
        <f t="shared" si="15"/>
        <v>33.34143889</v>
      </c>
      <c r="J14" s="113">
        <v>29177.76</v>
      </c>
      <c r="K14" s="114"/>
      <c r="L14" s="115">
        <f t="shared" si="16"/>
        <v>12300.48</v>
      </c>
      <c r="M14" s="116">
        <f>SUMIFS(Orders!$W:$W, Orders!$Z:$Z, $A14)</f>
        <v>13145</v>
      </c>
      <c r="N14" s="117">
        <f t="shared" si="17"/>
        <v>13134.24</v>
      </c>
      <c r="O14" s="118">
        <f t="shared" si="18"/>
        <v>68.18181818</v>
      </c>
      <c r="P14" s="113">
        <v>6.11248004</v>
      </c>
      <c r="Q14" s="119">
        <f t="shared" si="19"/>
        <v>561.1107692</v>
      </c>
      <c r="R14" s="120">
        <f t="shared" si="20"/>
        <v>663.1309091</v>
      </c>
      <c r="S14" s="109">
        <f>COUNTIFS(Orders!$Z:$Z, $A14)</f>
        <v>52</v>
      </c>
      <c r="T14" s="111">
        <f>COUNTIFS(Orders!$Z:$Z, $A14, Orders!$M:$M, "Cancelled")</f>
        <v>8</v>
      </c>
      <c r="U14" s="121">
        <f t="shared" si="21"/>
        <v>0.1538461538</v>
      </c>
      <c r="V14" s="122">
        <f>COUNTIFS(Orders!$Z:$Z, $A14, Orders!$M:$M, "pending")</f>
        <v>0</v>
      </c>
      <c r="W14" s="122">
        <f t="shared" si="22"/>
        <v>44</v>
      </c>
      <c r="X14" s="70">
        <f t="shared" si="23"/>
        <v>0.8461538462</v>
      </c>
      <c r="Y14" s="6">
        <f>COUNTIFS(Orders!$Z:$Z, $A14, Orders!$M:$M, "Delivered")</f>
        <v>30</v>
      </c>
      <c r="Z14" s="6">
        <f>COUNTIFS(Orders!$Z:$Z, $A14, Orders!$M:$M, "Return Received")</f>
        <v>14</v>
      </c>
      <c r="AA14" s="123">
        <f t="shared" si="24"/>
        <v>0</v>
      </c>
      <c r="AB14" s="6">
        <f t="array" ref="AB14">SUM(COUNTIFS(Orders!$Z:$Z, $A14, Orders!$M:$M, {"Returned","Returned to Shipper"}))</f>
        <v>0</v>
      </c>
      <c r="AC14" s="6">
        <f t="shared" si="25"/>
        <v>0</v>
      </c>
      <c r="AD14" s="2">
        <f>SUMIFS(Orders!$U:$U, Orders!$Z:$Z, $A14, Orders!$M:$M, "Delivered")</f>
        <v>87512</v>
      </c>
      <c r="AE14" s="124">
        <f t="shared" si="26"/>
        <v>0</v>
      </c>
      <c r="AF14" s="2" t="str">
        <f>IFERROR(__xludf.DUMMYFUNCTION("IFERROR(TEXTJOIN("", "", TRUE, FILTER(Orders!$B$2:$B$2517, (TEXT(Orders!$D$2:$D$2517,""d-mmm"")=TEXT($A14,""d-mmm"")) * (ABS(Orders!$H$2:$H$2517 - Orders!$U$2:$U$2517) &gt;= 1) * (Orders!$M$2:$M$2517=""Delivered""))), ""All Balanced"")"),"All Balanced")</f>
        <v>All Balanced</v>
      </c>
      <c r="AG14" s="2" t="str">
        <f>IFERROR(__xludf.DUMMYFUNCTION("IFERROR(TEXTJOIN("", "", TRUE, FILTER(Orders!$I$2:$I$3000, (Orders!$M$2:$M$3000=""Delivered"") * (Orders!$N$2:$N$3000&lt;&gt;""Paid"") * (Orders!$Z$2:$Z$3000=$A14))), """")"),"")</f>
        <v/>
      </c>
      <c r="AH14" s="2">
        <f t="shared" si="27"/>
        <v>0</v>
      </c>
      <c r="AI14" s="2"/>
    </row>
    <row r="15">
      <c r="A15" s="107">
        <v>46002.0</v>
      </c>
      <c r="B15" s="108">
        <f t="shared" si="10"/>
        <v>3448.958333</v>
      </c>
      <c r="C15" s="108">
        <f>SUMIFS(Orders!$H:$H, Orders!$Z:$Z, $A15, Orders!$M:$M, "Delivered")</f>
        <v>82775</v>
      </c>
      <c r="D15" s="109">
        <f>SUMIFS(Orders!$Q:$Q, Orders!$Z:$Z, $A15, Orders!$M:$M, "Delivered")</f>
        <v>31615</v>
      </c>
      <c r="E15" s="110">
        <f t="shared" si="11"/>
        <v>0.3819389912</v>
      </c>
      <c r="F15" s="111">
        <f t="shared" si="12"/>
        <v>79464</v>
      </c>
      <c r="G15" s="111">
        <f t="shared" si="13"/>
        <v>3311</v>
      </c>
      <c r="H15" s="111">
        <f t="shared" si="14"/>
        <v>51160</v>
      </c>
      <c r="I15" s="112">
        <f t="shared" si="15"/>
        <v>32.70505587</v>
      </c>
      <c r="J15" s="113">
        <v>27071.61</v>
      </c>
      <c r="K15" s="114"/>
      <c r="L15" s="115">
        <f t="shared" si="16"/>
        <v>10711</v>
      </c>
      <c r="M15" s="116">
        <f>SUMIFS(Orders!$W:$W, Orders!$Z:$Z, $A15)</f>
        <v>10944.16</v>
      </c>
      <c r="N15" s="117">
        <f t="shared" si="17"/>
        <v>13144.23</v>
      </c>
      <c r="O15" s="118">
        <f t="shared" si="18"/>
        <v>64.86486486</v>
      </c>
      <c r="P15" s="113">
        <v>5.62559553</v>
      </c>
      <c r="Q15" s="119">
        <f t="shared" si="19"/>
        <v>676.79025</v>
      </c>
      <c r="R15" s="120">
        <f t="shared" si="20"/>
        <v>731.6651351</v>
      </c>
      <c r="S15" s="109">
        <f>COUNTIFS(Orders!$Z:$Z, $A15)</f>
        <v>40</v>
      </c>
      <c r="T15" s="111">
        <f>COUNTIFS(Orders!$Z:$Z, $A15, Orders!$M:$M, "Cancelled")</f>
        <v>3</v>
      </c>
      <c r="U15" s="121">
        <f t="shared" si="21"/>
        <v>0.075</v>
      </c>
      <c r="V15" s="122">
        <f>COUNTIFS(Orders!$Z:$Z, $A15, Orders!$M:$M, "pending")</f>
        <v>0</v>
      </c>
      <c r="W15" s="122">
        <f t="shared" si="22"/>
        <v>37</v>
      </c>
      <c r="X15" s="70">
        <f t="shared" si="23"/>
        <v>0.925</v>
      </c>
      <c r="Y15" s="6">
        <f>COUNTIFS(Orders!$Z:$Z, $A15, Orders!$M:$M, "Delivered")</f>
        <v>24</v>
      </c>
      <c r="Z15" s="6">
        <f>COUNTIFS(Orders!$Z:$Z, $A15, Orders!$M:$M, "Return Received")</f>
        <v>13</v>
      </c>
      <c r="AA15" s="123">
        <f t="shared" si="24"/>
        <v>0</v>
      </c>
      <c r="AB15" s="6">
        <f t="array" ref="AB15">SUM(COUNTIFS(Orders!$Z:$Z, $A15, Orders!$M:$M, {"Returned","Returned to Shipper"}))</f>
        <v>0</v>
      </c>
      <c r="AC15" s="6">
        <f t="shared" si="25"/>
        <v>0</v>
      </c>
      <c r="AD15" s="2">
        <f>SUMIFS(Orders!$U:$U, Orders!$Z:$Z, $A15, Orders!$M:$M, "Delivered")</f>
        <v>82775</v>
      </c>
      <c r="AE15" s="124">
        <f t="shared" si="26"/>
        <v>0</v>
      </c>
      <c r="AF15" s="2" t="str">
        <f>IFERROR(__xludf.DUMMYFUNCTION("IFERROR(TEXTJOIN("", "", TRUE, FILTER(Orders!$B$2:$B$2517, (TEXT(Orders!$D$2:$D$2517,""d-mmm"")=TEXT($A15,""d-mmm"")) * (ABS(Orders!$H$2:$H$2517 - Orders!$U$2:$U$2517) &gt;= 1) * (Orders!$M$2:$M$2517=""Delivered""))), ""All Balanced"")"),"All Balanced")</f>
        <v>All Balanced</v>
      </c>
      <c r="AG15" s="2" t="str">
        <f>IFERROR(__xludf.DUMMYFUNCTION("IFERROR(TEXTJOIN("", "", TRUE, FILTER(Orders!$I$2:$I$3000, (Orders!$M$2:$M$3000=""Delivered"") * (Orders!$N$2:$N$3000&lt;&gt;""Paid"") * (Orders!$Z$2:$Z$3000=$A15))), """")"),"")</f>
        <v/>
      </c>
      <c r="AH15" s="2">
        <f t="shared" si="27"/>
        <v>0</v>
      </c>
      <c r="AI15" s="2"/>
    </row>
    <row r="16">
      <c r="A16" s="107">
        <v>46003.0</v>
      </c>
      <c r="B16" s="108">
        <f t="shared" si="10"/>
        <v>3021.258065</v>
      </c>
      <c r="C16" s="108">
        <f>SUMIFS(Orders!$H:$H, Orders!$Z:$Z, $A16, Orders!$M:$M, "Delivered")</f>
        <v>93659</v>
      </c>
      <c r="D16" s="109">
        <f>SUMIFS(Orders!$Q:$Q, Orders!$Z:$Z, $A16, Orders!$M:$M, "Delivered")</f>
        <v>32815</v>
      </c>
      <c r="E16" s="110">
        <f t="shared" si="11"/>
        <v>0.350366756</v>
      </c>
      <c r="F16" s="111">
        <f t="shared" si="12"/>
        <v>89912.64</v>
      </c>
      <c r="G16" s="111">
        <f t="shared" si="13"/>
        <v>3746.36</v>
      </c>
      <c r="H16" s="111">
        <f t="shared" si="14"/>
        <v>60844</v>
      </c>
      <c r="I16" s="112">
        <f t="shared" si="15"/>
        <v>29.61999381</v>
      </c>
      <c r="J16" s="113">
        <v>27741.79</v>
      </c>
      <c r="K16" s="114"/>
      <c r="L16" s="115">
        <f t="shared" si="16"/>
        <v>12346.36</v>
      </c>
      <c r="M16" s="116">
        <f>SUMIFS(Orders!$W:$W, Orders!$Z:$Z, $A16)</f>
        <v>12480.2</v>
      </c>
      <c r="N16" s="117">
        <f t="shared" si="17"/>
        <v>20622.01</v>
      </c>
      <c r="O16" s="118">
        <f t="shared" si="18"/>
        <v>72.09302326</v>
      </c>
      <c r="P16" s="113">
        <v>5.88358913</v>
      </c>
      <c r="Q16" s="119">
        <f t="shared" si="19"/>
        <v>554.8358</v>
      </c>
      <c r="R16" s="120">
        <f t="shared" si="20"/>
        <v>645.157907</v>
      </c>
      <c r="S16" s="109">
        <f>COUNTIFS(Orders!$Z:$Z, $A16)</f>
        <v>50</v>
      </c>
      <c r="T16" s="111">
        <f>COUNTIFS(Orders!$Z:$Z, $A16, Orders!$M:$M, "Cancelled")</f>
        <v>7</v>
      </c>
      <c r="U16" s="121">
        <f t="shared" si="21"/>
        <v>0.14</v>
      </c>
      <c r="V16" s="122">
        <f>COUNTIFS(Orders!$Z:$Z, $A16, Orders!$M:$M, "pending")</f>
        <v>0</v>
      </c>
      <c r="W16" s="122">
        <f t="shared" si="22"/>
        <v>43</v>
      </c>
      <c r="X16" s="70">
        <f t="shared" si="23"/>
        <v>0.86</v>
      </c>
      <c r="Y16" s="6">
        <f>COUNTIFS(Orders!$Z:$Z, $A16, Orders!$M:$M, "Delivered")</f>
        <v>31</v>
      </c>
      <c r="Z16" s="6">
        <f>COUNTIFS(Orders!$Z:$Z, $A16, Orders!$M:$M, "Return Received")</f>
        <v>12</v>
      </c>
      <c r="AA16" s="123">
        <f t="shared" si="24"/>
        <v>0</v>
      </c>
      <c r="AB16" s="6">
        <f t="array" ref="AB16">SUM(COUNTIFS(Orders!$Z:$Z, $A16, Orders!$M:$M, {"Returned","Returned to Shipper"}))</f>
        <v>0</v>
      </c>
      <c r="AC16" s="6">
        <f t="shared" si="25"/>
        <v>0</v>
      </c>
      <c r="AD16" s="2">
        <f>SUMIFS(Orders!$U:$U, Orders!$Z:$Z, $A16, Orders!$M:$M, "Delivered")</f>
        <v>93659</v>
      </c>
      <c r="AE16" s="124">
        <f t="shared" si="26"/>
        <v>0</v>
      </c>
      <c r="AF16" s="125" t="str">
        <f>IFERROR(__xludf.DUMMYFUNCTION("IFERROR(TEXTJOIN("", "", TRUE, FILTER(Orders!$B$2:$B$2517, (TEXT(Orders!$D$2:$D$2517,""d-mmm"")=TEXT($A16,""d-mmm"")) * (ABS(Orders!$H$2:$H$2517 - Orders!$U$2:$U$2517) &gt;= 1) * (Orders!$M$2:$M$2517=""Delivered""))), ""All Balanced"")"),"All Balanced")</f>
        <v>All Balanced</v>
      </c>
      <c r="AG16" s="2" t="str">
        <f>IFERROR(__xludf.DUMMYFUNCTION("IFERROR(TEXTJOIN("", "", TRUE, FILTER(Orders!$I$2:$I$3000, (Orders!$M$2:$M$3000=""Delivered"") * (Orders!$N$2:$N$3000&lt;&gt;""Paid"") * (Orders!$Z$2:$Z$3000=$A16))), """")"),"")</f>
        <v/>
      </c>
      <c r="AH16" s="2">
        <f t="shared" si="27"/>
        <v>0</v>
      </c>
      <c r="AI16" s="2"/>
    </row>
    <row r="17">
      <c r="A17" s="107">
        <v>46004.0</v>
      </c>
      <c r="B17" s="108">
        <f t="shared" si="10"/>
        <v>2908.76</v>
      </c>
      <c r="C17" s="108">
        <f>SUMIFS(Orders!$H:$H, Orders!$Z:$Z, $A17, Orders!$M:$M, "Delivered")</f>
        <v>72719</v>
      </c>
      <c r="D17" s="109">
        <f>SUMIFS(Orders!$Q:$Q, Orders!$Z:$Z, $A17, Orders!$M:$M, "Delivered")</f>
        <v>24860</v>
      </c>
      <c r="E17" s="110">
        <f t="shared" si="11"/>
        <v>0.341863887</v>
      </c>
      <c r="F17" s="111">
        <f t="shared" si="12"/>
        <v>69810.24</v>
      </c>
      <c r="G17" s="111">
        <f t="shared" si="13"/>
        <v>2908.76</v>
      </c>
      <c r="H17" s="111">
        <f t="shared" si="14"/>
        <v>47859</v>
      </c>
      <c r="I17" s="112">
        <f t="shared" si="15"/>
        <v>39.27265226</v>
      </c>
      <c r="J17" s="113">
        <v>28558.68</v>
      </c>
      <c r="K17" s="114"/>
      <c r="L17" s="115">
        <f t="shared" si="16"/>
        <v>10708.76</v>
      </c>
      <c r="M17" s="116">
        <f>SUMIFS(Orders!$W:$W, Orders!$Z:$Z, $A17)</f>
        <v>10993.4</v>
      </c>
      <c r="N17" s="117">
        <f t="shared" si="17"/>
        <v>8306.92</v>
      </c>
      <c r="O17" s="118">
        <f t="shared" si="18"/>
        <v>64.1025641</v>
      </c>
      <c r="P17" s="113">
        <v>5.2264348</v>
      </c>
      <c r="Q17" s="119">
        <f t="shared" si="19"/>
        <v>607.6314894</v>
      </c>
      <c r="R17" s="120">
        <f t="shared" si="20"/>
        <v>732.2738462</v>
      </c>
      <c r="S17" s="109">
        <f>COUNTIFS(Orders!$Z:$Z, $A17)</f>
        <v>47</v>
      </c>
      <c r="T17" s="111">
        <f>COUNTIFS(Orders!$Z:$Z, $A17, Orders!$M:$M, "Cancelled")</f>
        <v>8</v>
      </c>
      <c r="U17" s="121">
        <f t="shared" si="21"/>
        <v>0.170212766</v>
      </c>
      <c r="V17" s="122">
        <f>COUNTIFS(Orders!$Z:$Z, $A17, Orders!$M:$M, "pending")</f>
        <v>0</v>
      </c>
      <c r="W17" s="122">
        <f t="shared" si="22"/>
        <v>39</v>
      </c>
      <c r="X17" s="70">
        <f t="shared" si="23"/>
        <v>0.829787234</v>
      </c>
      <c r="Y17" s="6">
        <f>COUNTIFS(Orders!$Z:$Z, $A17, Orders!$M:$M, "Delivered")</f>
        <v>25</v>
      </c>
      <c r="Z17" s="6">
        <f>COUNTIFS(Orders!$Z:$Z, $A17, Orders!$M:$M, "Return Received")</f>
        <v>14</v>
      </c>
      <c r="AA17" s="123">
        <f t="shared" si="24"/>
        <v>0</v>
      </c>
      <c r="AB17" s="6">
        <f t="array" ref="AB17">SUM(COUNTIFS(Orders!$Z:$Z, $A17, Orders!$M:$M, {"Returned","Returned to Shipper"}))</f>
        <v>0</v>
      </c>
      <c r="AC17" s="6">
        <f t="shared" si="25"/>
        <v>0</v>
      </c>
      <c r="AD17" s="2">
        <f>SUMIFS(Orders!$U:$U, Orders!$Z:$Z, $A17, Orders!$M:$M, "Delivered")</f>
        <v>72719</v>
      </c>
      <c r="AE17" s="124">
        <f t="shared" si="26"/>
        <v>0</v>
      </c>
      <c r="AF17" s="2" t="str">
        <f>IFERROR(__xludf.DUMMYFUNCTION("IFERROR(TEXTJOIN("", "", TRUE, FILTER(Orders!$B$2:$B$2517, (TEXT(Orders!$D$2:$D$2517,""d-mmm"")=TEXT($A17,""d-mmm"")) * (ABS(Orders!$H$2:$H$2517 - Orders!$U$2:$U$2517) &gt;= 1) * (Orders!$M$2:$M$2517=""Delivered""))), ""All Balanced"")"),"All Balanced")</f>
        <v>All Balanced</v>
      </c>
      <c r="AG17" s="2" t="str">
        <f>IFERROR(__xludf.DUMMYFUNCTION("IFERROR(TEXTJOIN("", "", TRUE, FILTER(Orders!$I$2:$I$3000, (Orders!$M$2:$M$3000=""Delivered"") * (Orders!$N$2:$N$3000&lt;&gt;""Paid"") * (Orders!$Z$2:$Z$3000=$A17))), """")"),"")</f>
        <v/>
      </c>
      <c r="AH17" s="2">
        <f t="shared" si="27"/>
        <v>0</v>
      </c>
      <c r="AI17" s="2"/>
    </row>
    <row r="18">
      <c r="A18" s="107">
        <v>46005.0</v>
      </c>
      <c r="B18" s="108">
        <f t="shared" si="10"/>
        <v>2999.486486</v>
      </c>
      <c r="C18" s="108">
        <f>SUMIFS(Orders!$H:$H, Orders!$Z:$Z, $A18, Orders!$M:$M, "Delivered")</f>
        <v>110981</v>
      </c>
      <c r="D18" s="109">
        <f>SUMIFS(Orders!$Q:$Q, Orders!$Z:$Z, $A18, Orders!$M:$M, "Delivered")</f>
        <v>43000</v>
      </c>
      <c r="E18" s="110">
        <f t="shared" si="11"/>
        <v>0.3874537083</v>
      </c>
      <c r="F18" s="111">
        <f t="shared" si="12"/>
        <v>106541.76</v>
      </c>
      <c r="G18" s="111">
        <f t="shared" si="13"/>
        <v>4439.24</v>
      </c>
      <c r="H18" s="111">
        <f t="shared" si="14"/>
        <v>67981</v>
      </c>
      <c r="I18" s="112">
        <f t="shared" si="15"/>
        <v>30.40436651</v>
      </c>
      <c r="J18" s="113">
        <v>33743.07</v>
      </c>
      <c r="K18" s="114"/>
      <c r="L18" s="115">
        <f t="shared" si="16"/>
        <v>13839.24</v>
      </c>
      <c r="M18" s="116">
        <f>SUMIFS(Orders!$W:$W, Orders!$Z:$Z, $A18)</f>
        <v>14889.12</v>
      </c>
      <c r="N18" s="117">
        <f t="shared" si="17"/>
        <v>19348.81</v>
      </c>
      <c r="O18" s="118">
        <f t="shared" si="18"/>
        <v>78.72340426</v>
      </c>
      <c r="P18" s="113">
        <v>5.26912013</v>
      </c>
      <c r="Q18" s="119">
        <f t="shared" si="19"/>
        <v>648.9051923</v>
      </c>
      <c r="R18" s="120">
        <f t="shared" si="20"/>
        <v>717.9376596</v>
      </c>
      <c r="S18" s="109">
        <f>COUNTIFS(Orders!$Z:$Z, $A18)</f>
        <v>52</v>
      </c>
      <c r="T18" s="111">
        <f>COUNTIFS(Orders!$Z:$Z, $A18, Orders!$M:$M, "Cancelled")</f>
        <v>5</v>
      </c>
      <c r="U18" s="121">
        <f t="shared" si="21"/>
        <v>0.09615384615</v>
      </c>
      <c r="V18" s="122">
        <f>COUNTIFS(Orders!$Z:$Z, $A18, Orders!$M:$M, "pending")</f>
        <v>0</v>
      </c>
      <c r="W18" s="122">
        <f t="shared" si="22"/>
        <v>47</v>
      </c>
      <c r="X18" s="70">
        <f t="shared" si="23"/>
        <v>0.9038461538</v>
      </c>
      <c r="Y18" s="6">
        <f>COUNTIFS(Orders!$Z:$Z, $A18, Orders!$M:$M, "Delivered")</f>
        <v>37</v>
      </c>
      <c r="Z18" s="6">
        <f>COUNTIFS(Orders!$Z:$Z, $A18, Orders!$M:$M, "Return Received")</f>
        <v>10</v>
      </c>
      <c r="AA18" s="123">
        <f t="shared" si="24"/>
        <v>0</v>
      </c>
      <c r="AB18" s="6">
        <f t="array" ref="AB18">SUM(COUNTIFS(Orders!$Z:$Z, $A18, Orders!$M:$M, {"Returned","Returned to Shipper"}))</f>
        <v>0</v>
      </c>
      <c r="AC18" s="6">
        <f t="shared" si="25"/>
        <v>0</v>
      </c>
      <c r="AD18" s="2">
        <f>SUMIFS(Orders!$U:$U, Orders!$Z:$Z, $A18, Orders!$M:$M, "Delivered")</f>
        <v>110981</v>
      </c>
      <c r="AE18" s="124">
        <f t="shared" si="26"/>
        <v>0</v>
      </c>
      <c r="AF18" s="2" t="str">
        <f>IFERROR(__xludf.DUMMYFUNCTION("IFERROR(TEXTJOIN("", "", TRUE, FILTER(Orders!$B$2:$B$2517, (TEXT(Orders!$D$2:$D$2517,""d-mmm"")=TEXT($A18,""d-mmm"")) * (ABS(Orders!$H$2:$H$2517 - Orders!$U$2:$U$2517) &gt;= 1) * (Orders!$M$2:$M$2517=""Delivered""))), ""All Balanced"")"),"All Balanced")</f>
        <v>All Balanced</v>
      </c>
      <c r="AG18" s="2" t="str">
        <f>IFERROR(__xludf.DUMMYFUNCTION("IFERROR(TEXTJOIN("", "", TRUE, FILTER(Orders!$I$2:$I$3000, (Orders!$M$2:$M$3000=""Delivered"") * (Orders!$N$2:$N$3000&lt;&gt;""Paid"") * (Orders!$Z$2:$Z$3000=$A18))), """")"),"")</f>
        <v/>
      </c>
      <c r="AH18" s="2">
        <f t="shared" si="27"/>
        <v>0</v>
      </c>
      <c r="AI18" s="2"/>
    </row>
    <row r="19">
      <c r="A19" s="107">
        <v>46006.0</v>
      </c>
      <c r="B19" s="108">
        <f t="shared" si="10"/>
        <v>2941.714286</v>
      </c>
      <c r="C19" s="108">
        <f>SUMIFS(Orders!$H:$H, Orders!$Z:$Z, $A19, Orders!$M:$M, "Delivered")</f>
        <v>82368</v>
      </c>
      <c r="D19" s="109">
        <f>SUMIFS(Orders!$Q:$Q, Orders!$Z:$Z, $A19, Orders!$M:$M, "Delivered")</f>
        <v>30960</v>
      </c>
      <c r="E19" s="110">
        <f t="shared" si="11"/>
        <v>0.3758741259</v>
      </c>
      <c r="F19" s="111">
        <f t="shared" si="12"/>
        <v>79073.28</v>
      </c>
      <c r="G19" s="111">
        <f t="shared" si="13"/>
        <v>3294.72</v>
      </c>
      <c r="H19" s="111">
        <f t="shared" si="14"/>
        <v>51408</v>
      </c>
      <c r="I19" s="112">
        <f t="shared" si="15"/>
        <v>39.57921766</v>
      </c>
      <c r="J19" s="113">
        <v>32600.61</v>
      </c>
      <c r="K19" s="114"/>
      <c r="L19" s="115">
        <f t="shared" si="16"/>
        <v>10494.72</v>
      </c>
      <c r="M19" s="116">
        <f>SUMIFS(Orders!$W:$W, Orders!$Z:$Z, $A19)</f>
        <v>10051.76</v>
      </c>
      <c r="N19" s="117">
        <f t="shared" si="17"/>
        <v>8755.63</v>
      </c>
      <c r="O19" s="118">
        <f t="shared" si="18"/>
        <v>77.77777778</v>
      </c>
      <c r="P19" s="113">
        <v>3.57503411</v>
      </c>
      <c r="Q19" s="119">
        <f t="shared" si="19"/>
        <v>881.0975676</v>
      </c>
      <c r="R19" s="120">
        <f t="shared" si="20"/>
        <v>905.5725</v>
      </c>
      <c r="S19" s="109">
        <f>COUNTIFS(Orders!$Z:$Z, $A19)</f>
        <v>37</v>
      </c>
      <c r="T19" s="111">
        <f>COUNTIFS(Orders!$Z:$Z, $A19, Orders!$M:$M, "Cancelled")</f>
        <v>1</v>
      </c>
      <c r="U19" s="121">
        <f t="shared" si="21"/>
        <v>0.02702702703</v>
      </c>
      <c r="V19" s="122">
        <f>COUNTIFS(Orders!$Z:$Z, $A19, Orders!$M:$M, "pending")</f>
        <v>0</v>
      </c>
      <c r="W19" s="122">
        <f t="shared" si="22"/>
        <v>36</v>
      </c>
      <c r="X19" s="70">
        <f t="shared" si="23"/>
        <v>0.972972973</v>
      </c>
      <c r="Y19" s="6">
        <f>COUNTIFS(Orders!$Z:$Z, $A19, Orders!$M:$M, "Delivered")</f>
        <v>28</v>
      </c>
      <c r="Z19" s="6">
        <f>COUNTIFS(Orders!$Z:$Z, $A19, Orders!$M:$M, "Return Received")</f>
        <v>8</v>
      </c>
      <c r="AA19" s="123">
        <f t="shared" si="24"/>
        <v>0</v>
      </c>
      <c r="AB19" s="6">
        <f t="array" ref="AB19">SUM(COUNTIFS(Orders!$Z:$Z, $A19, Orders!$M:$M, {"Returned","Returned to Shipper"}))</f>
        <v>0</v>
      </c>
      <c r="AC19" s="6">
        <f t="shared" si="25"/>
        <v>0</v>
      </c>
      <c r="AD19" s="2">
        <f>SUMIFS(Orders!$U:$U, Orders!$Z:$Z, $A19, Orders!$M:$M, "Delivered")</f>
        <v>82368</v>
      </c>
      <c r="AE19" s="124">
        <f t="shared" si="26"/>
        <v>0</v>
      </c>
      <c r="AF19" s="2" t="str">
        <f>IFERROR(__xludf.DUMMYFUNCTION("IFERROR(TEXTJOIN("", "", TRUE, FILTER(Orders!$B$2:$B$2517, (TEXT(Orders!$D$2:$D$2517,""d-mmm"")=TEXT($A19,""d-mmm"")) * (ABS(Orders!$H$2:$H$2517 - Orders!$U$2:$U$2517) &gt;= 1) * (Orders!$M$2:$M$2517=""Delivered""))), ""All Balanced"")"),"All Balanced")</f>
        <v>All Balanced</v>
      </c>
      <c r="AG19" s="2" t="str">
        <f>IFERROR(__xludf.DUMMYFUNCTION("IFERROR(TEXTJOIN("", "", TRUE, FILTER(Orders!$I$2:$I$3000, (Orders!$M$2:$M$3000=""Delivered"") * (Orders!$N$2:$N$3000&lt;&gt;""Paid"") * (Orders!$Z$2:$Z$3000=$A19))), """")"),"")</f>
        <v/>
      </c>
      <c r="AH19" s="2">
        <f t="shared" si="27"/>
        <v>0</v>
      </c>
      <c r="AI19" s="2"/>
    </row>
    <row r="20">
      <c r="A20" s="107">
        <v>46007.0</v>
      </c>
      <c r="B20" s="108">
        <f t="shared" si="10"/>
        <v>3204.214286</v>
      </c>
      <c r="C20" s="108">
        <f>SUMIFS(Orders!$H:$H, Orders!$Z:$Z, $A20, Orders!$M:$M, "Delivered")</f>
        <v>89718</v>
      </c>
      <c r="D20" s="109">
        <f>SUMIFS(Orders!$Q:$Q, Orders!$Z:$Z, $A20, Orders!$M:$M, "Delivered")</f>
        <v>34490</v>
      </c>
      <c r="E20" s="110">
        <f t="shared" si="11"/>
        <v>0.3844267594</v>
      </c>
      <c r="F20" s="111">
        <f t="shared" si="12"/>
        <v>86129.28</v>
      </c>
      <c r="G20" s="111">
        <f t="shared" si="13"/>
        <v>3588.72</v>
      </c>
      <c r="H20" s="111">
        <f t="shared" si="14"/>
        <v>55228</v>
      </c>
      <c r="I20" s="112">
        <f t="shared" si="15"/>
        <v>41.24787668</v>
      </c>
      <c r="J20" s="113">
        <v>37006.77</v>
      </c>
      <c r="K20" s="114"/>
      <c r="L20" s="115">
        <f t="shared" si="16"/>
        <v>12788.72</v>
      </c>
      <c r="M20" s="116">
        <f>SUMIFS(Orders!$W:$W, Orders!$Z:$Z, $A20)</f>
        <v>12753.68</v>
      </c>
      <c r="N20" s="117">
        <f t="shared" si="17"/>
        <v>5467.55</v>
      </c>
      <c r="O20" s="118">
        <f t="shared" si="18"/>
        <v>60.86956522</v>
      </c>
      <c r="P20" s="113">
        <v>5.44944315</v>
      </c>
      <c r="Q20" s="119">
        <f t="shared" si="19"/>
        <v>672.8503636</v>
      </c>
      <c r="R20" s="120">
        <f t="shared" si="20"/>
        <v>804.495</v>
      </c>
      <c r="S20" s="109">
        <f>COUNTIFS(Orders!$Z:$Z, $A20)</f>
        <v>55</v>
      </c>
      <c r="T20" s="111">
        <f>COUNTIFS(Orders!$Z:$Z, $A20, Orders!$M:$M, "Cancelled")</f>
        <v>9</v>
      </c>
      <c r="U20" s="121">
        <f t="shared" si="21"/>
        <v>0.1636363636</v>
      </c>
      <c r="V20" s="122">
        <f>COUNTIFS(Orders!$Z:$Z, $A20, Orders!$M:$M, "pending")</f>
        <v>0</v>
      </c>
      <c r="W20" s="122">
        <f t="shared" si="22"/>
        <v>46</v>
      </c>
      <c r="X20" s="70">
        <f t="shared" si="23"/>
        <v>0.8363636364</v>
      </c>
      <c r="Y20" s="6">
        <f>COUNTIFS(Orders!$Z:$Z, $A20, Orders!$M:$M, "Delivered")</f>
        <v>28</v>
      </c>
      <c r="Z20" s="6">
        <f>COUNTIFS(Orders!$Z:$Z, $A20, Orders!$M:$M, "Return Received")</f>
        <v>18</v>
      </c>
      <c r="AA20" s="123">
        <f t="shared" si="24"/>
        <v>0</v>
      </c>
      <c r="AB20" s="6">
        <f t="array" ref="AB20">SUM(COUNTIFS(Orders!$Z:$Z, $A20, Orders!$M:$M, {"Returned","Returned to Shipper"}))</f>
        <v>0</v>
      </c>
      <c r="AC20" s="6">
        <f t="shared" si="25"/>
        <v>0</v>
      </c>
      <c r="AD20" s="2">
        <f>SUMIFS(Orders!$U:$U, Orders!$Z:$Z, $A20, Orders!$M:$M, "Delivered")</f>
        <v>89718</v>
      </c>
      <c r="AE20" s="124">
        <f t="shared" si="26"/>
        <v>0</v>
      </c>
      <c r="AF20" s="2" t="str">
        <f>IFERROR(__xludf.DUMMYFUNCTION("IFERROR(TEXTJOIN("", "", TRUE, FILTER(Orders!$B$2:$B$2517, (TEXT(Orders!$D$2:$D$2517,""d-mmm"")=TEXT($A20,""d-mmm"")) * (ABS(Orders!$H$2:$H$2517 - Orders!$U$2:$U$2517) &gt;= 1) * (Orders!$M$2:$M$2517=""Delivered""))), ""All Balanced"")"),"All Balanced")</f>
        <v>All Balanced</v>
      </c>
      <c r="AG20" s="2" t="str">
        <f>IFERROR(__xludf.DUMMYFUNCTION("IFERROR(TEXTJOIN("", "", TRUE, FILTER(Orders!$I$2:$I$3000, (Orders!$M$2:$M$3000=""Delivered"") * (Orders!$N$2:$N$3000&lt;&gt;""Paid"") * (Orders!$Z$2:$Z$3000=$A20))), """")"),"")</f>
        <v/>
      </c>
      <c r="AH20" s="2">
        <f t="shared" si="27"/>
        <v>0</v>
      </c>
      <c r="AI20" s="2"/>
    </row>
    <row r="21">
      <c r="A21" s="107">
        <v>46008.0</v>
      </c>
      <c r="B21" s="108">
        <f t="shared" si="10"/>
        <v>3336.458333</v>
      </c>
      <c r="C21" s="108">
        <f>SUMIFS(Orders!$H:$H, Orders!$Z:$Z, $A21, Orders!$M:$M, "Delivered")</f>
        <v>80075</v>
      </c>
      <c r="D21" s="109">
        <f>SUMIFS(Orders!$Q:$Q, Orders!$Z:$Z, $A21, Orders!$M:$M, "Delivered")</f>
        <v>32770</v>
      </c>
      <c r="E21" s="110">
        <f t="shared" si="11"/>
        <v>0.4092413362</v>
      </c>
      <c r="F21" s="111">
        <f t="shared" si="12"/>
        <v>76872</v>
      </c>
      <c r="G21" s="111">
        <f t="shared" si="13"/>
        <v>3203</v>
      </c>
      <c r="H21" s="111">
        <f t="shared" si="14"/>
        <v>47305</v>
      </c>
      <c r="I21" s="112">
        <f t="shared" si="15"/>
        <v>38.30596316</v>
      </c>
      <c r="J21" s="113">
        <v>30673.5</v>
      </c>
      <c r="K21" s="114"/>
      <c r="L21" s="115">
        <f t="shared" si="16"/>
        <v>11603</v>
      </c>
      <c r="M21" s="116">
        <f>SUMIFS(Orders!$W:$W, Orders!$Z:$Z, $A21)</f>
        <v>11552.5</v>
      </c>
      <c r="N21" s="117">
        <f t="shared" si="17"/>
        <v>5079</v>
      </c>
      <c r="O21" s="118">
        <f t="shared" si="18"/>
        <v>57.14285714</v>
      </c>
      <c r="P21" s="113">
        <v>5.79397526</v>
      </c>
      <c r="Q21" s="119">
        <f t="shared" si="19"/>
        <v>578.745283</v>
      </c>
      <c r="R21" s="120">
        <f t="shared" si="20"/>
        <v>730.3214286</v>
      </c>
      <c r="S21" s="109">
        <f>COUNTIFS(Orders!$Z:$Z, $A21)</f>
        <v>53</v>
      </c>
      <c r="T21" s="111">
        <f>COUNTIFS(Orders!$Z:$Z, $A21, Orders!$M:$M, "Cancelled")</f>
        <v>11</v>
      </c>
      <c r="U21" s="121">
        <f t="shared" si="21"/>
        <v>0.2075471698</v>
      </c>
      <c r="V21" s="122">
        <f>COUNTIFS(Orders!$Z:$Z, $A21, Orders!$M:$M, "pending")</f>
        <v>0</v>
      </c>
      <c r="W21" s="122">
        <f t="shared" si="22"/>
        <v>42</v>
      </c>
      <c r="X21" s="70">
        <f t="shared" si="23"/>
        <v>0.7924528302</v>
      </c>
      <c r="Y21" s="6">
        <f>COUNTIFS(Orders!$Z:$Z, $A21, Orders!$M:$M, "Delivered")</f>
        <v>24</v>
      </c>
      <c r="Z21" s="6">
        <f>COUNTIFS(Orders!$Z:$Z, $A21, Orders!$M:$M, "Return Received")</f>
        <v>17</v>
      </c>
      <c r="AA21" s="123">
        <f t="shared" si="24"/>
        <v>1</v>
      </c>
      <c r="AB21" s="6">
        <f t="array" ref="AB21">SUM(COUNTIFS(Orders!$Z:$Z, $A21, Orders!$M:$M, {"Returned","Returned to Shipper"}))</f>
        <v>1</v>
      </c>
      <c r="AC21" s="6">
        <f t="shared" si="25"/>
        <v>0</v>
      </c>
      <c r="AD21" s="2">
        <f>SUMIFS(Orders!$U:$U, Orders!$Z:$Z, $A21, Orders!$M:$M, "Delivered")</f>
        <v>80075</v>
      </c>
      <c r="AE21" s="124">
        <f t="shared" si="26"/>
        <v>0</v>
      </c>
      <c r="AF21" s="2" t="str">
        <f>IFERROR(__xludf.DUMMYFUNCTION("IFERROR(TEXTJOIN("", "", TRUE, FILTER(Orders!$B$2:$B$2517, (TEXT(Orders!$D$2:$D$2517,""d-mmm"")=TEXT($A21,""d-mmm"")) * (ABS(Orders!$H$2:$H$2517 - Orders!$U$2:$U$2517) &gt;= 1) * (Orders!$M$2:$M$2517=""Delivered""))), ""All Balanced"")"),"All Balanced")</f>
        <v>All Balanced</v>
      </c>
      <c r="AG21" s="2" t="str">
        <f>IFERROR(__xludf.DUMMYFUNCTION("IFERROR(TEXTJOIN("", "", TRUE, FILTER(Orders!$I$2:$I$3000, (Orders!$M$2:$M$3000=""Delivered"") * (Orders!$N$2:$N$3000&lt;&gt;""Paid"") * (Orders!$Z$2:$Z$3000=$A21))), """")"),"")</f>
        <v/>
      </c>
      <c r="AH21" s="2">
        <f t="shared" si="27"/>
        <v>0</v>
      </c>
      <c r="AI21" s="2"/>
    </row>
    <row r="22">
      <c r="A22" s="107">
        <v>46009.0</v>
      </c>
      <c r="B22" s="108">
        <f t="shared" si="10"/>
        <v>3229.516129</v>
      </c>
      <c r="C22" s="108">
        <f>SUMIFS(Orders!$H:$H, Orders!$Z:$Z, $A22, Orders!$M:$M, "Delivered")</f>
        <v>100115</v>
      </c>
      <c r="D22" s="109">
        <f>SUMIFS(Orders!$Q:$Q, Orders!$Z:$Z, $A22, Orders!$M:$M, "Delivered")</f>
        <v>37650</v>
      </c>
      <c r="E22" s="110">
        <f t="shared" si="11"/>
        <v>0.3760675223</v>
      </c>
      <c r="F22" s="111">
        <f t="shared" si="12"/>
        <v>96110.4</v>
      </c>
      <c r="G22" s="111">
        <f t="shared" si="13"/>
        <v>4004.6</v>
      </c>
      <c r="H22" s="111">
        <f t="shared" si="14"/>
        <v>62465</v>
      </c>
      <c r="I22" s="112">
        <f t="shared" si="15"/>
        <v>31.21332468</v>
      </c>
      <c r="J22" s="113">
        <v>31249.22</v>
      </c>
      <c r="K22" s="114"/>
      <c r="L22" s="115">
        <f t="shared" si="16"/>
        <v>12404.6</v>
      </c>
      <c r="M22" s="116">
        <f>SUMIFS(Orders!$W:$W, Orders!$Z:$Z, $A22)</f>
        <v>12017.51</v>
      </c>
      <c r="N22" s="117">
        <f t="shared" si="17"/>
        <v>19198.27</v>
      </c>
      <c r="O22" s="118">
        <f t="shared" si="18"/>
        <v>73.80952381</v>
      </c>
      <c r="P22" s="113">
        <v>5.18193434</v>
      </c>
      <c r="Q22" s="119">
        <f t="shared" si="19"/>
        <v>651.0254167</v>
      </c>
      <c r="R22" s="120">
        <f t="shared" si="20"/>
        <v>744.0290476</v>
      </c>
      <c r="S22" s="109">
        <f>COUNTIFS(Orders!$Z:$Z, $A22)</f>
        <v>48</v>
      </c>
      <c r="T22" s="111">
        <f>COUNTIFS(Orders!$Z:$Z, $A22, Orders!$M:$M, "Cancelled")</f>
        <v>6</v>
      </c>
      <c r="U22" s="121">
        <f t="shared" si="21"/>
        <v>0.125</v>
      </c>
      <c r="V22" s="122">
        <f>COUNTIFS(Orders!$Z:$Z, $A22, Orders!$M:$M, "pending")</f>
        <v>0</v>
      </c>
      <c r="W22" s="122">
        <f t="shared" si="22"/>
        <v>42</v>
      </c>
      <c r="X22" s="70">
        <f t="shared" si="23"/>
        <v>0.875</v>
      </c>
      <c r="Y22" s="6">
        <f>COUNTIFS(Orders!$Z:$Z, $A22, Orders!$M:$M, "Delivered")</f>
        <v>31</v>
      </c>
      <c r="Z22" s="6">
        <f>COUNTIFS(Orders!$Z:$Z, $A22, Orders!$M:$M, "Return Received")</f>
        <v>11</v>
      </c>
      <c r="AA22" s="123">
        <f t="shared" si="24"/>
        <v>0</v>
      </c>
      <c r="AB22" s="6">
        <f t="array" ref="AB22">SUM(COUNTIFS(Orders!$Z:$Z, $A22, Orders!$M:$M, {"Returned","Returned to Shipper"}))</f>
        <v>0</v>
      </c>
      <c r="AC22" s="6">
        <f t="shared" si="25"/>
        <v>0</v>
      </c>
      <c r="AD22" s="2">
        <f>SUMIFS(Orders!$U:$U, Orders!$Z:$Z, $A22, Orders!$M:$M, "Delivered")</f>
        <v>100115</v>
      </c>
      <c r="AE22" s="124">
        <f t="shared" si="26"/>
        <v>0</v>
      </c>
      <c r="AF22" s="2" t="str">
        <f>IFERROR(__xludf.DUMMYFUNCTION("IFERROR(TEXTJOIN("", "", TRUE, FILTER(Orders!$B$2:$B$2517, (TEXT(Orders!$D$2:$D$2517,""d-mmm"")=TEXT($A22,""d-mmm"")) * (ABS(Orders!$H$2:$H$2517 - Orders!$U$2:$U$2517) &gt;= 1) * (Orders!$M$2:$M$2517=""Delivered""))), ""All Balanced"")"),"All Balanced")</f>
        <v>All Balanced</v>
      </c>
      <c r="AG22" s="2" t="str">
        <f>IFERROR(__xludf.DUMMYFUNCTION("IFERROR(TEXTJOIN("", "", TRUE, FILTER(Orders!$I$2:$I$3000, (Orders!$M$2:$M$3000=""Delivered"") * (Orders!$N$2:$N$3000&lt;&gt;""Paid"") * (Orders!$Z$2:$Z$3000=$A22))), """")"),"")</f>
        <v/>
      </c>
      <c r="AH22" s="2">
        <f t="shared" si="27"/>
        <v>0</v>
      </c>
      <c r="AI22" s="2"/>
    </row>
    <row r="23">
      <c r="A23" s="107">
        <v>46010.0</v>
      </c>
      <c r="B23" s="108">
        <f t="shared" si="10"/>
        <v>3195.533333</v>
      </c>
      <c r="C23" s="108">
        <f>SUMIFS(Orders!$H:$H, Orders!$Z:$Z, $A23, Orders!$M:$M, "Delivered")</f>
        <v>95866</v>
      </c>
      <c r="D23" s="109">
        <f>SUMIFS(Orders!$Q:$Q, Orders!$Z:$Z, $A23, Orders!$M:$M, "Delivered")</f>
        <v>36170</v>
      </c>
      <c r="E23" s="110">
        <f t="shared" si="11"/>
        <v>0.3772974777</v>
      </c>
      <c r="F23" s="111">
        <f t="shared" si="12"/>
        <v>92031.36</v>
      </c>
      <c r="G23" s="111">
        <f t="shared" si="13"/>
        <v>3834.64</v>
      </c>
      <c r="H23" s="111">
        <f t="shared" si="14"/>
        <v>59696</v>
      </c>
      <c r="I23" s="112">
        <f t="shared" si="15"/>
        <v>35.79523502</v>
      </c>
      <c r="J23" s="113">
        <v>34315.46</v>
      </c>
      <c r="K23" s="114"/>
      <c r="L23" s="115">
        <f t="shared" si="16"/>
        <v>11834.64</v>
      </c>
      <c r="M23" s="116">
        <f>SUMIFS(Orders!$W:$W, Orders!$Z:$Z, $A23)</f>
        <v>11266.64</v>
      </c>
      <c r="N23" s="117">
        <f t="shared" si="17"/>
        <v>14113.9</v>
      </c>
      <c r="O23" s="118">
        <f t="shared" si="18"/>
        <v>75</v>
      </c>
      <c r="P23" s="113">
        <v>4.66375838</v>
      </c>
      <c r="Q23" s="119">
        <f t="shared" si="19"/>
        <v>672.8521569</v>
      </c>
      <c r="R23" s="120">
        <f t="shared" si="20"/>
        <v>857.8865</v>
      </c>
      <c r="S23" s="109">
        <f>COUNTIFS(Orders!$Z:$Z, $A23)</f>
        <v>51</v>
      </c>
      <c r="T23" s="111">
        <f>COUNTIFS(Orders!$Z:$Z, $A23, Orders!$M:$M, "Cancelled")</f>
        <v>11</v>
      </c>
      <c r="U23" s="121">
        <f t="shared" si="21"/>
        <v>0.2156862745</v>
      </c>
      <c r="V23" s="122">
        <f>COUNTIFS(Orders!$Z:$Z, $A23, Orders!$M:$M, "pending")</f>
        <v>0</v>
      </c>
      <c r="W23" s="122">
        <f t="shared" si="22"/>
        <v>40</v>
      </c>
      <c r="X23" s="70">
        <f t="shared" si="23"/>
        <v>0.7843137255</v>
      </c>
      <c r="Y23" s="6">
        <f>COUNTIFS(Orders!$Z:$Z, $A23, Orders!$M:$M, "Delivered")</f>
        <v>30</v>
      </c>
      <c r="Z23" s="6">
        <f>COUNTIFS(Orders!$Z:$Z, $A23, Orders!$M:$M, "Return Received")</f>
        <v>10</v>
      </c>
      <c r="AA23" s="123">
        <f t="shared" si="24"/>
        <v>0</v>
      </c>
      <c r="AB23" s="6">
        <f t="array" ref="AB23">SUM(COUNTIFS(Orders!$Z:$Z, $A23, Orders!$M:$M, {"Returned","Returned to Shipper"}))</f>
        <v>0</v>
      </c>
      <c r="AC23" s="6">
        <f t="shared" si="25"/>
        <v>0</v>
      </c>
      <c r="AD23" s="2">
        <f>SUMIFS(Orders!$U:$U, Orders!$Z:$Z, $A23, Orders!$M:$M, "Delivered")</f>
        <v>95866</v>
      </c>
      <c r="AE23" s="124">
        <f t="shared" si="26"/>
        <v>0</v>
      </c>
      <c r="AF23" s="2" t="str">
        <f>IFERROR(__xludf.DUMMYFUNCTION("IFERROR(TEXTJOIN("", "", TRUE, FILTER(Orders!$B$2:$B$2517, (TEXT(Orders!$D$2:$D$2517,""d-mmm"")=TEXT($A23,""d-mmm"")) * (ABS(Orders!$H$2:$H$2517 - Orders!$U$2:$U$2517) &gt;= 1) * (Orders!$M$2:$M$2517=""Delivered""))), ""All Balanced"")"),"All Balanced")</f>
        <v>All Balanced</v>
      </c>
      <c r="AG23" s="2" t="str">
        <f>IFERROR(__xludf.DUMMYFUNCTION("IFERROR(TEXTJOIN("", "", TRUE, FILTER(Orders!$I$2:$I$3000, (Orders!$M$2:$M$3000=""Delivered"") * (Orders!$N$2:$N$3000&lt;&gt;""Paid"") * (Orders!$Z$2:$Z$3000=$A23))), """")"),"")</f>
        <v/>
      </c>
      <c r="AH23" s="2">
        <f t="shared" si="27"/>
        <v>0</v>
      </c>
      <c r="AI23" s="2"/>
    </row>
    <row r="24">
      <c r="A24" s="107">
        <v>46011.0</v>
      </c>
      <c r="B24" s="108">
        <f t="shared" si="10"/>
        <v>3361.565217</v>
      </c>
      <c r="C24" s="108">
        <f>SUMIFS(Orders!$H:$H, Orders!$Z:$Z, $A24, Orders!$M:$M, "Delivered")</f>
        <v>77316</v>
      </c>
      <c r="D24" s="109">
        <f>SUMIFS(Orders!$Q:$Q, Orders!$Z:$Z, $A24, Orders!$M:$M, "Delivered")</f>
        <v>31305</v>
      </c>
      <c r="E24" s="110">
        <f t="shared" si="11"/>
        <v>0.4048967872</v>
      </c>
      <c r="F24" s="111">
        <f t="shared" si="12"/>
        <v>74223.36</v>
      </c>
      <c r="G24" s="111">
        <f t="shared" si="13"/>
        <v>3092.64</v>
      </c>
      <c r="H24" s="111">
        <f t="shared" si="14"/>
        <v>46011</v>
      </c>
      <c r="I24" s="112">
        <f t="shared" si="15"/>
        <v>39.29640695</v>
      </c>
      <c r="J24" s="113">
        <v>30382.41</v>
      </c>
      <c r="K24" s="114"/>
      <c r="L24" s="115">
        <f t="shared" si="16"/>
        <v>10292.64</v>
      </c>
      <c r="M24" s="116">
        <f>SUMIFS(Orders!$W:$W, Orders!$Z:$Z, $A24)</f>
        <v>10704.84</v>
      </c>
      <c r="N24" s="117">
        <f t="shared" si="17"/>
        <v>4923.75</v>
      </c>
      <c r="O24" s="118">
        <f t="shared" si="18"/>
        <v>63.88888889</v>
      </c>
      <c r="P24" s="113">
        <v>5.17625216</v>
      </c>
      <c r="Q24" s="119">
        <f t="shared" si="19"/>
        <v>706.5676744</v>
      </c>
      <c r="R24" s="120">
        <f t="shared" si="20"/>
        <v>843.9558333</v>
      </c>
      <c r="S24" s="109">
        <f>COUNTIFS(Orders!$Z:$Z, $A24)</f>
        <v>43</v>
      </c>
      <c r="T24" s="111">
        <f>COUNTIFS(Orders!$Z:$Z, $A24, Orders!$M:$M, "Cancelled")</f>
        <v>7</v>
      </c>
      <c r="U24" s="121">
        <f t="shared" si="21"/>
        <v>0.1627906977</v>
      </c>
      <c r="V24" s="122">
        <f>COUNTIFS(Orders!$Z:$Z, $A24, Orders!$M:$M, "pending")</f>
        <v>0</v>
      </c>
      <c r="W24" s="122">
        <f t="shared" si="22"/>
        <v>36</v>
      </c>
      <c r="X24" s="70">
        <f t="shared" si="23"/>
        <v>0.8372093023</v>
      </c>
      <c r="Y24" s="6">
        <f>COUNTIFS(Orders!$Z:$Z, $A24, Orders!$M:$M, "Delivered")</f>
        <v>23</v>
      </c>
      <c r="Z24" s="6">
        <f>COUNTIFS(Orders!$Z:$Z, $A24, Orders!$M:$M, "Return Received")</f>
        <v>13</v>
      </c>
      <c r="AA24" s="123">
        <f t="shared" si="24"/>
        <v>0</v>
      </c>
      <c r="AB24" s="6">
        <f t="array" ref="AB24">SUM(COUNTIFS(Orders!$Z:$Z, $A24, Orders!$M:$M, {"Returned","Returned to Shipper"}))</f>
        <v>0</v>
      </c>
      <c r="AC24" s="6">
        <f t="shared" si="25"/>
        <v>0</v>
      </c>
      <c r="AD24" s="2">
        <f>SUMIFS(Orders!$U:$U, Orders!$Z:$Z, $A24, Orders!$M:$M, "Delivered")</f>
        <v>77316</v>
      </c>
      <c r="AE24" s="124">
        <f t="shared" si="26"/>
        <v>0</v>
      </c>
      <c r="AF24" s="29" t="str">
        <f>IFERROR(__xludf.DUMMYFUNCTION("IFERROR(TEXTJOIN("", "", TRUE, FILTER(Orders!$B$2:$B$2517, (TEXT(Orders!$D$2:$D$2517,""d-mmm"")=TEXT($A24,""d-mmm"")) * (ABS(Orders!$H$2:$H$2517 - Orders!$U$2:$U$2517) &gt;= 1) * (Orders!$M$2:$M$2517=""Delivered""))), ""All Balanced"")"),"All Balanced")</f>
        <v>All Balanced</v>
      </c>
      <c r="AG24" s="2" t="str">
        <f>IFERROR(__xludf.DUMMYFUNCTION("IFERROR(TEXTJOIN("", "", TRUE, FILTER(Orders!$I$2:$I$3000, (Orders!$M$2:$M$3000=""Delivered"") * (Orders!$N$2:$N$3000&lt;&gt;""Paid"") * (Orders!$Z$2:$Z$3000=$A24))), """")"),"")</f>
        <v/>
      </c>
      <c r="AH24" s="2">
        <f t="shared" si="27"/>
        <v>0</v>
      </c>
      <c r="AI24" s="2"/>
    </row>
    <row r="25">
      <c r="A25" s="107">
        <v>46012.0</v>
      </c>
      <c r="B25" s="108">
        <f t="shared" si="10"/>
        <v>3366.307692</v>
      </c>
      <c r="C25" s="108">
        <f>SUMIFS(Orders!$H:$H, Orders!$Z:$Z, $A25, Orders!$M:$M, "Delivered")</f>
        <v>87524</v>
      </c>
      <c r="D25" s="109">
        <f>SUMIFS(Orders!$Q:$Q, Orders!$Z:$Z, $A25, Orders!$M:$M, "Delivered")</f>
        <v>31780</v>
      </c>
      <c r="E25" s="110">
        <f t="shared" si="11"/>
        <v>0.3631004067</v>
      </c>
      <c r="F25" s="111">
        <f t="shared" si="12"/>
        <v>84023.04</v>
      </c>
      <c r="G25" s="111">
        <f t="shared" si="13"/>
        <v>3500.96</v>
      </c>
      <c r="H25" s="111">
        <f t="shared" si="14"/>
        <v>55744</v>
      </c>
      <c r="I25" s="112">
        <f t="shared" si="15"/>
        <v>43.98708926</v>
      </c>
      <c r="J25" s="113">
        <v>38499.26</v>
      </c>
      <c r="K25" s="114"/>
      <c r="L25" s="115">
        <f t="shared" si="16"/>
        <v>11500.96</v>
      </c>
      <c r="M25" s="116">
        <f>SUMIFS(Orders!$W:$W, Orders!$Z:$Z, $A25)</f>
        <v>11933.9</v>
      </c>
      <c r="N25" s="117">
        <f t="shared" si="17"/>
        <v>5310.84</v>
      </c>
      <c r="O25" s="118">
        <f t="shared" si="18"/>
        <v>65</v>
      </c>
      <c r="P25" s="113">
        <v>3.96010438</v>
      </c>
      <c r="Q25" s="119">
        <f t="shared" si="19"/>
        <v>916.6490476</v>
      </c>
      <c r="R25" s="120">
        <f t="shared" si="20"/>
        <v>962.4815</v>
      </c>
      <c r="S25" s="109">
        <f>COUNTIFS(Orders!$Z:$Z, $A25)</f>
        <v>42</v>
      </c>
      <c r="T25" s="111">
        <f>COUNTIFS(Orders!$Z:$Z, $A25, Orders!$M:$M, "Cancelled")</f>
        <v>2</v>
      </c>
      <c r="U25" s="121">
        <f t="shared" si="21"/>
        <v>0.04761904762</v>
      </c>
      <c r="V25" s="122">
        <f>COUNTIFS(Orders!$Z:$Z, $A25, Orders!$M:$M, "pending")</f>
        <v>0</v>
      </c>
      <c r="W25" s="122">
        <f t="shared" si="22"/>
        <v>40</v>
      </c>
      <c r="X25" s="70">
        <f t="shared" si="23"/>
        <v>0.9523809524</v>
      </c>
      <c r="Y25" s="6">
        <f>COUNTIFS(Orders!$Z:$Z, $A25, Orders!$M:$M, "Delivered")</f>
        <v>26</v>
      </c>
      <c r="Z25" s="6">
        <f>COUNTIFS(Orders!$Z:$Z, $A25, Orders!$M:$M, "Return Received")</f>
        <v>14</v>
      </c>
      <c r="AA25" s="123">
        <f t="shared" si="24"/>
        <v>0</v>
      </c>
      <c r="AB25" s="6">
        <f t="array" ref="AB25">SUM(COUNTIFS(Orders!$Z:$Z, $A25, Orders!$M:$M, {"Returned","Returned to Shipper"}))</f>
        <v>0</v>
      </c>
      <c r="AC25" s="6">
        <f t="shared" si="25"/>
        <v>0</v>
      </c>
      <c r="AD25" s="2">
        <f>SUMIFS(Orders!$U:$U, Orders!$Z:$Z, $A25, Orders!$M:$M, "Delivered")</f>
        <v>87524</v>
      </c>
      <c r="AE25" s="124">
        <f t="shared" si="26"/>
        <v>0</v>
      </c>
      <c r="AF25" s="2" t="str">
        <f>IFERROR(__xludf.DUMMYFUNCTION("IFERROR(TEXTJOIN("", "", TRUE, FILTER(Orders!$B$2:$B$2517, (TEXT(Orders!$D$2:$D$2517,""d-mmm"")=TEXT($A25,""d-mmm"")) * (ABS(Orders!$H$2:$H$2517 - Orders!$U$2:$U$2517) &gt;= 1) * (Orders!$M$2:$M$2517=""Delivered""))), ""All Balanced"")"),"All Balanced")</f>
        <v>All Balanced</v>
      </c>
      <c r="AG25" s="2" t="str">
        <f>IFERROR(__xludf.DUMMYFUNCTION("IFERROR(TEXTJOIN("", "", TRUE, FILTER(Orders!$I$2:$I$3000, (Orders!$M$2:$M$3000=""Delivered"") * (Orders!$N$2:$N$3000&lt;&gt;""Paid"") * (Orders!$Z$2:$Z$3000=$A25))), """")"),"")</f>
        <v/>
      </c>
      <c r="AH25" s="2">
        <f t="shared" si="27"/>
        <v>0</v>
      </c>
      <c r="AI25" s="2"/>
    </row>
    <row r="26">
      <c r="A26" s="107">
        <v>46013.0</v>
      </c>
      <c r="B26" s="108">
        <f t="shared" si="10"/>
        <v>3199</v>
      </c>
      <c r="C26" s="108">
        <f>SUMIFS(Orders!$H:$H, Orders!$Z:$Z, $A26, Orders!$M:$M, "Delivered")</f>
        <v>51184</v>
      </c>
      <c r="D26" s="109">
        <f>SUMIFS(Orders!$Q:$Q, Orders!$Z:$Z, $A26, Orders!$M:$M, "Delivered")</f>
        <v>19730</v>
      </c>
      <c r="E26" s="110">
        <f t="shared" si="11"/>
        <v>0.3854720225</v>
      </c>
      <c r="F26" s="111">
        <f t="shared" si="12"/>
        <v>49136.64</v>
      </c>
      <c r="G26" s="111">
        <f t="shared" si="13"/>
        <v>2047.36</v>
      </c>
      <c r="H26" s="111">
        <f t="shared" si="14"/>
        <v>31454</v>
      </c>
      <c r="I26" s="112">
        <f t="shared" si="15"/>
        <v>49.64340419</v>
      </c>
      <c r="J26" s="113">
        <v>25409.48</v>
      </c>
      <c r="K26" s="114"/>
      <c r="L26" s="115">
        <f t="shared" si="16"/>
        <v>6847.36</v>
      </c>
      <c r="M26" s="116">
        <f>SUMIFS(Orders!$W:$W, Orders!$Z:$Z, $A26)</f>
        <v>7108.04</v>
      </c>
      <c r="N26" s="117">
        <f t="shared" si="17"/>
        <v>-1063.52</v>
      </c>
      <c r="O26" s="118">
        <f t="shared" si="18"/>
        <v>66.66666667</v>
      </c>
      <c r="P26" s="113">
        <v>3.55601867</v>
      </c>
      <c r="Q26" s="119">
        <f t="shared" si="19"/>
        <v>1016.3792</v>
      </c>
      <c r="R26" s="120">
        <f t="shared" si="20"/>
        <v>1058.728333</v>
      </c>
      <c r="S26" s="109">
        <f>COUNTIFS(Orders!$Z:$Z, $A26)</f>
        <v>25</v>
      </c>
      <c r="T26" s="111">
        <f>COUNTIFS(Orders!$Z:$Z, $A26, Orders!$M:$M, "Cancelled")</f>
        <v>1</v>
      </c>
      <c r="U26" s="121">
        <f t="shared" si="21"/>
        <v>0.04</v>
      </c>
      <c r="V26" s="122">
        <f>COUNTIFS(Orders!$Z:$Z, $A26, Orders!$M:$M, "pending")</f>
        <v>0</v>
      </c>
      <c r="W26" s="122">
        <f t="shared" si="22"/>
        <v>24</v>
      </c>
      <c r="X26" s="70">
        <f t="shared" si="23"/>
        <v>0.96</v>
      </c>
      <c r="Y26" s="6">
        <f>COUNTIFS(Orders!$Z:$Z, $A26, Orders!$M:$M, "Delivered")</f>
        <v>16</v>
      </c>
      <c r="Z26" s="6">
        <f>COUNTIFS(Orders!$Z:$Z, $A26, Orders!$M:$M, "Return Received")</f>
        <v>8</v>
      </c>
      <c r="AA26" s="123">
        <f t="shared" si="24"/>
        <v>0</v>
      </c>
      <c r="AB26" s="6">
        <f t="array" ref="AB26">SUM(COUNTIFS(Orders!$Z:$Z, $A26, Orders!$M:$M, {"Returned","Returned to Shipper"}))</f>
        <v>0</v>
      </c>
      <c r="AC26" s="6">
        <f t="shared" si="25"/>
        <v>0</v>
      </c>
      <c r="AD26" s="2">
        <f>SUMIFS(Orders!$U:$U, Orders!$Z:$Z, $A26, Orders!$M:$M, "Delivered")</f>
        <v>51184</v>
      </c>
      <c r="AE26" s="124">
        <f t="shared" si="26"/>
        <v>0</v>
      </c>
      <c r="AF26" s="2" t="str">
        <f>IFERROR(__xludf.DUMMYFUNCTION("IFERROR(TEXTJOIN("", "", TRUE, FILTER(Orders!$B$2:$B$2517, (TEXT(Orders!$D$2:$D$2517,""d-mmm"")=TEXT($A26,""d-mmm"")) * (ABS(Orders!$H$2:$H$2517 - Orders!$U$2:$U$2517) &gt;= 1) * (Orders!$M$2:$M$2517=""Delivered""))), ""All Balanced"")"),"All Balanced")</f>
        <v>All Balanced</v>
      </c>
      <c r="AG26" s="2" t="str">
        <f>IFERROR(__xludf.DUMMYFUNCTION("IFERROR(TEXTJOIN("", "", TRUE, FILTER(Orders!$I$2:$I$3000, (Orders!$M$2:$M$3000=""Delivered"") * (Orders!$N$2:$N$3000&lt;&gt;""Paid"") * (Orders!$Z$2:$Z$3000=$A26))), """")"),"")</f>
        <v/>
      </c>
      <c r="AH26" s="2">
        <f t="shared" si="27"/>
        <v>0</v>
      </c>
      <c r="AI26" s="2"/>
    </row>
    <row r="27">
      <c r="A27" s="107">
        <v>46014.0</v>
      </c>
      <c r="B27" s="108">
        <f t="shared" si="10"/>
        <v>2973.96</v>
      </c>
      <c r="C27" s="108">
        <f>SUMIFS(Orders!$H:$H, Orders!$Z:$Z, $A27, Orders!$M:$M, "Delivered")</f>
        <v>74349</v>
      </c>
      <c r="D27" s="109">
        <f>SUMIFS(Orders!$Q:$Q, Orders!$Z:$Z, $A27, Orders!$M:$M, "Delivered")</f>
        <v>28485</v>
      </c>
      <c r="E27" s="110">
        <f t="shared" si="11"/>
        <v>0.3831255296</v>
      </c>
      <c r="F27" s="111">
        <f t="shared" si="12"/>
        <v>71375.04</v>
      </c>
      <c r="G27" s="111">
        <f t="shared" si="13"/>
        <v>2973.96</v>
      </c>
      <c r="H27" s="111">
        <f t="shared" si="14"/>
        <v>45864</v>
      </c>
      <c r="I27" s="112">
        <f t="shared" si="15"/>
        <v>36.27054836</v>
      </c>
      <c r="J27" s="113">
        <v>26966.79</v>
      </c>
      <c r="K27" s="114"/>
      <c r="L27" s="115">
        <f t="shared" si="16"/>
        <v>8973.96</v>
      </c>
      <c r="M27" s="116">
        <f>SUMIFS(Orders!$W:$W, Orders!$Z:$Z, $A27)</f>
        <v>9279.76</v>
      </c>
      <c r="N27" s="117">
        <f t="shared" si="17"/>
        <v>9617.45</v>
      </c>
      <c r="O27" s="118">
        <f t="shared" si="18"/>
        <v>83.33333333</v>
      </c>
      <c r="P27" s="113">
        <v>3.91737065</v>
      </c>
      <c r="Q27" s="119">
        <f t="shared" si="19"/>
        <v>842.7121875</v>
      </c>
      <c r="R27" s="120">
        <f t="shared" si="20"/>
        <v>898.893</v>
      </c>
      <c r="S27" s="109">
        <f>COUNTIFS(Orders!$Z:$Z, $A27)</f>
        <v>32</v>
      </c>
      <c r="T27" s="111">
        <f>COUNTIFS(Orders!$Z:$Z, $A27, Orders!$M:$M, "Cancelled")</f>
        <v>2</v>
      </c>
      <c r="U27" s="121">
        <f t="shared" si="21"/>
        <v>0.0625</v>
      </c>
      <c r="V27" s="122">
        <f>COUNTIFS(Orders!$Z:$Z, $A27, Orders!$M:$M, "pending")</f>
        <v>0</v>
      </c>
      <c r="W27" s="122">
        <f t="shared" si="22"/>
        <v>30</v>
      </c>
      <c r="X27" s="70">
        <f t="shared" si="23"/>
        <v>0.9375</v>
      </c>
      <c r="Y27" s="6">
        <f>COUNTIFS(Orders!$Z:$Z, $A27, Orders!$M:$M, "Delivered")</f>
        <v>25</v>
      </c>
      <c r="Z27" s="6">
        <f>COUNTIFS(Orders!$Z:$Z, $A27, Orders!$M:$M, "Return Received")</f>
        <v>5</v>
      </c>
      <c r="AA27" s="123">
        <f t="shared" si="24"/>
        <v>0</v>
      </c>
      <c r="AB27" s="6">
        <f t="array" ref="AB27">SUM(COUNTIFS(Orders!$Z:$Z, $A27, Orders!$M:$M, {"Returned","Returned to Shipper"}))</f>
        <v>0</v>
      </c>
      <c r="AC27" s="6">
        <f t="shared" si="25"/>
        <v>0</v>
      </c>
      <c r="AD27" s="2">
        <f>SUMIFS(Orders!$U:$U, Orders!$Z:$Z, $A27, Orders!$M:$M, "Delivered")</f>
        <v>74349</v>
      </c>
      <c r="AE27" s="124">
        <f t="shared" si="26"/>
        <v>0</v>
      </c>
      <c r="AF27" s="2" t="str">
        <f>IFERROR(__xludf.DUMMYFUNCTION("IFERROR(TEXTJOIN("", "", TRUE, FILTER(Orders!$B$2:$B$2517, (TEXT(Orders!$D$2:$D$2517,""d-mmm"")=TEXT($A27,""d-mmm"")) * (ABS(Orders!$H$2:$H$2517 - Orders!$U$2:$U$2517) &gt;= 1) * (Orders!$M$2:$M$2517=""Delivered""))), ""All Balanced"")"),"All Balanced")</f>
        <v>All Balanced</v>
      </c>
      <c r="AG27" s="2" t="str">
        <f>IFERROR(__xludf.DUMMYFUNCTION("IFERROR(TEXTJOIN("", "", TRUE, FILTER(Orders!$I$2:$I$3000, (Orders!$M$2:$M$3000=""Delivered"") * (Orders!$N$2:$N$3000&lt;&gt;""Paid"") * (Orders!$Z$2:$Z$3000=$A27))), """")"),"")</f>
        <v/>
      </c>
      <c r="AH27" s="2">
        <f t="shared" si="27"/>
        <v>0</v>
      </c>
      <c r="AI27" s="2"/>
    </row>
    <row r="28">
      <c r="A28" s="107">
        <v>46015.0</v>
      </c>
      <c r="B28" s="108">
        <f t="shared" si="10"/>
        <v>2917.326667</v>
      </c>
      <c r="C28" s="108">
        <f>SUMIFS(Orders!$H:$H, Orders!$Z:$Z, $A28, Orders!$M:$M, "Delivered")</f>
        <v>35007.92</v>
      </c>
      <c r="D28" s="109">
        <f>SUMIFS(Orders!$Q:$Q, Orders!$Z:$Z, $A28, Orders!$M:$M, "Delivered")</f>
        <v>13220</v>
      </c>
      <c r="E28" s="110">
        <f t="shared" si="11"/>
        <v>0.3776288337</v>
      </c>
      <c r="F28" s="111">
        <f t="shared" si="12"/>
        <v>33607.6032</v>
      </c>
      <c r="G28" s="111">
        <f t="shared" si="13"/>
        <v>1400.3168</v>
      </c>
      <c r="H28" s="111">
        <f t="shared" si="14"/>
        <v>21787.92</v>
      </c>
      <c r="I28" s="112">
        <f t="shared" si="15"/>
        <v>81.63101378</v>
      </c>
      <c r="J28" s="113">
        <v>28577.32</v>
      </c>
      <c r="K28" s="114"/>
      <c r="L28" s="115">
        <f t="shared" si="16"/>
        <v>5200.3168</v>
      </c>
      <c r="M28" s="116">
        <f>SUMIFS(Orders!$W:$W, Orders!$Z:$Z, $A28)</f>
        <v>5171.24</v>
      </c>
      <c r="N28" s="117">
        <f t="shared" si="17"/>
        <v>-11960.64</v>
      </c>
      <c r="O28" s="118">
        <f t="shared" si="18"/>
        <v>63.15789474</v>
      </c>
      <c r="P28" s="113">
        <v>2.39135807</v>
      </c>
      <c r="Q28" s="119">
        <f t="shared" si="19"/>
        <v>1360.824762</v>
      </c>
      <c r="R28" s="120">
        <f t="shared" si="20"/>
        <v>1504.069474</v>
      </c>
      <c r="S28" s="109">
        <f>COUNTIFS(Orders!$Z:$Z, $A28)</f>
        <v>21</v>
      </c>
      <c r="T28" s="111">
        <f>COUNTIFS(Orders!$Z:$Z, $A28, Orders!$M:$M, "Cancelled")</f>
        <v>2</v>
      </c>
      <c r="U28" s="121">
        <f t="shared" si="21"/>
        <v>0.09523809524</v>
      </c>
      <c r="V28" s="122">
        <f>COUNTIFS(Orders!$Z:$Z, $A28, Orders!$M:$M, "pending")</f>
        <v>0</v>
      </c>
      <c r="W28" s="122">
        <f t="shared" si="22"/>
        <v>19</v>
      </c>
      <c r="X28" s="70">
        <f t="shared" si="23"/>
        <v>0.9047619048</v>
      </c>
      <c r="Y28" s="6">
        <f>COUNTIFS(Orders!$Z:$Z, $A28, Orders!$M:$M, "Delivered")</f>
        <v>12</v>
      </c>
      <c r="Z28" s="6">
        <f>COUNTIFS(Orders!$Z:$Z, $A28, Orders!$M:$M, "Return Received")</f>
        <v>7</v>
      </c>
      <c r="AA28" s="123">
        <f t="shared" si="24"/>
        <v>0</v>
      </c>
      <c r="AB28" s="6">
        <f t="array" ref="AB28">SUM(COUNTIFS(Orders!$Z:$Z, $A28, Orders!$M:$M, {"Returned","Returned to Shipper"}))</f>
        <v>0</v>
      </c>
      <c r="AC28" s="6">
        <f t="shared" si="25"/>
        <v>0</v>
      </c>
      <c r="AD28" s="2">
        <f>SUMIFS(Orders!$U:$U, Orders!$Z:$Z, $A28, Orders!$M:$M, "Delivered")</f>
        <v>35007.92</v>
      </c>
      <c r="AE28" s="124">
        <f t="shared" si="26"/>
        <v>0</v>
      </c>
      <c r="AF28" s="125" t="str">
        <f>IFERROR(__xludf.DUMMYFUNCTION("IFERROR(TEXTJOIN("", "", TRUE, FILTER(Orders!$B$2:$B$2517, (TEXT(Orders!$D$2:$D$2517,""d-mmm"")=TEXT($A28,""d-mmm"")) * (ABS(Orders!$H$2:$H$2517 - Orders!$U$2:$U$2517) &gt;= 1) * (Orders!$M$2:$M$2517=""Delivered""))), ""All Balanced"")"),"All Balanced")</f>
        <v>All Balanced</v>
      </c>
      <c r="AG28" s="2" t="str">
        <f>IFERROR(__xludf.DUMMYFUNCTION("IFERROR(TEXTJOIN("", "", TRUE, FILTER(Orders!$I$2:$I$3000, (Orders!$M$2:$M$3000=""Delivered"") * (Orders!$N$2:$N$3000&lt;&gt;""Paid"") * (Orders!$Z$2:$Z$3000=$A28))), """")"),"")</f>
        <v/>
      </c>
      <c r="AH28" s="2">
        <f t="shared" si="27"/>
        <v>0</v>
      </c>
      <c r="AI28" s="2"/>
    </row>
    <row r="29">
      <c r="A29" s="107">
        <v>46016.0</v>
      </c>
      <c r="B29" s="108">
        <f t="shared" si="10"/>
        <v>3216.103448</v>
      </c>
      <c r="C29" s="108">
        <f>SUMIFS(Orders!$H:$H, Orders!$Z:$Z, $A29, Orders!$M:$M, "Delivered")</f>
        <v>93267</v>
      </c>
      <c r="D29" s="109">
        <f>SUMIFS(Orders!$Q:$Q, Orders!$Z:$Z, $A29, Orders!$M:$M, "Delivered")</f>
        <v>35130</v>
      </c>
      <c r="E29" s="110">
        <f t="shared" si="11"/>
        <v>0.3766605552</v>
      </c>
      <c r="F29" s="111">
        <f t="shared" si="12"/>
        <v>89536.32</v>
      </c>
      <c r="G29" s="111">
        <f t="shared" si="13"/>
        <v>3730.68</v>
      </c>
      <c r="H29" s="111">
        <f t="shared" si="14"/>
        <v>58137</v>
      </c>
      <c r="I29" s="112">
        <f t="shared" si="15"/>
        <v>31.57631317</v>
      </c>
      <c r="J29" s="113">
        <v>29450.28</v>
      </c>
      <c r="K29" s="114"/>
      <c r="L29" s="115">
        <f t="shared" si="16"/>
        <v>11330.68</v>
      </c>
      <c r="M29" s="116">
        <f>SUMIFS(Orders!$W:$W, Orders!$Z:$Z, $A29)</f>
        <v>11054.94</v>
      </c>
      <c r="N29" s="117">
        <f t="shared" si="17"/>
        <v>17631.78</v>
      </c>
      <c r="O29" s="118">
        <f t="shared" si="18"/>
        <v>76.31578947</v>
      </c>
      <c r="P29" s="113">
        <v>4.40029463</v>
      </c>
      <c r="Q29" s="119">
        <f t="shared" si="19"/>
        <v>755.1353846</v>
      </c>
      <c r="R29" s="120">
        <f t="shared" si="20"/>
        <v>775.0073684</v>
      </c>
      <c r="S29" s="109">
        <f>COUNTIFS(Orders!$Z:$Z, $A29)</f>
        <v>39</v>
      </c>
      <c r="T29" s="111">
        <f>COUNTIFS(Orders!$Z:$Z, $A29, Orders!$M:$M, "Cancelled")</f>
        <v>1</v>
      </c>
      <c r="U29" s="121">
        <f t="shared" si="21"/>
        <v>0.02564102564</v>
      </c>
      <c r="V29" s="122">
        <f>COUNTIFS(Orders!$Z:$Z, $A29, Orders!$M:$M, "pending")</f>
        <v>0</v>
      </c>
      <c r="W29" s="122">
        <f t="shared" si="22"/>
        <v>38</v>
      </c>
      <c r="X29" s="70">
        <f t="shared" si="23"/>
        <v>0.9743589744</v>
      </c>
      <c r="Y29" s="6">
        <f>COUNTIFS(Orders!$Z:$Z, $A29, Orders!$M:$M, "Delivered")</f>
        <v>29</v>
      </c>
      <c r="Z29" s="6">
        <f>COUNTIFS(Orders!$Z:$Z, $A29, Orders!$M:$M, "Return Received")</f>
        <v>9</v>
      </c>
      <c r="AA29" s="123">
        <f t="shared" si="24"/>
        <v>0</v>
      </c>
      <c r="AB29" s="6">
        <f t="array" ref="AB29">SUM(COUNTIFS(Orders!$Z:$Z, $A29, Orders!$M:$M, {"Returned","Returned to Shipper"}))</f>
        <v>0</v>
      </c>
      <c r="AC29" s="6">
        <f t="shared" si="25"/>
        <v>0</v>
      </c>
      <c r="AD29" s="2">
        <f>SUMIFS(Orders!$U:$U, Orders!$Z:$Z, $A29, Orders!$M:$M, "Delivered")</f>
        <v>93267</v>
      </c>
      <c r="AE29" s="124">
        <f t="shared" si="26"/>
        <v>0</v>
      </c>
      <c r="AF29" s="2" t="str">
        <f>IFERROR(__xludf.DUMMYFUNCTION("IFERROR(TEXTJOIN("", "", TRUE, FILTER(Orders!$B$2:$B$2517, (TEXT(Orders!$D$2:$D$2517,""d-mmm"")=TEXT($A29,""d-mmm"")) * (ABS(Orders!$H$2:$H$2517 - Orders!$U$2:$U$2517) &gt;= 1) * (Orders!$M$2:$M$2517=""Delivered""))), ""All Balanced"")"),"All Balanced")</f>
        <v>All Balanced</v>
      </c>
      <c r="AG29" s="2" t="str">
        <f>IFERROR(__xludf.DUMMYFUNCTION("IFERROR(TEXTJOIN("", "", TRUE, FILTER(Orders!$I$2:$I$3000, (Orders!$M$2:$M$3000=""Delivered"") * (Orders!$N$2:$N$3000&lt;&gt;""Paid"") * (Orders!$Z$2:$Z$3000=$A29))), """")"),"")</f>
        <v/>
      </c>
      <c r="AH29" s="2">
        <f t="shared" si="27"/>
        <v>0</v>
      </c>
      <c r="AI29" s="2"/>
    </row>
    <row r="30">
      <c r="A30" s="107">
        <v>46017.0</v>
      </c>
      <c r="B30" s="108">
        <f t="shared" si="10"/>
        <v>2954.123478</v>
      </c>
      <c r="C30" s="108">
        <f>SUMIFS(Orders!$H:$H, Orders!$Z:$Z, $A30, Orders!$M:$M, "Delivered")</f>
        <v>67944.84</v>
      </c>
      <c r="D30" s="109">
        <f>SUMIFS(Orders!$Q:$Q, Orders!$Z:$Z, $A30, Orders!$M:$M, "Delivered")</f>
        <v>24210</v>
      </c>
      <c r="E30" s="110">
        <f t="shared" si="11"/>
        <v>0.3563184489</v>
      </c>
      <c r="F30" s="111">
        <f t="shared" si="12"/>
        <v>65227.0464</v>
      </c>
      <c r="G30" s="111">
        <f t="shared" si="13"/>
        <v>2717.7936</v>
      </c>
      <c r="H30" s="111">
        <f t="shared" si="14"/>
        <v>43734.84</v>
      </c>
      <c r="I30" s="112">
        <f t="shared" si="15"/>
        <v>39.3059576</v>
      </c>
      <c r="J30" s="113">
        <v>26706.37</v>
      </c>
      <c r="K30" s="114"/>
      <c r="L30" s="115">
        <f t="shared" si="16"/>
        <v>9317.7936</v>
      </c>
      <c r="M30" s="116">
        <f>SUMIFS(Orders!$W:$W, Orders!$Z:$Z, $A30)</f>
        <v>9553.4</v>
      </c>
      <c r="N30" s="117">
        <f t="shared" si="17"/>
        <v>7475.07</v>
      </c>
      <c r="O30" s="118">
        <f t="shared" si="18"/>
        <v>69.6969697</v>
      </c>
      <c r="P30" s="113">
        <v>4.77849721</v>
      </c>
      <c r="Q30" s="119">
        <f t="shared" si="19"/>
        <v>702.7992105</v>
      </c>
      <c r="R30" s="120">
        <f t="shared" si="20"/>
        <v>809.2839394</v>
      </c>
      <c r="S30" s="109">
        <f>COUNTIFS(Orders!$Z:$Z, $A30)</f>
        <v>38</v>
      </c>
      <c r="T30" s="111">
        <f>COUNTIFS(Orders!$Z:$Z, $A30, Orders!$M:$M, "Cancelled")</f>
        <v>5</v>
      </c>
      <c r="U30" s="121">
        <f t="shared" si="21"/>
        <v>0.1315789474</v>
      </c>
      <c r="V30" s="122">
        <f>COUNTIFS(Orders!$Z:$Z, $A30, Orders!$M:$M, "pending")</f>
        <v>0</v>
      </c>
      <c r="W30" s="122">
        <f t="shared" si="22"/>
        <v>33</v>
      </c>
      <c r="X30" s="70">
        <f t="shared" si="23"/>
        <v>0.8684210526</v>
      </c>
      <c r="Y30" s="6">
        <f>COUNTIFS(Orders!$Z:$Z, $A30, Orders!$M:$M, "Delivered")</f>
        <v>23</v>
      </c>
      <c r="Z30" s="6">
        <f>COUNTIFS(Orders!$Z:$Z, $A30, Orders!$M:$M, "Return Received")</f>
        <v>10</v>
      </c>
      <c r="AA30" s="123">
        <f t="shared" si="24"/>
        <v>0</v>
      </c>
      <c r="AB30" s="6">
        <f t="array" ref="AB30">SUM(COUNTIFS(Orders!$Z:$Z, $A30, Orders!$M:$M, {"Returned","Returned to Shipper"}))</f>
        <v>0</v>
      </c>
      <c r="AC30" s="6">
        <f t="shared" si="25"/>
        <v>0</v>
      </c>
      <c r="AD30" s="2">
        <f>SUMIFS(Orders!$U:$U, Orders!$Z:$Z, $A30, Orders!$M:$M, "Delivered")</f>
        <v>67944.84</v>
      </c>
      <c r="AE30" s="124">
        <f t="shared" si="26"/>
        <v>0</v>
      </c>
      <c r="AF30" s="2" t="str">
        <f>IFERROR(__xludf.DUMMYFUNCTION("IFERROR(TEXTJOIN("", "", TRUE, FILTER(Orders!$B$2:$B$2517, (TEXT(Orders!$D$2:$D$2517,""d-mmm"")=TEXT($A30,""d-mmm"")) * (ABS(Orders!$H$2:$H$2517 - Orders!$U$2:$U$2517) &gt;= 1) * (Orders!$M$2:$M$2517=""Delivered""))), ""All Balanced"")"),"All Balanced")</f>
        <v>All Balanced</v>
      </c>
      <c r="AG30" s="2" t="str">
        <f>IFERROR(__xludf.DUMMYFUNCTION("IFERROR(TEXTJOIN("", "", TRUE, FILTER(Orders!$I$2:$I$3000, (Orders!$M$2:$M$3000=""Delivered"") * (Orders!$N$2:$N$3000&lt;&gt;""Paid"") * (Orders!$Z$2:$Z$3000=$A30))), """")"),"")</f>
        <v/>
      </c>
      <c r="AH30" s="2">
        <f t="shared" si="27"/>
        <v>0</v>
      </c>
      <c r="AI30" s="2"/>
    </row>
    <row r="31">
      <c r="A31" s="107">
        <v>46018.0</v>
      </c>
      <c r="B31" s="108">
        <f t="shared" si="10"/>
        <v>3164.52</v>
      </c>
      <c r="C31" s="108">
        <f>SUMIFS(Orders!$H:$H, Orders!$Z:$Z, $A31, Orders!$M:$M, "Delivered")</f>
        <v>60125.88</v>
      </c>
      <c r="D31" s="109">
        <f>SUMIFS(Orders!$Q:$Q, Orders!$Z:$Z, $A31, Orders!$M:$M, "Delivered")</f>
        <v>21215</v>
      </c>
      <c r="E31" s="110">
        <f t="shared" si="11"/>
        <v>0.3528430686</v>
      </c>
      <c r="F31" s="111">
        <f t="shared" si="12"/>
        <v>57720.8448</v>
      </c>
      <c r="G31" s="111">
        <f t="shared" si="13"/>
        <v>2405.0352</v>
      </c>
      <c r="H31" s="111">
        <f t="shared" si="14"/>
        <v>38910.88</v>
      </c>
      <c r="I31" s="112">
        <f t="shared" si="15"/>
        <v>41.88574038</v>
      </c>
      <c r="J31" s="113">
        <v>25184.17</v>
      </c>
      <c r="K31" s="114"/>
      <c r="L31" s="115">
        <f t="shared" si="16"/>
        <v>7605.0352</v>
      </c>
      <c r="M31" s="116">
        <f>SUMIFS(Orders!$W:$W, Orders!$Z:$Z, $A31)</f>
        <v>7441.67</v>
      </c>
      <c r="N31" s="117">
        <f t="shared" si="17"/>
        <v>6285.04</v>
      </c>
      <c r="O31" s="118">
        <f t="shared" si="18"/>
        <v>73.07692308</v>
      </c>
      <c r="P31" s="113">
        <v>3.91648722</v>
      </c>
      <c r="Q31" s="119">
        <f t="shared" si="19"/>
        <v>868.4196552</v>
      </c>
      <c r="R31" s="120">
        <f t="shared" si="20"/>
        <v>968.6219231</v>
      </c>
      <c r="S31" s="109">
        <f>COUNTIFS(Orders!$Z:$Z, $A31)</f>
        <v>29</v>
      </c>
      <c r="T31" s="111">
        <f>COUNTIFS(Orders!$Z:$Z, $A31, Orders!$M:$M, "Cancelled")</f>
        <v>3</v>
      </c>
      <c r="U31" s="121">
        <f t="shared" si="21"/>
        <v>0.1034482759</v>
      </c>
      <c r="V31" s="122">
        <f>COUNTIFS(Orders!$Z:$Z, $A31, Orders!$M:$M, "pending")</f>
        <v>0</v>
      </c>
      <c r="W31" s="122">
        <f t="shared" si="22"/>
        <v>26</v>
      </c>
      <c r="X31" s="70">
        <f t="shared" si="23"/>
        <v>0.8965517241</v>
      </c>
      <c r="Y31" s="6">
        <f>COUNTIFS(Orders!$Z:$Z, $A31, Orders!$M:$M, "Delivered")</f>
        <v>19</v>
      </c>
      <c r="Z31" s="6">
        <f>COUNTIFS(Orders!$Z:$Z, $A31, Orders!$M:$M, "Return Received")</f>
        <v>7</v>
      </c>
      <c r="AA31" s="123">
        <f t="shared" si="24"/>
        <v>0</v>
      </c>
      <c r="AB31" s="6">
        <f t="array" ref="AB31">SUM(COUNTIFS(Orders!$Z:$Z, $A31, Orders!$M:$M, {"Returned","Returned to Shipper"}))</f>
        <v>0</v>
      </c>
      <c r="AC31" s="6">
        <f t="shared" si="25"/>
        <v>0</v>
      </c>
      <c r="AD31" s="2">
        <f>SUMIFS(Orders!$U:$U, Orders!$Z:$Z, $A31, Orders!$M:$M, "Delivered")</f>
        <v>60125.88</v>
      </c>
      <c r="AE31" s="124">
        <f t="shared" si="26"/>
        <v>0</v>
      </c>
      <c r="AF31" s="2" t="str">
        <f>IFERROR(__xludf.DUMMYFUNCTION("IFERROR(TEXTJOIN("", "", TRUE, FILTER(Orders!$B$2:$B$2517, (TEXT(Orders!$D$2:$D$2517,""d-mmm"")=TEXT($A31,""d-mmm"")) * (ABS(Orders!$H$2:$H$2517 - Orders!$U$2:$U$2517) &gt;= 1) * (Orders!$M$2:$M$2517=""Delivered""))), ""All Balanced"")"),"All Balanced")</f>
        <v>All Balanced</v>
      </c>
      <c r="AG31" s="2" t="str">
        <f>IFERROR(__xludf.DUMMYFUNCTION("IFERROR(TEXTJOIN("", "", TRUE, FILTER(Orders!$I$2:$I$3000, (Orders!$M$2:$M$3000=""Delivered"") * (Orders!$N$2:$N$3000&lt;&gt;""Paid"") * (Orders!$Z$2:$Z$3000=$A31))), """")"),"")</f>
        <v/>
      </c>
      <c r="AH31" s="2">
        <f t="shared" si="27"/>
        <v>0</v>
      </c>
      <c r="AI31" s="2"/>
    </row>
    <row r="32">
      <c r="A32" s="107">
        <v>46019.0</v>
      </c>
      <c r="B32" s="108">
        <f t="shared" si="10"/>
        <v>3551.916667</v>
      </c>
      <c r="C32" s="108">
        <f>SUMIFS(Orders!$H:$H, Orders!$Z:$Z, $A32, Orders!$M:$M, "Delivered")</f>
        <v>42623</v>
      </c>
      <c r="D32" s="109">
        <f>SUMIFS(Orders!$Q:$Q, Orders!$Z:$Z, $A32, Orders!$M:$M, "Delivered")</f>
        <v>14530</v>
      </c>
      <c r="E32" s="110">
        <f t="shared" si="11"/>
        <v>0.3408957605</v>
      </c>
      <c r="F32" s="111">
        <f t="shared" si="12"/>
        <v>40918.08</v>
      </c>
      <c r="G32" s="111">
        <f t="shared" si="13"/>
        <v>1704.92</v>
      </c>
      <c r="H32" s="111">
        <f t="shared" si="14"/>
        <v>28093</v>
      </c>
      <c r="I32" s="112">
        <f t="shared" si="15"/>
        <v>46.50174788</v>
      </c>
      <c r="J32" s="113">
        <v>19820.44</v>
      </c>
      <c r="K32" s="114"/>
      <c r="L32" s="115">
        <f t="shared" si="16"/>
        <v>5104.92</v>
      </c>
      <c r="M32" s="116">
        <f>SUMIFS(Orders!$W:$W, Orders!$Z:$Z, $A32)</f>
        <v>5510.77</v>
      </c>
      <c r="N32" s="117">
        <f t="shared" si="17"/>
        <v>2761.79</v>
      </c>
      <c r="O32" s="118">
        <f t="shared" si="18"/>
        <v>70.58823529</v>
      </c>
      <c r="P32" s="113">
        <v>4.24611484</v>
      </c>
      <c r="Q32" s="119">
        <f t="shared" si="19"/>
        <v>861.7582609</v>
      </c>
      <c r="R32" s="120">
        <f t="shared" si="20"/>
        <v>1165.908235</v>
      </c>
      <c r="S32" s="109">
        <f>COUNTIFS(Orders!$Z:$Z, $A32)</f>
        <v>23</v>
      </c>
      <c r="T32" s="111">
        <f>COUNTIFS(Orders!$Z:$Z, $A32, Orders!$M:$M, "Cancelled")</f>
        <v>6</v>
      </c>
      <c r="U32" s="121">
        <f t="shared" si="21"/>
        <v>0.2608695652</v>
      </c>
      <c r="V32" s="122">
        <f>COUNTIFS(Orders!$Z:$Z, $A32, Orders!$M:$M, "pending")</f>
        <v>0</v>
      </c>
      <c r="W32" s="122">
        <f t="shared" si="22"/>
        <v>17</v>
      </c>
      <c r="X32" s="70">
        <f t="shared" si="23"/>
        <v>0.7391304348</v>
      </c>
      <c r="Y32" s="6">
        <f>COUNTIFS(Orders!$Z:$Z, $A32, Orders!$M:$M, "Delivered")</f>
        <v>12</v>
      </c>
      <c r="Z32" s="6">
        <f>COUNTIFS(Orders!$Z:$Z, $A32, Orders!$M:$M, "Return Received")</f>
        <v>5</v>
      </c>
      <c r="AA32" s="123">
        <f t="shared" si="24"/>
        <v>0</v>
      </c>
      <c r="AB32" s="6">
        <f t="array" ref="AB32">SUM(COUNTIFS(Orders!$Z:$Z, $A32, Orders!$M:$M, {"Returned","Returned to Shipper"}))</f>
        <v>0</v>
      </c>
      <c r="AC32" s="6">
        <f t="shared" si="25"/>
        <v>0</v>
      </c>
      <c r="AD32" s="2">
        <f>SUMIFS(Orders!$U:$U, Orders!$Z:$Z, $A32, Orders!$M:$M, "Delivered")</f>
        <v>42623</v>
      </c>
      <c r="AE32" s="124">
        <f t="shared" si="26"/>
        <v>0</v>
      </c>
      <c r="AF32" s="19" t="str">
        <f>IFERROR(__xludf.DUMMYFUNCTION("IFERROR(TEXTJOIN("", "", TRUE, FILTER(Orders!$B$2:$B$2517, (TEXT(Orders!$D$2:$D$2517,""d-mmm"")=TEXT($A32,""d-mmm"")) * (ABS(Orders!$H$2:$H$2517 - Orders!$U$2:$U$2517) &gt;= 1) * (Orders!$M$2:$M$2517=""Delivered""))), ""All Balanced"")"),"All Balanced")</f>
        <v>All Balanced</v>
      </c>
      <c r="AG32" s="2" t="str">
        <f>IFERROR(__xludf.DUMMYFUNCTION("IFERROR(TEXTJOIN("", "", TRUE, FILTER(Orders!$I$2:$I$3000, (Orders!$M$2:$M$3000=""Delivered"") * (Orders!$N$2:$N$3000&lt;&gt;""Paid"") * (Orders!$Z$2:$Z$3000=$A32))), """")"),"")</f>
        <v/>
      </c>
      <c r="AH32" s="2">
        <f t="shared" si="27"/>
        <v>0</v>
      </c>
      <c r="AI32" s="2"/>
    </row>
    <row r="33">
      <c r="A33" s="107">
        <v>46020.0</v>
      </c>
      <c r="B33" s="108">
        <f t="shared" si="10"/>
        <v>3364.223636</v>
      </c>
      <c r="C33" s="108">
        <f>SUMIFS(Orders!$H:$H, Orders!$Z:$Z, $A33, Orders!$M:$M, "Delivered")</f>
        <v>74012.92</v>
      </c>
      <c r="D33" s="109">
        <f>SUMIFS(Orders!$Q:$Q, Orders!$Z:$Z, $A33, Orders!$M:$M, "Delivered")</f>
        <v>25090</v>
      </c>
      <c r="E33" s="110">
        <f t="shared" si="11"/>
        <v>0.3389948674</v>
      </c>
      <c r="F33" s="111">
        <f t="shared" si="12"/>
        <v>71052.4032</v>
      </c>
      <c r="G33" s="111">
        <f t="shared" si="13"/>
        <v>2960.5168</v>
      </c>
      <c r="H33" s="111">
        <f t="shared" si="14"/>
        <v>48922.92</v>
      </c>
      <c r="I33" s="112">
        <f t="shared" si="15"/>
        <v>32.12304014</v>
      </c>
      <c r="J33" s="113">
        <v>23775.2</v>
      </c>
      <c r="K33" s="114"/>
      <c r="L33" s="115">
        <f t="shared" si="16"/>
        <v>8160.5168</v>
      </c>
      <c r="M33" s="116">
        <f>SUMIFS(Orders!$W:$W, Orders!$Z:$Z, $A33)</f>
        <v>8419.05</v>
      </c>
      <c r="N33" s="117">
        <f t="shared" si="17"/>
        <v>16728.67</v>
      </c>
      <c r="O33" s="118">
        <f t="shared" si="18"/>
        <v>84.61538462</v>
      </c>
      <c r="P33" s="113">
        <v>4.79937929</v>
      </c>
      <c r="Q33" s="119">
        <f t="shared" si="19"/>
        <v>720.4606061</v>
      </c>
      <c r="R33" s="120">
        <f t="shared" si="20"/>
        <v>914.4307692</v>
      </c>
      <c r="S33" s="109">
        <f>COUNTIFS(Orders!$Z:$Z, $A33)</f>
        <v>33</v>
      </c>
      <c r="T33" s="111">
        <f>COUNTIFS(Orders!$Z:$Z, $A33, Orders!$M:$M, "Cancelled")</f>
        <v>7</v>
      </c>
      <c r="U33" s="121">
        <f t="shared" si="21"/>
        <v>0.2121212121</v>
      </c>
      <c r="V33" s="122">
        <f>COUNTIFS(Orders!$Z:$Z, $A33, Orders!$M:$M, "pending")</f>
        <v>0</v>
      </c>
      <c r="W33" s="122">
        <f t="shared" si="22"/>
        <v>26</v>
      </c>
      <c r="X33" s="70">
        <f t="shared" si="23"/>
        <v>0.7878787879</v>
      </c>
      <c r="Y33" s="6">
        <f>COUNTIFS(Orders!$Z:$Z, $A33, Orders!$M:$M, "Delivered")</f>
        <v>22</v>
      </c>
      <c r="Z33" s="6">
        <f>COUNTIFS(Orders!$Z:$Z, $A33, Orders!$M:$M, "Return Received")</f>
        <v>4</v>
      </c>
      <c r="AA33" s="123">
        <f t="shared" si="24"/>
        <v>0</v>
      </c>
      <c r="AB33" s="6">
        <f t="array" ref="AB33">SUM(COUNTIFS(Orders!$Z:$Z, $A33, Orders!$M:$M, {"Returned","Returned to Shipper"}))</f>
        <v>0</v>
      </c>
      <c r="AC33" s="6">
        <f t="shared" si="25"/>
        <v>0</v>
      </c>
      <c r="AD33" s="2">
        <f>SUMIFS(Orders!$U:$U, Orders!$Z:$Z, $A33, Orders!$M:$M, "Delivered")</f>
        <v>74012.92</v>
      </c>
      <c r="AE33" s="124">
        <f t="shared" si="26"/>
        <v>0</v>
      </c>
      <c r="AF33" s="2" t="str">
        <f>IFERROR(__xludf.DUMMYFUNCTION("IFERROR(TEXTJOIN("", "", TRUE, FILTER(Orders!$B$2:$B$2517, (TEXT(Orders!$D$2:$D$2517,""d-mmm"")=TEXT($A33,""d-mmm"")) * (ABS(Orders!$H$2:$H$2517 - Orders!$U$2:$U$2517) &gt;= 1) * (Orders!$M$2:$M$2517=""Delivered""))), ""All Balanced"")"),"All Balanced")</f>
        <v>All Balanced</v>
      </c>
      <c r="AG33" s="2" t="str">
        <f>IFERROR(__xludf.DUMMYFUNCTION("IFERROR(TEXTJOIN("", "", TRUE, FILTER(Orders!$I$2:$I$3000, (Orders!$M$2:$M$3000=""Delivered"") * (Orders!$N$2:$N$3000&lt;&gt;""Paid"") * (Orders!$Z$2:$Z$3000=$A33))), """")"),"")</f>
        <v/>
      </c>
      <c r="AH33" s="2">
        <f t="shared" si="27"/>
        <v>0</v>
      </c>
      <c r="AI33" s="2"/>
    </row>
    <row r="34">
      <c r="A34" s="107">
        <v>46021.0</v>
      </c>
      <c r="B34" s="108">
        <f t="shared" si="10"/>
        <v>3424.054118</v>
      </c>
      <c r="C34" s="108">
        <f>SUMIFS(Orders!$H:$H, Orders!$Z:$Z, $A34, Orders!$M:$M, "Delivered")</f>
        <v>58208.92</v>
      </c>
      <c r="D34" s="109">
        <f>SUMIFS(Orders!$Q:$Q, Orders!$Z:$Z, $A34, Orders!$M:$M, "Delivered")</f>
        <v>22315</v>
      </c>
      <c r="E34" s="110">
        <f t="shared" si="11"/>
        <v>0.3833604884</v>
      </c>
      <c r="F34" s="111">
        <f t="shared" si="12"/>
        <v>55880.5632</v>
      </c>
      <c r="G34" s="111">
        <f t="shared" si="13"/>
        <v>2328.3568</v>
      </c>
      <c r="H34" s="111">
        <f t="shared" si="14"/>
        <v>35893.92</v>
      </c>
      <c r="I34" s="112">
        <f t="shared" si="15"/>
        <v>42.42193465</v>
      </c>
      <c r="J34" s="113">
        <v>24693.35</v>
      </c>
      <c r="K34" s="114"/>
      <c r="L34" s="115">
        <f t="shared" si="16"/>
        <v>7328.3568</v>
      </c>
      <c r="M34" s="116">
        <f>SUMIFS(Orders!$W:$W, Orders!$Z:$Z, $A34)</f>
        <v>7016.02</v>
      </c>
      <c r="N34" s="117">
        <f t="shared" si="17"/>
        <v>4184.55</v>
      </c>
      <c r="O34" s="118">
        <f t="shared" si="18"/>
        <v>68</v>
      </c>
      <c r="P34" s="113">
        <v>4.01135577</v>
      </c>
      <c r="Q34" s="119">
        <f t="shared" si="19"/>
        <v>949.7442308</v>
      </c>
      <c r="R34" s="120">
        <f t="shared" si="20"/>
        <v>987.734</v>
      </c>
      <c r="S34" s="109">
        <f>COUNTIFS(Orders!$Z:$Z, $A34)</f>
        <v>26</v>
      </c>
      <c r="T34" s="111">
        <f>COUNTIFS(Orders!$Z:$Z, $A34, Orders!$M:$M, "Cancelled")</f>
        <v>1</v>
      </c>
      <c r="U34" s="121">
        <f t="shared" si="21"/>
        <v>0.03846153846</v>
      </c>
      <c r="V34" s="122">
        <f>COUNTIFS(Orders!$Z:$Z, $A34, Orders!$M:$M, "pending")</f>
        <v>0</v>
      </c>
      <c r="W34" s="122">
        <f t="shared" si="22"/>
        <v>25</v>
      </c>
      <c r="X34" s="70">
        <f t="shared" si="23"/>
        <v>0.9615384615</v>
      </c>
      <c r="Y34" s="6">
        <f>COUNTIFS(Orders!$Z:$Z, $A34, Orders!$M:$M, "Delivered")</f>
        <v>17</v>
      </c>
      <c r="Z34" s="6">
        <f>COUNTIFS(Orders!$Z:$Z, $A34, Orders!$M:$M, "Return Received")</f>
        <v>8</v>
      </c>
      <c r="AA34" s="123">
        <f t="shared" si="24"/>
        <v>0</v>
      </c>
      <c r="AB34" s="6">
        <f t="array" ref="AB34">SUM(COUNTIFS(Orders!$Z:$Z, $A34, Orders!$M:$M, {"Returned","Returned to Shipper"}))</f>
        <v>0</v>
      </c>
      <c r="AC34" s="6">
        <f t="shared" si="25"/>
        <v>0</v>
      </c>
      <c r="AD34" s="2">
        <f>SUMIFS(Orders!$U:$U, Orders!$Z:$Z, $A34, Orders!$M:$M, "Delivered")</f>
        <v>58208.92</v>
      </c>
      <c r="AE34" s="124">
        <f t="shared" si="26"/>
        <v>0</v>
      </c>
      <c r="AF34" s="2" t="str">
        <f>IFERROR(__xludf.DUMMYFUNCTION("IFERROR(TEXTJOIN("", "", TRUE, FILTER(Orders!$B$2:$B$2517, (TEXT(Orders!$D$2:$D$2517,""d-mmm"")=TEXT($A34,""d-mmm"")) * (ABS(Orders!$H$2:$H$2517 - Orders!$U$2:$U$2517) &gt;= 1) * (Orders!$M$2:$M$2517=""Delivered""))), ""All Balanced"")"),"All Balanced")</f>
        <v>All Balanced</v>
      </c>
      <c r="AG34" s="2" t="str">
        <f>IFERROR(__xludf.DUMMYFUNCTION("IFERROR(TEXTJOIN("", "", TRUE, FILTER(Orders!$I$2:$I$3000, (Orders!$M$2:$M$3000=""Delivered"") * (Orders!$N$2:$N$3000&lt;&gt;""Paid"") * (Orders!$Z$2:$Z$3000=$A34))), """")"),"")</f>
        <v/>
      </c>
      <c r="AH34" s="2">
        <f t="shared" si="27"/>
        <v>0</v>
      </c>
      <c r="AI34" s="2"/>
    </row>
    <row r="35">
      <c r="A35" s="107">
        <v>46022.0</v>
      </c>
      <c r="B35" s="108">
        <f t="shared" si="10"/>
        <v>3508</v>
      </c>
      <c r="C35" s="108">
        <f>SUMIFS(Orders!$H:$H, Orders!$Z:$Z, $A35, Orders!$M:$M, "Delivered")</f>
        <v>49112</v>
      </c>
      <c r="D35" s="109">
        <f>SUMIFS(Orders!$Q:$Q, Orders!$Z:$Z, $A35, Orders!$M:$M, "Delivered")</f>
        <v>17370</v>
      </c>
      <c r="E35" s="110">
        <f t="shared" si="11"/>
        <v>0.3536813813</v>
      </c>
      <c r="F35" s="111">
        <f t="shared" si="12"/>
        <v>47147.52</v>
      </c>
      <c r="G35" s="111">
        <f t="shared" si="13"/>
        <v>1964.48</v>
      </c>
      <c r="H35" s="111">
        <f t="shared" si="14"/>
        <v>31742</v>
      </c>
      <c r="I35" s="112">
        <f t="shared" si="15"/>
        <v>47.96693273</v>
      </c>
      <c r="J35" s="113">
        <v>23557.52</v>
      </c>
      <c r="K35" s="114"/>
      <c r="L35" s="115">
        <f t="shared" si="16"/>
        <v>6364.48</v>
      </c>
      <c r="M35" s="116">
        <f>SUMIFS(Orders!$W:$W, Orders!$Z:$Z, $A35)</f>
        <v>6400.46</v>
      </c>
      <c r="N35" s="117">
        <f t="shared" si="17"/>
        <v>1784.02</v>
      </c>
      <c r="O35" s="118">
        <f t="shared" si="18"/>
        <v>63.63636364</v>
      </c>
      <c r="P35" s="113">
        <v>3.97316203</v>
      </c>
      <c r="Q35" s="119">
        <f t="shared" si="19"/>
        <v>872.5007407</v>
      </c>
      <c r="R35" s="120">
        <f t="shared" si="20"/>
        <v>1070.796364</v>
      </c>
      <c r="S35" s="109">
        <f>COUNTIFS(Orders!$Z:$Z, $A35)</f>
        <v>27</v>
      </c>
      <c r="T35" s="111">
        <f>COUNTIFS(Orders!$Z:$Z, $A35, Orders!$M:$M, "Cancelled")</f>
        <v>5</v>
      </c>
      <c r="U35" s="121">
        <f t="shared" si="21"/>
        <v>0.1851851852</v>
      </c>
      <c r="V35" s="122">
        <f>COUNTIFS(Orders!$Z:$Z, $A35, Orders!$M:$M, "pending")</f>
        <v>0</v>
      </c>
      <c r="W35" s="122">
        <f t="shared" si="22"/>
        <v>22</v>
      </c>
      <c r="X35" s="70">
        <f t="shared" si="23"/>
        <v>0.8148148148</v>
      </c>
      <c r="Y35" s="6">
        <f>COUNTIFS(Orders!$Z:$Z, $A35, Orders!$M:$M, "Delivered")</f>
        <v>14</v>
      </c>
      <c r="Z35" s="6">
        <f>COUNTIFS(Orders!$Z:$Z, $A35, Orders!$M:$M, "Return Received")</f>
        <v>8</v>
      </c>
      <c r="AA35" s="123">
        <f t="shared" si="24"/>
        <v>0</v>
      </c>
      <c r="AB35" s="6">
        <f t="array" ref="AB35">SUM(COUNTIFS(Orders!$Z:$Z, $A35, Orders!$M:$M, {"Returned","Returned to Shipper"}))</f>
        <v>0</v>
      </c>
      <c r="AC35" s="6">
        <f t="shared" si="25"/>
        <v>0</v>
      </c>
      <c r="AD35" s="2">
        <f>SUMIFS(Orders!$U:$U, Orders!$Z:$Z, $A35, Orders!$M:$M, "Delivered")</f>
        <v>49112</v>
      </c>
      <c r="AE35" s="124">
        <f t="shared" si="26"/>
        <v>0</v>
      </c>
      <c r="AF35" s="2" t="str">
        <f>IFERROR(__xludf.DUMMYFUNCTION("IFERROR(TEXTJOIN("", "", TRUE, FILTER(Orders!$B$2:$B$2517, (TEXT(Orders!$D$2:$D$2517,""d-mmm"")=TEXT($A35,""d-mmm"")) * (ABS(Orders!$H$2:$H$2517 - Orders!$U$2:$U$2517) &gt;= 1) * (Orders!$M$2:$M$2517=""Delivered""))), ""All Balanced"")"),"All Balanced")</f>
        <v>All Balanced</v>
      </c>
      <c r="AG35" s="2" t="str">
        <f>IFERROR(__xludf.DUMMYFUNCTION("IFERROR(TEXTJOIN("", "", TRUE, FILTER(Orders!$I$2:$I$3000, (Orders!$M$2:$M$3000=""Delivered"") * (Orders!$N$2:$N$3000&lt;&gt;""Paid"") * (Orders!$Z$2:$Z$3000=$A35))), """")"),"")</f>
        <v/>
      </c>
      <c r="AH35" s="2">
        <f t="shared" si="27"/>
        <v>0</v>
      </c>
      <c r="AI35" s="2"/>
    </row>
    <row r="36">
      <c r="A36" s="114"/>
      <c r="B36" s="126"/>
      <c r="C36" s="126"/>
      <c r="D36" s="114"/>
      <c r="E36" s="127"/>
      <c r="F36" s="128"/>
      <c r="G36" s="114"/>
      <c r="H36" s="114"/>
      <c r="I36" s="129"/>
      <c r="J36" s="130"/>
      <c r="K36" s="114"/>
      <c r="L36" s="126"/>
      <c r="M36" s="114"/>
      <c r="N36" s="131"/>
      <c r="O36" s="129"/>
      <c r="P36" s="129"/>
      <c r="Q36" s="114"/>
      <c r="R36" s="114"/>
      <c r="S36" s="114"/>
      <c r="T36" s="114"/>
      <c r="U36" s="121"/>
      <c r="V36" s="114"/>
      <c r="W36" s="114"/>
      <c r="X36" s="70"/>
    </row>
    <row r="37">
      <c r="A37" s="132" t="s">
        <v>419</v>
      </c>
      <c r="B37" s="104"/>
      <c r="C37" s="104" t="s">
        <v>399</v>
      </c>
      <c r="D37" s="101" t="s">
        <v>420</v>
      </c>
      <c r="E37" s="133"/>
      <c r="F37" s="134" t="s">
        <v>421</v>
      </c>
      <c r="G37" s="101" t="s">
        <v>422</v>
      </c>
      <c r="H37" s="114"/>
      <c r="I37" s="129"/>
      <c r="J37" s="130"/>
      <c r="K37" s="114"/>
      <c r="L37" s="126"/>
      <c r="M37" s="114"/>
      <c r="N37" s="131"/>
      <c r="O37" s="129"/>
      <c r="P37" s="129"/>
      <c r="Q37" s="114"/>
      <c r="R37" s="114"/>
      <c r="S37" s="114"/>
      <c r="T37" s="114"/>
      <c r="U37" s="121"/>
      <c r="V37" s="114"/>
      <c r="W37" s="114"/>
      <c r="X37" s="70"/>
    </row>
    <row r="38">
      <c r="A38" s="135">
        <v>45667.0</v>
      </c>
      <c r="B38" s="136"/>
      <c r="C38" s="136">
        <f>AVERAGE(O5:O14)</f>
        <v>72.32966887</v>
      </c>
      <c r="D38" s="137" t="str">
        <f>AVERAGE('DEC 25'!AF5:AF14)</f>
        <v>#REF!</v>
      </c>
      <c r="E38" s="121"/>
      <c r="F38" s="122">
        <f>AVERAGE(I5:I14)</f>
        <v>35.21427844</v>
      </c>
      <c r="G38" s="138">
        <f>SUM(N5:N14)</f>
        <v>157332.91</v>
      </c>
      <c r="H38" s="114"/>
      <c r="I38" s="129"/>
      <c r="J38" s="130"/>
      <c r="K38" s="114"/>
      <c r="L38" s="126"/>
      <c r="M38" s="114"/>
      <c r="N38" s="131"/>
      <c r="O38" s="129"/>
      <c r="P38" s="129"/>
      <c r="Q38" s="114"/>
      <c r="R38" s="114"/>
      <c r="S38" s="114"/>
      <c r="T38" s="114"/>
      <c r="U38" s="121"/>
      <c r="V38" s="114"/>
      <c r="W38" s="114"/>
      <c r="X38" s="70"/>
    </row>
    <row r="39">
      <c r="A39" s="135">
        <v>45981.0</v>
      </c>
      <c r="B39" s="136"/>
      <c r="C39" s="136">
        <f>AVERAGE(O15:O24)</f>
        <v>68.82724693</v>
      </c>
      <c r="D39" s="137" t="str">
        <f>AVERAGE('DEC 25'!AF15:AF24)</f>
        <v>#REF!</v>
      </c>
      <c r="E39" s="121"/>
      <c r="F39" s="122">
        <f>AVERAGE(I15:I24)</f>
        <v>35.74400926</v>
      </c>
      <c r="G39" s="138">
        <f>sum(N15:N24)</f>
        <v>118960.07</v>
      </c>
      <c r="H39" s="114"/>
      <c r="I39" s="129"/>
      <c r="J39" s="130"/>
      <c r="K39" s="114"/>
      <c r="L39" s="126"/>
      <c r="M39" s="114"/>
      <c r="N39" s="131"/>
      <c r="O39" s="129"/>
      <c r="P39" s="129"/>
      <c r="Q39" s="114"/>
      <c r="R39" s="114"/>
      <c r="S39" s="114"/>
      <c r="T39" s="114"/>
      <c r="U39" s="121"/>
      <c r="V39" s="114"/>
      <c r="W39" s="114"/>
      <c r="X39" s="70"/>
    </row>
    <row r="40">
      <c r="A40" s="132" t="s">
        <v>423</v>
      </c>
      <c r="B40" s="136"/>
      <c r="C40" s="136">
        <f>AVERAGE(O25:O35)</f>
        <v>71.28068732</v>
      </c>
      <c r="D40" s="137" t="str">
        <f>AVERAGE('DEC 25'!AF25:AF35)</f>
        <v>#REF!</v>
      </c>
      <c r="E40" s="121"/>
      <c r="F40" s="122">
        <f>AVERAGE(I25:I35)</f>
        <v>44.84670201</v>
      </c>
      <c r="G40" s="138">
        <f>sum(N25:N35)</f>
        <v>58755.05</v>
      </c>
      <c r="H40" s="114"/>
      <c r="I40" s="129"/>
      <c r="J40" s="130"/>
      <c r="K40" s="114"/>
      <c r="L40" s="126"/>
      <c r="M40" s="114"/>
      <c r="N40" s="131"/>
      <c r="O40" s="129"/>
      <c r="P40" s="129"/>
      <c r="Q40" s="114"/>
      <c r="R40" s="114"/>
      <c r="S40" s="114"/>
      <c r="T40" s="114"/>
      <c r="U40" s="121"/>
      <c r="V40" s="114"/>
      <c r="W40" s="114"/>
      <c r="X40" s="70"/>
    </row>
    <row r="41">
      <c r="A41" s="139"/>
      <c r="B41" s="136"/>
      <c r="C41" s="136">
        <f t="shared" ref="C41:D41" si="28">AVERAGE(AE26:AE36)</f>
        <v>0</v>
      </c>
      <c r="D41" s="137" t="str">
        <f t="shared" si="28"/>
        <v>#DIV/0!</v>
      </c>
      <c r="E41" s="121"/>
      <c r="F41" s="122">
        <f>sum(N26:N36)</f>
        <v>53444.21</v>
      </c>
      <c r="G41" s="138">
        <f>sum(G38:G40)</f>
        <v>335048.03</v>
      </c>
      <c r="H41" s="114"/>
      <c r="I41" s="114"/>
      <c r="J41" s="130"/>
      <c r="K41" s="114"/>
      <c r="L41" s="126"/>
      <c r="M41" s="114"/>
      <c r="N41" s="131"/>
      <c r="O41" s="129"/>
      <c r="P41" s="129"/>
      <c r="Q41" s="114"/>
      <c r="R41" s="114"/>
      <c r="S41" s="114"/>
      <c r="T41" s="114"/>
      <c r="U41" s="121"/>
      <c r="V41" s="114"/>
      <c r="W41" s="114"/>
      <c r="X41" s="70"/>
    </row>
    <row r="42">
      <c r="B42" s="140"/>
      <c r="C42" s="140"/>
      <c r="E42" s="70"/>
      <c r="L42" s="140"/>
      <c r="N42" s="141"/>
      <c r="U42" s="121"/>
      <c r="X42" s="70"/>
    </row>
    <row r="43">
      <c r="A43" s="57"/>
      <c r="B43" s="58"/>
      <c r="C43" s="58" t="s">
        <v>381</v>
      </c>
      <c r="D43" s="59" t="s">
        <v>381</v>
      </c>
      <c r="E43" s="60"/>
      <c r="F43" s="61" t="s">
        <v>382</v>
      </c>
      <c r="G43" s="62" t="s">
        <v>382</v>
      </c>
      <c r="H43" s="63" t="s">
        <v>382</v>
      </c>
      <c r="I43" s="64" t="s">
        <v>382</v>
      </c>
      <c r="J43" s="58" t="s">
        <v>381</v>
      </c>
      <c r="K43" s="64" t="s">
        <v>382</v>
      </c>
      <c r="L43" s="63"/>
      <c r="M43" s="65" t="s">
        <v>382</v>
      </c>
      <c r="N43" s="66" t="s">
        <v>382</v>
      </c>
      <c r="O43" s="64" t="s">
        <v>382</v>
      </c>
      <c r="P43" s="67" t="s">
        <v>381</v>
      </c>
      <c r="Q43" s="63" t="s">
        <v>382</v>
      </c>
      <c r="R43" s="63" t="s">
        <v>382</v>
      </c>
      <c r="S43" s="58" t="s">
        <v>381</v>
      </c>
      <c r="T43" s="63" t="s">
        <v>382</v>
      </c>
      <c r="U43" s="121"/>
      <c r="V43" s="69"/>
      <c r="W43" s="58" t="s">
        <v>381</v>
      </c>
      <c r="X43" s="70"/>
    </row>
    <row r="44">
      <c r="A44" s="71" t="s">
        <v>383</v>
      </c>
      <c r="B44" s="72"/>
      <c r="C44" s="72"/>
      <c r="D44" s="73"/>
      <c r="E44" s="74"/>
      <c r="F44" s="75"/>
      <c r="G44" s="76">
        <f>AVERAGE(G47:G77)</f>
        <v>2299.5852</v>
      </c>
      <c r="H44" s="72"/>
      <c r="I44" s="77"/>
      <c r="J44" s="76">
        <f>AVERAGE(J47:J77)</f>
        <v>20189.68871</v>
      </c>
      <c r="K44" s="77"/>
      <c r="L44" s="72"/>
      <c r="M44" s="73"/>
      <c r="N44" s="78">
        <f t="shared" ref="N44:O44" si="29">AVERAGE(N47:N77)</f>
        <v>9062.656516</v>
      </c>
      <c r="O44" s="79">
        <f t="shared" si="29"/>
        <v>67.96506502</v>
      </c>
      <c r="P44" s="80"/>
      <c r="Q44" s="81"/>
      <c r="R44" s="81"/>
      <c r="S44" s="76">
        <f t="shared" ref="S44:T44" si="30">AVERAGE(S47:S77)</f>
        <v>29.12903226</v>
      </c>
      <c r="T44" s="76">
        <f t="shared" si="30"/>
        <v>4.193548387</v>
      </c>
      <c r="U44" s="121"/>
      <c r="V44" s="72"/>
      <c r="W44" s="76">
        <f>AVERAGE(W47:W77)</f>
        <v>24.93548387</v>
      </c>
      <c r="X44" s="70"/>
    </row>
    <row r="45">
      <c r="A45" s="71" t="s">
        <v>384</v>
      </c>
      <c r="B45" s="82">
        <f>AVERAGE(B47:B77)</f>
        <v>3391.055099</v>
      </c>
      <c r="C45" s="82">
        <f>sum(C47:C77)</f>
        <v>1782178.53</v>
      </c>
      <c r="D45" s="83">
        <f>SUM(D47:D77)</f>
        <v>652055</v>
      </c>
      <c r="E45" s="84">
        <f>AVERAGE(E47:E77)</f>
        <v>0.3627280935</v>
      </c>
      <c r="F45" s="85">
        <f t="shared" ref="F45:G45" si="31">SUM(F47:F77)</f>
        <v>1710891.389</v>
      </c>
      <c r="G45" s="76">
        <f t="shared" si="31"/>
        <v>71287.1412</v>
      </c>
      <c r="H45" s="76">
        <f>sum(F47:F77)</f>
        <v>1710891.389</v>
      </c>
      <c r="I45" s="86">
        <f>AVERAGE(I47:I77)</f>
        <v>39.30176093</v>
      </c>
      <c r="J45" s="76">
        <f t="shared" ref="J45:K45" si="32">sum(J47:J77)</f>
        <v>625880.35</v>
      </c>
      <c r="K45" s="80">
        <f t="shared" si="32"/>
        <v>0</v>
      </c>
      <c r="L45" s="76">
        <f>SUM(L47:L77)</f>
        <v>225887.1412</v>
      </c>
      <c r="M45" s="87">
        <f t="shared" ref="M45:N45" si="33">sum(M47:M77)</f>
        <v>223300.828</v>
      </c>
      <c r="N45" s="78">
        <f t="shared" si="33"/>
        <v>280942.352</v>
      </c>
      <c r="O45" s="79">
        <f t="shared" ref="O45:R45" si="34">AVERAGE(O47:O77)</f>
        <v>67.96506502</v>
      </c>
      <c r="P45" s="86">
        <f t="shared" si="34"/>
        <v>4.784096159</v>
      </c>
      <c r="Q45" s="82">
        <f t="shared" si="34"/>
        <v>741.2725588</v>
      </c>
      <c r="R45" s="82">
        <f t="shared" si="34"/>
        <v>868.3417489</v>
      </c>
      <c r="S45" s="76">
        <f t="shared" ref="S45:T45" si="35">sum(S47:S77)</f>
        <v>903</v>
      </c>
      <c r="T45" s="76">
        <f t="shared" si="35"/>
        <v>130</v>
      </c>
      <c r="U45" s="121">
        <f>AVERAGE(U47:U77)</f>
        <v>0.1433502283</v>
      </c>
      <c r="V45" s="82">
        <f t="shared" ref="V45:W45" si="36">sum(V47:V77)</f>
        <v>1</v>
      </c>
      <c r="W45" s="76">
        <f t="shared" si="36"/>
        <v>773</v>
      </c>
      <c r="X45" s="89">
        <f>AVERAGE(X47:X77)</f>
        <v>0.8566497717</v>
      </c>
      <c r="Y45" s="90">
        <f t="shared" ref="Y45:Z45" si="37">sum(Y47:Y77)</f>
        <v>517</v>
      </c>
      <c r="Z45" s="90">
        <f t="shared" si="37"/>
        <v>255</v>
      </c>
      <c r="AA45" s="91">
        <f>SUM(AA47:AA77)</f>
        <v>0</v>
      </c>
      <c r="AB45" s="90">
        <f>sum(AB47:AB77)</f>
        <v>0</v>
      </c>
      <c r="AC45" s="90"/>
      <c r="AD45" s="90">
        <f>SUM(AD47:AD77)</f>
        <v>1773480.53</v>
      </c>
      <c r="AE45" s="92">
        <f>sum(AE47:AE77)</f>
        <v>8698</v>
      </c>
    </row>
    <row r="46">
      <c r="A46" s="93" t="s">
        <v>385</v>
      </c>
      <c r="B46" s="94" t="s">
        <v>386</v>
      </c>
      <c r="C46" s="94" t="s">
        <v>387</v>
      </c>
      <c r="D46" s="95" t="s">
        <v>388</v>
      </c>
      <c r="E46" s="142"/>
      <c r="F46" s="96" t="s">
        <v>390</v>
      </c>
      <c r="G46" s="97" t="s">
        <v>391</v>
      </c>
      <c r="H46" s="97" t="s">
        <v>392</v>
      </c>
      <c r="I46" s="143" t="s">
        <v>424</v>
      </c>
      <c r="J46" s="97" t="s">
        <v>394</v>
      </c>
      <c r="K46" s="99" t="s">
        <v>395</v>
      </c>
      <c r="L46" s="94" t="s">
        <v>396</v>
      </c>
      <c r="M46" s="95" t="s">
        <v>397</v>
      </c>
      <c r="N46" s="100" t="s">
        <v>398</v>
      </c>
      <c r="O46" s="101" t="s">
        <v>399</v>
      </c>
      <c r="P46" s="102" t="s">
        <v>400</v>
      </c>
      <c r="Q46" s="103" t="s">
        <v>401</v>
      </c>
      <c r="R46" s="103" t="s">
        <v>402</v>
      </c>
      <c r="S46" s="104" t="s">
        <v>403</v>
      </c>
      <c r="T46" s="104" t="s">
        <v>404</v>
      </c>
      <c r="U46" s="144" t="s">
        <v>405</v>
      </c>
      <c r="V46" s="106" t="s">
        <v>406</v>
      </c>
      <c r="W46" s="106" t="s">
        <v>407</v>
      </c>
      <c r="X46" s="12" t="s">
        <v>408</v>
      </c>
      <c r="Y46" s="12" t="s">
        <v>409</v>
      </c>
      <c r="Z46" s="12" t="s">
        <v>410</v>
      </c>
      <c r="AA46" s="12" t="s">
        <v>411</v>
      </c>
      <c r="AB46" s="12" t="s">
        <v>412</v>
      </c>
      <c r="AC46" s="12" t="s">
        <v>413</v>
      </c>
      <c r="AD46" s="12" t="s">
        <v>414</v>
      </c>
      <c r="AE46" s="12" t="s">
        <v>415</v>
      </c>
      <c r="AF46" s="12" t="s">
        <v>416</v>
      </c>
      <c r="AG46" s="12" t="s">
        <v>417</v>
      </c>
      <c r="AH46" s="12" t="s">
        <v>418</v>
      </c>
    </row>
    <row r="47">
      <c r="A47" s="145">
        <v>46023.0</v>
      </c>
      <c r="B47" s="108">
        <f t="shared" ref="B47:B77" si="38">C47/Y47</f>
        <v>3174.591111</v>
      </c>
      <c r="C47" s="108">
        <f>SUMIFS(Orders!$H:$H, Orders!$Z:$Z, $A47, Orders!$M:$M, "Delivered")</f>
        <v>85713.96</v>
      </c>
      <c r="D47" s="109">
        <f>SUMIFS(Orders!$Q:$Q, Orders!$Z:$Z, $A47, Orders!$M:$M, "Delivered")</f>
        <v>29185</v>
      </c>
      <c r="E47" s="110">
        <f t="shared" ref="E47:E77" si="39">D47/C47</f>
        <v>0.3404929605</v>
      </c>
      <c r="F47" s="111">
        <f t="shared" ref="F47:F77" si="40">C47-(C47*4/100)</f>
        <v>82285.4016</v>
      </c>
      <c r="G47" s="111">
        <f t="shared" ref="G47:G77" si="41">C47-F47</f>
        <v>3428.5584</v>
      </c>
      <c r="H47" s="111">
        <f t="shared" ref="H47:H77" si="42">C47-D47</f>
        <v>56528.96</v>
      </c>
      <c r="I47" s="112">
        <f t="shared" ref="I47:I77" si="43">IFERROR(J47/C47, 0)*100</f>
        <v>26.8254436</v>
      </c>
      <c r="J47" s="113">
        <v>22993.15</v>
      </c>
      <c r="K47" s="114"/>
      <c r="L47" s="115">
        <f t="shared" ref="L47:L77" si="44">(200*W47)+C47*4%</f>
        <v>11228.5584</v>
      </c>
      <c r="M47" s="116">
        <f>SUMIFS(Orders!$W:$W, Orders!$Z:$Z, $A47)</f>
        <v>11465.11</v>
      </c>
      <c r="N47" s="117">
        <f t="shared" ref="N47:N77" si="45">H47-J47-K47-M47</f>
        <v>22070.7</v>
      </c>
      <c r="O47" s="118">
        <f t="shared" ref="O47:O77" si="46">Y47/W47*100</f>
        <v>69.23076923</v>
      </c>
      <c r="P47" s="113">
        <v>6.02845544</v>
      </c>
      <c r="Q47" s="119">
        <f t="shared" ref="Q47:Q77" si="47">J47/S47</f>
        <v>547.4559524</v>
      </c>
      <c r="R47" s="120">
        <f t="shared" ref="R47:R77" si="48">J47/W47</f>
        <v>589.5679487</v>
      </c>
      <c r="S47" s="109">
        <f>COUNTIFS(Orders!$Z:$Z, $A47)</f>
        <v>42</v>
      </c>
      <c r="T47" s="111">
        <f>COUNTIFS(Orders!$Z:$Z, $A47, Orders!$M:$M, "Cancelled")</f>
        <v>3</v>
      </c>
      <c r="U47" s="121">
        <f t="shared" ref="U47:U77" si="49">T47/S47</f>
        <v>0.07142857143</v>
      </c>
      <c r="V47" s="122">
        <f>COUNTIFS(Orders!$Z:$Z, $A47, Orders!$M:$M, "pending")</f>
        <v>0</v>
      </c>
      <c r="W47" s="122">
        <f t="shared" ref="W47:W77" si="50">S47-T47</f>
        <v>39</v>
      </c>
      <c r="X47" s="70">
        <f t="shared" ref="X47:X77" si="51">W47/S47</f>
        <v>0.9285714286</v>
      </c>
      <c r="Y47" s="6">
        <f>COUNTIFS(Orders!$Z:$Z, $A47, Orders!$M:$M, "Delivered")</f>
        <v>27</v>
      </c>
      <c r="Z47" s="6">
        <f>COUNTIFS(Orders!$Z:$Z, $A47, Orders!$M:$M, "Return Received")</f>
        <v>12</v>
      </c>
      <c r="AA47" s="123">
        <f t="shared" ref="AA47:AA77" si="52">W47-Y47-Z47-V47</f>
        <v>0</v>
      </c>
      <c r="AB47" s="6">
        <f>COUNTIFS(Orders!$Z:$Z, $A47, Orders!$M:$M, "Returned") + COUNTIFS(Orders!$Z:$Z, $A47, Orders!$M:$M, "Returned to Shipper")</f>
        <v>0</v>
      </c>
      <c r="AC47" s="6">
        <f t="shared" ref="AC47:AC77" si="53">COUNTIFS(Orders!$Z:$Z, $A47, Orders!$I:$I, "", Orders!$M:$M, "&lt;&gt;Cancelled")</f>
        <v>0</v>
      </c>
      <c r="AD47" s="2">
        <f>SUMIFS(Orders!$U:$U, Orders!$Z:$Z, $A47, Orders!$M:$M, "Delivered")</f>
        <v>85713.96</v>
      </c>
      <c r="AE47" s="124">
        <f t="shared" ref="AE47:AE77" si="54">C47-AD47</f>
        <v>0</v>
      </c>
      <c r="AF47" s="2" t="str">
        <f>IFERROR(__xludf.DUMMYFUNCTION("IFERROR(TEXTJOIN("", "", TRUE, FILTER(Orders!$B$2:$B$2517, (TEXT(Orders!$D$2:$D$2517,""d-mmm"")=TEXT($A47,""d-mmm"")) * (ABS(Orders!$H$2:$H$2517 - Orders!$U$2:$U$2517) &gt;= 1) * (Orders!$M$2:$M$2517=""Delivered""))), ""All Balanced"")"),"All Balanced")</f>
        <v>All Balanced</v>
      </c>
      <c r="AG47" s="2" t="str">
        <f>IFERROR(__xludf.DUMMYFUNCTION("IFERROR(TEXTJOIN("", "", TRUE, FILTER(Orders!$I$2:$I$2517, (Orders!$M$2:$M$2517=""Delivered"") * (Orders!$N$2:$N$2517&lt;&gt;""Paid"") * (Orders!$Z$2:$Z$2517=$A47))), """")"),"")</f>
        <v/>
      </c>
      <c r="AH47" s="2">
        <f t="shared" ref="AH47:AH77" si="55">COUNTIFS(Orders!$M:$M, "Delivered", Orders!$N:$N, "&lt;&gt;Paid", Orders!$Z:$Z, $A47)</f>
        <v>0</v>
      </c>
    </row>
    <row r="48">
      <c r="A48" s="145">
        <v>46024.0</v>
      </c>
      <c r="B48" s="108">
        <f t="shared" si="38"/>
        <v>4227.425714</v>
      </c>
      <c r="C48" s="108">
        <f>SUMIFS(Orders!$H:$H, Orders!$Z:$Z, $A48, Orders!$M:$M, "Delivered")</f>
        <v>59183.96</v>
      </c>
      <c r="D48" s="109">
        <f>SUMIFS(Orders!$Q:$Q, Orders!$Z:$Z, $A48, Orders!$M:$M, "Delivered")</f>
        <v>23510</v>
      </c>
      <c r="E48" s="110">
        <f t="shared" si="39"/>
        <v>0.3972360079</v>
      </c>
      <c r="F48" s="111">
        <f t="shared" si="40"/>
        <v>56816.6016</v>
      </c>
      <c r="G48" s="111">
        <f t="shared" si="41"/>
        <v>2367.3584</v>
      </c>
      <c r="H48" s="111">
        <f t="shared" si="42"/>
        <v>35673.96</v>
      </c>
      <c r="I48" s="112">
        <f t="shared" si="43"/>
        <v>41.03322927</v>
      </c>
      <c r="J48" s="113">
        <v>24285.09</v>
      </c>
      <c r="K48" s="114"/>
      <c r="L48" s="115">
        <f t="shared" si="44"/>
        <v>6967.3584</v>
      </c>
      <c r="M48" s="116">
        <f>SUMIFS(Orders!$W:$W, Orders!$Z:$Z, $A48)</f>
        <v>6757.1</v>
      </c>
      <c r="N48" s="117">
        <f t="shared" si="45"/>
        <v>4631.77</v>
      </c>
      <c r="O48" s="118">
        <f t="shared" si="46"/>
        <v>60.86956522</v>
      </c>
      <c r="P48" s="113">
        <v>3.91219417</v>
      </c>
      <c r="Q48" s="119">
        <f t="shared" si="47"/>
        <v>934.0419231</v>
      </c>
      <c r="R48" s="120">
        <f t="shared" si="48"/>
        <v>1055.873478</v>
      </c>
      <c r="S48" s="109">
        <f>COUNTIFS(Orders!$Z:$Z, $A48)</f>
        <v>26</v>
      </c>
      <c r="T48" s="111">
        <f>COUNTIFS(Orders!$Z:$Z, $A48, Orders!$M:$M, "Cancelled")</f>
        <v>3</v>
      </c>
      <c r="U48" s="121">
        <f t="shared" si="49"/>
        <v>0.1153846154</v>
      </c>
      <c r="V48" s="122">
        <f>COUNTIFS(Orders!$Z:$Z, $A48, Orders!$M:$M, "pending")</f>
        <v>0</v>
      </c>
      <c r="W48" s="122">
        <f t="shared" si="50"/>
        <v>23</v>
      </c>
      <c r="X48" s="70">
        <f t="shared" si="51"/>
        <v>0.8846153846</v>
      </c>
      <c r="Y48" s="6">
        <f>COUNTIFS(Orders!$Z:$Z, $A48, Orders!$M:$M, "Delivered")</f>
        <v>14</v>
      </c>
      <c r="Z48" s="6">
        <f>COUNTIFS(Orders!$Z:$Z, $A48, Orders!$M:$M, "Return Received")</f>
        <v>9</v>
      </c>
      <c r="AA48" s="123">
        <f t="shared" si="52"/>
        <v>0</v>
      </c>
      <c r="AB48" s="6">
        <f>COUNTIFS(Orders!$Z:$Z, $A48, Orders!$M:$M, "Returned") + COUNTIFS(Orders!$Z:$Z, $A48, Orders!$M:$M, "Returned to Shipper")</f>
        <v>0</v>
      </c>
      <c r="AC48" s="6">
        <f t="shared" si="53"/>
        <v>0</v>
      </c>
      <c r="AD48" s="2">
        <f>SUMIFS(Orders!$U:$U, Orders!$Z:$Z, $A48, Orders!$M:$M, "Delivered")</f>
        <v>59183.96</v>
      </c>
      <c r="AE48" s="124">
        <f t="shared" si="54"/>
        <v>0</v>
      </c>
      <c r="AF48" s="2" t="str">
        <f>IFERROR(__xludf.DUMMYFUNCTION("IFERROR(TEXTJOIN("", "", TRUE, FILTER(Orders!$B$2:$B$2517, (TEXT(Orders!$D$2:$D$2517,""d-mmm"")=TEXT($A48,""d-mmm"")) * (ABS(Orders!$H$2:$H$2517 - Orders!$U$2:$U$2517) &gt;= 1) * (Orders!$M$2:$M$2517=""Delivered""))), ""All Balanced"")"),"All Balanced")</f>
        <v>All Balanced</v>
      </c>
      <c r="AG48" s="2" t="str">
        <f>IFERROR(__xludf.DUMMYFUNCTION("IFERROR(TEXTJOIN("", "", TRUE, FILTER(Orders!$I$2:$I$3000, (Orders!$M$2:$M$3000=""Delivered"") * (Orders!$N$2:$N$3000&lt;&gt;""Paid"") * (Orders!$Z$2:$Z$3000=$A48))), """")"),"")</f>
        <v/>
      </c>
      <c r="AH48" s="2">
        <f t="shared" si="55"/>
        <v>0</v>
      </c>
    </row>
    <row r="49">
      <c r="A49" s="145">
        <v>46025.0</v>
      </c>
      <c r="B49" s="108">
        <f t="shared" si="38"/>
        <v>4186.801481</v>
      </c>
      <c r="C49" s="108">
        <f>SUMIFS(Orders!$H:$H, Orders!$Z:$Z, $A49, Orders!$M:$M, "Delivered")</f>
        <v>113043.64</v>
      </c>
      <c r="D49" s="109">
        <f>SUMIFS(Orders!$Q:$Q, Orders!$Z:$Z, $A49, Orders!$M:$M, "Delivered")</f>
        <v>41905</v>
      </c>
      <c r="E49" s="110">
        <f t="shared" si="39"/>
        <v>0.3706975465</v>
      </c>
      <c r="F49" s="111">
        <f t="shared" si="40"/>
        <v>108521.8944</v>
      </c>
      <c r="G49" s="111">
        <f t="shared" si="41"/>
        <v>4521.7456</v>
      </c>
      <c r="H49" s="111">
        <f t="shared" si="42"/>
        <v>71138.64</v>
      </c>
      <c r="I49" s="112">
        <f t="shared" si="43"/>
        <v>20.49134299</v>
      </c>
      <c r="J49" s="113">
        <v>23164.16</v>
      </c>
      <c r="K49" s="114"/>
      <c r="L49" s="115">
        <f t="shared" si="44"/>
        <v>10921.7456</v>
      </c>
      <c r="M49" s="116">
        <f>SUMIFS(Orders!$W:$W, Orders!$Z:$Z, $A49)</f>
        <v>10397.03</v>
      </c>
      <c r="N49" s="117">
        <f t="shared" si="45"/>
        <v>37577.45</v>
      </c>
      <c r="O49" s="118">
        <f t="shared" si="46"/>
        <v>84.375</v>
      </c>
      <c r="P49" s="113">
        <v>6.81101113</v>
      </c>
      <c r="Q49" s="119">
        <f t="shared" si="47"/>
        <v>609.5831579</v>
      </c>
      <c r="R49" s="120">
        <f t="shared" si="48"/>
        <v>723.88</v>
      </c>
      <c r="S49" s="109">
        <f>COUNTIFS(Orders!$Z:$Z, $A49)</f>
        <v>38</v>
      </c>
      <c r="T49" s="111">
        <f>COUNTIFS(Orders!$Z:$Z, $A49, Orders!$M:$M, "Cancelled")</f>
        <v>6</v>
      </c>
      <c r="U49" s="121">
        <f t="shared" si="49"/>
        <v>0.1578947368</v>
      </c>
      <c r="V49" s="122">
        <f>COUNTIFS(Orders!$Z:$Z, $A49, Orders!$M:$M, "pending")</f>
        <v>0</v>
      </c>
      <c r="W49" s="122">
        <f t="shared" si="50"/>
        <v>32</v>
      </c>
      <c r="X49" s="70">
        <f t="shared" si="51"/>
        <v>0.8421052632</v>
      </c>
      <c r="Y49" s="6">
        <f>COUNTIFS(Orders!$Z:$Z, $A49, Orders!$M:$M, "Delivered")</f>
        <v>27</v>
      </c>
      <c r="Z49" s="6">
        <f>COUNTIFS(Orders!$Z:$Z, $A49, Orders!$M:$M, "Return Received")</f>
        <v>5</v>
      </c>
      <c r="AA49" s="123">
        <f t="shared" si="52"/>
        <v>0</v>
      </c>
      <c r="AB49" s="6">
        <f>COUNTIFS(Orders!$Z:$Z, $A49, Orders!$M:$M, "Returned") + COUNTIFS(Orders!$Z:$Z, $A49, Orders!$M:$M, "Returned to Shipper")</f>
        <v>0</v>
      </c>
      <c r="AC49" s="6">
        <f t="shared" si="53"/>
        <v>0</v>
      </c>
      <c r="AD49" s="2">
        <f>SUMIFS(Orders!$U:$U, Orders!$Z:$Z, $A49, Orders!$M:$M, "Delivered")</f>
        <v>113043.64</v>
      </c>
      <c r="AE49" s="124">
        <f t="shared" si="54"/>
        <v>0</v>
      </c>
      <c r="AF49" s="2" t="str">
        <f>IFERROR(__xludf.DUMMYFUNCTION("IFERROR(TEXTJOIN("", "", TRUE, FILTER(Orders!$B$2:$B$2517, (TEXT(Orders!$D$2:$D$2517,""d-mmm"")=TEXT($A49,""d-mmm"")) * (ABS(Orders!$H$2:$H$2517 - Orders!$U$2:$U$2517) &gt;= 1) * (Orders!$M$2:$M$2517=""Delivered""))), ""All Balanced"")"),"All Balanced")</f>
        <v>All Balanced</v>
      </c>
      <c r="AG49" s="2" t="str">
        <f>IFERROR(__xludf.DUMMYFUNCTION("IFERROR(TEXTJOIN("", "", TRUE, FILTER(Orders!$I$2:$I$3000, (Orders!$M$2:$M$3000=""Delivered"") * (Orders!$N$2:$N$3000&lt;&gt;""Paid"") * (Orders!$Z$2:$Z$3000=$A49))), """")"),"")</f>
        <v/>
      </c>
      <c r="AH49" s="2">
        <f t="shared" si="55"/>
        <v>0</v>
      </c>
    </row>
    <row r="50">
      <c r="A50" s="145">
        <v>46026.0</v>
      </c>
      <c r="B50" s="108">
        <f t="shared" si="38"/>
        <v>3021.9375</v>
      </c>
      <c r="C50" s="108">
        <f>SUMIFS(Orders!$H:$H, Orders!$Z:$Z, $A50, Orders!$M:$M, "Delivered")</f>
        <v>48351</v>
      </c>
      <c r="D50" s="109">
        <f>SUMIFS(Orders!$Q:$Q, Orders!$Z:$Z, $A50, Orders!$M:$M, "Delivered")</f>
        <v>16010</v>
      </c>
      <c r="E50" s="110">
        <f t="shared" si="39"/>
        <v>0.3311203491</v>
      </c>
      <c r="F50" s="111">
        <f t="shared" si="40"/>
        <v>46416.96</v>
      </c>
      <c r="G50" s="111">
        <f t="shared" si="41"/>
        <v>1934.04</v>
      </c>
      <c r="H50" s="111">
        <f t="shared" si="42"/>
        <v>32341</v>
      </c>
      <c r="I50" s="112">
        <f t="shared" si="43"/>
        <v>50.72228082</v>
      </c>
      <c r="J50" s="113">
        <v>24524.73</v>
      </c>
      <c r="K50" s="114"/>
      <c r="L50" s="115">
        <f t="shared" si="44"/>
        <v>6534.04</v>
      </c>
      <c r="M50" s="116">
        <f>SUMIFS(Orders!$W:$W, Orders!$Z:$Z, $A50)</f>
        <v>6187.93</v>
      </c>
      <c r="N50" s="117">
        <f t="shared" si="45"/>
        <v>1628.34</v>
      </c>
      <c r="O50" s="118">
        <f t="shared" si="46"/>
        <v>69.56521739</v>
      </c>
      <c r="P50" s="113">
        <v>3.40185179</v>
      </c>
      <c r="Q50" s="119">
        <f t="shared" si="47"/>
        <v>908.3233333</v>
      </c>
      <c r="R50" s="120">
        <f t="shared" si="48"/>
        <v>1066.292609</v>
      </c>
      <c r="S50" s="109">
        <f>COUNTIFS(Orders!$Z:$Z, $A50)</f>
        <v>27</v>
      </c>
      <c r="T50" s="111">
        <f>COUNTIFS(Orders!$Z:$Z, $A50, Orders!$M:$M, "Cancelled")</f>
        <v>4</v>
      </c>
      <c r="U50" s="121">
        <f t="shared" si="49"/>
        <v>0.1481481481</v>
      </c>
      <c r="V50" s="122">
        <f>COUNTIFS(Orders!$Z:$Z, $A50, Orders!$M:$M, "pending")</f>
        <v>0</v>
      </c>
      <c r="W50" s="122">
        <f t="shared" si="50"/>
        <v>23</v>
      </c>
      <c r="X50" s="70">
        <f t="shared" si="51"/>
        <v>0.8518518519</v>
      </c>
      <c r="Y50" s="6">
        <f>COUNTIFS(Orders!$Z:$Z, $A50, Orders!$M:$M, "Delivered")</f>
        <v>16</v>
      </c>
      <c r="Z50" s="6">
        <f>COUNTIFS(Orders!$Z:$Z, $A50, Orders!$M:$M, "Return Received")</f>
        <v>7</v>
      </c>
      <c r="AA50" s="123">
        <f t="shared" si="52"/>
        <v>0</v>
      </c>
      <c r="AB50" s="6">
        <f>COUNTIFS(Orders!$Z:$Z, $A50, Orders!$M:$M, "Returned") + COUNTIFS(Orders!$Z:$Z, $A50, Orders!$M:$M, "Returned to Shipper")</f>
        <v>0</v>
      </c>
      <c r="AC50" s="6">
        <f t="shared" si="53"/>
        <v>0</v>
      </c>
      <c r="AD50" s="2">
        <f>SUMIFS(Orders!$U:$U, Orders!$Z:$Z, $A50, Orders!$M:$M, "Delivered")</f>
        <v>48351</v>
      </c>
      <c r="AE50" s="124">
        <f t="shared" si="54"/>
        <v>0</v>
      </c>
      <c r="AF50" s="2" t="str">
        <f>IFERROR(__xludf.DUMMYFUNCTION("IFERROR(TEXTJOIN("", "", TRUE, FILTER(Orders!$B$2:$B$2517, (TEXT(Orders!$D$2:$D$2517,""d-mmm"")=TEXT($A50,""d-mmm"")) * (ABS(Orders!$H$2:$H$2517 - Orders!$U$2:$U$2517) &gt;= 1) * (Orders!$M$2:$M$2517=""Delivered""))), ""All Balanced"")"),"All Balanced")</f>
        <v>All Balanced</v>
      </c>
      <c r="AG50" s="2" t="str">
        <f>IFERROR(__xludf.DUMMYFUNCTION("IFERROR(TEXTJOIN("", "", TRUE, FILTER(Orders!$I$2:$I$3000, (Orders!$M$2:$M$3000=""Delivered"") * (Orders!$N$2:$N$3000&lt;&gt;""Paid"") * (Orders!$Z$2:$Z$3000=$A50))), """")"),"")</f>
        <v/>
      </c>
      <c r="AH50" s="2">
        <f t="shared" si="55"/>
        <v>0</v>
      </c>
    </row>
    <row r="51">
      <c r="A51" s="145">
        <v>46027.0</v>
      </c>
      <c r="B51" s="108">
        <f t="shared" si="38"/>
        <v>3502.414737</v>
      </c>
      <c r="C51" s="108">
        <f>SUMIFS(Orders!$H:$H, Orders!$Z:$Z, $A51, Orders!$M:$M, "Delivered")</f>
        <v>66545.88</v>
      </c>
      <c r="D51" s="109">
        <f>SUMIFS(Orders!$Q:$Q, Orders!$Z:$Z, $A51, Orders!$M:$M, "Delivered")</f>
        <v>23475</v>
      </c>
      <c r="E51" s="110">
        <f t="shared" si="39"/>
        <v>0.3527641381</v>
      </c>
      <c r="F51" s="111">
        <f t="shared" si="40"/>
        <v>63884.0448</v>
      </c>
      <c r="G51" s="111">
        <f t="shared" si="41"/>
        <v>2661.8352</v>
      </c>
      <c r="H51" s="111">
        <f t="shared" si="42"/>
        <v>43070.88</v>
      </c>
      <c r="I51" s="112">
        <f t="shared" si="43"/>
        <v>31.31670961</v>
      </c>
      <c r="J51" s="113">
        <v>20839.98</v>
      </c>
      <c r="K51" s="114"/>
      <c r="L51" s="115">
        <f t="shared" si="44"/>
        <v>7661.8352</v>
      </c>
      <c r="M51" s="116">
        <f>SUMIFS(Orders!$W:$W, Orders!$Z:$Z, $A51)</f>
        <v>7781.71</v>
      </c>
      <c r="N51" s="117">
        <f t="shared" si="45"/>
        <v>14449.19</v>
      </c>
      <c r="O51" s="118">
        <f t="shared" si="46"/>
        <v>76</v>
      </c>
      <c r="P51" s="113">
        <v>4.53031864</v>
      </c>
      <c r="Q51" s="119">
        <f t="shared" si="47"/>
        <v>801.5376923</v>
      </c>
      <c r="R51" s="120">
        <f t="shared" si="48"/>
        <v>833.5992</v>
      </c>
      <c r="S51" s="109">
        <f>COUNTIFS(Orders!$Z:$Z, $A51)</f>
        <v>26</v>
      </c>
      <c r="T51" s="111">
        <f>COUNTIFS(Orders!$Z:$Z, $A51, Orders!$M:$M, "Cancelled")</f>
        <v>1</v>
      </c>
      <c r="U51" s="121">
        <f t="shared" si="49"/>
        <v>0.03846153846</v>
      </c>
      <c r="V51" s="122">
        <f>COUNTIFS(Orders!$Z:$Z, $A51, Orders!$M:$M, "pending")</f>
        <v>0</v>
      </c>
      <c r="W51" s="122">
        <f t="shared" si="50"/>
        <v>25</v>
      </c>
      <c r="X51" s="70">
        <f t="shared" si="51"/>
        <v>0.9615384615</v>
      </c>
      <c r="Y51" s="6">
        <f>COUNTIFS(Orders!$Z:$Z, $A51, Orders!$M:$M, "Delivered")</f>
        <v>19</v>
      </c>
      <c r="Z51" s="6">
        <f>COUNTIFS(Orders!$Z:$Z, $A51, Orders!$M:$M, "Return Received")</f>
        <v>6</v>
      </c>
      <c r="AA51" s="123">
        <f t="shared" si="52"/>
        <v>0</v>
      </c>
      <c r="AB51" s="6">
        <f>COUNTIFS(Orders!$Z:$Z, $A51, Orders!$M:$M, "Returned") + COUNTIFS(Orders!$Z:$Z, $A51, Orders!$M:$M, "Returned to Shipper")</f>
        <v>0</v>
      </c>
      <c r="AC51" s="6">
        <f t="shared" si="53"/>
        <v>0</v>
      </c>
      <c r="AD51" s="2">
        <f>SUMIFS(Orders!$U:$U, Orders!$Z:$Z, $A51, Orders!$M:$M, "Delivered")</f>
        <v>66545.88</v>
      </c>
      <c r="AE51" s="124">
        <f t="shared" si="54"/>
        <v>0</v>
      </c>
      <c r="AF51" s="2" t="str">
        <f>IFERROR(__xludf.DUMMYFUNCTION("IFERROR(TEXTJOIN("", "", TRUE, FILTER(Orders!$B$2:$B$2517, (TEXT(Orders!$D$2:$D$2517,""d-mmm"")=TEXT($A51,""d-mmm"")) * (ABS(Orders!$H$2:$H$2517 - Orders!$U$2:$U$2517) &gt;= 1) * (Orders!$M$2:$M$2517=""Delivered""))), ""All Balanced"")"),"All Balanced")</f>
        <v>All Balanced</v>
      </c>
      <c r="AG51" s="2" t="str">
        <f>IFERROR(__xludf.DUMMYFUNCTION("IFERROR(TEXTJOIN("", "", TRUE, FILTER(Orders!$I$2:$I$3000, (Orders!$M$2:$M$3000=""Delivered"") * (Orders!$N$2:$N$3000&lt;&gt;""Paid"") * (Orders!$Z$2:$Z$3000=$A51))), """")"),"")</f>
        <v/>
      </c>
      <c r="AH51" s="2">
        <f t="shared" si="55"/>
        <v>0</v>
      </c>
    </row>
    <row r="52">
      <c r="A52" s="145">
        <v>46028.0</v>
      </c>
      <c r="B52" s="108">
        <f t="shared" si="38"/>
        <v>3146.949444</v>
      </c>
      <c r="C52" s="108">
        <f>SUMIFS(Orders!$H:$H, Orders!$Z:$Z, $A52, Orders!$M:$M, "Delivered")</f>
        <v>56645.09</v>
      </c>
      <c r="D52" s="109">
        <f>SUMIFS(Orders!$Q:$Q, Orders!$Z:$Z, $A52, Orders!$M:$M, "Delivered")</f>
        <v>20750</v>
      </c>
      <c r="E52" s="110">
        <f t="shared" si="39"/>
        <v>0.3663159508</v>
      </c>
      <c r="F52" s="111">
        <f t="shared" si="40"/>
        <v>54379.2864</v>
      </c>
      <c r="G52" s="111">
        <f t="shared" si="41"/>
        <v>2265.8036</v>
      </c>
      <c r="H52" s="111">
        <f t="shared" si="42"/>
        <v>35895.09</v>
      </c>
      <c r="I52" s="112">
        <f t="shared" si="43"/>
        <v>32.10883768</v>
      </c>
      <c r="J52" s="113">
        <v>18188.08</v>
      </c>
      <c r="K52" s="114"/>
      <c r="L52" s="115">
        <f t="shared" si="44"/>
        <v>7465.8036</v>
      </c>
      <c r="M52" s="116">
        <f>SUMIFS(Orders!$W:$W, Orders!$Z:$Z, $A52)</f>
        <v>8007.32</v>
      </c>
      <c r="N52" s="117">
        <f t="shared" si="45"/>
        <v>9699.69</v>
      </c>
      <c r="O52" s="118">
        <f t="shared" si="46"/>
        <v>69.23076923</v>
      </c>
      <c r="P52" s="113">
        <v>4.36913821</v>
      </c>
      <c r="Q52" s="119">
        <f t="shared" si="47"/>
        <v>606.2693333</v>
      </c>
      <c r="R52" s="120">
        <f t="shared" si="48"/>
        <v>699.5415385</v>
      </c>
      <c r="S52" s="109">
        <f>COUNTIFS(Orders!$Z:$Z, $A52)</f>
        <v>30</v>
      </c>
      <c r="T52" s="111">
        <f>COUNTIFS(Orders!$Z:$Z, $A52, Orders!$M:$M, "Cancelled")</f>
        <v>4</v>
      </c>
      <c r="U52" s="121">
        <f t="shared" si="49"/>
        <v>0.1333333333</v>
      </c>
      <c r="V52" s="122">
        <f>COUNTIFS(Orders!$Z:$Z, $A52, Orders!$M:$M, "pending")</f>
        <v>0</v>
      </c>
      <c r="W52" s="122">
        <f t="shared" si="50"/>
        <v>26</v>
      </c>
      <c r="X52" s="70">
        <f t="shared" si="51"/>
        <v>0.8666666667</v>
      </c>
      <c r="Y52" s="6">
        <f>COUNTIFS(Orders!$Z:$Z, $A52, Orders!$M:$M, "Delivered")</f>
        <v>18</v>
      </c>
      <c r="Z52" s="6">
        <f>COUNTIFS(Orders!$Z:$Z, $A52, Orders!$M:$M, "Return Received")</f>
        <v>8</v>
      </c>
      <c r="AA52" s="123">
        <f t="shared" si="52"/>
        <v>0</v>
      </c>
      <c r="AB52" s="6">
        <f>COUNTIFS(Orders!$Z:$Z, $A52, Orders!$M:$M, "Returned") + COUNTIFS(Orders!$Z:$Z, $A52, Orders!$M:$M, "Returned to Shipper")</f>
        <v>0</v>
      </c>
      <c r="AC52" s="6">
        <f t="shared" si="53"/>
        <v>0</v>
      </c>
      <c r="AD52" s="2">
        <f>SUMIFS(Orders!$U:$U, Orders!$Z:$Z, $A52, Orders!$M:$M, "Delivered")</f>
        <v>56645.09</v>
      </c>
      <c r="AE52" s="124">
        <f t="shared" si="54"/>
        <v>0</v>
      </c>
      <c r="AF52" s="2" t="str">
        <f>IFERROR(__xludf.DUMMYFUNCTION("IFERROR(TEXTJOIN("", "", TRUE, FILTER(Orders!$B$2:$B$2517, (TEXT(Orders!$D$2:$D$2517,""d-mmm"")=TEXT($A52,""d-mmm"")) * (ABS(Orders!$H$2:$H$2517 - Orders!$U$2:$U$2517) &gt;= 1) * (Orders!$M$2:$M$2517=""Delivered""))), ""All Balanced"")"),"All Balanced")</f>
        <v>All Balanced</v>
      </c>
      <c r="AG52" s="2" t="str">
        <f>IFERROR(__xludf.DUMMYFUNCTION("IFERROR(TEXTJOIN("", "", TRUE, FILTER(Orders!$I$2:$I$3000, (Orders!$M$2:$M$3000=""Delivered"") * (Orders!$N$2:$N$3000&lt;&gt;""Paid"") * (Orders!$Z$2:$Z$3000=$A52))), """")"),"")</f>
        <v/>
      </c>
      <c r="AH52" s="2">
        <f t="shared" si="55"/>
        <v>0</v>
      </c>
    </row>
    <row r="53">
      <c r="A53" s="145">
        <v>46029.0</v>
      </c>
      <c r="B53" s="108">
        <f t="shared" si="38"/>
        <v>3305.5</v>
      </c>
      <c r="C53" s="108">
        <f>SUMIFS(Orders!$H:$H, Orders!$Z:$Z, $A53, Orders!$M:$M, "Delivered")</f>
        <v>46277</v>
      </c>
      <c r="D53" s="109">
        <f>SUMIFS(Orders!$Q:$Q, Orders!$Z:$Z, $A53, Orders!$M:$M, "Delivered")</f>
        <v>17750</v>
      </c>
      <c r="E53" s="110">
        <f t="shared" si="39"/>
        <v>0.3835598678</v>
      </c>
      <c r="F53" s="111">
        <f t="shared" si="40"/>
        <v>44425.92</v>
      </c>
      <c r="G53" s="111">
        <f t="shared" si="41"/>
        <v>1851.08</v>
      </c>
      <c r="H53" s="111">
        <f t="shared" si="42"/>
        <v>28527</v>
      </c>
      <c r="I53" s="112">
        <f t="shared" si="43"/>
        <v>38.39905353</v>
      </c>
      <c r="J53" s="113">
        <v>17769.93</v>
      </c>
      <c r="K53" s="114"/>
      <c r="L53" s="115">
        <f t="shared" si="44"/>
        <v>4851.08</v>
      </c>
      <c r="M53" s="116">
        <f>SUMIFS(Orders!$W:$W, Orders!$Z:$Z, $A53)</f>
        <v>5119.96</v>
      </c>
      <c r="N53" s="117">
        <f t="shared" si="45"/>
        <v>5637.11</v>
      </c>
      <c r="O53" s="118">
        <f t="shared" si="46"/>
        <v>93.33333333</v>
      </c>
      <c r="P53" s="113">
        <v>3.70175951</v>
      </c>
      <c r="Q53" s="119">
        <f t="shared" si="47"/>
        <v>846.1871429</v>
      </c>
      <c r="R53" s="120">
        <f t="shared" si="48"/>
        <v>1184.662</v>
      </c>
      <c r="S53" s="109">
        <f>COUNTIFS(Orders!$Z:$Z, $A53)</f>
        <v>21</v>
      </c>
      <c r="T53" s="111">
        <f>COUNTIFS(Orders!$Z:$Z, $A53, Orders!$M:$M, "Cancelled")</f>
        <v>6</v>
      </c>
      <c r="U53" s="121">
        <f t="shared" si="49"/>
        <v>0.2857142857</v>
      </c>
      <c r="V53" s="122">
        <f>COUNTIFS(Orders!$Z:$Z, $A53, Orders!$M:$M, "pending")</f>
        <v>0</v>
      </c>
      <c r="W53" s="122">
        <f t="shared" si="50"/>
        <v>15</v>
      </c>
      <c r="X53" s="70">
        <f t="shared" si="51"/>
        <v>0.7142857143</v>
      </c>
      <c r="Y53" s="6">
        <f>COUNTIFS(Orders!$Z:$Z, $A53, Orders!$M:$M, "Delivered")</f>
        <v>14</v>
      </c>
      <c r="Z53" s="6">
        <f>COUNTIFS(Orders!$Z:$Z, $A53, Orders!$M:$M, "Return Received")</f>
        <v>1</v>
      </c>
      <c r="AA53" s="123">
        <f t="shared" si="52"/>
        <v>0</v>
      </c>
      <c r="AB53" s="6">
        <f>COUNTIFS(Orders!$Z:$Z, $A53, Orders!$M:$M, "Returned") + COUNTIFS(Orders!$Z:$Z, $A53, Orders!$M:$M, "Returned to Shipper")</f>
        <v>0</v>
      </c>
      <c r="AC53" s="6">
        <f t="shared" si="53"/>
        <v>0</v>
      </c>
      <c r="AD53" s="2">
        <f>SUMIFS(Orders!$U:$U, Orders!$Z:$Z, $A53, Orders!$M:$M, "Delivered")</f>
        <v>46277</v>
      </c>
      <c r="AE53" s="124">
        <f t="shared" si="54"/>
        <v>0</v>
      </c>
      <c r="AF53" s="2" t="str">
        <f>IFERROR(__xludf.DUMMYFUNCTION("IFERROR(TEXTJOIN("", "", TRUE, FILTER(Orders!$B$2:$B$2517, (TEXT(Orders!$D$2:$D$2517,""d-mmm"")=TEXT($A53,""d-mmm"")) * (ABS(Orders!$H$2:$H$2517 - Orders!$U$2:$U$2517) &gt;= 1) * (Orders!$M$2:$M$2517=""Delivered""))), ""All Balanced"")"),"All Balanced")</f>
        <v>All Balanced</v>
      </c>
      <c r="AG53" s="2" t="str">
        <f>IFERROR(__xludf.DUMMYFUNCTION("IFERROR(TEXTJOIN("", "", TRUE, FILTER(Orders!$I$2:$I$3000, (Orders!$M$2:$M$3000=""Delivered"") * (Orders!$N$2:$N$3000&lt;&gt;""Paid"") * (Orders!$Z$2:$Z$3000=$A53))), """")"),"")</f>
        <v/>
      </c>
      <c r="AH53" s="2">
        <f t="shared" si="55"/>
        <v>0</v>
      </c>
    </row>
    <row r="54">
      <c r="A54" s="145">
        <v>46030.0</v>
      </c>
      <c r="B54" s="108">
        <f t="shared" si="38"/>
        <v>2414</v>
      </c>
      <c r="C54" s="108">
        <f>SUMIFS(Orders!$H:$H, Orders!$Z:$Z, $A54, Orders!$M:$M, "Delivered")</f>
        <v>14484</v>
      </c>
      <c r="D54" s="109">
        <f>SUMIFS(Orders!$Q:$Q, Orders!$Z:$Z, $A54, Orders!$M:$M, "Delivered")</f>
        <v>5140</v>
      </c>
      <c r="E54" s="110">
        <f t="shared" si="39"/>
        <v>0.3548743441</v>
      </c>
      <c r="F54" s="111">
        <f t="shared" si="40"/>
        <v>13904.64</v>
      </c>
      <c r="G54" s="111">
        <f t="shared" si="41"/>
        <v>579.36</v>
      </c>
      <c r="H54" s="111">
        <f t="shared" si="42"/>
        <v>9344</v>
      </c>
      <c r="I54" s="112">
        <f t="shared" si="43"/>
        <v>103.9433858</v>
      </c>
      <c r="J54" s="113">
        <v>15055.16</v>
      </c>
      <c r="K54" s="114"/>
      <c r="L54" s="115">
        <f t="shared" si="44"/>
        <v>1979.36</v>
      </c>
      <c r="M54" s="116">
        <f>SUMIFS(Orders!$W:$W, Orders!$Z:$Z, $A54)</f>
        <v>1959.68</v>
      </c>
      <c r="N54" s="117">
        <f t="shared" si="45"/>
        <v>-7670.84</v>
      </c>
      <c r="O54" s="118">
        <f t="shared" si="46"/>
        <v>85.71428571</v>
      </c>
      <c r="P54" s="113">
        <v>1.09918453</v>
      </c>
      <c r="Q54" s="119">
        <f t="shared" si="47"/>
        <v>1881.895</v>
      </c>
      <c r="R54" s="120">
        <f t="shared" si="48"/>
        <v>2150.737143</v>
      </c>
      <c r="S54" s="109">
        <f>COUNTIFS(Orders!$Z:$Z, $A54)</f>
        <v>8</v>
      </c>
      <c r="T54" s="111">
        <f>COUNTIFS(Orders!$Z:$Z, $A54, Orders!$M:$M, "Cancelled")</f>
        <v>1</v>
      </c>
      <c r="U54" s="121">
        <f t="shared" si="49"/>
        <v>0.125</v>
      </c>
      <c r="V54" s="122">
        <f>COUNTIFS(Orders!$Z:$Z, $A54, Orders!$M:$M, "pending")</f>
        <v>0</v>
      </c>
      <c r="W54" s="122">
        <f t="shared" si="50"/>
        <v>7</v>
      </c>
      <c r="X54" s="70">
        <f t="shared" si="51"/>
        <v>0.875</v>
      </c>
      <c r="Y54" s="6">
        <f>COUNTIFS(Orders!$Z:$Z, $A54, Orders!$M:$M, "Delivered")</f>
        <v>6</v>
      </c>
      <c r="Z54" s="6">
        <f>COUNTIFS(Orders!$Z:$Z, $A54, Orders!$M:$M, "Return Received")</f>
        <v>1</v>
      </c>
      <c r="AA54" s="123">
        <f t="shared" si="52"/>
        <v>0</v>
      </c>
      <c r="AB54" s="6">
        <f>COUNTIFS(Orders!$Z:$Z, $A54, Orders!$M:$M, "Returned") + COUNTIFS(Orders!$Z:$Z, $A54, Orders!$M:$M, "Returned to Shipper")</f>
        <v>0</v>
      </c>
      <c r="AC54" s="6">
        <f t="shared" si="53"/>
        <v>0</v>
      </c>
      <c r="AD54" s="2">
        <f>SUMIFS(Orders!$U:$U, Orders!$Z:$Z, $A54, Orders!$M:$M, "Delivered")</f>
        <v>14484</v>
      </c>
      <c r="AE54" s="124">
        <f t="shared" si="54"/>
        <v>0</v>
      </c>
      <c r="AF54" s="2" t="str">
        <f>IFERROR(__xludf.DUMMYFUNCTION("IFERROR(TEXTJOIN("", "", TRUE, FILTER(Orders!$B$2:$B$2517, (TEXT(Orders!$D$2:$D$2517,""d-mmm"")=TEXT($A54,""d-mmm"")) * (ABS(Orders!$H$2:$H$2517 - Orders!$U$2:$U$2517) &gt;= 1) * (Orders!$M$2:$M$2517=""Delivered""))), ""All Balanced"")"),"All Balanced")</f>
        <v>All Balanced</v>
      </c>
      <c r="AG54" s="2" t="str">
        <f>IFERROR(__xludf.DUMMYFUNCTION("IFERROR(TEXTJOIN("", "", TRUE, FILTER(Orders!$I$2:$I$3000, (Orders!$M$2:$M$3000=""Delivered"") * (Orders!$N$2:$N$3000&lt;&gt;""Paid"") * (Orders!$Z$2:$Z$3000=$A54))), """")"),"")</f>
        <v/>
      </c>
      <c r="AH54" s="2">
        <f t="shared" si="55"/>
        <v>0</v>
      </c>
    </row>
    <row r="55">
      <c r="A55" s="145">
        <v>46031.0</v>
      </c>
      <c r="B55" s="108">
        <f t="shared" si="38"/>
        <v>3532.772727</v>
      </c>
      <c r="C55" s="108">
        <f>SUMIFS(Orders!$H:$H, Orders!$Z:$Z, $A55, Orders!$M:$M, "Delivered")</f>
        <v>77721</v>
      </c>
      <c r="D55" s="109">
        <f>SUMIFS(Orders!$Q:$Q, Orders!$Z:$Z, $A55, Orders!$M:$M, "Delivered")</f>
        <v>30310</v>
      </c>
      <c r="E55" s="110">
        <f t="shared" si="39"/>
        <v>0.3899846888</v>
      </c>
      <c r="F55" s="111">
        <f t="shared" si="40"/>
        <v>74612.16</v>
      </c>
      <c r="G55" s="111">
        <f t="shared" si="41"/>
        <v>3108.84</v>
      </c>
      <c r="H55" s="111">
        <f t="shared" si="42"/>
        <v>47411</v>
      </c>
      <c r="I55" s="112">
        <f t="shared" si="43"/>
        <v>29.55266916</v>
      </c>
      <c r="J55" s="113">
        <v>22968.63</v>
      </c>
      <c r="K55" s="114"/>
      <c r="L55" s="115">
        <f t="shared" si="44"/>
        <v>10108.84</v>
      </c>
      <c r="M55" s="116">
        <f>SUMIFS(Orders!$W:$W, Orders!$Z:$Z, $A55)</f>
        <v>10086.17</v>
      </c>
      <c r="N55" s="117">
        <f t="shared" si="45"/>
        <v>14356.2</v>
      </c>
      <c r="O55" s="118">
        <f t="shared" si="46"/>
        <v>62.85714286</v>
      </c>
      <c r="P55" s="113">
        <v>6.3707552</v>
      </c>
      <c r="Q55" s="119">
        <f t="shared" si="47"/>
        <v>560.2104878</v>
      </c>
      <c r="R55" s="120">
        <f t="shared" si="48"/>
        <v>656.2465714</v>
      </c>
      <c r="S55" s="109">
        <f>COUNTIFS(Orders!$Z:$Z, $A55)</f>
        <v>41</v>
      </c>
      <c r="T55" s="111">
        <f>COUNTIFS(Orders!$Z:$Z, $A55, Orders!$M:$M, "Cancelled")</f>
        <v>6</v>
      </c>
      <c r="U55" s="121">
        <f t="shared" si="49"/>
        <v>0.1463414634</v>
      </c>
      <c r="V55" s="122">
        <f>COUNTIFS(Orders!$Z:$Z, $A55, Orders!$M:$M, "pending")</f>
        <v>0</v>
      </c>
      <c r="W55" s="122">
        <f t="shared" si="50"/>
        <v>35</v>
      </c>
      <c r="X55" s="70">
        <f t="shared" si="51"/>
        <v>0.8536585366</v>
      </c>
      <c r="Y55" s="6">
        <f>COUNTIFS(Orders!$Z:$Z, $A55, Orders!$M:$M, "Delivered")</f>
        <v>22</v>
      </c>
      <c r="Z55" s="6">
        <f>COUNTIFS(Orders!$Z:$Z, $A55, Orders!$M:$M, "Return Received")</f>
        <v>13</v>
      </c>
      <c r="AA55" s="123">
        <f t="shared" si="52"/>
        <v>0</v>
      </c>
      <c r="AB55" s="6">
        <f>COUNTIFS(Orders!$Z:$Z, $A55, Orders!$M:$M, "Returned") + COUNTIFS(Orders!$Z:$Z, $A55, Orders!$M:$M, "Returned to Shipper")</f>
        <v>0</v>
      </c>
      <c r="AC55" s="6">
        <f t="shared" si="53"/>
        <v>0</v>
      </c>
      <c r="AD55" s="2">
        <f>SUMIFS(Orders!$U:$U, Orders!$Z:$Z, $A55, Orders!$M:$M, "Delivered")</f>
        <v>77721</v>
      </c>
      <c r="AE55" s="124">
        <f t="shared" si="54"/>
        <v>0</v>
      </c>
      <c r="AF55" s="2" t="str">
        <f>IFERROR(__xludf.DUMMYFUNCTION("IFERROR(TEXTJOIN("", "", TRUE, FILTER(Orders!$B$2:$B$2517, (TEXT(Orders!$D$2:$D$2517,""d-mmm"")=TEXT($A55,""d-mmm"")) * (ABS(Orders!$H$2:$H$2517 - Orders!$U$2:$U$2517) &gt;= 1) * (Orders!$M$2:$M$2517=""Delivered""))), ""All Balanced"")"),"All Balanced")</f>
        <v>All Balanced</v>
      </c>
      <c r="AG55" s="2" t="str">
        <f>IFERROR(__xludf.DUMMYFUNCTION("IFERROR(TEXTJOIN("", "", TRUE, FILTER(Orders!$I$2:$I$3000, (Orders!$M$2:$M$3000=""Delivered"") * (Orders!$N$2:$N$3000&lt;&gt;""Paid"") * (Orders!$Z$2:$Z$3000=$A55))), """")"),"")</f>
        <v/>
      </c>
      <c r="AH55" s="2">
        <f t="shared" si="55"/>
        <v>0</v>
      </c>
    </row>
    <row r="56">
      <c r="A56" s="145">
        <v>46032.0</v>
      </c>
      <c r="B56" s="108">
        <f t="shared" si="38"/>
        <v>3011.15</v>
      </c>
      <c r="C56" s="108">
        <f>SUMIFS(Orders!$H:$H, Orders!$Z:$Z, $A56, Orders!$M:$M, "Delivered")</f>
        <v>60223</v>
      </c>
      <c r="D56" s="109">
        <f>SUMIFS(Orders!$Q:$Q, Orders!$Z:$Z, $A56, Orders!$M:$M, "Delivered")</f>
        <v>24550</v>
      </c>
      <c r="E56" s="110">
        <f t="shared" si="39"/>
        <v>0.4076515617</v>
      </c>
      <c r="F56" s="111">
        <f t="shared" si="40"/>
        <v>57814.08</v>
      </c>
      <c r="G56" s="111">
        <f t="shared" si="41"/>
        <v>2408.92</v>
      </c>
      <c r="H56" s="111">
        <f t="shared" si="42"/>
        <v>35673</v>
      </c>
      <c r="I56" s="112">
        <f t="shared" si="43"/>
        <v>46.96906498</v>
      </c>
      <c r="J56" s="113">
        <v>28286.18</v>
      </c>
      <c r="K56" s="114"/>
      <c r="L56" s="115">
        <f t="shared" si="44"/>
        <v>9008.92</v>
      </c>
      <c r="M56" s="116">
        <f>SUMIFS(Orders!$W:$W, Orders!$Z:$Z, $A56)</f>
        <v>8883.04</v>
      </c>
      <c r="N56" s="117">
        <f t="shared" si="45"/>
        <v>-1496.22</v>
      </c>
      <c r="O56" s="118">
        <f t="shared" si="46"/>
        <v>60.60606061</v>
      </c>
      <c r="P56" s="113">
        <v>4.15742585</v>
      </c>
      <c r="Q56" s="119">
        <f t="shared" si="47"/>
        <v>707.1545</v>
      </c>
      <c r="R56" s="120">
        <f t="shared" si="48"/>
        <v>857.1569697</v>
      </c>
      <c r="S56" s="109">
        <f>COUNTIFS(Orders!$Z:$Z, $A56)</f>
        <v>40</v>
      </c>
      <c r="T56" s="111">
        <f>COUNTIFS(Orders!$Z:$Z, $A56, Orders!$M:$M, "Cancelled")</f>
        <v>7</v>
      </c>
      <c r="U56" s="121">
        <f t="shared" si="49"/>
        <v>0.175</v>
      </c>
      <c r="V56" s="122">
        <f>COUNTIFS(Orders!$Z:$Z, $A56, Orders!$M:$M, "pending")</f>
        <v>0</v>
      </c>
      <c r="W56" s="122">
        <f t="shared" si="50"/>
        <v>33</v>
      </c>
      <c r="X56" s="70">
        <f t="shared" si="51"/>
        <v>0.825</v>
      </c>
      <c r="Y56" s="6">
        <f>COUNTIFS(Orders!$Z:$Z, $A56, Orders!$M:$M, "Delivered")</f>
        <v>20</v>
      </c>
      <c r="Z56" s="6">
        <f>COUNTIFS(Orders!$Z:$Z, $A56, Orders!$M:$M, "Return Received")</f>
        <v>13</v>
      </c>
      <c r="AA56" s="123">
        <f t="shared" si="52"/>
        <v>0</v>
      </c>
      <c r="AB56" s="6">
        <f>COUNTIFS(Orders!$Z:$Z, $A56, Orders!$M:$M, "Returned") + COUNTIFS(Orders!$Z:$Z, $A56, Orders!$M:$M, "Returned to Shipper")</f>
        <v>0</v>
      </c>
      <c r="AC56" s="6">
        <f t="shared" si="53"/>
        <v>0</v>
      </c>
      <c r="AD56" s="2">
        <f>SUMIFS(Orders!$U:$U, Orders!$Z:$Z, $A56, Orders!$M:$M, "Delivered")</f>
        <v>60223</v>
      </c>
      <c r="AE56" s="124">
        <f t="shared" si="54"/>
        <v>0</v>
      </c>
      <c r="AF56" s="2" t="str">
        <f>IFERROR(__xludf.DUMMYFUNCTION("IFERROR(TEXTJOIN("", "", TRUE, FILTER(Orders!$B$2:$B$2517, (TEXT(Orders!$D$2:$D$2517,""d-mmm"")=TEXT($A56,""d-mmm"")) * (ABS(Orders!$H$2:$H$2517 - Orders!$U$2:$U$2517) &gt;= 1) * (Orders!$M$2:$M$2517=""Delivered""))), ""All Balanced"")"),"All Balanced")</f>
        <v>All Balanced</v>
      </c>
      <c r="AG56" s="2" t="str">
        <f>IFERROR(__xludf.DUMMYFUNCTION("IFERROR(TEXTJOIN("", "", TRUE, FILTER(Orders!$I$2:$I$3000, (Orders!$M$2:$M$3000=""Delivered"") * (Orders!$N$2:$N$3000&lt;&gt;""Paid"") * (Orders!$Z$2:$Z$3000=$A56))), """")"),"")</f>
        <v/>
      </c>
      <c r="AH56" s="2">
        <f t="shared" si="55"/>
        <v>0</v>
      </c>
    </row>
    <row r="57">
      <c r="A57" s="145">
        <v>46033.0</v>
      </c>
      <c r="B57" s="108">
        <f t="shared" si="38"/>
        <v>3752.142857</v>
      </c>
      <c r="C57" s="108">
        <f>SUMIFS(Orders!$H:$H, Orders!$Z:$Z, $A57, Orders!$M:$M, "Delivered")</f>
        <v>52530</v>
      </c>
      <c r="D57" s="109">
        <f>SUMIFS(Orders!$Q:$Q, Orders!$Z:$Z, $A57, Orders!$M:$M, "Delivered")</f>
        <v>18665</v>
      </c>
      <c r="E57" s="110">
        <f t="shared" si="39"/>
        <v>0.3553207691</v>
      </c>
      <c r="F57" s="111">
        <f t="shared" si="40"/>
        <v>50428.8</v>
      </c>
      <c r="G57" s="111">
        <f t="shared" si="41"/>
        <v>2101.2</v>
      </c>
      <c r="H57" s="111">
        <f t="shared" si="42"/>
        <v>33865</v>
      </c>
      <c r="I57" s="112">
        <f t="shared" si="43"/>
        <v>47.00508281</v>
      </c>
      <c r="J57" s="113">
        <v>24691.77</v>
      </c>
      <c r="K57" s="114"/>
      <c r="L57" s="115">
        <f t="shared" si="44"/>
        <v>6701.2</v>
      </c>
      <c r="M57" s="116">
        <f>SUMIFS(Orders!$W:$W, Orders!$Z:$Z, $A57)</f>
        <v>6868.62</v>
      </c>
      <c r="N57" s="117">
        <f t="shared" si="45"/>
        <v>2304.61</v>
      </c>
      <c r="O57" s="118">
        <f t="shared" si="46"/>
        <v>60.86956522</v>
      </c>
      <c r="P57" s="113">
        <v>4.59316276</v>
      </c>
      <c r="Q57" s="119">
        <f t="shared" si="47"/>
        <v>823.059</v>
      </c>
      <c r="R57" s="120">
        <f t="shared" si="48"/>
        <v>1073.555217</v>
      </c>
      <c r="S57" s="109">
        <f>COUNTIFS(Orders!$Z:$Z, $A57)</f>
        <v>30</v>
      </c>
      <c r="T57" s="111">
        <f>COUNTIFS(Orders!$Z:$Z, $A57, Orders!$M:$M, "Cancelled")</f>
        <v>7</v>
      </c>
      <c r="U57" s="121">
        <f t="shared" si="49"/>
        <v>0.2333333333</v>
      </c>
      <c r="V57" s="122">
        <f>COUNTIFS(Orders!$Z:$Z, $A57, Orders!$M:$M, "pending")</f>
        <v>0</v>
      </c>
      <c r="W57" s="122">
        <f t="shared" si="50"/>
        <v>23</v>
      </c>
      <c r="X57" s="70">
        <f t="shared" si="51"/>
        <v>0.7666666667</v>
      </c>
      <c r="Y57" s="6">
        <f>COUNTIFS(Orders!$Z:$Z, $A57, Orders!$M:$M, "Delivered")</f>
        <v>14</v>
      </c>
      <c r="Z57" s="6">
        <f>COUNTIFS(Orders!$Z:$Z, $A57, Orders!$M:$M, "Return Received")</f>
        <v>9</v>
      </c>
      <c r="AA57" s="123">
        <f t="shared" si="52"/>
        <v>0</v>
      </c>
      <c r="AB57" s="6">
        <f>COUNTIFS(Orders!$Z:$Z, $A57, Orders!$M:$M, "Returned") + COUNTIFS(Orders!$Z:$Z, $A57, Orders!$M:$M, "Returned to Shipper")</f>
        <v>0</v>
      </c>
      <c r="AC57" s="6">
        <f t="shared" si="53"/>
        <v>0</v>
      </c>
      <c r="AD57" s="2">
        <f>SUMIFS(Orders!$U:$U, Orders!$Z:$Z, $A57, Orders!$M:$M, "Delivered")</f>
        <v>52530</v>
      </c>
      <c r="AE57" s="124">
        <f t="shared" si="54"/>
        <v>0</v>
      </c>
      <c r="AF57" s="2" t="str">
        <f>IFERROR(__xludf.DUMMYFUNCTION("IFERROR(TEXTJOIN("", "", TRUE, FILTER(Orders!$B$2:$B$2517, (TEXT(Orders!$D$2:$D$2517,""d-mmm"")=TEXT($A57,""d-mmm"")) * (ABS(Orders!$H$2:$H$2517 - Orders!$U$2:$U$2517) &gt;= 1) * (Orders!$M$2:$M$2517=""Delivered""))), ""All Balanced"")"),"All Balanced")</f>
        <v>All Balanced</v>
      </c>
      <c r="AG57" s="2" t="str">
        <f>IFERROR(__xludf.DUMMYFUNCTION("IFERROR(TEXTJOIN("", "", TRUE, FILTER(Orders!$I$2:$I$3000, (Orders!$M$2:$M$3000=""Delivered"") * (Orders!$N$2:$N$3000&lt;&gt;""Paid"") * (Orders!$Z$2:$Z$3000=$A57))), """")"),"")</f>
        <v/>
      </c>
      <c r="AH57" s="2">
        <f t="shared" si="55"/>
        <v>0</v>
      </c>
    </row>
    <row r="58">
      <c r="A58" s="145">
        <v>46034.0</v>
      </c>
      <c r="B58" s="108">
        <f t="shared" si="38"/>
        <v>4029.764706</v>
      </c>
      <c r="C58" s="108">
        <f>SUMIFS(Orders!$H:$H, Orders!$Z:$Z, $A58, Orders!$M:$M, "Delivered")</f>
        <v>68506</v>
      </c>
      <c r="D58" s="109">
        <f>SUMIFS(Orders!$Q:$Q, Orders!$Z:$Z, $A58, Orders!$M:$M, "Delivered")</f>
        <v>26670</v>
      </c>
      <c r="E58" s="110">
        <f t="shared" si="39"/>
        <v>0.3893089656</v>
      </c>
      <c r="F58" s="111">
        <f t="shared" si="40"/>
        <v>65765.76</v>
      </c>
      <c r="G58" s="111">
        <f t="shared" si="41"/>
        <v>2740.24</v>
      </c>
      <c r="H58" s="111">
        <f t="shared" si="42"/>
        <v>41836</v>
      </c>
      <c r="I58" s="112">
        <f t="shared" si="43"/>
        <v>29.92761218</v>
      </c>
      <c r="J58" s="113">
        <v>20502.21</v>
      </c>
      <c r="K58" s="114"/>
      <c r="L58" s="115">
        <f t="shared" si="44"/>
        <v>9940.24</v>
      </c>
      <c r="M58" s="116">
        <f>SUMIFS(Orders!$W:$W, Orders!$Z:$Z, $A58)</f>
        <v>10017.27</v>
      </c>
      <c r="N58" s="117">
        <f t="shared" si="45"/>
        <v>11316.52</v>
      </c>
      <c r="O58" s="118">
        <f t="shared" si="46"/>
        <v>47.22222222</v>
      </c>
      <c r="P58" s="113">
        <v>6.61500979</v>
      </c>
      <c r="Q58" s="119">
        <f t="shared" si="47"/>
        <v>500.0539024</v>
      </c>
      <c r="R58" s="120">
        <f t="shared" si="48"/>
        <v>569.5058333</v>
      </c>
      <c r="S58" s="109">
        <f>COUNTIFS(Orders!$Z:$Z, $A58)</f>
        <v>41</v>
      </c>
      <c r="T58" s="111">
        <f>COUNTIFS(Orders!$Z:$Z, $A58, Orders!$M:$M, "Cancelled")</f>
        <v>5</v>
      </c>
      <c r="U58" s="121">
        <f t="shared" si="49"/>
        <v>0.1219512195</v>
      </c>
      <c r="V58" s="122">
        <f>COUNTIFS(Orders!$Z:$Z, $A58, Orders!$M:$M, "pending")</f>
        <v>0</v>
      </c>
      <c r="W58" s="122">
        <f t="shared" si="50"/>
        <v>36</v>
      </c>
      <c r="X58" s="70">
        <f t="shared" si="51"/>
        <v>0.8780487805</v>
      </c>
      <c r="Y58" s="6">
        <f>COUNTIFS(Orders!$Z:$Z, $A58, Orders!$M:$M, "Delivered")</f>
        <v>17</v>
      </c>
      <c r="Z58" s="6">
        <f>COUNTIFS(Orders!$Z:$Z, $A58, Orders!$M:$M, "Return Received")</f>
        <v>19</v>
      </c>
      <c r="AA58" s="123">
        <f t="shared" si="52"/>
        <v>0</v>
      </c>
      <c r="AB58" s="6">
        <f>COUNTIFS(Orders!$Z:$Z, $A58, Orders!$M:$M, "Returned") + COUNTIFS(Orders!$Z:$Z, $A58, Orders!$M:$M, "Returned to Shipper")</f>
        <v>0</v>
      </c>
      <c r="AC58" s="6">
        <f t="shared" si="53"/>
        <v>0</v>
      </c>
      <c r="AD58" s="2">
        <f>SUMIFS(Orders!$U:$U, Orders!$Z:$Z, $A58, Orders!$M:$M, "Delivered")</f>
        <v>68506</v>
      </c>
      <c r="AE58" s="124">
        <f t="shared" si="54"/>
        <v>0</v>
      </c>
      <c r="AF58" s="125" t="str">
        <f>IFERROR(__xludf.DUMMYFUNCTION("IFERROR(TEXTJOIN("", "", TRUE, FILTER(Orders!$B$2:$B$2517, (TEXT(Orders!$D$2:$D$2517,""d-mmm"")=TEXT($A58,""d-mmm"")) * (ABS(Orders!$H$2:$H$2517 - Orders!$U$2:$U$2517) &gt;= 1) * (Orders!$M$2:$M$2517=""Delivered""))), ""All Balanced"")"),"All Balanced")</f>
        <v>All Balanced</v>
      </c>
      <c r="AG58" s="2" t="str">
        <f>IFERROR(__xludf.DUMMYFUNCTION("IFERROR(TEXTJOIN("", "", TRUE, FILTER(Orders!$I$2:$I$3000, (Orders!$M$2:$M$3000=""Delivered"") * (Orders!$N$2:$N$3000&lt;&gt;""Paid"") * (Orders!$Z$2:$Z$3000=$A58))), """")"),"")</f>
        <v/>
      </c>
      <c r="AH58" s="2">
        <f t="shared" si="55"/>
        <v>0</v>
      </c>
    </row>
    <row r="59">
      <c r="A59" s="145">
        <v>46035.0</v>
      </c>
      <c r="B59" s="108">
        <f t="shared" si="38"/>
        <v>3267.363636</v>
      </c>
      <c r="C59" s="108">
        <f>SUMIFS(Orders!$H:$H, Orders!$Z:$Z, $A59, Orders!$M:$M, "Delivered")</f>
        <v>35941</v>
      </c>
      <c r="D59" s="109">
        <f>SUMIFS(Orders!$Q:$Q, Orders!$Z:$Z, $A59, Orders!$M:$M, "Delivered")</f>
        <v>13820</v>
      </c>
      <c r="E59" s="110">
        <f t="shared" si="39"/>
        <v>0.3845190729</v>
      </c>
      <c r="F59" s="111">
        <f t="shared" si="40"/>
        <v>34503.36</v>
      </c>
      <c r="G59" s="111">
        <f t="shared" si="41"/>
        <v>1437.64</v>
      </c>
      <c r="H59" s="111">
        <f t="shared" si="42"/>
        <v>22121</v>
      </c>
      <c r="I59" s="112">
        <f t="shared" si="43"/>
        <v>60.99919312</v>
      </c>
      <c r="J59" s="113">
        <v>21923.72</v>
      </c>
      <c r="K59" s="114"/>
      <c r="L59" s="115">
        <f t="shared" si="44"/>
        <v>5037.64</v>
      </c>
      <c r="M59" s="116">
        <f>SUMIFS(Orders!$W:$W, Orders!$Z:$Z, $A59)</f>
        <v>5186.46</v>
      </c>
      <c r="N59" s="117">
        <f t="shared" si="45"/>
        <v>-4989.18</v>
      </c>
      <c r="O59" s="118">
        <f t="shared" si="46"/>
        <v>61.11111111</v>
      </c>
      <c r="P59" s="113">
        <v>3.39738042</v>
      </c>
      <c r="Q59" s="119">
        <f t="shared" si="47"/>
        <v>1096.186</v>
      </c>
      <c r="R59" s="120">
        <f t="shared" si="48"/>
        <v>1217.984444</v>
      </c>
      <c r="S59" s="109">
        <f>COUNTIFS(Orders!$Z:$Z, $A59)</f>
        <v>20</v>
      </c>
      <c r="T59" s="111">
        <f>COUNTIFS(Orders!$Z:$Z, $A59, Orders!$M:$M, "Cancelled")</f>
        <v>2</v>
      </c>
      <c r="U59" s="121">
        <f t="shared" si="49"/>
        <v>0.1</v>
      </c>
      <c r="V59" s="122">
        <f>COUNTIFS(Orders!$Z:$Z, $A59, Orders!$M:$M, "pending")</f>
        <v>0</v>
      </c>
      <c r="W59" s="122">
        <f t="shared" si="50"/>
        <v>18</v>
      </c>
      <c r="X59" s="70">
        <f t="shared" si="51"/>
        <v>0.9</v>
      </c>
      <c r="Y59" s="6">
        <f>COUNTIFS(Orders!$Z:$Z, $A59, Orders!$M:$M, "Delivered")</f>
        <v>11</v>
      </c>
      <c r="Z59" s="6">
        <f>COUNTIFS(Orders!$Z:$Z, $A59, Orders!$M:$M, "Return Received")</f>
        <v>7</v>
      </c>
      <c r="AA59" s="123">
        <f t="shared" si="52"/>
        <v>0</v>
      </c>
      <c r="AB59" s="6">
        <f>COUNTIFS(Orders!$Z:$Z, $A59, Orders!$M:$M, "Returned") + COUNTIFS(Orders!$Z:$Z, $A59, Orders!$M:$M, "Returned to Shipper")</f>
        <v>0</v>
      </c>
      <c r="AC59" s="6">
        <f t="shared" si="53"/>
        <v>0</v>
      </c>
      <c r="AD59" s="2">
        <f>SUMIFS(Orders!$U:$U, Orders!$Z:$Z, $A59, Orders!$M:$M, "Delivered")</f>
        <v>35941</v>
      </c>
      <c r="AE59" s="124">
        <f t="shared" si="54"/>
        <v>0</v>
      </c>
      <c r="AF59" s="2" t="str">
        <f>IFERROR(__xludf.DUMMYFUNCTION("IFERROR(TEXTJOIN("", "", TRUE, FILTER(Orders!$B$2:$B$2517, (TEXT(Orders!$D$2:$D$2517,""d-mmm"")=TEXT($A59,""d-mmm"")) * (ABS(Orders!$H$2:$H$2517 - Orders!$U$2:$U$2517) &gt;= 1) * (Orders!$M$2:$M$2517=""Delivered""))), ""All Balanced"")"),"All Balanced")</f>
        <v>All Balanced</v>
      </c>
      <c r="AG59" s="2" t="str">
        <f>IFERROR(__xludf.DUMMYFUNCTION("IFERROR(TEXTJOIN("", "", TRUE, FILTER(Orders!$I$2:$I$3000, (Orders!$M$2:$M$3000=""Delivered"") * (Orders!$N$2:$N$3000&lt;&gt;""Paid"") * (Orders!$Z$2:$Z$3000=$A59))), """")"),"")</f>
        <v/>
      </c>
      <c r="AH59" s="2">
        <f t="shared" si="55"/>
        <v>0</v>
      </c>
    </row>
    <row r="60">
      <c r="A60" s="145">
        <v>46036.0</v>
      </c>
      <c r="B60" s="108">
        <f t="shared" si="38"/>
        <v>2781</v>
      </c>
      <c r="C60" s="108">
        <f>SUMIFS(Orders!$H:$H, Orders!$Z:$Z, $A60, Orders!$M:$M, "Delivered")</f>
        <v>30591</v>
      </c>
      <c r="D60" s="109">
        <f>SUMIFS(Orders!$Q:$Q, Orders!$Z:$Z, $A60, Orders!$M:$M, "Delivered")</f>
        <v>10505</v>
      </c>
      <c r="E60" s="110">
        <f t="shared" si="39"/>
        <v>0.3434016541</v>
      </c>
      <c r="F60" s="111">
        <f t="shared" si="40"/>
        <v>29367.36</v>
      </c>
      <c r="G60" s="111">
        <f t="shared" si="41"/>
        <v>1223.64</v>
      </c>
      <c r="H60" s="111">
        <f t="shared" si="42"/>
        <v>20086</v>
      </c>
      <c r="I60" s="112">
        <f t="shared" si="43"/>
        <v>14.38298846</v>
      </c>
      <c r="J60" s="113">
        <v>4399.9</v>
      </c>
      <c r="K60" s="114"/>
      <c r="L60" s="115">
        <f t="shared" si="44"/>
        <v>4223.64</v>
      </c>
      <c r="M60" s="116">
        <f>SUMIFS(Orders!$W:$W, Orders!$Z:$Z, $A60)</f>
        <v>3782.45</v>
      </c>
      <c r="N60" s="117">
        <f t="shared" si="45"/>
        <v>11903.65</v>
      </c>
      <c r="O60" s="118">
        <f t="shared" si="46"/>
        <v>73.33333333</v>
      </c>
      <c r="P60" s="113">
        <v>6.1731389</v>
      </c>
      <c r="Q60" s="119">
        <f t="shared" si="47"/>
        <v>244.4388889</v>
      </c>
      <c r="R60" s="120">
        <f t="shared" si="48"/>
        <v>293.3266667</v>
      </c>
      <c r="S60" s="109">
        <f>COUNTIFS(Orders!$Z:$Z, $A60)</f>
        <v>18</v>
      </c>
      <c r="T60" s="111">
        <f>COUNTIFS(Orders!$Z:$Z, $A60, Orders!$M:$M, "Cancelled")</f>
        <v>3</v>
      </c>
      <c r="U60" s="121">
        <f t="shared" si="49"/>
        <v>0.1666666667</v>
      </c>
      <c r="V60" s="122">
        <f>COUNTIFS(Orders!$Z:$Z, $A60, Orders!$M:$M, "pending")</f>
        <v>0</v>
      </c>
      <c r="W60" s="122">
        <f t="shared" si="50"/>
        <v>15</v>
      </c>
      <c r="X60" s="70">
        <f t="shared" si="51"/>
        <v>0.8333333333</v>
      </c>
      <c r="Y60" s="6">
        <f>COUNTIFS(Orders!$Z:$Z, $A60, Orders!$M:$M, "Delivered")</f>
        <v>11</v>
      </c>
      <c r="Z60" s="6">
        <f>COUNTIFS(Orders!$Z:$Z, $A60, Orders!$M:$M, "Return Received")</f>
        <v>4</v>
      </c>
      <c r="AA60" s="123">
        <f t="shared" si="52"/>
        <v>0</v>
      </c>
      <c r="AB60" s="6">
        <f>COUNTIFS(Orders!$Z:$Z, $A60, Orders!$M:$M, "Returned") + COUNTIFS(Orders!$Z:$Z, $A60, Orders!$M:$M, "Returned to Shipper")</f>
        <v>0</v>
      </c>
      <c r="AC60" s="6">
        <f t="shared" si="53"/>
        <v>0</v>
      </c>
      <c r="AD60" s="2">
        <f>SUMIFS(Orders!$U:$U, Orders!$Z:$Z, $A60, Orders!$M:$M, "Delivered")</f>
        <v>27842</v>
      </c>
      <c r="AE60" s="124">
        <f t="shared" si="54"/>
        <v>2749</v>
      </c>
      <c r="AF60" s="22" t="str">
        <f>IFERROR(__xludf.DUMMYFUNCTION("IFERROR(TEXTJOIN("", "", TRUE, FILTER(Orders!$B$2:$B$2517, (TEXT(Orders!$D$2:$D$2517,""d-mmm"")=TEXT($A60,""d-mmm"")) * (ABS(Orders!$H$2:$H$2517 - Orders!$U$2:$U$2517) &gt;= 1) * (Orders!$M$2:$M$2517=""Delivered""))), ""All Balanced"")"),"TR28351")</f>
        <v>TR28351</v>
      </c>
      <c r="AG60" s="2" t="str">
        <f>IFERROR(__xludf.DUMMYFUNCTION("IFERROR(TEXTJOIN("", "", TRUE, FILTER(Orders!$I$2:$I$3000, (Orders!$M$2:$M$3000=""Delivered"") * (Orders!$N$2:$N$3000&lt;&gt;""Paid"") * (Orders!$Z$2:$Z$3000=$A60))), """")"),"")</f>
        <v/>
      </c>
      <c r="AH60" s="2">
        <f t="shared" si="55"/>
        <v>0</v>
      </c>
    </row>
    <row r="61">
      <c r="A61" s="145">
        <v>46037.0</v>
      </c>
      <c r="B61" s="108">
        <f t="shared" si="38"/>
        <v>3193.315789</v>
      </c>
      <c r="C61" s="108">
        <f>SUMIFS(Orders!$H:$H, Orders!$Z:$Z, $A61, Orders!$M:$M, "Delivered")</f>
        <v>60673</v>
      </c>
      <c r="D61" s="109">
        <f>SUMIFS(Orders!$Q:$Q, Orders!$Z:$Z, $A61, Orders!$M:$M, "Delivered")</f>
        <v>19920</v>
      </c>
      <c r="E61" s="110">
        <f t="shared" si="39"/>
        <v>0.3283173735</v>
      </c>
      <c r="F61" s="111">
        <f t="shared" si="40"/>
        <v>58246.08</v>
      </c>
      <c r="G61" s="111">
        <f t="shared" si="41"/>
        <v>2426.92</v>
      </c>
      <c r="H61" s="111">
        <f t="shared" si="42"/>
        <v>40753</v>
      </c>
      <c r="I61" s="112">
        <f t="shared" si="43"/>
        <v>32.11759761</v>
      </c>
      <c r="J61" s="113">
        <v>19486.71</v>
      </c>
      <c r="K61" s="114"/>
      <c r="L61" s="115">
        <f t="shared" si="44"/>
        <v>8226.92</v>
      </c>
      <c r="M61" s="116">
        <f>SUMIFS(Orders!$W:$W, Orders!$Z:$Z, $A61)</f>
        <v>8504.69</v>
      </c>
      <c r="N61" s="117">
        <f t="shared" si="45"/>
        <v>12761.6</v>
      </c>
      <c r="O61" s="118">
        <f t="shared" si="46"/>
        <v>65.51724138</v>
      </c>
      <c r="P61" s="113">
        <v>6.04825576</v>
      </c>
      <c r="Q61" s="119">
        <f t="shared" si="47"/>
        <v>573.1385294</v>
      </c>
      <c r="R61" s="120">
        <f t="shared" si="48"/>
        <v>671.9555172</v>
      </c>
      <c r="S61" s="109">
        <f>COUNTIFS(Orders!$Z:$Z, $A61)</f>
        <v>34</v>
      </c>
      <c r="T61" s="111">
        <f>COUNTIFS(Orders!$Z:$Z, $A61, Orders!$M:$M, "Cancelled")</f>
        <v>5</v>
      </c>
      <c r="U61" s="121">
        <f t="shared" si="49"/>
        <v>0.1470588235</v>
      </c>
      <c r="V61" s="122">
        <f>COUNTIFS(Orders!$Z:$Z, $A61, Orders!$M:$M, "pending")</f>
        <v>0</v>
      </c>
      <c r="W61" s="122">
        <f t="shared" si="50"/>
        <v>29</v>
      </c>
      <c r="X61" s="70">
        <f t="shared" si="51"/>
        <v>0.8529411765</v>
      </c>
      <c r="Y61" s="6">
        <f>COUNTIFS(Orders!$Z:$Z, $A61, Orders!$M:$M, "Delivered")</f>
        <v>19</v>
      </c>
      <c r="Z61" s="6">
        <f>COUNTIFS(Orders!$Z:$Z, $A61, Orders!$M:$M, "Return Received")</f>
        <v>10</v>
      </c>
      <c r="AA61" s="123">
        <f t="shared" si="52"/>
        <v>0</v>
      </c>
      <c r="AB61" s="6">
        <f>COUNTIFS(Orders!$Z:$Z, $A61, Orders!$M:$M, "Returned") + COUNTIFS(Orders!$Z:$Z, $A61, Orders!$M:$M, "Returned to Shipper")</f>
        <v>0</v>
      </c>
      <c r="AC61" s="6">
        <f t="shared" si="53"/>
        <v>0</v>
      </c>
      <c r="AD61" s="2">
        <f>SUMIFS(Orders!$U:$U, Orders!$Z:$Z, $A61, Orders!$M:$M, "Delivered")</f>
        <v>60673</v>
      </c>
      <c r="AE61" s="124">
        <f t="shared" si="54"/>
        <v>0</v>
      </c>
      <c r="AF61" s="2" t="str">
        <f>IFERROR(__xludf.DUMMYFUNCTION("IFERROR(TEXTJOIN("", "", TRUE, FILTER(Orders!$B$2:$B$2517, (TEXT(Orders!$D$2:$D$2517,""d-mmm"")=TEXT($A61,""d-mmm"")) * (ABS(Orders!$H$2:$H$2517 - Orders!$U$2:$U$2517) &gt;= 1) * (Orders!$M$2:$M$2517=""Delivered""))), ""All Balanced"")"),"All Balanced")</f>
        <v>All Balanced</v>
      </c>
      <c r="AG61" s="2" t="str">
        <f>IFERROR(__xludf.DUMMYFUNCTION("IFERROR(TEXTJOIN("", "", TRUE, FILTER(Orders!$I$2:$I$3000, (Orders!$M$2:$M$3000=""Delivered"") * (Orders!$N$2:$N$3000&lt;&gt;""Paid"") * (Orders!$Z$2:$Z$3000=$A61))), """")"),"")</f>
        <v/>
      </c>
      <c r="AH61" s="2">
        <f t="shared" si="55"/>
        <v>0</v>
      </c>
    </row>
    <row r="62">
      <c r="A62" s="145">
        <v>46038.0</v>
      </c>
      <c r="B62" s="108">
        <f t="shared" si="38"/>
        <v>4725.761905</v>
      </c>
      <c r="C62" s="108">
        <f>SUMIFS(Orders!$H:$H, Orders!$Z:$Z, $A62, Orders!$M:$M, "Delivered")</f>
        <v>99241</v>
      </c>
      <c r="D62" s="109">
        <f>SUMIFS(Orders!$Q:$Q, Orders!$Z:$Z, $A62, Orders!$M:$M, "Delivered")</f>
        <v>38190</v>
      </c>
      <c r="E62" s="110">
        <f t="shared" si="39"/>
        <v>0.3848207898</v>
      </c>
      <c r="F62" s="111">
        <f t="shared" si="40"/>
        <v>95271.36</v>
      </c>
      <c r="G62" s="111">
        <f t="shared" si="41"/>
        <v>3969.64</v>
      </c>
      <c r="H62" s="111">
        <f t="shared" si="42"/>
        <v>61051</v>
      </c>
      <c r="I62" s="112">
        <f t="shared" si="43"/>
        <v>23.98194295</v>
      </c>
      <c r="J62" s="113">
        <v>23799.92</v>
      </c>
      <c r="K62" s="114"/>
      <c r="L62" s="115">
        <f t="shared" si="44"/>
        <v>10369.64</v>
      </c>
      <c r="M62" s="116">
        <f>SUMIFS(Orders!$W:$W, Orders!$Z:$Z, $A62)</f>
        <v>9485.84</v>
      </c>
      <c r="N62" s="117">
        <f t="shared" si="45"/>
        <v>27765.24</v>
      </c>
      <c r="O62" s="118">
        <f t="shared" si="46"/>
        <v>65.625</v>
      </c>
      <c r="P62" s="113">
        <v>4.87685273</v>
      </c>
      <c r="Q62" s="119">
        <f t="shared" si="47"/>
        <v>679.9977143</v>
      </c>
      <c r="R62" s="120">
        <f t="shared" si="48"/>
        <v>743.7475</v>
      </c>
      <c r="S62" s="109">
        <f>COUNTIFS(Orders!$Z:$Z, $A62)</f>
        <v>35</v>
      </c>
      <c r="T62" s="111">
        <f>COUNTIFS(Orders!$Z:$Z, $A62, Orders!$M:$M, "Cancelled")</f>
        <v>3</v>
      </c>
      <c r="U62" s="121">
        <f t="shared" si="49"/>
        <v>0.08571428571</v>
      </c>
      <c r="V62" s="122">
        <f>COUNTIFS(Orders!$Z:$Z, $A62, Orders!$M:$M, "pending")</f>
        <v>0</v>
      </c>
      <c r="W62" s="122">
        <f t="shared" si="50"/>
        <v>32</v>
      </c>
      <c r="X62" s="70">
        <f t="shared" si="51"/>
        <v>0.9142857143</v>
      </c>
      <c r="Y62" s="6">
        <f>COUNTIFS(Orders!$Z:$Z, $A62, Orders!$M:$M, "Delivered")</f>
        <v>21</v>
      </c>
      <c r="Z62" s="6">
        <f>COUNTIFS(Orders!$Z:$Z, $A62, Orders!$M:$M, "Return Received")</f>
        <v>11</v>
      </c>
      <c r="AA62" s="123">
        <f t="shared" si="52"/>
        <v>0</v>
      </c>
      <c r="AB62" s="6">
        <f>COUNTIFS(Orders!$Z:$Z, $A62, Orders!$M:$M, "Returned") + COUNTIFS(Orders!$Z:$Z, $A62, Orders!$M:$M, "Returned to Shipper")</f>
        <v>0</v>
      </c>
      <c r="AC62" s="6">
        <f t="shared" si="53"/>
        <v>0</v>
      </c>
      <c r="AD62" s="2">
        <f>SUMIFS(Orders!$U:$U, Orders!$Z:$Z, $A62, Orders!$M:$M, "Delivered")</f>
        <v>96142</v>
      </c>
      <c r="AE62" s="124">
        <f t="shared" si="54"/>
        <v>3099</v>
      </c>
      <c r="AF62" s="125" t="str">
        <f>IFERROR(__xludf.DUMMYFUNCTION("IFERROR(TEXTJOIN("", "", TRUE, FILTER(Orders!$B$2:$B$2517, (TEXT(Orders!$D$2:$D$2517,""d-mmm"")=TEXT($A62,""d-mmm"")) * (ABS(Orders!$H$2:$H$2517 - Orders!$U$2:$U$2517) &gt;= 1) * (Orders!$M$2:$M$2517=""Delivered""))), ""All Balanced"")"),"TR28392")</f>
        <v>TR28392</v>
      </c>
      <c r="AG62" s="2" t="str">
        <f>IFERROR(__xludf.DUMMYFUNCTION("IFERROR(TEXTJOIN("", "", TRUE, FILTER(Orders!$I$2:$I$3000, (Orders!$M$2:$M$3000=""Delivered"") * (Orders!$N$2:$N$3000&lt;&gt;""Paid"") * (Orders!$Z$2:$Z$3000=$A62))), """")"),"")</f>
        <v/>
      </c>
      <c r="AH62" s="2">
        <f t="shared" si="55"/>
        <v>0</v>
      </c>
    </row>
    <row r="63">
      <c r="A63" s="145">
        <v>46039.0</v>
      </c>
      <c r="B63" s="108">
        <f t="shared" si="38"/>
        <v>3100.0625</v>
      </c>
      <c r="C63" s="108">
        <f>SUMIFS(Orders!$H:$H, Orders!$Z:$Z, $A63, Orders!$M:$M, "Delivered")</f>
        <v>49601</v>
      </c>
      <c r="D63" s="109">
        <f>SUMIFS(Orders!$Q:$Q, Orders!$Z:$Z, $A63, Orders!$M:$M, "Delivered")</f>
        <v>16660</v>
      </c>
      <c r="E63" s="110">
        <f t="shared" si="39"/>
        <v>0.335880325</v>
      </c>
      <c r="F63" s="111">
        <f t="shared" si="40"/>
        <v>47616.96</v>
      </c>
      <c r="G63" s="111">
        <f t="shared" si="41"/>
        <v>1984.04</v>
      </c>
      <c r="H63" s="111">
        <f t="shared" si="42"/>
        <v>32941</v>
      </c>
      <c r="I63" s="112">
        <f t="shared" si="43"/>
        <v>50.37567791</v>
      </c>
      <c r="J63" s="113">
        <v>24986.84</v>
      </c>
      <c r="K63" s="114"/>
      <c r="L63" s="115">
        <f t="shared" si="44"/>
        <v>7184.04</v>
      </c>
      <c r="M63" s="116">
        <f>SUMIFS(Orders!$W:$W, Orders!$Z:$Z, $A63)</f>
        <v>6959.72</v>
      </c>
      <c r="N63" s="117">
        <f t="shared" si="45"/>
        <v>994.44</v>
      </c>
      <c r="O63" s="118">
        <f t="shared" si="46"/>
        <v>61.53846154</v>
      </c>
      <c r="P63" s="113">
        <v>3.85145525</v>
      </c>
      <c r="Q63" s="119">
        <f t="shared" si="47"/>
        <v>832.8946667</v>
      </c>
      <c r="R63" s="120">
        <f t="shared" si="48"/>
        <v>961.0323077</v>
      </c>
      <c r="S63" s="109">
        <f>COUNTIFS(Orders!$Z:$Z, $A63)</f>
        <v>30</v>
      </c>
      <c r="T63" s="111">
        <f>COUNTIFS(Orders!$Z:$Z, $A63, Orders!$M:$M, "Cancelled")</f>
        <v>4</v>
      </c>
      <c r="U63" s="121">
        <f t="shared" si="49"/>
        <v>0.1333333333</v>
      </c>
      <c r="V63" s="122">
        <f>COUNTIFS(Orders!$Z:$Z, $A63, Orders!$M:$M, "pending")</f>
        <v>0</v>
      </c>
      <c r="W63" s="122">
        <f t="shared" si="50"/>
        <v>26</v>
      </c>
      <c r="X63" s="70">
        <f t="shared" si="51"/>
        <v>0.8666666667</v>
      </c>
      <c r="Y63" s="6">
        <f>COUNTIFS(Orders!$Z:$Z, $A63, Orders!$M:$M, "Delivered")</f>
        <v>16</v>
      </c>
      <c r="Z63" s="6">
        <f>COUNTIFS(Orders!$Z:$Z, $A63, Orders!$M:$M, "Return Received")</f>
        <v>10</v>
      </c>
      <c r="AA63" s="123">
        <f t="shared" si="52"/>
        <v>0</v>
      </c>
      <c r="AB63" s="6">
        <f>COUNTIFS(Orders!$Z:$Z, $A63, Orders!$M:$M, "Returned") + COUNTIFS(Orders!$Z:$Z, $A63, Orders!$M:$M, "Returned to Shipper")</f>
        <v>0</v>
      </c>
      <c r="AC63" s="6">
        <f t="shared" si="53"/>
        <v>0</v>
      </c>
      <c r="AD63" s="2">
        <f>SUMIFS(Orders!$U:$U, Orders!$Z:$Z, $A63, Orders!$M:$M, "Delivered")</f>
        <v>49601</v>
      </c>
      <c r="AE63" s="124">
        <f t="shared" si="54"/>
        <v>0</v>
      </c>
      <c r="AF63" s="2" t="str">
        <f>IFERROR(__xludf.DUMMYFUNCTION("IFERROR(TEXTJOIN("", "", TRUE, FILTER(Orders!$B$2:$B$2517, (TEXT(Orders!$D$2:$D$2517,""d-mmm"")=TEXT($A63,""d-mmm"")) * (ABS(Orders!$H$2:$H$2517 - Orders!$U$2:$U$2517) &gt;= 1) * (Orders!$M$2:$M$2517=""Delivered""))), ""All Balanced"")"),"All Balanced")</f>
        <v>All Balanced</v>
      </c>
      <c r="AG63" s="2" t="str">
        <f>IFERROR(__xludf.DUMMYFUNCTION("IFERROR(TEXTJOIN("", "", TRUE, FILTER(Orders!$I$2:$I$3000, (Orders!$M$2:$M$3000=""Delivered"") * (Orders!$N$2:$N$3000&lt;&gt;""Paid"") * (Orders!$Z$2:$Z$3000=$A63))), """")"),"")</f>
        <v/>
      </c>
      <c r="AH63" s="2">
        <f t="shared" si="55"/>
        <v>0</v>
      </c>
    </row>
    <row r="64">
      <c r="A64" s="145">
        <v>46040.0</v>
      </c>
      <c r="B64" s="108">
        <f t="shared" si="38"/>
        <v>3348.833333</v>
      </c>
      <c r="C64" s="108">
        <f>SUMIFS(Orders!$H:$H, Orders!$Z:$Z, $A64, Orders!$M:$M, "Delivered")</f>
        <v>40186</v>
      </c>
      <c r="D64" s="109">
        <f>SUMIFS(Orders!$Q:$Q, Orders!$Z:$Z, $A64, Orders!$M:$M, "Delivered")</f>
        <v>13270</v>
      </c>
      <c r="E64" s="110">
        <f t="shared" si="39"/>
        <v>0.3302145026</v>
      </c>
      <c r="F64" s="111">
        <f t="shared" si="40"/>
        <v>38578.56</v>
      </c>
      <c r="G64" s="111">
        <f t="shared" si="41"/>
        <v>1607.44</v>
      </c>
      <c r="H64" s="111">
        <f t="shared" si="42"/>
        <v>26916</v>
      </c>
      <c r="I64" s="112">
        <f t="shared" si="43"/>
        <v>52.94911163</v>
      </c>
      <c r="J64" s="113">
        <v>21278.13</v>
      </c>
      <c r="K64" s="114"/>
      <c r="L64" s="115">
        <f t="shared" si="44"/>
        <v>5807.44</v>
      </c>
      <c r="M64" s="116">
        <f>SUMIFS(Orders!$W:$W, Orders!$Z:$Z, $A64)</f>
        <v>5474</v>
      </c>
      <c r="N64" s="117">
        <f t="shared" si="45"/>
        <v>163.87</v>
      </c>
      <c r="O64" s="118">
        <f t="shared" si="46"/>
        <v>57.14285714</v>
      </c>
      <c r="P64" s="113">
        <v>3.94303069</v>
      </c>
      <c r="Q64" s="119">
        <f t="shared" si="47"/>
        <v>851.1252</v>
      </c>
      <c r="R64" s="120">
        <f t="shared" si="48"/>
        <v>1013.244286</v>
      </c>
      <c r="S64" s="109">
        <f>COUNTIFS(Orders!$Z:$Z, $A64)</f>
        <v>25</v>
      </c>
      <c r="T64" s="111">
        <f>COUNTIFS(Orders!$Z:$Z, $A64, Orders!$M:$M, "Cancelled")</f>
        <v>4</v>
      </c>
      <c r="U64" s="121">
        <f t="shared" si="49"/>
        <v>0.16</v>
      </c>
      <c r="V64" s="122">
        <f>COUNTIFS(Orders!$Z:$Z, $A64, Orders!$M:$M, "pending")</f>
        <v>0</v>
      </c>
      <c r="W64" s="122">
        <f t="shared" si="50"/>
        <v>21</v>
      </c>
      <c r="X64" s="70">
        <f t="shared" si="51"/>
        <v>0.84</v>
      </c>
      <c r="Y64" s="6">
        <f>COUNTIFS(Orders!$Z:$Z, $A64, Orders!$M:$M, "Delivered")</f>
        <v>12</v>
      </c>
      <c r="Z64" s="6">
        <f>COUNTIFS(Orders!$Z:$Z, $A64, Orders!$M:$M, "Return Received")</f>
        <v>9</v>
      </c>
      <c r="AA64" s="123">
        <f t="shared" si="52"/>
        <v>0</v>
      </c>
      <c r="AB64" s="6">
        <f>COUNTIFS(Orders!$Z:$Z, $A64, Orders!$M:$M, "Returned") + COUNTIFS(Orders!$Z:$Z, $A64, Orders!$M:$M, "Returned to Shipper")</f>
        <v>0</v>
      </c>
      <c r="AC64" s="6">
        <f t="shared" si="53"/>
        <v>0</v>
      </c>
      <c r="AD64" s="2">
        <f>SUMIFS(Orders!$U:$U, Orders!$Z:$Z, $A64, Orders!$M:$M, "Delivered")</f>
        <v>40186</v>
      </c>
      <c r="AE64" s="124">
        <f t="shared" si="54"/>
        <v>0</v>
      </c>
      <c r="AF64" s="2" t="str">
        <f>IFERROR(__xludf.DUMMYFUNCTION("IFERROR(TEXTJOIN("", "", TRUE, FILTER(Orders!$B$2:$B$2517, (TEXT(Orders!$D$2:$D$2517,""d-mmm"")=TEXT($A64,""d-mmm"")) * (ABS(Orders!$H$2:$H$2517 - Orders!$U$2:$U$2517) &gt;= 1) * (Orders!$M$2:$M$2517=""Delivered""))), ""All Balanced"")"),"All Balanced")</f>
        <v>All Balanced</v>
      </c>
      <c r="AG64" s="2" t="str">
        <f>IFERROR(__xludf.DUMMYFUNCTION("IFERROR(TEXTJOIN("", "", TRUE, FILTER(Orders!$I$2:$I$3000, (Orders!$M$2:$M$3000=""Delivered"") * (Orders!$N$2:$N$3000&lt;&gt;""Paid"") * (Orders!$Z$2:$Z$3000=$A64))), """")"),"")</f>
        <v/>
      </c>
      <c r="AH64" s="2">
        <f t="shared" si="55"/>
        <v>0</v>
      </c>
    </row>
    <row r="65">
      <c r="A65" s="145">
        <v>46041.0</v>
      </c>
      <c r="B65" s="108">
        <f t="shared" si="38"/>
        <v>3075.421053</v>
      </c>
      <c r="C65" s="108">
        <f>SUMIFS(Orders!$H:$H, Orders!$Z:$Z, $A65, Orders!$M:$M, "Delivered")</f>
        <v>58433</v>
      </c>
      <c r="D65" s="109">
        <f>SUMIFS(Orders!$Q:$Q, Orders!$Z:$Z, $A65, Orders!$M:$M, "Delivered")</f>
        <v>21360</v>
      </c>
      <c r="E65" s="110">
        <f t="shared" si="39"/>
        <v>0.3655468656</v>
      </c>
      <c r="F65" s="111">
        <f t="shared" si="40"/>
        <v>56095.68</v>
      </c>
      <c r="G65" s="111">
        <f t="shared" si="41"/>
        <v>2337.32</v>
      </c>
      <c r="H65" s="111">
        <f t="shared" si="42"/>
        <v>37073</v>
      </c>
      <c r="I65" s="112">
        <f t="shared" si="43"/>
        <v>32.94501395</v>
      </c>
      <c r="J65" s="113">
        <v>19250.76</v>
      </c>
      <c r="K65" s="114"/>
      <c r="L65" s="115">
        <f t="shared" si="44"/>
        <v>7337.32</v>
      </c>
      <c r="M65" s="116">
        <f>SUMIFS(Orders!$W:$W, Orders!$Z:$Z, $A65)</f>
        <v>7418.94</v>
      </c>
      <c r="N65" s="117">
        <f t="shared" si="45"/>
        <v>10403.3</v>
      </c>
      <c r="O65" s="118">
        <f t="shared" si="46"/>
        <v>76</v>
      </c>
      <c r="P65" s="113">
        <v>5.71363301</v>
      </c>
      <c r="Q65" s="119">
        <f t="shared" si="47"/>
        <v>620.9922581</v>
      </c>
      <c r="R65" s="120">
        <f t="shared" si="48"/>
        <v>770.0304</v>
      </c>
      <c r="S65" s="109">
        <f>COUNTIFS(Orders!$Z:$Z, $A65)</f>
        <v>31</v>
      </c>
      <c r="T65" s="111">
        <f>COUNTIFS(Orders!$Z:$Z, $A65, Orders!$M:$M, "Cancelled")</f>
        <v>6</v>
      </c>
      <c r="U65" s="121">
        <f t="shared" si="49"/>
        <v>0.1935483871</v>
      </c>
      <c r="V65" s="122">
        <f>COUNTIFS(Orders!$Z:$Z, $A65, Orders!$M:$M, "pending")</f>
        <v>0</v>
      </c>
      <c r="W65" s="122">
        <f t="shared" si="50"/>
        <v>25</v>
      </c>
      <c r="X65" s="70">
        <f t="shared" si="51"/>
        <v>0.8064516129</v>
      </c>
      <c r="Y65" s="6">
        <f>COUNTIFS(Orders!$Z:$Z, $A65, Orders!$M:$M, "Delivered")</f>
        <v>19</v>
      </c>
      <c r="Z65" s="6">
        <f>COUNTIFS(Orders!$Z:$Z, $A65, Orders!$M:$M, "Return Received")</f>
        <v>6</v>
      </c>
      <c r="AA65" s="123">
        <f t="shared" si="52"/>
        <v>0</v>
      </c>
      <c r="AB65" s="6">
        <f>COUNTIFS(Orders!$Z:$Z, $A65, Orders!$M:$M, "Returned") + COUNTIFS(Orders!$Z:$Z, $A65, Orders!$M:$M, "Returned to Shipper")</f>
        <v>0</v>
      </c>
      <c r="AC65" s="6">
        <f t="shared" si="53"/>
        <v>0</v>
      </c>
      <c r="AD65" s="2">
        <f>SUMIFS(Orders!$U:$U, Orders!$Z:$Z, $A65, Orders!$M:$M, "Delivered")</f>
        <v>58433</v>
      </c>
      <c r="AE65" s="124">
        <f t="shared" si="54"/>
        <v>0</v>
      </c>
      <c r="AF65" s="2" t="str">
        <f>IFERROR(__xludf.DUMMYFUNCTION("IFERROR(TEXTJOIN("", "", TRUE, FILTER(Orders!$B$2:$B$2517, (TEXT(Orders!$D$2:$D$2517,""d-mmm"")=TEXT($A65,""d-mmm"")) * (ABS(Orders!$H$2:$H$2517 - Orders!$U$2:$U$2517) &gt;= 1) * (Orders!$M$2:$M$2517=""Delivered""))), ""All Balanced"")"),"All Balanced")</f>
        <v>All Balanced</v>
      </c>
      <c r="AG65" s="2" t="str">
        <f>IFERROR(__xludf.DUMMYFUNCTION("IFERROR(TEXTJOIN("", "", TRUE, FILTER(Orders!$I$2:$I$3000, (Orders!$M$2:$M$3000=""Delivered"") * (Orders!$N$2:$N$3000&lt;&gt;""Paid"") * (Orders!$Z$2:$Z$3000=$A65))), """")"),"")</f>
        <v/>
      </c>
      <c r="AH65" s="2">
        <f t="shared" si="55"/>
        <v>0</v>
      </c>
    </row>
    <row r="66">
      <c r="A66" s="145">
        <v>46042.0</v>
      </c>
      <c r="B66" s="108">
        <f t="shared" si="38"/>
        <v>3040.75</v>
      </c>
      <c r="C66" s="108">
        <f>SUMIFS(Orders!$H:$H, Orders!$Z:$Z, $A66, Orders!$M:$M, "Delivered")</f>
        <v>36489</v>
      </c>
      <c r="D66" s="109">
        <f>SUMIFS(Orders!$Q:$Q, Orders!$Z:$Z, $A66, Orders!$M:$M, "Delivered")</f>
        <v>13110</v>
      </c>
      <c r="E66" s="110">
        <f t="shared" si="39"/>
        <v>0.3592863603</v>
      </c>
      <c r="F66" s="111">
        <f t="shared" si="40"/>
        <v>35029.44</v>
      </c>
      <c r="G66" s="111">
        <f t="shared" si="41"/>
        <v>1459.56</v>
      </c>
      <c r="H66" s="111">
        <f t="shared" si="42"/>
        <v>23379</v>
      </c>
      <c r="I66" s="112">
        <f t="shared" si="43"/>
        <v>53.21017293</v>
      </c>
      <c r="J66" s="113">
        <v>19415.86</v>
      </c>
      <c r="K66" s="114"/>
      <c r="L66" s="115">
        <f t="shared" si="44"/>
        <v>6059.56</v>
      </c>
      <c r="M66" s="116">
        <f>SUMIFS(Orders!$W:$W, Orders!$Z:$Z, $A66)</f>
        <v>6171.64</v>
      </c>
      <c r="N66" s="117">
        <f t="shared" si="45"/>
        <v>-2208.5</v>
      </c>
      <c r="O66" s="118">
        <f t="shared" si="46"/>
        <v>52.17391304</v>
      </c>
      <c r="P66" s="113">
        <v>4.97496428</v>
      </c>
      <c r="Q66" s="119">
        <f t="shared" si="47"/>
        <v>693.4235714</v>
      </c>
      <c r="R66" s="120">
        <f t="shared" si="48"/>
        <v>844.1678261</v>
      </c>
      <c r="S66" s="109">
        <f>COUNTIFS(Orders!$Z:$Z, $A66)</f>
        <v>28</v>
      </c>
      <c r="T66" s="111">
        <f>COUNTIFS(Orders!$Z:$Z, $A66, Orders!$M:$M, "Cancelled")</f>
        <v>5</v>
      </c>
      <c r="U66" s="121">
        <f t="shared" si="49"/>
        <v>0.1785714286</v>
      </c>
      <c r="V66" s="122">
        <f>COUNTIFS(Orders!$Z:$Z, $A66, Orders!$M:$M, "pending")</f>
        <v>0</v>
      </c>
      <c r="W66" s="122">
        <f t="shared" si="50"/>
        <v>23</v>
      </c>
      <c r="X66" s="70">
        <f t="shared" si="51"/>
        <v>0.8214285714</v>
      </c>
      <c r="Y66" s="6">
        <f>COUNTIFS(Orders!$Z:$Z, $A66, Orders!$M:$M, "Delivered")</f>
        <v>12</v>
      </c>
      <c r="Z66" s="6">
        <f>COUNTIFS(Orders!$Z:$Z, $A66, Orders!$M:$M, "Return Received")</f>
        <v>11</v>
      </c>
      <c r="AA66" s="123">
        <f t="shared" si="52"/>
        <v>0</v>
      </c>
      <c r="AB66" s="6">
        <f>COUNTIFS(Orders!$Z:$Z, $A66, Orders!$M:$M, "Returned") + COUNTIFS(Orders!$Z:$Z, $A66, Orders!$M:$M, "Returned to Shipper")</f>
        <v>0</v>
      </c>
      <c r="AC66" s="6">
        <f t="shared" si="53"/>
        <v>0</v>
      </c>
      <c r="AD66" s="2">
        <f>SUMIFS(Orders!$U:$U, Orders!$Z:$Z, $A66, Orders!$M:$M, "Delivered")</f>
        <v>36489</v>
      </c>
      <c r="AE66" s="124">
        <f t="shared" si="54"/>
        <v>0</v>
      </c>
      <c r="AF66" s="29" t="str">
        <f>IFERROR(__xludf.DUMMYFUNCTION("IFERROR(TEXTJOIN("", "", TRUE, FILTER(Orders!$B$2:$B$2517, (TEXT(Orders!$D$2:$D$2517,""d-mmm"")=TEXT($A66,""d-mmm"")) * (ABS(Orders!$H$2:$H$2517 - Orders!$U$2:$U$2517) &gt;= 1) * (Orders!$M$2:$M$2517=""Delivered""))), ""All Balanced"")"),"All Balanced")</f>
        <v>All Balanced</v>
      </c>
      <c r="AG66" s="2" t="str">
        <f>IFERROR(__xludf.DUMMYFUNCTION("IFERROR(TEXTJOIN("", "", TRUE, FILTER(Orders!$I$2:$I$3000, (Orders!$M$2:$M$3000=""Delivered"") * (Orders!$N$2:$N$3000&lt;&gt;""Paid"") * (Orders!$Z$2:$Z$3000=$A66))), """")"),"")</f>
        <v/>
      </c>
      <c r="AH66" s="2">
        <f t="shared" si="55"/>
        <v>0</v>
      </c>
    </row>
    <row r="67">
      <c r="A67" s="145">
        <v>46043.0</v>
      </c>
      <c r="B67" s="108">
        <f t="shared" si="38"/>
        <v>3264.578947</v>
      </c>
      <c r="C67" s="108">
        <f>SUMIFS(Orders!$H:$H, Orders!$Z:$Z, $A67, Orders!$M:$M, "Delivered")</f>
        <v>62027</v>
      </c>
      <c r="D67" s="109">
        <f>SUMIFS(Orders!$Q:$Q, Orders!$Z:$Z, $A67, Orders!$M:$M, "Delivered")</f>
        <v>21330</v>
      </c>
      <c r="E67" s="110">
        <f t="shared" si="39"/>
        <v>0.3438825028</v>
      </c>
      <c r="F67" s="111">
        <f t="shared" si="40"/>
        <v>59545.92</v>
      </c>
      <c r="G67" s="111">
        <f t="shared" si="41"/>
        <v>2481.08</v>
      </c>
      <c r="H67" s="111">
        <f t="shared" si="42"/>
        <v>40697</v>
      </c>
      <c r="I67" s="112">
        <f t="shared" si="43"/>
        <v>30.42629822</v>
      </c>
      <c r="J67" s="113">
        <v>18872.52</v>
      </c>
      <c r="K67" s="114"/>
      <c r="L67" s="115">
        <f t="shared" si="44"/>
        <v>7681.08</v>
      </c>
      <c r="M67" s="116">
        <f>SUMIFS(Orders!$W:$W, Orders!$Z:$Z, $A67)</f>
        <v>7360.94</v>
      </c>
      <c r="N67" s="117">
        <f t="shared" si="45"/>
        <v>14463.54</v>
      </c>
      <c r="O67" s="118">
        <f t="shared" si="46"/>
        <v>73.07692308</v>
      </c>
      <c r="P67" s="113">
        <v>4.48334309</v>
      </c>
      <c r="Q67" s="119">
        <f t="shared" si="47"/>
        <v>698.9822222</v>
      </c>
      <c r="R67" s="120">
        <f t="shared" si="48"/>
        <v>725.8661538</v>
      </c>
      <c r="S67" s="109">
        <f>COUNTIFS(Orders!$Z:$Z, $A67)</f>
        <v>27</v>
      </c>
      <c r="T67" s="111">
        <f>COUNTIFS(Orders!$Z:$Z, $A67, Orders!$M:$M, "Cancelled")</f>
        <v>1</v>
      </c>
      <c r="U67" s="121">
        <f t="shared" si="49"/>
        <v>0.03703703704</v>
      </c>
      <c r="V67" s="122">
        <f>COUNTIFS(Orders!$Z:$Z, $A67, Orders!$M:$M, "pending")</f>
        <v>0</v>
      </c>
      <c r="W67" s="122">
        <f t="shared" si="50"/>
        <v>26</v>
      </c>
      <c r="X67" s="70">
        <f t="shared" si="51"/>
        <v>0.962962963</v>
      </c>
      <c r="Y67" s="6">
        <f>COUNTIFS(Orders!$Z:$Z, $A67, Orders!$M:$M, "Delivered")</f>
        <v>19</v>
      </c>
      <c r="Z67" s="6">
        <f>COUNTIFS(Orders!$Z:$Z, $A67, Orders!$M:$M, "Return Received")</f>
        <v>7</v>
      </c>
      <c r="AA67" s="123">
        <f t="shared" si="52"/>
        <v>0</v>
      </c>
      <c r="AB67" s="6">
        <f>COUNTIFS(Orders!$Z:$Z, $A67, Orders!$M:$M, "Returned") + COUNTIFS(Orders!$Z:$Z, $A67, Orders!$M:$M, "Returned to Shipper")</f>
        <v>0</v>
      </c>
      <c r="AC67" s="6">
        <f t="shared" si="53"/>
        <v>0</v>
      </c>
      <c r="AD67" s="2">
        <f>SUMIFS(Orders!$U:$U, Orders!$Z:$Z, $A67, Orders!$M:$M, "Delivered")</f>
        <v>62027</v>
      </c>
      <c r="AE67" s="124">
        <f t="shared" si="54"/>
        <v>0</v>
      </c>
      <c r="AF67" s="2" t="str">
        <f>IFERROR(__xludf.DUMMYFUNCTION("IFERROR(TEXTJOIN("", "", TRUE, FILTER(Orders!$B$2:$B$2517, (TEXT(Orders!$D$2:$D$2517,""d-mmm"")=TEXT($A67,""d-mmm"")) * (ABS(Orders!$H$2:$H$2517 - Orders!$U$2:$U$2517) &gt;= 1) * (Orders!$M$2:$M$2517=""Delivered""))), ""All Balanced"")"),"All Balanced")</f>
        <v>All Balanced</v>
      </c>
      <c r="AG67" s="2" t="str">
        <f>IFERROR(__xludf.DUMMYFUNCTION("IFERROR(TEXTJOIN("", "", TRUE, FILTER(Orders!$I$2:$I$3000, (Orders!$M$2:$M$3000=""Delivered"") * (Orders!$N$2:$N$3000&lt;&gt;""Paid"") * (Orders!$Z$2:$Z$3000=$A67))), """")"),"")</f>
        <v/>
      </c>
      <c r="AH67" s="2">
        <f t="shared" si="55"/>
        <v>0</v>
      </c>
    </row>
    <row r="68">
      <c r="A68" s="145">
        <v>46044.0</v>
      </c>
      <c r="B68" s="108">
        <f t="shared" si="38"/>
        <v>3214.625</v>
      </c>
      <c r="C68" s="108">
        <f>SUMIFS(Orders!$H:$H, Orders!$Z:$Z, $A68, Orders!$M:$M, "Delivered")</f>
        <v>51434</v>
      </c>
      <c r="D68" s="109">
        <f>SUMIFS(Orders!$Q:$Q, Orders!$Z:$Z, $A68, Orders!$M:$M, "Delivered")</f>
        <v>17545</v>
      </c>
      <c r="E68" s="110">
        <f t="shared" si="39"/>
        <v>0.341116771</v>
      </c>
      <c r="F68" s="111">
        <f t="shared" si="40"/>
        <v>49376.64</v>
      </c>
      <c r="G68" s="111">
        <f t="shared" si="41"/>
        <v>2057.36</v>
      </c>
      <c r="H68" s="111">
        <f t="shared" si="42"/>
        <v>33889</v>
      </c>
      <c r="I68" s="112">
        <f t="shared" si="43"/>
        <v>35.02360306</v>
      </c>
      <c r="J68" s="113">
        <v>18014.04</v>
      </c>
      <c r="K68" s="114"/>
      <c r="L68" s="115">
        <f t="shared" si="44"/>
        <v>6857.36</v>
      </c>
      <c r="M68" s="116">
        <f>SUMIFS(Orders!$W:$W, Orders!$Z:$Z, $A68)</f>
        <v>7302.74</v>
      </c>
      <c r="N68" s="117">
        <f t="shared" si="45"/>
        <v>8572.22</v>
      </c>
      <c r="O68" s="118">
        <f t="shared" si="46"/>
        <v>66.66666667</v>
      </c>
      <c r="P68" s="113">
        <v>6.44299113</v>
      </c>
      <c r="Q68" s="119">
        <f t="shared" si="47"/>
        <v>600.468</v>
      </c>
      <c r="R68" s="120">
        <f t="shared" si="48"/>
        <v>750.585</v>
      </c>
      <c r="S68" s="109">
        <f>COUNTIFS(Orders!$Z:$Z, $A68)</f>
        <v>30</v>
      </c>
      <c r="T68" s="111">
        <f>COUNTIFS(Orders!$Z:$Z, $A68, Orders!$M:$M, "Cancelled")</f>
        <v>6</v>
      </c>
      <c r="U68" s="121">
        <f t="shared" si="49"/>
        <v>0.2</v>
      </c>
      <c r="V68" s="122">
        <f>COUNTIFS(Orders!$Z:$Z, $A68, Orders!$M:$M, "pending")</f>
        <v>0</v>
      </c>
      <c r="W68" s="122">
        <f t="shared" si="50"/>
        <v>24</v>
      </c>
      <c r="X68" s="70">
        <f t="shared" si="51"/>
        <v>0.8</v>
      </c>
      <c r="Y68" s="6">
        <f>COUNTIFS(Orders!$Z:$Z, $A68, Orders!$M:$M, "Delivered")</f>
        <v>16</v>
      </c>
      <c r="Z68" s="6">
        <f>COUNTIFS(Orders!$Z:$Z, $A68, Orders!$M:$M, "Return Received")</f>
        <v>8</v>
      </c>
      <c r="AA68" s="123">
        <f t="shared" si="52"/>
        <v>0</v>
      </c>
      <c r="AB68" s="6">
        <f>COUNTIFS(Orders!$Z:$Z, $A68, Orders!$M:$M, "Returned") + COUNTIFS(Orders!$Z:$Z, $A68, Orders!$M:$M, "Returned to Shipper")</f>
        <v>0</v>
      </c>
      <c r="AC68" s="6">
        <f t="shared" si="53"/>
        <v>0</v>
      </c>
      <c r="AD68" s="2">
        <f>SUMIFS(Orders!$U:$U, Orders!$Z:$Z, $A68, Orders!$M:$M, "Delivered")</f>
        <v>51434</v>
      </c>
      <c r="AE68" s="124">
        <f t="shared" si="54"/>
        <v>0</v>
      </c>
      <c r="AF68" s="2" t="str">
        <f>IFERROR(__xludf.DUMMYFUNCTION("IFERROR(TEXTJOIN("", "", TRUE, FILTER(Orders!$B$2:$B$2517, (TEXT(Orders!$D$2:$D$2517,""d-mmm"")=TEXT($A68,""d-mmm"")) * (ABS(Orders!$H$2:$H$2517 - Orders!$U$2:$U$2517) &gt;= 1) * (Orders!$M$2:$M$2517=""Delivered""))), ""All Balanced"")"),"All Balanced")</f>
        <v>All Balanced</v>
      </c>
      <c r="AG68" s="2" t="str">
        <f>IFERROR(__xludf.DUMMYFUNCTION("IFERROR(TEXTJOIN("", "", TRUE, FILTER(Orders!$I$2:$I$3000, (Orders!$M$2:$M$3000=""Delivered"") * (Orders!$N$2:$N$3000&lt;&gt;""Paid"") * (Orders!$Z$2:$Z$3000=$A68))), """")"),"")</f>
        <v/>
      </c>
      <c r="AH68" s="2">
        <f t="shared" si="55"/>
        <v>0</v>
      </c>
    </row>
    <row r="69">
      <c r="A69" s="145">
        <v>46045.0</v>
      </c>
      <c r="B69" s="108">
        <f t="shared" si="38"/>
        <v>4689.333333</v>
      </c>
      <c r="C69" s="108">
        <f>SUMIFS(Orders!$H:$H, Orders!$Z:$Z, $A69, Orders!$M:$M, "Delivered")</f>
        <v>98476</v>
      </c>
      <c r="D69" s="109">
        <f>SUMIFS(Orders!$Q:$Q, Orders!$Z:$Z, $A69, Orders!$M:$M, "Delivered")</f>
        <v>40315</v>
      </c>
      <c r="E69" s="110">
        <f t="shared" si="39"/>
        <v>0.4093890897</v>
      </c>
      <c r="F69" s="111">
        <f t="shared" si="40"/>
        <v>94536.96</v>
      </c>
      <c r="G69" s="111">
        <f t="shared" si="41"/>
        <v>3939.04</v>
      </c>
      <c r="H69" s="111">
        <f t="shared" si="42"/>
        <v>58161</v>
      </c>
      <c r="I69" s="112">
        <f t="shared" si="43"/>
        <v>20.03497299</v>
      </c>
      <c r="J69" s="113">
        <v>19729.64</v>
      </c>
      <c r="K69" s="114"/>
      <c r="L69" s="115">
        <f t="shared" si="44"/>
        <v>10539.04</v>
      </c>
      <c r="M69" s="116">
        <f>SUMIFS(Orders!$W:$W, Orders!$Z:$Z, $A69)</f>
        <v>9094.94</v>
      </c>
      <c r="N69" s="117">
        <f t="shared" si="45"/>
        <v>29336.42</v>
      </c>
      <c r="O69" s="118">
        <f t="shared" si="46"/>
        <v>63.63636364</v>
      </c>
      <c r="P69" s="113">
        <v>7.13423922</v>
      </c>
      <c r="Q69" s="119">
        <f t="shared" si="47"/>
        <v>505.8882051</v>
      </c>
      <c r="R69" s="120">
        <f t="shared" si="48"/>
        <v>597.8678788</v>
      </c>
      <c r="S69" s="109">
        <f>COUNTIFS(Orders!$Z:$Z, $A69)</f>
        <v>39</v>
      </c>
      <c r="T69" s="111">
        <f>COUNTIFS(Orders!$Z:$Z, $A69, Orders!$M:$M, "Cancelled")</f>
        <v>6</v>
      </c>
      <c r="U69" s="121">
        <f t="shared" si="49"/>
        <v>0.1538461538</v>
      </c>
      <c r="V69" s="122">
        <f>COUNTIFS(Orders!$Z:$Z, $A69, Orders!$M:$M, "pending")</f>
        <v>0</v>
      </c>
      <c r="W69" s="122">
        <f t="shared" si="50"/>
        <v>33</v>
      </c>
      <c r="X69" s="70">
        <f t="shared" si="51"/>
        <v>0.8461538462</v>
      </c>
      <c r="Y69" s="6">
        <f>COUNTIFS(Orders!$Z:$Z, $A69, Orders!$M:$M, "Delivered")</f>
        <v>21</v>
      </c>
      <c r="Z69" s="6">
        <f>COUNTIFS(Orders!$Z:$Z, $A69, Orders!$M:$M, "Return Received")</f>
        <v>12</v>
      </c>
      <c r="AA69" s="123">
        <f t="shared" si="52"/>
        <v>0</v>
      </c>
      <c r="AB69" s="6">
        <f>COUNTIFS(Orders!$Z:$Z, $A69, Orders!$M:$M, "Returned") + COUNTIFS(Orders!$Z:$Z, $A69, Orders!$M:$M, "Returned to Shipper")</f>
        <v>0</v>
      </c>
      <c r="AC69" s="6">
        <f t="shared" si="53"/>
        <v>0</v>
      </c>
      <c r="AD69" s="2">
        <f>SUMIFS(Orders!$U:$U, Orders!$Z:$Z, $A69, Orders!$M:$M, "Delivered")</f>
        <v>98476</v>
      </c>
      <c r="AE69" s="124">
        <f t="shared" si="54"/>
        <v>0</v>
      </c>
      <c r="AF69" s="2" t="str">
        <f>IFERROR(__xludf.DUMMYFUNCTION("IFERROR(TEXTJOIN("", "", TRUE, FILTER(Orders!$B$2:$B$2517, (TEXT(Orders!$D$2:$D$2517,""d-mmm"")=TEXT($A69,""d-mmm"")) * (ABS(Orders!$H$2:$H$2517 - Orders!$U$2:$U$2517) &gt;= 1) * (Orders!$M$2:$M$2517=""Delivered""))), ""All Balanced"")"),"All Balanced")</f>
        <v>All Balanced</v>
      </c>
      <c r="AG69" s="2" t="str">
        <f>IFERROR(__xludf.DUMMYFUNCTION("IFERROR(TEXTJOIN("", "", TRUE, FILTER(Orders!$I$2:$I$3000, (Orders!$M$2:$M$3000=""Delivered"") * (Orders!$N$2:$N$3000&lt;&gt;""Paid"") * (Orders!$Z$2:$Z$3000=$A69))), """")"),"")</f>
        <v/>
      </c>
      <c r="AH69" s="2">
        <f t="shared" si="55"/>
        <v>0</v>
      </c>
    </row>
    <row r="70">
      <c r="A70" s="145">
        <v>46046.0</v>
      </c>
      <c r="B70" s="108">
        <f t="shared" si="38"/>
        <v>3238</v>
      </c>
      <c r="C70" s="108">
        <f>SUMIFS(Orders!$H:$H, Orders!$Z:$Z, $A70, Orders!$M:$M, "Delivered")</f>
        <v>61522</v>
      </c>
      <c r="D70" s="109">
        <f>SUMIFS(Orders!$Q:$Q, Orders!$Z:$Z, $A70, Orders!$M:$M, "Delivered")</f>
        <v>20920</v>
      </c>
      <c r="E70" s="110">
        <f t="shared" si="39"/>
        <v>0.340040961</v>
      </c>
      <c r="F70" s="111">
        <f t="shared" si="40"/>
        <v>59061.12</v>
      </c>
      <c r="G70" s="111">
        <f t="shared" si="41"/>
        <v>2460.88</v>
      </c>
      <c r="H70" s="111">
        <f t="shared" si="42"/>
        <v>40602</v>
      </c>
      <c r="I70" s="112">
        <f t="shared" si="43"/>
        <v>31.62886447</v>
      </c>
      <c r="J70" s="113">
        <v>19458.71</v>
      </c>
      <c r="K70" s="114"/>
      <c r="L70" s="115">
        <f t="shared" si="44"/>
        <v>7460.88</v>
      </c>
      <c r="M70" s="116">
        <f>SUMIFS(Orders!$W:$W, Orders!$Z:$Z, $A70)</f>
        <v>7495.9152</v>
      </c>
      <c r="N70" s="117">
        <f t="shared" si="45"/>
        <v>13647.3748</v>
      </c>
      <c r="O70" s="118">
        <f t="shared" si="46"/>
        <v>76</v>
      </c>
      <c r="P70" s="113">
        <v>5.37656291</v>
      </c>
      <c r="Q70" s="119">
        <f t="shared" si="47"/>
        <v>648.6236667</v>
      </c>
      <c r="R70" s="120">
        <f t="shared" si="48"/>
        <v>778.3484</v>
      </c>
      <c r="S70" s="109">
        <f>COUNTIFS(Orders!$Z:$Z, $A70)</f>
        <v>30</v>
      </c>
      <c r="T70" s="111">
        <f>COUNTIFS(Orders!$Z:$Z, $A70, Orders!$M:$M, "Cancelled")</f>
        <v>5</v>
      </c>
      <c r="U70" s="121">
        <f t="shared" si="49"/>
        <v>0.1666666667</v>
      </c>
      <c r="V70" s="122">
        <f>COUNTIFS(Orders!$Z:$Z, $A70, Orders!$M:$M, "pending")</f>
        <v>0</v>
      </c>
      <c r="W70" s="122">
        <f t="shared" si="50"/>
        <v>25</v>
      </c>
      <c r="X70" s="70">
        <f t="shared" si="51"/>
        <v>0.8333333333</v>
      </c>
      <c r="Y70" s="6">
        <f>COUNTIFS(Orders!$Z:$Z, $A70, Orders!$M:$M, "Delivered")</f>
        <v>19</v>
      </c>
      <c r="Z70" s="6">
        <f>COUNTIFS(Orders!$Z:$Z, $A70, Orders!$M:$M, "Return Received")</f>
        <v>6</v>
      </c>
      <c r="AA70" s="123">
        <f t="shared" si="52"/>
        <v>0</v>
      </c>
      <c r="AB70" s="6">
        <f>COUNTIFS(Orders!$Z:$Z, $A70, Orders!$M:$M, "Returned") + COUNTIFS(Orders!$Z:$Z, $A70, Orders!$M:$M, "Returned to Shipper")</f>
        <v>0</v>
      </c>
      <c r="AC70" s="6">
        <f t="shared" si="53"/>
        <v>0</v>
      </c>
      <c r="AD70" s="2">
        <f>SUMIFS(Orders!$U:$U, Orders!$Z:$Z, $A70, Orders!$M:$M, "Delivered")</f>
        <v>61522</v>
      </c>
      <c r="AE70" s="124">
        <f t="shared" si="54"/>
        <v>0</v>
      </c>
      <c r="AF70" s="125" t="str">
        <f>IFERROR(__xludf.DUMMYFUNCTION("IFERROR(TEXTJOIN("", "", TRUE, FILTER(Orders!$B$2:$B$2517, (TEXT(Orders!$D$2:$D$2517,""d-mmm"")=TEXT($A70,""d-mmm"")) * (ABS(Orders!$H$2:$H$2517 - Orders!$U$2:$U$2517) &gt;= 1) * (Orders!$M$2:$M$2517=""Delivered""))), ""All Balanced"")"),"All Balanced")</f>
        <v>All Balanced</v>
      </c>
      <c r="AG70" s="2" t="str">
        <f>IFERROR(__xludf.DUMMYFUNCTION("IFERROR(TEXTJOIN("", "", TRUE, FILTER(Orders!$I$2:$I$3000, (Orders!$M$2:$M$3000=""Delivered"") * (Orders!$N$2:$N$3000&lt;&gt;""Paid"") * (Orders!$Z$2:$Z$3000=$A70))), """")"),"")</f>
        <v/>
      </c>
      <c r="AH70" s="2">
        <f t="shared" si="55"/>
        <v>0</v>
      </c>
    </row>
    <row r="71">
      <c r="A71" s="145">
        <v>46047.0</v>
      </c>
      <c r="B71" s="108">
        <f t="shared" si="38"/>
        <v>3188.8</v>
      </c>
      <c r="C71" s="108">
        <f>SUMIFS(Orders!$H:$H, Orders!$Z:$Z, $A71, Orders!$M:$M, "Delivered")</f>
        <v>31888</v>
      </c>
      <c r="D71" s="109">
        <f>SUMIFS(Orders!$Q:$Q, Orders!$Z:$Z, $A71, Orders!$M:$M, "Delivered")</f>
        <v>11030</v>
      </c>
      <c r="E71" s="110">
        <f t="shared" si="39"/>
        <v>0.3458981435</v>
      </c>
      <c r="F71" s="111">
        <f t="shared" si="40"/>
        <v>30612.48</v>
      </c>
      <c r="G71" s="111">
        <f t="shared" si="41"/>
        <v>1275.52</v>
      </c>
      <c r="H71" s="111">
        <f t="shared" si="42"/>
        <v>20858</v>
      </c>
      <c r="I71" s="112">
        <f t="shared" si="43"/>
        <v>36.8046287</v>
      </c>
      <c r="J71" s="113">
        <v>11736.26</v>
      </c>
      <c r="K71" s="114"/>
      <c r="L71" s="115">
        <f t="shared" si="44"/>
        <v>3875.52</v>
      </c>
      <c r="M71" s="116">
        <f>SUMIFS(Orders!$W:$W, Orders!$Z:$Z, $A71)</f>
        <v>3937</v>
      </c>
      <c r="N71" s="117">
        <f t="shared" si="45"/>
        <v>5184.74</v>
      </c>
      <c r="O71" s="118">
        <f t="shared" si="46"/>
        <v>76.92307692</v>
      </c>
      <c r="P71" s="113">
        <v>3.8085803</v>
      </c>
      <c r="Q71" s="119">
        <f t="shared" si="47"/>
        <v>838.3042857</v>
      </c>
      <c r="R71" s="120">
        <f t="shared" si="48"/>
        <v>902.7892308</v>
      </c>
      <c r="S71" s="109">
        <f>COUNTIFS(Orders!$Z:$Z, $A71)</f>
        <v>14</v>
      </c>
      <c r="T71" s="111">
        <f>COUNTIFS(Orders!$Z:$Z, $A71, Orders!$M:$M, "Cancelled")</f>
        <v>1</v>
      </c>
      <c r="U71" s="121">
        <f t="shared" si="49"/>
        <v>0.07142857143</v>
      </c>
      <c r="V71" s="122">
        <f>COUNTIFS(Orders!$Z:$Z, $A71, Orders!$M:$M, "pending")</f>
        <v>0</v>
      </c>
      <c r="W71" s="122">
        <f t="shared" si="50"/>
        <v>13</v>
      </c>
      <c r="X71" s="70">
        <f t="shared" si="51"/>
        <v>0.9285714286</v>
      </c>
      <c r="Y71" s="6">
        <f>COUNTIFS(Orders!$Z:$Z, $A71, Orders!$M:$M, "Delivered")</f>
        <v>10</v>
      </c>
      <c r="Z71" s="6">
        <f>COUNTIFS(Orders!$Z:$Z, $A71, Orders!$M:$M, "Return Received")</f>
        <v>3</v>
      </c>
      <c r="AA71" s="123">
        <f t="shared" si="52"/>
        <v>0</v>
      </c>
      <c r="AB71" s="6">
        <f>COUNTIFS(Orders!$Z:$Z, $A71, Orders!$M:$M, "Returned") + COUNTIFS(Orders!$Z:$Z, $A71, Orders!$M:$M, "Returned to Shipper")</f>
        <v>0</v>
      </c>
      <c r="AC71" s="6">
        <f t="shared" si="53"/>
        <v>0</v>
      </c>
      <c r="AD71" s="2">
        <f>SUMIFS(Orders!$U:$U, Orders!$Z:$Z, $A71, Orders!$M:$M, "Delivered")</f>
        <v>31888</v>
      </c>
      <c r="AE71" s="124">
        <f t="shared" si="54"/>
        <v>0</v>
      </c>
      <c r="AF71" s="2" t="str">
        <f>IFERROR(__xludf.DUMMYFUNCTION("IFERROR(TEXTJOIN("", "", TRUE, FILTER(Orders!$B$2:$B$2517, (TEXT(Orders!$D$2:$D$2517,""d-mmm"")=TEXT($A71,""d-mmm"")) * (ABS(Orders!$H$2:$H$2517 - Orders!$U$2:$U$2517) &gt;= 1) * (Orders!$M$2:$M$2517=""Delivered""))), ""All Balanced"")"),"All Balanced")</f>
        <v>All Balanced</v>
      </c>
      <c r="AG71" s="2" t="str">
        <f>IFERROR(__xludf.DUMMYFUNCTION("IFERROR(TEXTJOIN("", "", TRUE, FILTER(Orders!$I$2:$I$3000, (Orders!$M$2:$M$3000=""Delivered"") * (Orders!$N$2:$N$3000&lt;&gt;""Paid"") * (Orders!$Z$2:$Z$3000=$A71))), """")"),"")</f>
        <v/>
      </c>
      <c r="AH71" s="2">
        <f t="shared" si="55"/>
        <v>0</v>
      </c>
    </row>
    <row r="72">
      <c r="A72" s="145">
        <v>46048.0</v>
      </c>
      <c r="B72" s="108">
        <f t="shared" si="38"/>
        <v>3458.045455</v>
      </c>
      <c r="C72" s="108">
        <f>SUMIFS(Orders!$H:$H, Orders!$Z:$Z, $A72, Orders!$M:$M, "Delivered")</f>
        <v>76077</v>
      </c>
      <c r="D72" s="109">
        <f>SUMIFS(Orders!$Q:$Q, Orders!$Z:$Z, $A72, Orders!$M:$M, "Delivered")</f>
        <v>28130</v>
      </c>
      <c r="E72" s="110">
        <f t="shared" si="39"/>
        <v>0.3697569568</v>
      </c>
      <c r="F72" s="111">
        <f t="shared" si="40"/>
        <v>73033.92</v>
      </c>
      <c r="G72" s="111">
        <f t="shared" si="41"/>
        <v>3043.08</v>
      </c>
      <c r="H72" s="111">
        <f t="shared" si="42"/>
        <v>47947</v>
      </c>
      <c r="I72" s="112">
        <f t="shared" si="43"/>
        <v>29.91411333</v>
      </c>
      <c r="J72" s="113">
        <v>22757.76</v>
      </c>
      <c r="K72" s="114"/>
      <c r="L72" s="115">
        <f t="shared" si="44"/>
        <v>9643.08</v>
      </c>
      <c r="M72" s="116">
        <f>SUMIFS(Orders!$W:$W, Orders!$Z:$Z, $A72)</f>
        <v>9781.4676</v>
      </c>
      <c r="N72" s="117">
        <f t="shared" si="45"/>
        <v>15407.7724</v>
      </c>
      <c r="O72" s="118">
        <f t="shared" si="46"/>
        <v>66.66666667</v>
      </c>
      <c r="P72" s="113">
        <v>5.21111109</v>
      </c>
      <c r="Q72" s="119">
        <f t="shared" si="47"/>
        <v>598.8884211</v>
      </c>
      <c r="R72" s="120">
        <f t="shared" si="48"/>
        <v>689.6290909</v>
      </c>
      <c r="S72" s="109">
        <f>COUNTIFS(Orders!$Z:$Z, $A72)</f>
        <v>38</v>
      </c>
      <c r="T72" s="111">
        <f>COUNTIFS(Orders!$Z:$Z, $A72, Orders!$M:$M, "Cancelled")</f>
        <v>5</v>
      </c>
      <c r="U72" s="121">
        <f t="shared" si="49"/>
        <v>0.1315789474</v>
      </c>
      <c r="V72" s="122">
        <f>COUNTIFS(Orders!$Z:$Z, $A72, Orders!$M:$M, "pending")</f>
        <v>0</v>
      </c>
      <c r="W72" s="122">
        <f t="shared" si="50"/>
        <v>33</v>
      </c>
      <c r="X72" s="70">
        <f t="shared" si="51"/>
        <v>0.8684210526</v>
      </c>
      <c r="Y72" s="6">
        <f>COUNTIFS(Orders!$Z:$Z, $A72, Orders!$M:$M, "Delivered")</f>
        <v>22</v>
      </c>
      <c r="Z72" s="6">
        <f>COUNTIFS(Orders!$Z:$Z, $A72, Orders!$M:$M, "Return Received")</f>
        <v>11</v>
      </c>
      <c r="AA72" s="123">
        <f t="shared" si="52"/>
        <v>0</v>
      </c>
      <c r="AB72" s="6">
        <f>COUNTIFS(Orders!$Z:$Z, $A72, Orders!$M:$M, "Returned") + COUNTIFS(Orders!$Z:$Z, $A72, Orders!$M:$M, "Returned to Shipper")</f>
        <v>0</v>
      </c>
      <c r="AC72" s="6">
        <f t="shared" si="53"/>
        <v>0</v>
      </c>
      <c r="AD72" s="2">
        <f>SUMIFS(Orders!$U:$U, Orders!$Z:$Z, $A72, Orders!$M:$M, "Delivered")</f>
        <v>76077</v>
      </c>
      <c r="AE72" s="124">
        <f t="shared" si="54"/>
        <v>0</v>
      </c>
      <c r="AF72" s="125" t="str">
        <f>IFERROR(__xludf.DUMMYFUNCTION("IFERROR(TEXTJOIN("", "", TRUE, FILTER(Orders!$B$2:$B$2517, (TEXT(Orders!$D$2:$D$2517,""d-mmm"")=TEXT($A72,""d-mmm"")) * (ABS(Orders!$H$2:$H$2517 - Orders!$U$2:$U$2517) &gt;= 1) * (Orders!$M$2:$M$2517=""Delivered""))), ""All Balanced"")"),"All Balanced")</f>
        <v>All Balanced</v>
      </c>
      <c r="AG72" s="2" t="str">
        <f>IFERROR(__xludf.DUMMYFUNCTION("IFERROR(TEXTJOIN("", "", TRUE, FILTER(Orders!$I$2:$I$3000, (Orders!$M$2:$M$3000=""Delivered"") * (Orders!$N$2:$N$3000&lt;&gt;""Paid"") * (Orders!$Z$2:$Z$3000=$A72))), """")"),"")</f>
        <v/>
      </c>
      <c r="AH72" s="2">
        <f t="shared" si="55"/>
        <v>0</v>
      </c>
    </row>
    <row r="73">
      <c r="A73" s="145">
        <v>46049.0</v>
      </c>
      <c r="B73" s="108">
        <f t="shared" si="38"/>
        <v>2891.928571</v>
      </c>
      <c r="C73" s="108">
        <f>SUMIFS(Orders!$H:$H, Orders!$Z:$Z, $A73, Orders!$M:$M, "Delivered")</f>
        <v>40487</v>
      </c>
      <c r="D73" s="109">
        <f>SUMIFS(Orders!$Q:$Q, Orders!$Z:$Z, $A73, Orders!$M:$M, "Delivered")</f>
        <v>14895</v>
      </c>
      <c r="E73" s="110">
        <f t="shared" si="39"/>
        <v>0.3678958678</v>
      </c>
      <c r="F73" s="111">
        <f t="shared" si="40"/>
        <v>38867.52</v>
      </c>
      <c r="G73" s="111">
        <f t="shared" si="41"/>
        <v>1619.48</v>
      </c>
      <c r="H73" s="111">
        <f t="shared" si="42"/>
        <v>25592</v>
      </c>
      <c r="I73" s="112">
        <f t="shared" si="43"/>
        <v>53.55998222</v>
      </c>
      <c r="J73" s="113">
        <v>21684.83</v>
      </c>
      <c r="K73" s="114"/>
      <c r="L73" s="115">
        <f t="shared" si="44"/>
        <v>6219.48</v>
      </c>
      <c r="M73" s="116">
        <f>SUMIFS(Orders!$W:$W, Orders!$Z:$Z, $A73)</f>
        <v>6298.5376</v>
      </c>
      <c r="N73" s="117">
        <f t="shared" si="45"/>
        <v>-2391.3676</v>
      </c>
      <c r="O73" s="118">
        <f t="shared" si="46"/>
        <v>60.86956522</v>
      </c>
      <c r="P73" s="113">
        <v>3.63274267</v>
      </c>
      <c r="Q73" s="119">
        <f t="shared" si="47"/>
        <v>722.8276667</v>
      </c>
      <c r="R73" s="120">
        <f t="shared" si="48"/>
        <v>942.8186957</v>
      </c>
      <c r="S73" s="109">
        <f>COUNTIFS(Orders!$Z:$Z, $A73)</f>
        <v>30</v>
      </c>
      <c r="T73" s="111">
        <f>COUNTIFS(Orders!$Z:$Z, $A73, Orders!$M:$M, "Cancelled")</f>
        <v>7</v>
      </c>
      <c r="U73" s="121">
        <f t="shared" si="49"/>
        <v>0.2333333333</v>
      </c>
      <c r="V73" s="122">
        <f>COUNTIFS(Orders!$Z:$Z, $A73, Orders!$M:$M, "pending")</f>
        <v>0</v>
      </c>
      <c r="W73" s="122">
        <f t="shared" si="50"/>
        <v>23</v>
      </c>
      <c r="X73" s="70">
        <f t="shared" si="51"/>
        <v>0.7666666667</v>
      </c>
      <c r="Y73" s="6">
        <f>COUNTIFS(Orders!$Z:$Z, $A73, Orders!$M:$M, "Delivered")</f>
        <v>14</v>
      </c>
      <c r="Z73" s="6">
        <f>COUNTIFS(Orders!$Z:$Z, $A73, Orders!$M:$M, "Return Received")</f>
        <v>9</v>
      </c>
      <c r="AA73" s="123">
        <f t="shared" si="52"/>
        <v>0</v>
      </c>
      <c r="AB73" s="6">
        <f>COUNTIFS(Orders!$Z:$Z, $A73, Orders!$M:$M, "Returned") + COUNTIFS(Orders!$Z:$Z, $A73, Orders!$M:$M, "Returned to Shipper")</f>
        <v>0</v>
      </c>
      <c r="AC73" s="6">
        <f t="shared" si="53"/>
        <v>0</v>
      </c>
      <c r="AD73" s="2">
        <f>SUMIFS(Orders!$U:$U, Orders!$Z:$Z, $A73, Orders!$M:$M, "Delivered")</f>
        <v>40487</v>
      </c>
      <c r="AE73" s="124">
        <f t="shared" si="54"/>
        <v>0</v>
      </c>
      <c r="AF73" s="125" t="str">
        <f>IFERROR(__xludf.DUMMYFUNCTION("IFERROR(TEXTJOIN("", "", TRUE, FILTER(Orders!$B$2:$B$2517, (TEXT(Orders!$D$2:$D$2517,""d-mmm"")=TEXT($A73,""d-mmm"")) * (ABS(Orders!$H$2:$H$2517 - Orders!$U$2:$U$2517) &gt;= 1) * (Orders!$M$2:$M$2517=""Delivered""))), ""All Balanced"")"),"All Balanced")</f>
        <v>All Balanced</v>
      </c>
      <c r="AG73" s="2" t="str">
        <f>IFERROR(__xludf.DUMMYFUNCTION("IFERROR(TEXTJOIN("", "", TRUE, FILTER(Orders!$I$2:$I$3000, (Orders!$M$2:$M$3000=""Delivered"") * (Orders!$N$2:$N$3000&lt;&gt;""Paid"") * (Orders!$Z$2:$Z$3000=$A73))), """")"),"")</f>
        <v/>
      </c>
      <c r="AH73" s="2">
        <f t="shared" si="55"/>
        <v>0</v>
      </c>
    </row>
    <row r="74">
      <c r="A74" s="145">
        <v>46050.0</v>
      </c>
      <c r="B74" s="108">
        <f t="shared" si="38"/>
        <v>3143.947368</v>
      </c>
      <c r="C74" s="108">
        <f>SUMIFS(Orders!$H:$H, Orders!$Z:$Z, $A74, Orders!$M:$M, "Delivered")</f>
        <v>59735</v>
      </c>
      <c r="D74" s="109">
        <f>SUMIFS(Orders!$Q:$Q, Orders!$Z:$Z, $A74, Orders!$M:$M, "Delivered")</f>
        <v>22690</v>
      </c>
      <c r="E74" s="110">
        <f t="shared" si="39"/>
        <v>0.3798443124</v>
      </c>
      <c r="F74" s="111">
        <f t="shared" si="40"/>
        <v>57345.6</v>
      </c>
      <c r="G74" s="111">
        <f t="shared" si="41"/>
        <v>2389.4</v>
      </c>
      <c r="H74" s="111">
        <f t="shared" si="42"/>
        <v>37045</v>
      </c>
      <c r="I74" s="112">
        <f t="shared" si="43"/>
        <v>35.4754499</v>
      </c>
      <c r="J74" s="113">
        <v>21191.26</v>
      </c>
      <c r="K74" s="114"/>
      <c r="L74" s="115">
        <f t="shared" si="44"/>
        <v>7389.4</v>
      </c>
      <c r="M74" s="116">
        <f>SUMIFS(Orders!$W:$W, Orders!$Z:$Z, $A74)</f>
        <v>6986.99</v>
      </c>
      <c r="N74" s="117">
        <f t="shared" si="45"/>
        <v>8866.75</v>
      </c>
      <c r="O74" s="118">
        <f t="shared" si="46"/>
        <v>76</v>
      </c>
      <c r="P74" s="113">
        <v>5.07522017</v>
      </c>
      <c r="Q74" s="119">
        <f t="shared" si="47"/>
        <v>706.3753333</v>
      </c>
      <c r="R74" s="120">
        <f t="shared" si="48"/>
        <v>847.6504</v>
      </c>
      <c r="S74" s="109">
        <f>COUNTIFS(Orders!$Z:$Z, $A74)</f>
        <v>30</v>
      </c>
      <c r="T74" s="111">
        <f>COUNTIFS(Orders!$Z:$Z, $A74, Orders!$M:$M, "Cancelled")</f>
        <v>5</v>
      </c>
      <c r="U74" s="121">
        <f t="shared" si="49"/>
        <v>0.1666666667</v>
      </c>
      <c r="V74" s="122">
        <f>COUNTIFS(Orders!$Z:$Z, $A74, Orders!$M:$M, "pending")</f>
        <v>0</v>
      </c>
      <c r="W74" s="122">
        <f t="shared" si="50"/>
        <v>25</v>
      </c>
      <c r="X74" s="70">
        <f t="shared" si="51"/>
        <v>0.8333333333</v>
      </c>
      <c r="Y74" s="6">
        <f>COUNTIFS(Orders!$Z:$Z, $A74, Orders!$M:$M, "Delivered")</f>
        <v>19</v>
      </c>
      <c r="Z74" s="6">
        <f>COUNTIFS(Orders!$Z:$Z, $A74, Orders!$M:$M, "Return Received")</f>
        <v>6</v>
      </c>
      <c r="AA74" s="123">
        <f t="shared" si="52"/>
        <v>0</v>
      </c>
      <c r="AB74" s="6">
        <f>COUNTIFS(Orders!$Z:$Z, $A74, Orders!$M:$M, "Returned") + COUNTIFS(Orders!$Z:$Z, $A74, Orders!$M:$M, "Returned to Shipper")</f>
        <v>0</v>
      </c>
      <c r="AC74" s="6">
        <f t="shared" si="53"/>
        <v>0</v>
      </c>
      <c r="AD74" s="2">
        <f>SUMIFS(Orders!$U:$U, Orders!$Z:$Z, $A74, Orders!$M:$M, "Delivered")</f>
        <v>56885</v>
      </c>
      <c r="AE74" s="124">
        <f t="shared" si="54"/>
        <v>2850</v>
      </c>
      <c r="AF74" s="2" t="str">
        <f>IFERROR(__xludf.DUMMYFUNCTION("IFERROR(TEXTJOIN("", "", TRUE, FILTER(Orders!$B$2:$B$2517, (TEXT(Orders!$D$2:$D$2517,""d-mmm"")=TEXT($A74,""d-mmm"")) * (ABS(Orders!$H$2:$H$2517 - Orders!$U$2:$U$2517) &gt;= 1) * (Orders!$M$2:$M$2517=""Delivered""))), ""All Balanced"")"),"TR28769")</f>
        <v>TR28769</v>
      </c>
      <c r="AG74" s="2" t="str">
        <f>IFERROR(__xludf.DUMMYFUNCTION("IFERROR(TEXTJOIN("", "", TRUE, FILTER(Orders!$I$2:$I$3000, (Orders!$M$2:$M$3000=""Delivered"") * (Orders!$N$2:$N$3000&lt;&gt;""Paid"") * (Orders!$Z$2:$Z$3000=$A74))), """")"),"")</f>
        <v/>
      </c>
      <c r="AH74" s="2">
        <f t="shared" si="55"/>
        <v>0</v>
      </c>
    </row>
    <row r="75">
      <c r="A75" s="145">
        <v>46051.0</v>
      </c>
      <c r="B75" s="108">
        <f t="shared" si="38"/>
        <v>4089.818182</v>
      </c>
      <c r="C75" s="108">
        <f>SUMIFS(Orders!$H:$H, Orders!$Z:$Z, $A75, Orders!$M:$M, "Delivered")</f>
        <v>44988</v>
      </c>
      <c r="D75" s="109">
        <f>SUMIFS(Orders!$Q:$Q, Orders!$Z:$Z, $A75, Orders!$M:$M, "Delivered")</f>
        <v>16820</v>
      </c>
      <c r="E75" s="110">
        <f t="shared" si="39"/>
        <v>0.3738774784</v>
      </c>
      <c r="F75" s="111">
        <f t="shared" si="40"/>
        <v>43188.48</v>
      </c>
      <c r="G75" s="111">
        <f t="shared" si="41"/>
        <v>1799.52</v>
      </c>
      <c r="H75" s="111">
        <f t="shared" si="42"/>
        <v>28168</v>
      </c>
      <c r="I75" s="112">
        <f t="shared" si="43"/>
        <v>47.38699209</v>
      </c>
      <c r="J75" s="113">
        <v>21318.46</v>
      </c>
      <c r="K75" s="114"/>
      <c r="L75" s="115">
        <f t="shared" si="44"/>
        <v>6199.52</v>
      </c>
      <c r="M75" s="116">
        <f>SUMIFS(Orders!$W:$W, Orders!$Z:$Z, $A75)</f>
        <v>6131.08</v>
      </c>
      <c r="N75" s="117">
        <f t="shared" si="45"/>
        <v>718.46</v>
      </c>
      <c r="O75" s="118">
        <f t="shared" si="46"/>
        <v>50</v>
      </c>
      <c r="P75" s="113">
        <v>4.87270142</v>
      </c>
      <c r="Q75" s="119">
        <f t="shared" si="47"/>
        <v>761.3735714</v>
      </c>
      <c r="R75" s="120">
        <f t="shared" si="48"/>
        <v>969.0209091</v>
      </c>
      <c r="S75" s="109">
        <f>COUNTIFS(Orders!$Z:$Z, $A75)</f>
        <v>28</v>
      </c>
      <c r="T75" s="111">
        <f>COUNTIFS(Orders!$Z:$Z, $A75, Orders!$M:$M, "Cancelled")</f>
        <v>6</v>
      </c>
      <c r="U75" s="121">
        <f t="shared" si="49"/>
        <v>0.2142857143</v>
      </c>
      <c r="V75" s="122">
        <f>COUNTIFS(Orders!$Z:$Z, $A75, Orders!$M:$M, "pending")</f>
        <v>1</v>
      </c>
      <c r="W75" s="122">
        <f t="shared" si="50"/>
        <v>22</v>
      </c>
      <c r="X75" s="70">
        <f t="shared" si="51"/>
        <v>0.7857142857</v>
      </c>
      <c r="Y75" s="6">
        <f>COUNTIFS(Orders!$Z:$Z, $A75, Orders!$M:$M, "Delivered")</f>
        <v>11</v>
      </c>
      <c r="Z75" s="6">
        <f>COUNTIFS(Orders!$Z:$Z, $A75, Orders!$M:$M, "Return Received")</f>
        <v>10</v>
      </c>
      <c r="AA75" s="123">
        <f t="shared" si="52"/>
        <v>0</v>
      </c>
      <c r="AB75" s="6">
        <f>COUNTIFS(Orders!$Z:$Z, $A75, Orders!$M:$M, "Returned") + COUNTIFS(Orders!$Z:$Z, $A75, Orders!$M:$M, "Returned to Shipper")</f>
        <v>0</v>
      </c>
      <c r="AC75" s="6">
        <f t="shared" si="53"/>
        <v>0</v>
      </c>
      <c r="AD75" s="2">
        <f>SUMIFS(Orders!$U:$U, Orders!$Z:$Z, $A75, Orders!$M:$M, "Delivered")</f>
        <v>44988</v>
      </c>
      <c r="AE75" s="124">
        <f t="shared" si="54"/>
        <v>0</v>
      </c>
      <c r="AF75" s="2" t="str">
        <f>IFERROR(__xludf.DUMMYFUNCTION("IFERROR(TEXTJOIN("", "", TRUE, FILTER(Orders!$B$2:$B$2517, (TEXT(Orders!$D$2:$D$2517,""d-mmm"")=TEXT($A75,""d-mmm"")) * (ABS(Orders!$H$2:$H$2517 - Orders!$U$2:$U$2517) &gt;= 1) * (Orders!$M$2:$M$2517=""Delivered""))), ""All Balanced"")"),"All Balanced")</f>
        <v>All Balanced</v>
      </c>
      <c r="AG75" s="2" t="str">
        <f>IFERROR(__xludf.DUMMYFUNCTION("IFERROR(TEXTJOIN("", "", TRUE, FILTER(Orders!$I$2:$I$3000, (Orders!$M$2:$M$3000=""Delivered"") * (Orders!$N$2:$N$3000&lt;&gt;""Paid"") * (Orders!$Z$2:$Z$3000=$A75))), """")"),"")</f>
        <v/>
      </c>
      <c r="AH75" s="2">
        <f t="shared" si="55"/>
        <v>0</v>
      </c>
    </row>
    <row r="76">
      <c r="A76" s="145">
        <v>46052.0</v>
      </c>
      <c r="B76" s="108">
        <f t="shared" si="38"/>
        <v>2994.272727</v>
      </c>
      <c r="C76" s="108">
        <f>SUMIFS(Orders!$H:$H, Orders!$Z:$Z, $A76, Orders!$M:$M, "Delivered")</f>
        <v>32937</v>
      </c>
      <c r="D76" s="109">
        <f>SUMIFS(Orders!$Q:$Q, Orders!$Z:$Z, $A76, Orders!$M:$M, "Delivered")</f>
        <v>11280</v>
      </c>
      <c r="E76" s="110">
        <f t="shared" si="39"/>
        <v>0.342471992</v>
      </c>
      <c r="F76" s="111">
        <f t="shared" si="40"/>
        <v>31619.52</v>
      </c>
      <c r="G76" s="111">
        <f t="shared" si="41"/>
        <v>1317.48</v>
      </c>
      <c r="H76" s="111">
        <f t="shared" si="42"/>
        <v>21657</v>
      </c>
      <c r="I76" s="112">
        <f t="shared" si="43"/>
        <v>53.79342381</v>
      </c>
      <c r="J76" s="113">
        <v>17717.94</v>
      </c>
      <c r="K76" s="114"/>
      <c r="L76" s="115">
        <f t="shared" si="44"/>
        <v>4317.48</v>
      </c>
      <c r="M76" s="116">
        <f>SUMIFS(Orders!$W:$W, Orders!$Z:$Z, $A76)</f>
        <v>4457.5376</v>
      </c>
      <c r="N76" s="117">
        <f t="shared" si="45"/>
        <v>-518.4776</v>
      </c>
      <c r="O76" s="118">
        <f t="shared" si="46"/>
        <v>73.33333333</v>
      </c>
      <c r="P76" s="113">
        <v>2.88572454</v>
      </c>
      <c r="Q76" s="119">
        <f t="shared" si="47"/>
        <v>1042.231765</v>
      </c>
      <c r="R76" s="120">
        <f t="shared" si="48"/>
        <v>1181.196</v>
      </c>
      <c r="S76" s="109">
        <f>COUNTIFS(Orders!$Z:$Z, $A76)</f>
        <v>17</v>
      </c>
      <c r="T76" s="111">
        <f>COUNTIFS(Orders!$Z:$Z, $A76, Orders!$M:$M, "Cancelled")</f>
        <v>2</v>
      </c>
      <c r="U76" s="121">
        <f t="shared" si="49"/>
        <v>0.1176470588</v>
      </c>
      <c r="V76" s="122">
        <f>COUNTIFS(Orders!$Z:$Z, $A76, Orders!$M:$M, "pending")</f>
        <v>0</v>
      </c>
      <c r="W76" s="122">
        <f t="shared" si="50"/>
        <v>15</v>
      </c>
      <c r="X76" s="70">
        <f t="shared" si="51"/>
        <v>0.8823529412</v>
      </c>
      <c r="Y76" s="6">
        <f>COUNTIFS(Orders!$Z:$Z, $A76, Orders!$M:$M, "Delivered")</f>
        <v>11</v>
      </c>
      <c r="Z76" s="6">
        <f>COUNTIFS(Orders!$Z:$Z, $A76, Orders!$M:$M, "Return Received")</f>
        <v>4</v>
      </c>
      <c r="AA76" s="123">
        <f t="shared" si="52"/>
        <v>0</v>
      </c>
      <c r="AB76" s="6">
        <f>COUNTIFS(Orders!$Z:$Z, $A76, Orders!$M:$M, "Returned") + COUNTIFS(Orders!$Z:$Z, $A76, Orders!$M:$M, "Returned to Shipper")</f>
        <v>0</v>
      </c>
      <c r="AC76" s="6">
        <f t="shared" si="53"/>
        <v>0</v>
      </c>
      <c r="AD76" s="2">
        <f>SUMIFS(Orders!$U:$U, Orders!$Z:$Z, $A76, Orders!$M:$M, "Delivered")</f>
        <v>32937</v>
      </c>
      <c r="AE76" s="124">
        <f t="shared" si="54"/>
        <v>0</v>
      </c>
      <c r="AF76" s="125" t="str">
        <f>IFERROR(__xludf.DUMMYFUNCTION("IFERROR(TEXTJOIN("", "", TRUE, FILTER(Orders!$B$2:$B$2517, (TEXT(Orders!$D$2:$D$2517,""d-mmm"")=TEXT($A76,""d-mmm"")) * (ABS(Orders!$H$2:$H$2517 - Orders!$U$2:$U$2517) &gt;= 1) * (Orders!$M$2:$M$2517=""Delivered""))), ""All Balanced"")"),"All Balanced")</f>
        <v>All Balanced</v>
      </c>
      <c r="AG76" s="2" t="str">
        <f>IFERROR(__xludf.DUMMYFUNCTION("IFERROR(TEXTJOIN("", "", TRUE, FILTER(Orders!$I$2:$I$3000, (Orders!$M$2:$M$3000=""Delivered"") * (Orders!$N$2:$N$3000&lt;&gt;""Paid"") * (Orders!$Z$2:$Z$3000=$A76))), """")"),"")</f>
        <v/>
      </c>
      <c r="AH76" s="2">
        <f t="shared" si="55"/>
        <v>0</v>
      </c>
    </row>
    <row r="77">
      <c r="A77" s="145">
        <v>46053.0</v>
      </c>
      <c r="B77" s="108">
        <f t="shared" si="38"/>
        <v>3111.4</v>
      </c>
      <c r="C77" s="108">
        <f>SUMIFS(Orders!$H:$H, Orders!$Z:$Z, $A77, Orders!$M:$M, "Delivered")</f>
        <v>62228</v>
      </c>
      <c r="D77" s="109">
        <f>SUMIFS(Orders!$Q:$Q, Orders!$Z:$Z, $A77, Orders!$M:$M, "Delivered")</f>
        <v>22345</v>
      </c>
      <c r="E77" s="110">
        <f t="shared" si="39"/>
        <v>0.359082728</v>
      </c>
      <c r="F77" s="111">
        <f t="shared" si="40"/>
        <v>59738.88</v>
      </c>
      <c r="G77" s="111">
        <f t="shared" si="41"/>
        <v>2489.12</v>
      </c>
      <c r="H77" s="111">
        <f t="shared" si="42"/>
        <v>39883</v>
      </c>
      <c r="I77" s="112">
        <f t="shared" si="43"/>
        <v>25.04984894</v>
      </c>
      <c r="J77" s="113">
        <v>15588.02</v>
      </c>
      <c r="K77" s="114"/>
      <c r="L77" s="115">
        <f t="shared" si="44"/>
        <v>8089.12</v>
      </c>
      <c r="M77" s="116">
        <f>SUMIFS(Orders!$W:$W, Orders!$Z:$Z, $A77)</f>
        <v>7939</v>
      </c>
      <c r="N77" s="117">
        <f t="shared" si="45"/>
        <v>16355.98</v>
      </c>
      <c r="O77" s="118">
        <f t="shared" si="46"/>
        <v>71.42857143</v>
      </c>
      <c r="P77" s="113">
        <v>4.81478633</v>
      </c>
      <c r="Q77" s="119">
        <f t="shared" si="47"/>
        <v>537.517931</v>
      </c>
      <c r="R77" s="120">
        <f t="shared" si="48"/>
        <v>556.715</v>
      </c>
      <c r="S77" s="109">
        <f>COUNTIFS(Orders!$Z:$Z, $A77)</f>
        <v>29</v>
      </c>
      <c r="T77" s="111">
        <f>COUNTIFS(Orders!$Z:$Z, $A77, Orders!$M:$M, "Cancelled")</f>
        <v>1</v>
      </c>
      <c r="U77" s="121">
        <f t="shared" si="49"/>
        <v>0.03448275862</v>
      </c>
      <c r="V77" s="122">
        <f>COUNTIFS(Orders!$Z:$Z, $A77, Orders!$M:$M, "pending")</f>
        <v>0</v>
      </c>
      <c r="W77" s="122">
        <f t="shared" si="50"/>
        <v>28</v>
      </c>
      <c r="X77" s="70">
        <f t="shared" si="51"/>
        <v>0.9655172414</v>
      </c>
      <c r="Y77" s="6">
        <f>COUNTIFS(Orders!$Z:$Z, $A77, Orders!$M:$M, "Delivered")</f>
        <v>20</v>
      </c>
      <c r="Z77" s="6">
        <f>COUNTIFS(Orders!$Z:$Z, $A77, Orders!$M:$M, "Return Received")</f>
        <v>8</v>
      </c>
      <c r="AA77" s="123">
        <f t="shared" si="52"/>
        <v>0</v>
      </c>
      <c r="AB77" s="6">
        <f>COUNTIFS(Orders!$Z:$Z, $A77, Orders!$M:$M, "Returned") + COUNTIFS(Orders!$Z:$Z, $A77, Orders!$M:$M, "Returned to Shipper")</f>
        <v>0</v>
      </c>
      <c r="AC77" s="6">
        <f t="shared" si="53"/>
        <v>0</v>
      </c>
      <c r="AD77" s="2">
        <f>SUMIFS(Orders!$U:$U, Orders!$Z:$Z, $A77, Orders!$M:$M, "Delivered")</f>
        <v>62228</v>
      </c>
      <c r="AE77" s="124">
        <f t="shared" si="54"/>
        <v>0</v>
      </c>
      <c r="AF77" s="22" t="str">
        <f>IFERROR(__xludf.DUMMYFUNCTION("IFERROR(TEXTJOIN("", "", TRUE, FILTER(Orders!$B$2:$B$2517, (TEXT(Orders!$D$2:$D$2517,""d-mmm"")=TEXT($A77,""d-mmm"")) * (ABS(Orders!$H$2:$H$2517 - Orders!$U$2:$U$2517) &gt;= 1) * (Orders!$M$2:$M$2517=""Delivered""))), ""All Balanced"")"),"All Balanced")</f>
        <v>All Balanced</v>
      </c>
      <c r="AG77" s="2" t="str">
        <f>IFERROR(__xludf.DUMMYFUNCTION("IFERROR(TEXTJOIN("", "", TRUE, FILTER(Orders!$I$2:$I$3000, (Orders!$M$2:$M$3000=""Delivered"") * (Orders!$N$2:$N$3000&lt;&gt;""Paid"") * (Orders!$Z$2:$Z$3000=$A77))), """")"),"")</f>
        <v/>
      </c>
      <c r="AH77" s="2">
        <f t="shared" si="55"/>
        <v>0</v>
      </c>
    </row>
    <row r="78">
      <c r="A78" s="114"/>
      <c r="B78" s="126"/>
      <c r="C78" s="126"/>
      <c r="D78" s="114"/>
      <c r="E78" s="127"/>
      <c r="F78" s="128"/>
      <c r="G78" s="114"/>
      <c r="H78" s="114"/>
      <c r="I78" s="129"/>
      <c r="J78" s="130"/>
      <c r="K78" s="114"/>
      <c r="L78" s="126"/>
      <c r="M78" s="114"/>
      <c r="N78" s="131"/>
      <c r="O78" s="129"/>
      <c r="P78" s="129"/>
      <c r="Q78" s="114"/>
      <c r="R78" s="114"/>
      <c r="S78" s="114"/>
      <c r="T78" s="114"/>
      <c r="U78" s="121"/>
      <c r="V78" s="114"/>
      <c r="W78" s="114"/>
      <c r="X78" s="70"/>
    </row>
    <row r="79">
      <c r="A79" s="132" t="s">
        <v>419</v>
      </c>
      <c r="B79" s="104"/>
      <c r="C79" s="104" t="s">
        <v>399</v>
      </c>
      <c r="D79" s="101" t="s">
        <v>420</v>
      </c>
      <c r="E79" s="133"/>
      <c r="F79" s="134" t="s">
        <v>421</v>
      </c>
      <c r="G79" s="101" t="s">
        <v>422</v>
      </c>
      <c r="H79" s="114"/>
      <c r="I79" s="129"/>
      <c r="J79" s="130"/>
      <c r="K79" s="114"/>
      <c r="L79" s="126"/>
      <c r="M79" s="114"/>
      <c r="N79" s="131"/>
      <c r="O79" s="129"/>
      <c r="P79" s="129"/>
      <c r="Q79" s="114"/>
      <c r="R79" s="114"/>
      <c r="S79" s="114"/>
      <c r="T79" s="114"/>
      <c r="U79" s="121"/>
      <c r="V79" s="114"/>
      <c r="W79" s="114"/>
      <c r="X79" s="70"/>
    </row>
    <row r="80">
      <c r="A80" s="135">
        <v>45667.0</v>
      </c>
      <c r="B80" s="136"/>
      <c r="C80" s="136">
        <f>AVERAGE(O47:O56)</f>
        <v>73.17821436</v>
      </c>
      <c r="D80" s="137" t="str">
        <f>AVERAGE(AJ5:AJ14)</f>
        <v>#DIV/0!</v>
      </c>
      <c r="E80" s="121"/>
      <c r="F80" s="122">
        <f>AVERAGE(I47:I56)</f>
        <v>42.13620174</v>
      </c>
      <c r="G80" s="138">
        <f>SUM(N47:N56)</f>
        <v>100883.39</v>
      </c>
      <c r="H80" s="114"/>
      <c r="I80" s="129"/>
      <c r="J80" s="130"/>
      <c r="K80" s="114"/>
      <c r="L80" s="126"/>
      <c r="M80" s="114"/>
      <c r="N80" s="131"/>
      <c r="O80" s="129"/>
      <c r="P80" s="129"/>
      <c r="Q80" s="114"/>
      <c r="R80" s="114"/>
      <c r="S80" s="114"/>
      <c r="T80" s="114"/>
      <c r="U80" s="121"/>
      <c r="V80" s="114"/>
      <c r="W80" s="114"/>
      <c r="X80" s="70"/>
    </row>
    <row r="81">
      <c r="A81" s="135">
        <v>45981.0</v>
      </c>
      <c r="B81" s="136"/>
      <c r="C81" s="136">
        <f>AVERAGE(O57:O66)</f>
        <v>62.0533705</v>
      </c>
      <c r="D81" s="137" t="str">
        <f>AVERAGE(AJ15:AJ24)</f>
        <v>#DIV/0!</v>
      </c>
      <c r="E81" s="121"/>
      <c r="F81" s="122">
        <f>AVERAGE(I57:I66)</f>
        <v>39.78943935</v>
      </c>
      <c r="G81" s="138">
        <f>sum(N57:N66)</f>
        <v>70415.55</v>
      </c>
      <c r="H81" s="114"/>
      <c r="I81" s="129"/>
      <c r="J81" s="130"/>
      <c r="K81" s="114"/>
      <c r="L81" s="126"/>
      <c r="M81" s="114"/>
      <c r="N81" s="131"/>
      <c r="O81" s="129"/>
      <c r="P81" s="129"/>
      <c r="Q81" s="114"/>
      <c r="R81" s="114"/>
      <c r="S81" s="114"/>
      <c r="T81" s="114"/>
      <c r="U81" s="121"/>
      <c r="V81" s="114"/>
      <c r="W81" s="114"/>
      <c r="X81" s="70"/>
    </row>
    <row r="82">
      <c r="A82" s="132" t="s">
        <v>423</v>
      </c>
      <c r="B82" s="136"/>
      <c r="C82" s="136">
        <f>AVERAGE(O67:O77)</f>
        <v>68.60010609</v>
      </c>
      <c r="D82" s="137" t="str">
        <f>AVERAGE(AJ25:AJ35)</f>
        <v>#DIV/0!</v>
      </c>
      <c r="E82" s="121"/>
      <c r="F82" s="122">
        <f>AVERAGE(I67:I77)</f>
        <v>36.28165252</v>
      </c>
      <c r="G82" s="138">
        <f>sum(N67:N77)</f>
        <v>109643.412</v>
      </c>
      <c r="H82" s="114"/>
      <c r="I82" s="129"/>
      <c r="J82" s="130"/>
      <c r="K82" s="114"/>
      <c r="L82" s="126"/>
      <c r="M82" s="114"/>
      <c r="N82" s="131"/>
      <c r="O82" s="129"/>
      <c r="P82" s="129"/>
      <c r="Q82" s="114"/>
      <c r="R82" s="114"/>
      <c r="S82" s="114"/>
      <c r="T82" s="114"/>
      <c r="U82" s="121"/>
      <c r="V82" s="114"/>
      <c r="W82" s="114"/>
      <c r="X82" s="70"/>
    </row>
    <row r="83">
      <c r="A83" s="139"/>
      <c r="B83" s="136"/>
      <c r="C83" s="136">
        <f t="shared" ref="C83:D83" si="56">AVERAGE(AE68:AE78)</f>
        <v>285</v>
      </c>
      <c r="D83" s="137" t="str">
        <f t="shared" si="56"/>
        <v>#DIV/0!</v>
      </c>
      <c r="E83" s="121"/>
      <c r="F83" s="122">
        <f>sum(N68:N78)</f>
        <v>95179.872</v>
      </c>
      <c r="G83" s="138">
        <f>sum(G80:G82)</f>
        <v>280942.352</v>
      </c>
      <c r="H83" s="146">
        <v>-12800.0</v>
      </c>
      <c r="I83" s="139">
        <f>sum(G83:H83)</f>
        <v>268142.352</v>
      </c>
      <c r="J83" s="130"/>
      <c r="K83" s="114"/>
      <c r="L83" s="126"/>
      <c r="M83" s="114"/>
      <c r="N83" s="131"/>
      <c r="O83" s="129"/>
      <c r="P83" s="129"/>
      <c r="Q83" s="114"/>
      <c r="R83" s="114"/>
      <c r="S83" s="114"/>
      <c r="T83" s="114"/>
      <c r="U83" s="121"/>
      <c r="V83" s="114"/>
      <c r="W83" s="114"/>
      <c r="X83" s="70"/>
    </row>
    <row r="84">
      <c r="B84" s="140"/>
      <c r="C84" s="140"/>
      <c r="E84" s="70"/>
      <c r="L84" s="140"/>
      <c r="N84" s="141"/>
      <c r="U84" s="121"/>
      <c r="X84" s="70"/>
    </row>
    <row r="85">
      <c r="B85" s="140"/>
      <c r="C85" s="140"/>
      <c r="E85" s="70"/>
      <c r="L85" s="140"/>
      <c r="N85" s="141"/>
      <c r="U85" s="121"/>
      <c r="X85" s="70"/>
    </row>
    <row r="86">
      <c r="A86" s="57"/>
      <c r="B86" s="58"/>
      <c r="C86" s="58" t="s">
        <v>381</v>
      </c>
      <c r="D86" s="59" t="s">
        <v>381</v>
      </c>
      <c r="E86" s="60"/>
      <c r="F86" s="61" t="s">
        <v>382</v>
      </c>
      <c r="G86" s="62" t="s">
        <v>382</v>
      </c>
      <c r="H86" s="63" t="s">
        <v>382</v>
      </c>
      <c r="I86" s="64" t="s">
        <v>382</v>
      </c>
      <c r="J86" s="58" t="s">
        <v>381</v>
      </c>
      <c r="K86" s="64" t="s">
        <v>382</v>
      </c>
      <c r="L86" s="63"/>
      <c r="M86" s="65" t="s">
        <v>382</v>
      </c>
      <c r="N86" s="66" t="s">
        <v>382</v>
      </c>
      <c r="O86" s="64" t="s">
        <v>382</v>
      </c>
      <c r="P86" s="67" t="s">
        <v>381</v>
      </c>
      <c r="Q86" s="63" t="s">
        <v>382</v>
      </c>
      <c r="R86" s="63" t="s">
        <v>382</v>
      </c>
      <c r="S86" s="58" t="s">
        <v>381</v>
      </c>
      <c r="T86" s="63" t="s">
        <v>382</v>
      </c>
      <c r="U86" s="121"/>
      <c r="V86" s="69"/>
      <c r="W86" s="58" t="s">
        <v>381</v>
      </c>
      <c r="X86" s="70"/>
    </row>
    <row r="87">
      <c r="A87" s="71" t="s">
        <v>383</v>
      </c>
      <c r="B87" s="72"/>
      <c r="C87" s="72"/>
      <c r="D87" s="73"/>
      <c r="E87" s="74"/>
      <c r="F87" s="75"/>
      <c r="G87" s="76">
        <f>AVERAGE(G90:G120)</f>
        <v>2121.341571</v>
      </c>
      <c r="H87" s="72"/>
      <c r="I87" s="77"/>
      <c r="J87" s="76">
        <f>AVERAGE(J90:J120)</f>
        <v>17374.67821</v>
      </c>
      <c r="K87" s="77"/>
      <c r="L87" s="72"/>
      <c r="M87" s="73"/>
      <c r="N87" s="78">
        <f t="shared" ref="N87:O87" si="57">AVERAGE(N90:N120)</f>
        <v>12498.25214</v>
      </c>
      <c r="O87" s="79">
        <f t="shared" si="57"/>
        <v>79.03512957</v>
      </c>
      <c r="P87" s="80"/>
      <c r="Q87" s="81"/>
      <c r="R87" s="81"/>
      <c r="S87" s="76">
        <f t="shared" ref="S87:T87" si="58">AVERAGE(S90:S120)</f>
        <v>24.92857143</v>
      </c>
      <c r="T87" s="76">
        <f t="shared" si="58"/>
        <v>3.892857143</v>
      </c>
      <c r="U87" s="121"/>
      <c r="V87" s="72"/>
      <c r="W87" s="76">
        <f>AVERAGE(W90:W120)</f>
        <v>21.03571429</v>
      </c>
      <c r="X87" s="70"/>
    </row>
    <row r="88">
      <c r="A88" s="71" t="s">
        <v>384</v>
      </c>
      <c r="B88" s="82">
        <f>AVERAGE(B90:B117)</f>
        <v>3217.684689</v>
      </c>
      <c r="C88" s="82">
        <f>sum(C90:C120)</f>
        <v>1484939.1</v>
      </c>
      <c r="D88" s="83">
        <f>SUM(D90:D120)</f>
        <v>480630</v>
      </c>
      <c r="E88" s="84">
        <f>AVERAGE(E90:E117)</f>
        <v>0.3264944659</v>
      </c>
      <c r="F88" s="85">
        <f t="shared" ref="F88:G88" si="59">SUM(F90:F120)</f>
        <v>1425541.536</v>
      </c>
      <c r="G88" s="76">
        <f t="shared" si="59"/>
        <v>59397.564</v>
      </c>
      <c r="H88" s="76">
        <f>sum(F90:F120)</f>
        <v>1425541.536</v>
      </c>
      <c r="I88" s="86">
        <f>AVERAGE(I90:I117)</f>
        <v>34.90137507</v>
      </c>
      <c r="J88" s="76">
        <f t="shared" ref="J88:K88" si="60">sum(J90:J120)</f>
        <v>486490.99</v>
      </c>
      <c r="K88" s="80">
        <f t="shared" si="60"/>
        <v>0</v>
      </c>
      <c r="L88" s="76">
        <f>SUM(L90:L120)</f>
        <v>177197.564</v>
      </c>
      <c r="M88" s="87">
        <f t="shared" ref="M88:N88" si="61">sum(M90:M120)</f>
        <v>167867.05</v>
      </c>
      <c r="N88" s="78">
        <f t="shared" si="61"/>
        <v>349951.06</v>
      </c>
      <c r="O88" s="79">
        <f t="shared" ref="O88:R88" si="62">AVERAGE(O90:O120)</f>
        <v>79.03512957</v>
      </c>
      <c r="P88" s="86">
        <f t="shared" si="62"/>
        <v>4.837616029</v>
      </c>
      <c r="Q88" s="82">
        <f t="shared" si="62"/>
        <v>733.69433</v>
      </c>
      <c r="R88" s="82">
        <f t="shared" si="62"/>
        <v>869.2265175</v>
      </c>
      <c r="S88" s="76">
        <f t="shared" ref="S88:T88" si="63">sum(S90:S120)</f>
        <v>698</v>
      </c>
      <c r="T88" s="76">
        <f t="shared" si="63"/>
        <v>109</v>
      </c>
      <c r="U88" s="121">
        <f>AVERAGE(U90:U117)</f>
        <v>0.1516504792</v>
      </c>
      <c r="V88" s="82">
        <f t="shared" ref="V88:W88" si="64">sum(V90:V120)</f>
        <v>0</v>
      </c>
      <c r="W88" s="76">
        <f t="shared" si="64"/>
        <v>589</v>
      </c>
      <c r="X88" s="89">
        <f>average(X90:X117)</f>
        <v>0.8483495208</v>
      </c>
      <c r="Y88" s="90">
        <f t="shared" ref="Y88:AB88" si="65">sum(Y90:Y120)</f>
        <v>464</v>
      </c>
      <c r="Z88" s="90">
        <f t="shared" si="65"/>
        <v>125</v>
      </c>
      <c r="AA88" s="91">
        <f t="shared" si="65"/>
        <v>0</v>
      </c>
      <c r="AB88" s="90">
        <f t="shared" si="65"/>
        <v>0</v>
      </c>
      <c r="AC88" s="90"/>
      <c r="AD88" s="90">
        <f>SUM(AD90:AD120)</f>
        <v>1463043.6</v>
      </c>
      <c r="AE88" s="92">
        <f>sum(AE90:AE120)</f>
        <v>21895.5</v>
      </c>
    </row>
    <row r="89">
      <c r="A89" s="93" t="s">
        <v>385</v>
      </c>
      <c r="B89" s="94" t="s">
        <v>386</v>
      </c>
      <c r="C89" s="94" t="s">
        <v>425</v>
      </c>
      <c r="D89" s="95" t="s">
        <v>388</v>
      </c>
      <c r="E89" s="95" t="s">
        <v>389</v>
      </c>
      <c r="F89" s="96" t="s">
        <v>390</v>
      </c>
      <c r="G89" s="97" t="s">
        <v>391</v>
      </c>
      <c r="H89" s="97" t="s">
        <v>392</v>
      </c>
      <c r="I89" s="143" t="s">
        <v>424</v>
      </c>
      <c r="J89" s="97" t="s">
        <v>394</v>
      </c>
      <c r="K89" s="99" t="s">
        <v>395</v>
      </c>
      <c r="L89" s="94" t="s">
        <v>396</v>
      </c>
      <c r="M89" s="95" t="s">
        <v>397</v>
      </c>
      <c r="N89" s="100" t="s">
        <v>398</v>
      </c>
      <c r="O89" s="101" t="s">
        <v>399</v>
      </c>
      <c r="P89" s="102" t="s">
        <v>400</v>
      </c>
      <c r="Q89" s="103" t="s">
        <v>401</v>
      </c>
      <c r="R89" s="103" t="s">
        <v>402</v>
      </c>
      <c r="S89" s="104" t="s">
        <v>403</v>
      </c>
      <c r="T89" s="104" t="s">
        <v>404</v>
      </c>
      <c r="U89" s="116" t="s">
        <v>405</v>
      </c>
      <c r="V89" s="106" t="s">
        <v>406</v>
      </c>
      <c r="W89" s="106" t="s">
        <v>407</v>
      </c>
      <c r="X89" s="147"/>
      <c r="Y89" s="12" t="s">
        <v>409</v>
      </c>
      <c r="Z89" s="12" t="s">
        <v>410</v>
      </c>
      <c r="AA89" s="12" t="s">
        <v>411</v>
      </c>
      <c r="AB89" s="12" t="s">
        <v>412</v>
      </c>
      <c r="AC89" s="12" t="s">
        <v>413</v>
      </c>
      <c r="AD89" s="12" t="s">
        <v>414</v>
      </c>
      <c r="AE89" s="12" t="s">
        <v>415</v>
      </c>
      <c r="AF89" s="12" t="s">
        <v>416</v>
      </c>
      <c r="AG89" s="12" t="s">
        <v>417</v>
      </c>
      <c r="AH89" s="12" t="s">
        <v>418</v>
      </c>
    </row>
    <row r="90">
      <c r="A90" s="107">
        <v>46054.0</v>
      </c>
      <c r="B90" s="108">
        <f t="shared" ref="B90:B117" si="66">C90/Y90</f>
        <v>3102.125</v>
      </c>
      <c r="C90" s="108">
        <f>SUMIFS(Orders!$H:$H, Orders!$Z:$Z, $A90, Orders!$M:$M, "Delivered")</f>
        <v>49634</v>
      </c>
      <c r="D90" s="109">
        <f>SUMIFS(Orders!$Q:$Q, Orders!$Z:$Z, $A90, Orders!$M:$M, "Delivered")</f>
        <v>19440</v>
      </c>
      <c r="E90" s="110">
        <f t="shared" ref="E90:E117" si="67">D90/C90</f>
        <v>0.3916670025</v>
      </c>
      <c r="F90" s="111">
        <f t="shared" ref="F90:F117" si="68">C90-(C90*4/100)</f>
        <v>47648.64</v>
      </c>
      <c r="G90" s="111">
        <f t="shared" ref="G90:G117" si="69">C90-F90</f>
        <v>1985.36</v>
      </c>
      <c r="H90" s="111">
        <f t="shared" ref="H90:H117" si="70">C90-D90</f>
        <v>30194</v>
      </c>
      <c r="I90" s="112">
        <f t="shared" ref="I90:I117" si="71">IFERROR(J90/C90, 0)*100</f>
        <v>38.81784664</v>
      </c>
      <c r="J90" s="113">
        <v>19266.85</v>
      </c>
      <c r="K90" s="114"/>
      <c r="L90" s="115">
        <f t="shared" ref="L90:L117" si="72">(200*W90)+C90*4%</f>
        <v>6785.36</v>
      </c>
      <c r="M90" s="116">
        <f>SUMIFS(Orders!$W:$W, Orders!$Z:$Z, $A90)</f>
        <v>6554.5376</v>
      </c>
      <c r="N90" s="117">
        <f t="shared" ref="N90:N117" si="73">H90-J90-K90-M90</f>
        <v>4372.6124</v>
      </c>
      <c r="O90" s="118">
        <f t="shared" ref="O90:O117" si="74">Y90/W90*100</f>
        <v>66.66666667</v>
      </c>
      <c r="P90" s="113">
        <v>4.38050804</v>
      </c>
      <c r="Q90" s="119">
        <f t="shared" ref="Q90:Q117" si="75">J90/S90</f>
        <v>770.674</v>
      </c>
      <c r="R90" s="120">
        <f t="shared" ref="R90:R117" si="76">J90/W90</f>
        <v>802.7854167</v>
      </c>
      <c r="S90" s="109">
        <f>COUNTIFS(Orders!$Z:$Z, $A90)</f>
        <v>25</v>
      </c>
      <c r="T90" s="111">
        <f>COUNTIFS(Orders!$Z:$Z, $A90, Orders!$M:$M, "Cancelled")</f>
        <v>1</v>
      </c>
      <c r="U90" s="121">
        <f t="shared" ref="U90:U117" si="77">T90/S90</f>
        <v>0.04</v>
      </c>
      <c r="V90" s="122">
        <f>COUNTIFS(Orders!$Z:$Z, $A90, Orders!$M:$M, "pending")</f>
        <v>0</v>
      </c>
      <c r="W90" s="122">
        <f t="shared" ref="W90:W117" si="78">S90-T90</f>
        <v>24</v>
      </c>
      <c r="X90" s="70">
        <f t="shared" ref="X90:X117" si="79">W90/S90</f>
        <v>0.96</v>
      </c>
      <c r="Y90" s="6">
        <f>COUNTIFS(Orders!$Z:$Z, $A90, Orders!$M:$M, "Delivered")</f>
        <v>16</v>
      </c>
      <c r="Z90" s="6">
        <f>COUNTIFS(Orders!$Z:$Z, $A90, Orders!$M:$M, "Return Received")</f>
        <v>8</v>
      </c>
      <c r="AA90" s="123">
        <f t="shared" ref="AA90:AA117" si="80">W90-Y90-Z90-V90</f>
        <v>0</v>
      </c>
      <c r="AB90" s="6">
        <f>COUNTIFS(Orders!$Z:$Z, $A90, Orders!$M:$M, "Returned") + COUNTIFS(Orders!$Z:$Z, $A90, Orders!$M:$M, "Returned to Shipper")</f>
        <v>0</v>
      </c>
      <c r="AC90" s="6">
        <f t="shared" ref="AC90:AC117" si="81">COUNTIFS(Orders!$Z:$Z, $A90, Orders!$I:$I, "", Orders!$M:$M, "&lt;&gt;Cancelled")</f>
        <v>0</v>
      </c>
      <c r="AD90" s="2">
        <f>SUMIFS(Orders!$U:$U, Orders!$Z:$Z, $A90, Orders!$M:$M, "Delivered")</f>
        <v>49634</v>
      </c>
      <c r="AE90" s="124">
        <f t="shared" ref="AE90:AE117" si="82">C90-AD90</f>
        <v>0</v>
      </c>
      <c r="AF90" s="2" t="str">
        <f>IFERROR(__xludf.DUMMYFUNCTION("IFERROR(TEXTJOIN("", "", TRUE, FILTER(Orders!$B$2:$B$2517, (TEXT(Orders!$D$2:$D$2517,""d-mmm"")=TEXT($A90,""d-mmm"")) * (ABS(Orders!$H$2:$H$2517 - Orders!$U$2:$U$2517) &gt;= 1) * (Orders!$M$2:$M$2517=""Delivered""))), ""All Balanced"")"),"All Balanced")</f>
        <v>All Balanced</v>
      </c>
      <c r="AG90" s="2" t="str">
        <f>IFERROR(__xludf.DUMMYFUNCTION("IFERROR(TEXTJOIN("", "", TRUE, FILTER(Orders!$I$2:$I$2517, (Orders!$M$2:$M$2517=""Delivered"") * (Orders!$N$2:$N$2517&lt;&gt;""Paid"") * (Orders!$Z$2:$Z$2517=$A90))), """")"),"")</f>
        <v/>
      </c>
      <c r="AH90" s="2">
        <f t="shared" ref="AH90:AH117" si="83">COUNTIFS(Orders!$M:$M, "Delivered", Orders!$N:$N, "&lt;&gt;Paid", Orders!$Z:$Z, $A90)</f>
        <v>0</v>
      </c>
    </row>
    <row r="91">
      <c r="A91" s="107">
        <v>46055.0</v>
      </c>
      <c r="B91" s="108">
        <f t="shared" si="66"/>
        <v>3847.5625</v>
      </c>
      <c r="C91" s="108">
        <f>SUMIFS(Orders!$H:$H, Orders!$Z:$Z, $A91, Orders!$M:$M, "Delivered")</f>
        <v>61561</v>
      </c>
      <c r="D91" s="109">
        <f>SUMIFS(Orders!$Q:$Q, Orders!$Z:$Z, $A91, Orders!$M:$M, "Delivered")</f>
        <v>22165</v>
      </c>
      <c r="E91" s="110">
        <f t="shared" si="67"/>
        <v>0.3600493819</v>
      </c>
      <c r="F91" s="111">
        <f t="shared" si="68"/>
        <v>59098.56</v>
      </c>
      <c r="G91" s="111">
        <f t="shared" si="69"/>
        <v>2462.44</v>
      </c>
      <c r="H91" s="111">
        <f t="shared" si="70"/>
        <v>39396</v>
      </c>
      <c r="I91" s="112">
        <f t="shared" si="71"/>
        <v>27.88593428</v>
      </c>
      <c r="J91" s="113">
        <v>17166.86</v>
      </c>
      <c r="K91" s="114"/>
      <c r="L91" s="115">
        <f t="shared" si="72"/>
        <v>7062.44</v>
      </c>
      <c r="M91" s="116">
        <f>SUMIFS(Orders!$W:$W, Orders!$Z:$Z, $A91)</f>
        <v>6876.4776</v>
      </c>
      <c r="N91" s="117">
        <f t="shared" si="73"/>
        <v>15352.6624</v>
      </c>
      <c r="O91" s="118">
        <f t="shared" si="74"/>
        <v>69.56521739</v>
      </c>
      <c r="P91" s="113">
        <v>6.4197398</v>
      </c>
      <c r="Q91" s="119">
        <f t="shared" si="75"/>
        <v>591.9606897</v>
      </c>
      <c r="R91" s="120">
        <f t="shared" si="76"/>
        <v>746.3852174</v>
      </c>
      <c r="S91" s="109">
        <f>COUNTIFS(Orders!$Z:$Z, $A91)</f>
        <v>29</v>
      </c>
      <c r="T91" s="111">
        <f>COUNTIFS(Orders!$Z:$Z, $A91, Orders!$M:$M, "Cancelled")</f>
        <v>6</v>
      </c>
      <c r="U91" s="121">
        <f t="shared" si="77"/>
        <v>0.2068965517</v>
      </c>
      <c r="V91" s="122">
        <f>COUNTIFS(Orders!$Z:$Z, $A91, Orders!$M:$M, "pending")</f>
        <v>0</v>
      </c>
      <c r="W91" s="122">
        <f t="shared" si="78"/>
        <v>23</v>
      </c>
      <c r="X91" s="70">
        <f t="shared" si="79"/>
        <v>0.7931034483</v>
      </c>
      <c r="Y91" s="6">
        <f>COUNTIFS(Orders!$Z:$Z, $A91, Orders!$M:$M, "Delivered")</f>
        <v>16</v>
      </c>
      <c r="Z91" s="6">
        <f>COUNTIFS(Orders!$Z:$Z, $A91, Orders!$M:$M, "Return Received")</f>
        <v>7</v>
      </c>
      <c r="AA91" s="123">
        <f t="shared" si="80"/>
        <v>0</v>
      </c>
      <c r="AB91" s="6">
        <f>COUNTIFS(Orders!$Z:$Z, $A91, Orders!$M:$M, "Returned") + COUNTIFS(Orders!$Z:$Z, $A91, Orders!$M:$M, "Returned to Shipper")</f>
        <v>0</v>
      </c>
      <c r="AC91" s="6">
        <f t="shared" si="81"/>
        <v>0</v>
      </c>
      <c r="AD91" s="2">
        <f>SUMIFS(Orders!$U:$U, Orders!$Z:$Z, $A91, Orders!$M:$M, "Delivered")</f>
        <v>53110</v>
      </c>
      <c r="AE91" s="124">
        <f t="shared" si="82"/>
        <v>8451</v>
      </c>
      <c r="AF91" s="2" t="str">
        <f>IFERROR(__xludf.DUMMYFUNCTION("IFERROR(TEXTJOIN("", "", TRUE, FILTER(Orders!$B$2:$B$2517, (TEXT(Orders!$D$2:$D$2517,""d-mmm"")=TEXT($A91,""d-mmm"")) * (ABS(Orders!$H$2:$H$2517 - Orders!$U$2:$U$2517) &gt;= 1) * (Orders!$M$2:$M$2517=""Delivered""))), ""All Balanced"")"),"TR28888")</f>
        <v>TR28888</v>
      </c>
      <c r="AG91" s="2" t="str">
        <f>IFERROR(__xludf.DUMMYFUNCTION("IFERROR(TEXTJOIN("", "", TRUE, FILTER(Orders!$I$2:$I$3000, (Orders!$M$2:$M$3000=""Delivered"") * (Orders!$N$2:$N$3000&lt;&gt;""Paid"") * (Orders!$Z$2:$Z$3000=$A91))), """")"),"")</f>
        <v/>
      </c>
      <c r="AH91" s="2">
        <f t="shared" si="83"/>
        <v>0</v>
      </c>
    </row>
    <row r="92">
      <c r="A92" s="107">
        <v>46056.0</v>
      </c>
      <c r="B92" s="108">
        <f t="shared" si="66"/>
        <v>3639.333333</v>
      </c>
      <c r="C92" s="108">
        <f>SUMIFS(Orders!$H:$H, Orders!$Z:$Z, $A92, Orders!$M:$M, "Delivered")</f>
        <v>54590</v>
      </c>
      <c r="D92" s="109">
        <f>SUMIFS(Orders!$Q:$Q, Orders!$Z:$Z, $A92, Orders!$M:$M, "Delivered")</f>
        <v>19600</v>
      </c>
      <c r="E92" s="110">
        <f t="shared" si="67"/>
        <v>0.3590401172</v>
      </c>
      <c r="F92" s="111">
        <f t="shared" si="68"/>
        <v>52406.4</v>
      </c>
      <c r="G92" s="111">
        <f t="shared" si="69"/>
        <v>2183.6</v>
      </c>
      <c r="H92" s="111">
        <f t="shared" si="70"/>
        <v>34990</v>
      </c>
      <c r="I92" s="112">
        <f t="shared" si="71"/>
        <v>32.47552665</v>
      </c>
      <c r="J92" s="113">
        <v>17728.39</v>
      </c>
      <c r="K92" s="114"/>
      <c r="L92" s="115">
        <f t="shared" si="72"/>
        <v>5383.6</v>
      </c>
      <c r="M92" s="116">
        <f>SUMIFS(Orders!$W:$W, Orders!$Z:$Z, $A92)</f>
        <v>5285.0752</v>
      </c>
      <c r="N92" s="117">
        <f t="shared" si="73"/>
        <v>11976.5348</v>
      </c>
      <c r="O92" s="118">
        <f t="shared" si="74"/>
        <v>93.75</v>
      </c>
      <c r="P92" s="113">
        <v>4.0564085</v>
      </c>
      <c r="Q92" s="119">
        <f t="shared" si="75"/>
        <v>886.4195</v>
      </c>
      <c r="R92" s="120">
        <f t="shared" si="76"/>
        <v>1108.024375</v>
      </c>
      <c r="S92" s="109">
        <f>COUNTIFS(Orders!$Z:$Z, $A92)</f>
        <v>20</v>
      </c>
      <c r="T92" s="111">
        <f>COUNTIFS(Orders!$Z:$Z, $A92, Orders!$M:$M, "Cancelled")</f>
        <v>4</v>
      </c>
      <c r="U92" s="121">
        <f t="shared" si="77"/>
        <v>0.2</v>
      </c>
      <c r="V92" s="122">
        <f>COUNTIFS(Orders!$Z:$Z, $A92, Orders!$M:$M, "pending")</f>
        <v>0</v>
      </c>
      <c r="W92" s="122">
        <f t="shared" si="78"/>
        <v>16</v>
      </c>
      <c r="X92" s="70">
        <f t="shared" si="79"/>
        <v>0.8</v>
      </c>
      <c r="Y92" s="6">
        <f>COUNTIFS(Orders!$Z:$Z, $A92, Orders!$M:$M, "Delivered")</f>
        <v>15</v>
      </c>
      <c r="Z92" s="6">
        <f>COUNTIFS(Orders!$Z:$Z, $A92, Orders!$M:$M, "Return Received")</f>
        <v>1</v>
      </c>
      <c r="AA92" s="123">
        <f t="shared" si="80"/>
        <v>0</v>
      </c>
      <c r="AB92" s="6">
        <f>COUNTIFS(Orders!$Z:$Z, $A92, Orders!$M:$M, "Returned") + COUNTIFS(Orders!$Z:$Z, $A92, Orders!$M:$M, "Returned to Shipper")</f>
        <v>0</v>
      </c>
      <c r="AC92" s="6">
        <f t="shared" si="81"/>
        <v>0</v>
      </c>
      <c r="AD92" s="2">
        <f>SUMIFS(Orders!$U:$U, Orders!$Z:$Z, $A92, Orders!$M:$M, "Delivered")</f>
        <v>54590</v>
      </c>
      <c r="AE92" s="124">
        <f t="shared" si="82"/>
        <v>0</v>
      </c>
      <c r="AF92" s="2" t="str">
        <f>IFERROR(__xludf.DUMMYFUNCTION("IFERROR(TEXTJOIN("", "", TRUE, FILTER(Orders!$B$2:$B$2517, (TEXT(Orders!$D$2:$D$2517,""d-mmm"")=TEXT($A92,""d-mmm"")) * (ABS(Orders!$H$2:$H$2517 - Orders!$U$2:$U$2517) &gt;= 1) * (Orders!$M$2:$M$2517=""Delivered""))), ""All Balanced"")"),"All Balanced")</f>
        <v>All Balanced</v>
      </c>
      <c r="AG92" s="2" t="str">
        <f>IFERROR(__xludf.DUMMYFUNCTION("IFERROR(TEXTJOIN("", "", TRUE, FILTER(Orders!$I$2:$I$3000, (Orders!$M$2:$M$3000=""Delivered"") * (Orders!$N$2:$N$3000&lt;&gt;""Paid"") * (Orders!$Z$2:$Z$3000=$A92))), """")"),"")</f>
        <v/>
      </c>
      <c r="AH92" s="2">
        <f t="shared" si="83"/>
        <v>0</v>
      </c>
    </row>
    <row r="93">
      <c r="A93" s="107">
        <v>46057.0</v>
      </c>
      <c r="B93" s="108">
        <f t="shared" si="66"/>
        <v>3899</v>
      </c>
      <c r="C93" s="108">
        <f>SUMIFS(Orders!$H:$H, Orders!$Z:$Z, $A93, Orders!$M:$M, "Delivered")</f>
        <v>27293</v>
      </c>
      <c r="D93" s="109">
        <f>SUMIFS(Orders!$Q:$Q, Orders!$Z:$Z, $A93, Orders!$M:$M, "Delivered")</f>
        <v>9525</v>
      </c>
      <c r="E93" s="110">
        <f t="shared" si="67"/>
        <v>0.3489905837</v>
      </c>
      <c r="F93" s="111">
        <f t="shared" si="68"/>
        <v>26201.28</v>
      </c>
      <c r="G93" s="111">
        <f t="shared" si="69"/>
        <v>1091.72</v>
      </c>
      <c r="H93" s="111">
        <f t="shared" si="70"/>
        <v>17768</v>
      </c>
      <c r="I93" s="112">
        <f t="shared" si="71"/>
        <v>56.34235885</v>
      </c>
      <c r="J93" s="113">
        <v>15377.52</v>
      </c>
      <c r="K93" s="114"/>
      <c r="L93" s="115">
        <f t="shared" si="72"/>
        <v>3091.72</v>
      </c>
      <c r="M93" s="116">
        <f>SUMIFS(Orders!$W:$W, Orders!$Z:$Z, $A93)</f>
        <v>3187.19</v>
      </c>
      <c r="N93" s="117">
        <f t="shared" si="73"/>
        <v>-796.71</v>
      </c>
      <c r="O93" s="118">
        <f t="shared" si="74"/>
        <v>70</v>
      </c>
      <c r="P93" s="113">
        <v>3.28958851</v>
      </c>
      <c r="Q93" s="119">
        <f t="shared" si="75"/>
        <v>1025.168</v>
      </c>
      <c r="R93" s="120">
        <f t="shared" si="76"/>
        <v>1537.752</v>
      </c>
      <c r="S93" s="109">
        <f>COUNTIFS(Orders!$Z:$Z, $A93)</f>
        <v>15</v>
      </c>
      <c r="T93" s="111">
        <f>COUNTIFS(Orders!$Z:$Z, $A93, Orders!$M:$M, "Cancelled")</f>
        <v>5</v>
      </c>
      <c r="U93" s="121">
        <f t="shared" si="77"/>
        <v>0.3333333333</v>
      </c>
      <c r="V93" s="122">
        <f>COUNTIFS(Orders!$Z:$Z, $A93, Orders!$M:$M, "pending")</f>
        <v>0</v>
      </c>
      <c r="W93" s="122">
        <f t="shared" si="78"/>
        <v>10</v>
      </c>
      <c r="X93" s="70">
        <f t="shared" si="79"/>
        <v>0.6666666667</v>
      </c>
      <c r="Y93" s="6">
        <f>COUNTIFS(Orders!$Z:$Z, $A93, Orders!$M:$M, "Delivered")</f>
        <v>7</v>
      </c>
      <c r="Z93" s="6">
        <f>COUNTIFS(Orders!$Z:$Z, $A93, Orders!$M:$M, "Return Received")</f>
        <v>3</v>
      </c>
      <c r="AA93" s="123">
        <f t="shared" si="80"/>
        <v>0</v>
      </c>
      <c r="AB93" s="6">
        <f>COUNTIFS(Orders!$Z:$Z, $A93, Orders!$M:$M, "Returned") + COUNTIFS(Orders!$Z:$Z, $A93, Orders!$M:$M, "Returned to Shipper")</f>
        <v>0</v>
      </c>
      <c r="AC93" s="6">
        <f t="shared" si="81"/>
        <v>0</v>
      </c>
      <c r="AD93" s="2">
        <f>SUMIFS(Orders!$U:$U, Orders!$Z:$Z, $A93, Orders!$M:$M, "Delivered")</f>
        <v>27293</v>
      </c>
      <c r="AE93" s="124">
        <f t="shared" si="82"/>
        <v>0</v>
      </c>
      <c r="AF93" s="2" t="str">
        <f>IFERROR(__xludf.DUMMYFUNCTION("IFERROR(TEXTJOIN("", "", TRUE, FILTER(Orders!$B$2:$B$2517, (TEXT(Orders!$D$2:$D$2517,""d-mmm"")=TEXT($A93,""d-mmm"")) * (ABS(Orders!$H$2:$H$2517 - Orders!$U$2:$U$2517) &gt;= 1) * (Orders!$M$2:$M$2517=""Delivered""))), ""All Balanced"")"),"All Balanced")</f>
        <v>All Balanced</v>
      </c>
      <c r="AG93" s="2" t="str">
        <f>IFERROR(__xludf.DUMMYFUNCTION("IFERROR(TEXTJOIN("", "", TRUE, FILTER(Orders!$I$2:$I$3000, (Orders!$M$2:$M$3000=""Delivered"") * (Orders!$N$2:$N$3000&lt;&gt;""Paid"") * (Orders!$Z$2:$Z$3000=$A93))), """")"),"")</f>
        <v/>
      </c>
      <c r="AH93" s="2">
        <f t="shared" si="83"/>
        <v>0</v>
      </c>
    </row>
    <row r="94">
      <c r="A94" s="107">
        <v>46058.0</v>
      </c>
      <c r="B94" s="108">
        <f t="shared" si="66"/>
        <v>2888.285714</v>
      </c>
      <c r="C94" s="108">
        <f>SUMIFS(Orders!$H:$H, Orders!$Z:$Z, $A94, Orders!$M:$M, "Delivered")</f>
        <v>40436</v>
      </c>
      <c r="D94" s="109">
        <f>SUMIFS(Orders!$Q:$Q, Orders!$Z:$Z, $A94, Orders!$M:$M, "Delivered")</f>
        <v>16170</v>
      </c>
      <c r="E94" s="110">
        <f t="shared" si="67"/>
        <v>0.3998911861</v>
      </c>
      <c r="F94" s="111">
        <f t="shared" si="68"/>
        <v>38818.56</v>
      </c>
      <c r="G94" s="111">
        <f t="shared" si="69"/>
        <v>1617.44</v>
      </c>
      <c r="H94" s="111">
        <f t="shared" si="70"/>
        <v>24266</v>
      </c>
      <c r="I94" s="112">
        <f t="shared" si="71"/>
        <v>39.65100406</v>
      </c>
      <c r="J94" s="113">
        <v>16033.28</v>
      </c>
      <c r="K94" s="114"/>
      <c r="L94" s="115">
        <f t="shared" si="72"/>
        <v>5217.44</v>
      </c>
      <c r="M94" s="116">
        <f>SUMIFS(Orders!$W:$W, Orders!$Z:$Z, $A94)</f>
        <v>5290.5376</v>
      </c>
      <c r="N94" s="117">
        <f t="shared" si="73"/>
        <v>2942.1824</v>
      </c>
      <c r="O94" s="118">
        <f t="shared" si="74"/>
        <v>77.77777778</v>
      </c>
      <c r="P94" s="113">
        <v>4.20754804</v>
      </c>
      <c r="Q94" s="119">
        <f t="shared" si="75"/>
        <v>728.7854545</v>
      </c>
      <c r="R94" s="120">
        <f t="shared" si="76"/>
        <v>890.7377778</v>
      </c>
      <c r="S94" s="109">
        <f>COUNTIFS(Orders!$Z:$Z, $A94)</f>
        <v>22</v>
      </c>
      <c r="T94" s="111">
        <f>COUNTIFS(Orders!$Z:$Z, $A94, Orders!$M:$M, "Cancelled")</f>
        <v>4</v>
      </c>
      <c r="U94" s="121">
        <f t="shared" si="77"/>
        <v>0.1818181818</v>
      </c>
      <c r="V94" s="122">
        <f>COUNTIFS(Orders!$Z:$Z, $A94, Orders!$M:$M, "pending")</f>
        <v>0</v>
      </c>
      <c r="W94" s="122">
        <f t="shared" si="78"/>
        <v>18</v>
      </c>
      <c r="X94" s="70">
        <f t="shared" si="79"/>
        <v>0.8181818182</v>
      </c>
      <c r="Y94" s="6">
        <f>COUNTIFS(Orders!$Z:$Z, $A94, Orders!$M:$M, "Delivered")</f>
        <v>14</v>
      </c>
      <c r="Z94" s="6">
        <f>COUNTIFS(Orders!$Z:$Z, $A94, Orders!$M:$M, "Return Received")</f>
        <v>4</v>
      </c>
      <c r="AA94" s="123">
        <f t="shared" si="80"/>
        <v>0</v>
      </c>
      <c r="AB94" s="6">
        <f>COUNTIFS(Orders!$Z:$Z, $A94, Orders!$M:$M, "Returned") + COUNTIFS(Orders!$Z:$Z, $A94, Orders!$M:$M, "Returned to Shipper")</f>
        <v>0</v>
      </c>
      <c r="AC94" s="6">
        <f t="shared" si="81"/>
        <v>0</v>
      </c>
      <c r="AD94" s="2">
        <f>SUMIFS(Orders!$U:$U, Orders!$Z:$Z, $A94, Orders!$M:$M, "Delivered")</f>
        <v>40436</v>
      </c>
      <c r="AE94" s="124">
        <f t="shared" si="82"/>
        <v>0</v>
      </c>
      <c r="AF94" s="2" t="str">
        <f>IFERROR(__xludf.DUMMYFUNCTION("IFERROR(TEXTJOIN("", "", TRUE, FILTER(Orders!$B$2:$B$2517, (TEXT(Orders!$D$2:$D$2517,""d-mmm"")=TEXT($A94,""d-mmm"")) * (ABS(Orders!$H$2:$H$2517 - Orders!$U$2:$U$2517) &gt;= 1) * (Orders!$M$2:$M$2517=""Delivered""))), ""All Balanced"")"),"All Balanced")</f>
        <v>All Balanced</v>
      </c>
      <c r="AG94" s="2" t="str">
        <f>IFERROR(__xludf.DUMMYFUNCTION("IFERROR(TEXTJOIN("", "", TRUE, FILTER(Orders!$I$2:$I$3000, (Orders!$M$2:$M$3000=""Delivered"") * (Orders!$N$2:$N$3000&lt;&gt;""Paid"") * (Orders!$Z$2:$Z$3000=$A94))), """")"),"")</f>
        <v/>
      </c>
      <c r="AH94" s="2">
        <f t="shared" si="83"/>
        <v>0</v>
      </c>
    </row>
    <row r="95">
      <c r="A95" s="107">
        <v>46059.0</v>
      </c>
      <c r="B95" s="108">
        <f t="shared" si="66"/>
        <v>3219.083333</v>
      </c>
      <c r="C95" s="108">
        <f>SUMIFS(Orders!$H:$H, Orders!$Z:$Z, $A95, Orders!$M:$M, "Delivered")</f>
        <v>38629</v>
      </c>
      <c r="D95" s="109">
        <f>SUMIFS(Orders!$Q:$Q, Orders!$Z:$Z, $A95, Orders!$M:$M, "Delivered")</f>
        <v>12810</v>
      </c>
      <c r="E95" s="110">
        <f t="shared" si="67"/>
        <v>0.3316161433</v>
      </c>
      <c r="F95" s="111">
        <f t="shared" si="68"/>
        <v>37083.84</v>
      </c>
      <c r="G95" s="111">
        <f t="shared" si="69"/>
        <v>1545.16</v>
      </c>
      <c r="H95" s="111">
        <f t="shared" si="70"/>
        <v>25819</v>
      </c>
      <c r="I95" s="112">
        <f t="shared" si="71"/>
        <v>33.41305755</v>
      </c>
      <c r="J95" s="113">
        <v>12907.13</v>
      </c>
      <c r="K95" s="114"/>
      <c r="L95" s="115">
        <f t="shared" si="72"/>
        <v>4145.16</v>
      </c>
      <c r="M95" s="116">
        <f>SUMIFS(Orders!$W:$W, Orders!$Z:$Z, $A95)</f>
        <v>4475.94</v>
      </c>
      <c r="N95" s="117">
        <f t="shared" si="73"/>
        <v>8435.93</v>
      </c>
      <c r="O95" s="118">
        <f t="shared" si="74"/>
        <v>92.30769231</v>
      </c>
      <c r="P95" s="113">
        <v>4.00784063</v>
      </c>
      <c r="Q95" s="119">
        <f t="shared" si="75"/>
        <v>921.9378571</v>
      </c>
      <c r="R95" s="120">
        <f t="shared" si="76"/>
        <v>992.8561538</v>
      </c>
      <c r="S95" s="109">
        <f>COUNTIFS(Orders!$Z:$Z, $A95)</f>
        <v>14</v>
      </c>
      <c r="T95" s="111">
        <f>COUNTIFS(Orders!$Z:$Z, $A95, Orders!$M:$M, "Cancelled")</f>
        <v>1</v>
      </c>
      <c r="U95" s="121">
        <f t="shared" si="77"/>
        <v>0.07142857143</v>
      </c>
      <c r="V95" s="122">
        <f>COUNTIFS(Orders!$Z:$Z, $A95, Orders!$M:$M, "pending")</f>
        <v>0</v>
      </c>
      <c r="W95" s="122">
        <f t="shared" si="78"/>
        <v>13</v>
      </c>
      <c r="X95" s="70">
        <f t="shared" si="79"/>
        <v>0.9285714286</v>
      </c>
      <c r="Y95" s="6">
        <f>COUNTIFS(Orders!$Z:$Z, $A95, Orders!$M:$M, "Delivered")</f>
        <v>12</v>
      </c>
      <c r="Z95" s="6">
        <f>COUNTIFS(Orders!$Z:$Z, $A95, Orders!$M:$M, "Return Received")</f>
        <v>1</v>
      </c>
      <c r="AA95" s="123">
        <f t="shared" si="80"/>
        <v>0</v>
      </c>
      <c r="AB95" s="6">
        <f>COUNTIFS(Orders!$Z:$Z, $A95, Orders!$M:$M, "Returned") + COUNTIFS(Orders!$Z:$Z, $A95, Orders!$M:$M, "Returned to Shipper")</f>
        <v>0</v>
      </c>
      <c r="AC95" s="6">
        <f t="shared" si="81"/>
        <v>0</v>
      </c>
      <c r="AD95" s="2">
        <f>SUMIFS(Orders!$U:$U, Orders!$Z:$Z, $A95, Orders!$M:$M, "Delivered")</f>
        <v>38629</v>
      </c>
      <c r="AE95" s="124">
        <f t="shared" si="82"/>
        <v>0</v>
      </c>
      <c r="AF95" s="2" t="str">
        <f>IFERROR(__xludf.DUMMYFUNCTION("IFERROR(TEXTJOIN("", "", TRUE, FILTER(Orders!$B$2:$B$2517, (TEXT(Orders!$D$2:$D$2517,""d-mmm"")=TEXT($A95,""d-mmm"")) * (ABS(Orders!$H$2:$H$2517 - Orders!$U$2:$U$2517) &gt;= 1) * (Orders!$M$2:$M$2517=""Delivered""))), ""All Balanced"")"),"All Balanced")</f>
        <v>All Balanced</v>
      </c>
      <c r="AG95" s="2" t="str">
        <f>IFERROR(__xludf.DUMMYFUNCTION("IFERROR(TEXTJOIN("", "", TRUE, FILTER(Orders!$I$2:$I$3000, (Orders!$M$2:$M$3000=""Delivered"") * (Orders!$N$2:$N$3000&lt;&gt;""Paid"") * (Orders!$Z$2:$Z$3000=$A95))), """")"),"")</f>
        <v/>
      </c>
      <c r="AH95" s="2">
        <f t="shared" si="83"/>
        <v>0</v>
      </c>
    </row>
    <row r="96">
      <c r="A96" s="107">
        <v>46060.0</v>
      </c>
      <c r="B96" s="108">
        <f t="shared" si="66"/>
        <v>3250.666667</v>
      </c>
      <c r="C96" s="108">
        <f>SUMIFS(Orders!$H:$H, Orders!$Z:$Z, $A96, Orders!$M:$M, "Delivered")</f>
        <v>48760</v>
      </c>
      <c r="D96" s="109">
        <f>SUMIFS(Orders!$Q:$Q, Orders!$Z:$Z, $A96, Orders!$M:$M, "Delivered")</f>
        <v>18070</v>
      </c>
      <c r="E96" s="110">
        <f t="shared" si="67"/>
        <v>0.3705906481</v>
      </c>
      <c r="F96" s="111">
        <f t="shared" si="68"/>
        <v>46809.6</v>
      </c>
      <c r="G96" s="111">
        <f t="shared" si="69"/>
        <v>1950.4</v>
      </c>
      <c r="H96" s="111">
        <f t="shared" si="70"/>
        <v>30690</v>
      </c>
      <c r="I96" s="112">
        <f t="shared" si="71"/>
        <v>28.63722313</v>
      </c>
      <c r="J96" s="113">
        <v>13963.51</v>
      </c>
      <c r="K96" s="114"/>
      <c r="L96" s="115">
        <f t="shared" si="72"/>
        <v>5350.4</v>
      </c>
      <c r="M96" s="116">
        <f>SUMIFS(Orders!$W:$W, Orders!$Z:$Z, $A96)</f>
        <v>4678</v>
      </c>
      <c r="N96" s="117">
        <f t="shared" si="73"/>
        <v>12048.49</v>
      </c>
      <c r="O96" s="118">
        <f t="shared" si="74"/>
        <v>88.23529412</v>
      </c>
      <c r="P96" s="113">
        <v>4.87478435</v>
      </c>
      <c r="Q96" s="119">
        <f t="shared" si="75"/>
        <v>775.7505556</v>
      </c>
      <c r="R96" s="120">
        <f t="shared" si="76"/>
        <v>821.3829412</v>
      </c>
      <c r="S96" s="109">
        <f>COUNTIFS(Orders!$Z:$Z, $A96)</f>
        <v>18</v>
      </c>
      <c r="T96" s="111">
        <f>COUNTIFS(Orders!$Z:$Z, $A96, Orders!$M:$M, "Cancelled")</f>
        <v>1</v>
      </c>
      <c r="U96" s="121">
        <f t="shared" si="77"/>
        <v>0.05555555556</v>
      </c>
      <c r="V96" s="122">
        <f>COUNTIFS(Orders!$Z:$Z, $A96, Orders!$M:$M, "pending")</f>
        <v>0</v>
      </c>
      <c r="W96" s="122">
        <f t="shared" si="78"/>
        <v>17</v>
      </c>
      <c r="X96" s="70">
        <f t="shared" si="79"/>
        <v>0.9444444444</v>
      </c>
      <c r="Y96" s="6">
        <f>COUNTIFS(Orders!$Z:$Z, $A96, Orders!$M:$M, "Delivered")</f>
        <v>15</v>
      </c>
      <c r="Z96" s="6">
        <f>COUNTIFS(Orders!$Z:$Z, $A96, Orders!$M:$M, "Return Received")</f>
        <v>2</v>
      </c>
      <c r="AA96" s="123">
        <f t="shared" si="80"/>
        <v>0</v>
      </c>
      <c r="AB96" s="6">
        <f>COUNTIFS(Orders!$Z:$Z, $A96, Orders!$M:$M, "Returned") + COUNTIFS(Orders!$Z:$Z, $A96, Orders!$M:$M, "Returned to Shipper")</f>
        <v>0</v>
      </c>
      <c r="AC96" s="6">
        <f t="shared" si="81"/>
        <v>0</v>
      </c>
      <c r="AD96" s="2">
        <f>SUMIFS(Orders!$U:$U, Orders!$Z:$Z, $A96, Orders!$M:$M, "Delivered")</f>
        <v>48760</v>
      </c>
      <c r="AE96" s="124">
        <f t="shared" si="82"/>
        <v>0</v>
      </c>
      <c r="AF96" s="2" t="str">
        <f>IFERROR(__xludf.DUMMYFUNCTION("IFERROR(TEXTJOIN("", "", TRUE, FILTER(Orders!$B$2:$B$2517, (TEXT(Orders!$D$2:$D$2517,""d-mmm"")=TEXT($A96,""d-mmm"")) * (ABS(Orders!$H$2:$H$2517 - Orders!$U$2:$U$2517) &gt;= 1) * (Orders!$M$2:$M$2517=""Delivered""))), ""All Balanced"")"),"All Balanced")</f>
        <v>All Balanced</v>
      </c>
      <c r="AG96" s="2" t="str">
        <f>IFERROR(__xludf.DUMMYFUNCTION("IFERROR(TEXTJOIN("", "", TRUE, FILTER(Orders!$I$2:$I$3000, (Orders!$M$2:$M$3000=""Delivered"") * (Orders!$N$2:$N$3000&lt;&gt;""Paid"") * (Orders!$Z$2:$Z$3000=$A96))), """")"),"")</f>
        <v/>
      </c>
      <c r="AH96" s="2">
        <f t="shared" si="83"/>
        <v>0</v>
      </c>
    </row>
    <row r="97">
      <c r="A97" s="107">
        <v>46061.0</v>
      </c>
      <c r="B97" s="108">
        <f t="shared" si="66"/>
        <v>3259</v>
      </c>
      <c r="C97" s="108">
        <f>SUMIFS(Orders!$H:$H, Orders!$Z:$Z, $A97, Orders!$M:$M, "Delivered")</f>
        <v>48885</v>
      </c>
      <c r="D97" s="109">
        <f>SUMIFS(Orders!$Q:$Q, Orders!$Z:$Z, $A97, Orders!$M:$M, "Delivered")</f>
        <v>15870</v>
      </c>
      <c r="E97" s="110">
        <f t="shared" si="67"/>
        <v>0.32463946</v>
      </c>
      <c r="F97" s="111">
        <f t="shared" si="68"/>
        <v>46929.6</v>
      </c>
      <c r="G97" s="111">
        <f t="shared" si="69"/>
        <v>1955.4</v>
      </c>
      <c r="H97" s="111">
        <f t="shared" si="70"/>
        <v>33015</v>
      </c>
      <c r="I97" s="112">
        <f t="shared" si="71"/>
        <v>31.99488596</v>
      </c>
      <c r="J97" s="113">
        <v>15640.7</v>
      </c>
      <c r="K97" s="114"/>
      <c r="L97" s="115">
        <f t="shared" si="72"/>
        <v>5555.4</v>
      </c>
      <c r="M97" s="116">
        <f>SUMIFS(Orders!$W:$W, Orders!$Z:$Z, $A97)</f>
        <v>5063</v>
      </c>
      <c r="N97" s="117">
        <f t="shared" si="73"/>
        <v>12311.3</v>
      </c>
      <c r="O97" s="118">
        <f t="shared" si="74"/>
        <v>83.33333333</v>
      </c>
      <c r="P97" s="113">
        <v>5.15317023</v>
      </c>
      <c r="Q97" s="119">
        <f t="shared" si="75"/>
        <v>601.5653846</v>
      </c>
      <c r="R97" s="120">
        <f t="shared" si="76"/>
        <v>868.9277778</v>
      </c>
      <c r="S97" s="109">
        <f>COUNTIFS(Orders!$Z:$Z, $A97)</f>
        <v>26</v>
      </c>
      <c r="T97" s="111">
        <f>COUNTIFS(Orders!$Z:$Z, $A97, Orders!$M:$M, "Cancelled")</f>
        <v>8</v>
      </c>
      <c r="U97" s="121">
        <f t="shared" si="77"/>
        <v>0.3076923077</v>
      </c>
      <c r="V97" s="122">
        <f>COUNTIFS(Orders!$Z:$Z, $A97, Orders!$M:$M, "pending")</f>
        <v>0</v>
      </c>
      <c r="W97" s="122">
        <f t="shared" si="78"/>
        <v>18</v>
      </c>
      <c r="X97" s="70">
        <f t="shared" si="79"/>
        <v>0.6923076923</v>
      </c>
      <c r="Y97" s="6">
        <f>COUNTIFS(Orders!$Z:$Z, $A97, Orders!$M:$M, "Delivered")</f>
        <v>15</v>
      </c>
      <c r="Z97" s="6">
        <f>COUNTIFS(Orders!$Z:$Z, $A97, Orders!$M:$M, "Return Received")</f>
        <v>3</v>
      </c>
      <c r="AA97" s="123">
        <f t="shared" si="80"/>
        <v>0</v>
      </c>
      <c r="AB97" s="6">
        <f>COUNTIFS(Orders!$Z:$Z, $A97, Orders!$M:$M, "Returned") + COUNTIFS(Orders!$Z:$Z, $A97, Orders!$M:$M, "Returned to Shipper")</f>
        <v>0</v>
      </c>
      <c r="AC97" s="6">
        <f t="shared" si="81"/>
        <v>0</v>
      </c>
      <c r="AD97" s="2">
        <f>SUMIFS(Orders!$U:$U, Orders!$Z:$Z, $A97, Orders!$M:$M, "Delivered")</f>
        <v>48885</v>
      </c>
      <c r="AE97" s="124">
        <f t="shared" si="82"/>
        <v>0</v>
      </c>
      <c r="AF97" s="2" t="str">
        <f>IFERROR(__xludf.DUMMYFUNCTION("IFERROR(TEXTJOIN("", "", TRUE, FILTER(Orders!$B$2:$B$2517, (TEXT(Orders!$D$2:$D$2517,""d-mmm"")=TEXT($A97,""d-mmm"")) * (ABS(Orders!$H$2:$H$2517 - Orders!$U$2:$U$2517) &gt;= 1) * (Orders!$M$2:$M$2517=""Delivered""))), ""All Balanced"")"),"All Balanced")</f>
        <v>All Balanced</v>
      </c>
      <c r="AG97" s="2" t="str">
        <f>IFERROR(__xludf.DUMMYFUNCTION("IFERROR(TEXTJOIN("", "", TRUE, FILTER(Orders!$I$2:$I$3000, (Orders!$M$2:$M$3000=""Delivered"") * (Orders!$N$2:$N$3000&lt;&gt;""Paid"") * (Orders!$Z$2:$Z$3000=$A97))), """")"),"")</f>
        <v/>
      </c>
      <c r="AH97" s="2">
        <f t="shared" si="83"/>
        <v>0</v>
      </c>
    </row>
    <row r="98">
      <c r="A98" s="107">
        <v>46062.0</v>
      </c>
      <c r="B98" s="108">
        <f t="shared" si="66"/>
        <v>2807.071429</v>
      </c>
      <c r="C98" s="108">
        <f>SUMIFS(Orders!$H:$H, Orders!$Z:$Z, $A98, Orders!$M:$M, "Delivered")</f>
        <v>39299</v>
      </c>
      <c r="D98" s="109">
        <f>SUMIFS(Orders!$Q:$Q, Orders!$Z:$Z, $A98, Orders!$M:$M, "Delivered")</f>
        <v>14525</v>
      </c>
      <c r="E98" s="110">
        <f t="shared" si="67"/>
        <v>0.36960228</v>
      </c>
      <c r="F98" s="111">
        <f t="shared" si="68"/>
        <v>37727.04</v>
      </c>
      <c r="G98" s="111">
        <f t="shared" si="69"/>
        <v>1571.96</v>
      </c>
      <c r="H98" s="111">
        <f t="shared" si="70"/>
        <v>24774</v>
      </c>
      <c r="I98" s="112">
        <f t="shared" si="71"/>
        <v>37.5872923</v>
      </c>
      <c r="J98" s="113">
        <v>14771.43</v>
      </c>
      <c r="K98" s="114"/>
      <c r="L98" s="115">
        <f t="shared" si="72"/>
        <v>5571.96</v>
      </c>
      <c r="M98" s="116">
        <f>SUMIFS(Orders!$W:$W, Orders!$Z:$Z, $A98)</f>
        <v>5289.6296</v>
      </c>
      <c r="N98" s="117">
        <f t="shared" si="73"/>
        <v>4712.9404</v>
      </c>
      <c r="O98" s="118">
        <f t="shared" si="74"/>
        <v>70</v>
      </c>
      <c r="P98" s="113">
        <v>4.69014944</v>
      </c>
      <c r="Q98" s="119">
        <f t="shared" si="75"/>
        <v>615.47625</v>
      </c>
      <c r="R98" s="120">
        <f t="shared" si="76"/>
        <v>738.5715</v>
      </c>
      <c r="S98" s="109">
        <f>COUNTIFS(Orders!$Z:$Z, $A98)</f>
        <v>24</v>
      </c>
      <c r="T98" s="111">
        <f>COUNTIFS(Orders!$Z:$Z, $A98, Orders!$M:$M, "Cancelled")</f>
        <v>4</v>
      </c>
      <c r="U98" s="121">
        <f t="shared" si="77"/>
        <v>0.1666666667</v>
      </c>
      <c r="V98" s="122">
        <f>COUNTIFS(Orders!$Z:$Z, $A98, Orders!$M:$M, "pending")</f>
        <v>0</v>
      </c>
      <c r="W98" s="122">
        <f t="shared" si="78"/>
        <v>20</v>
      </c>
      <c r="X98" s="70">
        <f t="shared" si="79"/>
        <v>0.8333333333</v>
      </c>
      <c r="Y98" s="6">
        <f>COUNTIFS(Orders!$Z:$Z, $A98, Orders!$M:$M, "Delivered")</f>
        <v>14</v>
      </c>
      <c r="Z98" s="6">
        <f>COUNTIFS(Orders!$Z:$Z, $A98, Orders!$M:$M, "Return Received")</f>
        <v>6</v>
      </c>
      <c r="AA98" s="123">
        <f t="shared" si="80"/>
        <v>0</v>
      </c>
      <c r="AB98" s="6">
        <f>COUNTIFS(Orders!$Z:$Z, $A98, Orders!$M:$M, "Returned") + COUNTIFS(Orders!$Z:$Z, $A98, Orders!$M:$M, "Returned to Shipper")</f>
        <v>0</v>
      </c>
      <c r="AC98" s="6">
        <f t="shared" si="81"/>
        <v>0</v>
      </c>
      <c r="AD98" s="2">
        <f>SUMIFS(Orders!$U:$U, Orders!$Z:$Z, $A98, Orders!$M:$M, "Delivered")</f>
        <v>39299</v>
      </c>
      <c r="AE98" s="124">
        <f t="shared" si="82"/>
        <v>0</v>
      </c>
      <c r="AF98" s="2" t="str">
        <f>IFERROR(__xludf.DUMMYFUNCTION("IFERROR(TEXTJOIN("", "", TRUE, FILTER(Orders!$B$2:$B$2517, (TEXT(Orders!$D$2:$D$2517,""d-mmm"")=TEXT($A98,""d-mmm"")) * (ABS(Orders!$H$2:$H$2517 - Orders!$U$2:$U$2517) &gt;= 1) * (Orders!$M$2:$M$2517=""Delivered""))), ""All Balanced"")"),"All Balanced")</f>
        <v>All Balanced</v>
      </c>
      <c r="AG98" s="2" t="str">
        <f>IFERROR(__xludf.DUMMYFUNCTION("IFERROR(TEXTJOIN("", "", TRUE, FILTER(Orders!$I$2:$I$3000, (Orders!$M$2:$M$3000=""Delivered"") * (Orders!$N$2:$N$3000&lt;&gt;""Paid"") * (Orders!$Z$2:$Z$3000=$A98))), """")"),"")</f>
        <v/>
      </c>
      <c r="AH98" s="2">
        <f t="shared" si="83"/>
        <v>0</v>
      </c>
    </row>
    <row r="99">
      <c r="A99" s="107">
        <v>46063.0</v>
      </c>
      <c r="B99" s="108">
        <f t="shared" si="66"/>
        <v>3467.222222</v>
      </c>
      <c r="C99" s="108">
        <f>SUMIFS(Orders!$H:$H, Orders!$Z:$Z, $A99, Orders!$M:$M, "Delivered")</f>
        <v>62410</v>
      </c>
      <c r="D99" s="109">
        <f>SUMIFS(Orders!$Q:$Q, Orders!$Z:$Z, $A99, Orders!$M:$M, "Delivered")</f>
        <v>22560</v>
      </c>
      <c r="E99" s="110">
        <f t="shared" si="67"/>
        <v>0.361480532</v>
      </c>
      <c r="F99" s="111">
        <f t="shared" si="68"/>
        <v>59913.6</v>
      </c>
      <c r="G99" s="111">
        <f t="shared" si="69"/>
        <v>2496.4</v>
      </c>
      <c r="H99" s="111">
        <f t="shared" si="70"/>
        <v>39850</v>
      </c>
      <c r="I99" s="112">
        <f t="shared" si="71"/>
        <v>22.87873738</v>
      </c>
      <c r="J99" s="113">
        <v>14278.62</v>
      </c>
      <c r="K99" s="114"/>
      <c r="L99" s="115">
        <f t="shared" si="72"/>
        <v>7096.4</v>
      </c>
      <c r="M99" s="116">
        <f>SUMIFS(Orders!$W:$W, Orders!$Z:$Z, $A99)</f>
        <v>7305.6352</v>
      </c>
      <c r="N99" s="117">
        <f t="shared" si="73"/>
        <v>18265.7448</v>
      </c>
      <c r="O99" s="118">
        <f t="shared" si="74"/>
        <v>78.26086957</v>
      </c>
      <c r="P99" s="113">
        <v>7.16841184</v>
      </c>
      <c r="Q99" s="119">
        <f t="shared" si="75"/>
        <v>492.3662069</v>
      </c>
      <c r="R99" s="120">
        <f t="shared" si="76"/>
        <v>620.8095652</v>
      </c>
      <c r="S99" s="109">
        <f>COUNTIFS(Orders!$Z:$Z, $A99)</f>
        <v>29</v>
      </c>
      <c r="T99" s="111">
        <f>COUNTIFS(Orders!$Z:$Z, $A99, Orders!$M:$M, "Cancelled")</f>
        <v>6</v>
      </c>
      <c r="U99" s="121">
        <f t="shared" si="77"/>
        <v>0.2068965517</v>
      </c>
      <c r="V99" s="122">
        <f>COUNTIFS(Orders!$Z:$Z, $A99, Orders!$M:$M, "pending")</f>
        <v>0</v>
      </c>
      <c r="W99" s="122">
        <f t="shared" si="78"/>
        <v>23</v>
      </c>
      <c r="X99" s="70">
        <f t="shared" si="79"/>
        <v>0.7931034483</v>
      </c>
      <c r="Y99" s="6">
        <f>COUNTIFS(Orders!$Z:$Z, $A99, Orders!$M:$M, "Delivered")</f>
        <v>18</v>
      </c>
      <c r="Z99" s="6">
        <f>COUNTIFS(Orders!$Z:$Z, $A99, Orders!$M:$M, "Return Received")</f>
        <v>5</v>
      </c>
      <c r="AA99" s="123">
        <f t="shared" si="80"/>
        <v>0</v>
      </c>
      <c r="AB99" s="6">
        <f>COUNTIFS(Orders!$Z:$Z, $A99, Orders!$M:$M, "Returned") + COUNTIFS(Orders!$Z:$Z, $A99, Orders!$M:$M, "Returned to Shipper")</f>
        <v>0</v>
      </c>
      <c r="AC99" s="6">
        <f t="shared" si="81"/>
        <v>0</v>
      </c>
      <c r="AD99" s="2">
        <f>SUMIFS(Orders!$U:$U, Orders!$Z:$Z, $A99, Orders!$M:$M, "Delivered")</f>
        <v>62410</v>
      </c>
      <c r="AE99" s="124">
        <f t="shared" si="82"/>
        <v>0</v>
      </c>
      <c r="AF99" s="2" t="str">
        <f>IFERROR(__xludf.DUMMYFUNCTION("IFERROR(TEXTJOIN("", "", TRUE, FILTER(Orders!$B$2:$B$2517, (TEXT(Orders!$D$2:$D$2517,""d-mmm"")=TEXT($A99,""d-mmm"")) * (ABS(Orders!$H$2:$H$2517 - Orders!$U$2:$U$2517) &gt;= 1) * (Orders!$M$2:$M$2517=""Delivered""))), ""All Balanced"")"),"All Balanced")</f>
        <v>All Balanced</v>
      </c>
      <c r="AG99" s="2" t="str">
        <f>IFERROR(__xludf.DUMMYFUNCTION("IFERROR(TEXTJOIN("", "", TRUE, FILTER(Orders!$I$2:$I$3000, (Orders!$M$2:$M$3000=""Delivered"") * (Orders!$N$2:$N$3000&lt;&gt;""Paid"") * (Orders!$Z$2:$Z$3000=$A99))), """")"),"")</f>
        <v/>
      </c>
      <c r="AH99" s="2">
        <f t="shared" si="83"/>
        <v>0</v>
      </c>
    </row>
    <row r="100">
      <c r="A100" s="107">
        <v>46064.0</v>
      </c>
      <c r="B100" s="108">
        <f t="shared" si="66"/>
        <v>3072.230769</v>
      </c>
      <c r="C100" s="108">
        <f>SUMIFS(Orders!$H:$H, Orders!$Z:$Z, $A100, Orders!$M:$M, "Delivered")</f>
        <v>39939</v>
      </c>
      <c r="D100" s="109">
        <f>SUMIFS(Orders!$Q:$Q, Orders!$Z:$Z, $A100, Orders!$M:$M, "Delivered")</f>
        <v>13870</v>
      </c>
      <c r="E100" s="110">
        <f t="shared" si="67"/>
        <v>0.3472796014</v>
      </c>
      <c r="F100" s="111">
        <f t="shared" si="68"/>
        <v>38341.44</v>
      </c>
      <c r="G100" s="111">
        <f t="shared" si="69"/>
        <v>1597.56</v>
      </c>
      <c r="H100" s="111">
        <f t="shared" si="70"/>
        <v>26069</v>
      </c>
      <c r="I100" s="112">
        <f t="shared" si="71"/>
        <v>37.53075941</v>
      </c>
      <c r="J100" s="113">
        <v>14989.41</v>
      </c>
      <c r="K100" s="114"/>
      <c r="L100" s="115">
        <f t="shared" si="72"/>
        <v>4397.56</v>
      </c>
      <c r="M100" s="116">
        <f>SUMIFS(Orders!$W:$W, Orders!$Z:$Z, $A100)</f>
        <v>4190.5376</v>
      </c>
      <c r="N100" s="117">
        <f t="shared" si="73"/>
        <v>6889.0524</v>
      </c>
      <c r="O100" s="118">
        <f t="shared" si="74"/>
        <v>92.85714286</v>
      </c>
      <c r="P100" s="113">
        <v>3.52138516</v>
      </c>
      <c r="Q100" s="119">
        <f t="shared" si="75"/>
        <v>936.838125</v>
      </c>
      <c r="R100" s="120">
        <f t="shared" si="76"/>
        <v>1070.672143</v>
      </c>
      <c r="S100" s="109">
        <f>COUNTIFS(Orders!$Z:$Z, $A100)</f>
        <v>16</v>
      </c>
      <c r="T100" s="111">
        <f>COUNTIFS(Orders!$Z:$Z, $A100, Orders!$M:$M, "Cancelled")</f>
        <v>2</v>
      </c>
      <c r="U100" s="121">
        <f t="shared" si="77"/>
        <v>0.125</v>
      </c>
      <c r="V100" s="122">
        <f>COUNTIFS(Orders!$Z:$Z, $A100, Orders!$M:$M, "pending")</f>
        <v>0</v>
      </c>
      <c r="W100" s="122">
        <f t="shared" si="78"/>
        <v>14</v>
      </c>
      <c r="X100" s="70">
        <f t="shared" si="79"/>
        <v>0.875</v>
      </c>
      <c r="Y100" s="6">
        <f>COUNTIFS(Orders!$Z:$Z, $A100, Orders!$M:$M, "Delivered")</f>
        <v>13</v>
      </c>
      <c r="Z100" s="6">
        <f>COUNTIFS(Orders!$Z:$Z, $A100, Orders!$M:$M, "Return Received")</f>
        <v>1</v>
      </c>
      <c r="AA100" s="123">
        <f t="shared" si="80"/>
        <v>0</v>
      </c>
      <c r="AB100" s="6">
        <f>COUNTIFS(Orders!$Z:$Z, $A100, Orders!$M:$M, "Returned") + COUNTIFS(Orders!$Z:$Z, $A100, Orders!$M:$M, "Returned to Shipper")</f>
        <v>0</v>
      </c>
      <c r="AC100" s="6">
        <f t="shared" si="81"/>
        <v>0</v>
      </c>
      <c r="AD100" s="2">
        <f>SUMIFS(Orders!$U:$U, Orders!$Z:$Z, $A100, Orders!$M:$M, "Delivered")</f>
        <v>39939</v>
      </c>
      <c r="AE100" s="124">
        <f t="shared" si="82"/>
        <v>0</v>
      </c>
      <c r="AF100" s="2" t="str">
        <f>IFERROR(__xludf.DUMMYFUNCTION("IFERROR(TEXTJOIN("", "", TRUE, FILTER(Orders!$B$2:$B$2517, (TEXT(Orders!$D$2:$D$2517,""d-mmm"")=TEXT($A100,""d-mmm"")) * (ABS(Orders!$H$2:$H$2517 - Orders!$U$2:$U$2517) &gt;= 1) * (Orders!$M$2:$M$2517=""Delivered""))), ""All Balanced"")"),"All Balanced")</f>
        <v>All Balanced</v>
      </c>
      <c r="AG100" s="2" t="str">
        <f>IFERROR(__xludf.DUMMYFUNCTION("IFERROR(TEXTJOIN("", "", TRUE, FILTER(Orders!$I$2:$I$3000, (Orders!$M$2:$M$3000=""Delivered"") * (Orders!$N$2:$N$3000&lt;&gt;""Paid"") * (Orders!$Z$2:$Z$3000=$A100))), """")"),"")</f>
        <v/>
      </c>
      <c r="AH100" s="2">
        <f t="shared" si="83"/>
        <v>0</v>
      </c>
    </row>
    <row r="101">
      <c r="A101" s="107">
        <v>46065.0</v>
      </c>
      <c r="B101" s="108">
        <f t="shared" si="66"/>
        <v>3294.705882</v>
      </c>
      <c r="C101" s="108">
        <f>SUMIFS(Orders!$H:$H, Orders!$Z:$Z, $A101, Orders!$M:$M, "Delivered")</f>
        <v>56010</v>
      </c>
      <c r="D101" s="109">
        <f>SUMIFS(Orders!$Q:$Q, Orders!$Z:$Z, $A101, Orders!$M:$M, "Delivered")</f>
        <v>19690</v>
      </c>
      <c r="E101" s="110">
        <f t="shared" si="67"/>
        <v>0.3515443671</v>
      </c>
      <c r="F101" s="111">
        <f t="shared" si="68"/>
        <v>53769.6</v>
      </c>
      <c r="G101" s="111">
        <f t="shared" si="69"/>
        <v>2240.4</v>
      </c>
      <c r="H101" s="111">
        <f t="shared" si="70"/>
        <v>36320</v>
      </c>
      <c r="I101" s="112">
        <f t="shared" si="71"/>
        <v>26.2860025</v>
      </c>
      <c r="J101" s="113">
        <v>14722.79</v>
      </c>
      <c r="K101" s="114"/>
      <c r="L101" s="115">
        <f t="shared" si="72"/>
        <v>6640.4</v>
      </c>
      <c r="M101" s="116">
        <f>SUMIFS(Orders!$W:$W, Orders!$Z:$Z, $A101)</f>
        <v>6398.99</v>
      </c>
      <c r="N101" s="117">
        <f t="shared" si="73"/>
        <v>15198.22</v>
      </c>
      <c r="O101" s="118">
        <f t="shared" si="74"/>
        <v>77.27272727</v>
      </c>
      <c r="P101" s="113">
        <v>5.41131994</v>
      </c>
      <c r="Q101" s="119">
        <f t="shared" si="75"/>
        <v>588.9116</v>
      </c>
      <c r="R101" s="120">
        <f t="shared" si="76"/>
        <v>669.2177273</v>
      </c>
      <c r="S101" s="109">
        <f>COUNTIFS(Orders!$Z:$Z, $A101)</f>
        <v>25</v>
      </c>
      <c r="T101" s="111">
        <f>COUNTIFS(Orders!$Z:$Z, $A101, Orders!$M:$M, "Cancelled")</f>
        <v>3</v>
      </c>
      <c r="U101" s="121">
        <f t="shared" si="77"/>
        <v>0.12</v>
      </c>
      <c r="V101" s="122">
        <f>COUNTIFS(Orders!$Z:$Z, $A101, Orders!$M:$M, "pending")</f>
        <v>0</v>
      </c>
      <c r="W101" s="122">
        <f t="shared" si="78"/>
        <v>22</v>
      </c>
      <c r="X101" s="70">
        <f t="shared" si="79"/>
        <v>0.88</v>
      </c>
      <c r="Y101" s="6">
        <f>COUNTIFS(Orders!$Z:$Z, $A101, Orders!$M:$M, "Delivered")</f>
        <v>17</v>
      </c>
      <c r="Z101" s="6">
        <f>COUNTIFS(Orders!$Z:$Z, $A101, Orders!$M:$M, "Return Received")</f>
        <v>5</v>
      </c>
      <c r="AA101" s="123">
        <f t="shared" si="80"/>
        <v>0</v>
      </c>
      <c r="AB101" s="6">
        <f>COUNTIFS(Orders!$Z:$Z, $A101, Orders!$M:$M, "Returned") + COUNTIFS(Orders!$Z:$Z, $A101, Orders!$M:$M, "Returned to Shipper")</f>
        <v>0</v>
      </c>
      <c r="AC101" s="6">
        <f t="shared" si="81"/>
        <v>0</v>
      </c>
      <c r="AD101" s="2">
        <f>SUMIFS(Orders!$U:$U, Orders!$Z:$Z, $A101, Orders!$M:$M, "Delivered")</f>
        <v>56010</v>
      </c>
      <c r="AE101" s="124">
        <f t="shared" si="82"/>
        <v>0</v>
      </c>
      <c r="AF101" s="125" t="str">
        <f>IFERROR(__xludf.DUMMYFUNCTION("IFERROR(TEXTJOIN("", "", TRUE, FILTER(Orders!$B$2:$B$2517, (TEXT(Orders!$D$2:$D$2517,""d-mmm"")=TEXT($A101,""d-mmm"")) * (ABS(Orders!$H$2:$H$2517 - Orders!$U$2:$U$2517) &gt;= 1) * (Orders!$M$2:$M$2517=""Delivered""))), ""All Balanced"")"),"All Balanced")</f>
        <v>All Balanced</v>
      </c>
      <c r="AG101" s="2" t="str">
        <f>IFERROR(__xludf.DUMMYFUNCTION("IFERROR(TEXTJOIN("", "", TRUE, FILTER(Orders!$I$2:$I$3000, (Orders!$M$2:$M$3000=""Delivered"") * (Orders!$N$2:$N$3000&lt;&gt;""Paid"") * (Orders!$Z$2:$Z$3000=$A101))), """")"),"")</f>
        <v/>
      </c>
      <c r="AH101" s="2">
        <f t="shared" si="83"/>
        <v>0</v>
      </c>
    </row>
    <row r="102">
      <c r="A102" s="107">
        <v>46066.0</v>
      </c>
      <c r="B102" s="108">
        <f t="shared" si="66"/>
        <v>2723.7</v>
      </c>
      <c r="C102" s="108">
        <f>SUMIFS(Orders!$H:$H, Orders!$Z:$Z, $A102, Orders!$M:$M, "Delivered")</f>
        <v>27237</v>
      </c>
      <c r="D102" s="109">
        <f>SUMIFS(Orders!$Q:$Q, Orders!$Z:$Z, $A102, Orders!$M:$M, "Delivered")</f>
        <v>9470</v>
      </c>
      <c r="E102" s="110">
        <f t="shared" si="67"/>
        <v>0.3476888057</v>
      </c>
      <c r="F102" s="111">
        <f t="shared" si="68"/>
        <v>26147.52</v>
      </c>
      <c r="G102" s="111">
        <f t="shared" si="69"/>
        <v>1089.48</v>
      </c>
      <c r="H102" s="111">
        <f t="shared" si="70"/>
        <v>17767</v>
      </c>
      <c r="I102" s="112">
        <f t="shared" si="71"/>
        <v>56.90142086</v>
      </c>
      <c r="J102" s="113">
        <v>15498.24</v>
      </c>
      <c r="K102" s="114"/>
      <c r="L102" s="115">
        <f t="shared" si="72"/>
        <v>3689.48</v>
      </c>
      <c r="M102" s="116">
        <f>SUMIFS(Orders!$W:$W, Orders!$Z:$Z, $A102)</f>
        <v>3833.2916</v>
      </c>
      <c r="N102" s="117">
        <f t="shared" si="73"/>
        <v>-1564.5316</v>
      </c>
      <c r="O102" s="118">
        <f t="shared" si="74"/>
        <v>76.92307692</v>
      </c>
      <c r="P102" s="113">
        <v>2.29493141</v>
      </c>
      <c r="Q102" s="119">
        <f t="shared" si="75"/>
        <v>1107.017143</v>
      </c>
      <c r="R102" s="120">
        <f t="shared" si="76"/>
        <v>1192.172308</v>
      </c>
      <c r="S102" s="109">
        <f>COUNTIFS(Orders!$Z:$Z, $A102)</f>
        <v>14</v>
      </c>
      <c r="T102" s="111">
        <f>COUNTIFS(Orders!$Z:$Z, $A102, Orders!$M:$M, "Cancelled")</f>
        <v>1</v>
      </c>
      <c r="U102" s="121">
        <f t="shared" si="77"/>
        <v>0.07142857143</v>
      </c>
      <c r="V102" s="122">
        <f>COUNTIFS(Orders!$Z:$Z, $A102, Orders!$M:$M, "pending")</f>
        <v>0</v>
      </c>
      <c r="W102" s="122">
        <f t="shared" si="78"/>
        <v>13</v>
      </c>
      <c r="X102" s="70">
        <f t="shared" si="79"/>
        <v>0.9285714286</v>
      </c>
      <c r="Y102" s="6">
        <f>COUNTIFS(Orders!$Z:$Z, $A102, Orders!$M:$M, "Delivered")</f>
        <v>10</v>
      </c>
      <c r="Z102" s="6">
        <f>COUNTIFS(Orders!$Z:$Z, $A102, Orders!$M:$M, "Return Received")</f>
        <v>3</v>
      </c>
      <c r="AA102" s="123">
        <f t="shared" si="80"/>
        <v>0</v>
      </c>
      <c r="AB102" s="6">
        <f>COUNTIFS(Orders!$Z:$Z, $A102, Orders!$M:$M, "Returned") + COUNTIFS(Orders!$Z:$Z, $A102, Orders!$M:$M, "Returned to Shipper")</f>
        <v>0</v>
      </c>
      <c r="AC102" s="6">
        <f t="shared" si="81"/>
        <v>0</v>
      </c>
      <c r="AD102" s="2">
        <f>SUMIFS(Orders!$U:$U, Orders!$Z:$Z, $A102, Orders!$M:$M, "Delivered")</f>
        <v>27237</v>
      </c>
      <c r="AE102" s="124">
        <f t="shared" si="82"/>
        <v>0</v>
      </c>
      <c r="AF102" s="2" t="str">
        <f>IFERROR(__xludf.DUMMYFUNCTION("IFERROR(TEXTJOIN("", "", TRUE, FILTER(Orders!$B$2:$B$2517, (TEXT(Orders!$D$2:$D$2517,""d-mmm"")=TEXT($A102,""d-mmm"")) * (ABS(Orders!$H$2:$H$2517 - Orders!$U$2:$U$2517) &gt;= 1) * (Orders!$M$2:$M$2517=""Delivered""))), ""All Balanced"")"),"All Balanced")</f>
        <v>All Balanced</v>
      </c>
      <c r="AG102" s="2" t="str">
        <f>IFERROR(__xludf.DUMMYFUNCTION("IFERROR(TEXTJOIN("", "", TRUE, FILTER(Orders!$I$2:$I$3000, (Orders!$M$2:$M$3000=""Delivered"") * (Orders!$N$2:$N$3000&lt;&gt;""Paid"") * (Orders!$Z$2:$Z$3000=$A102))), """")"),"")</f>
        <v/>
      </c>
      <c r="AH102" s="2">
        <f t="shared" si="83"/>
        <v>0</v>
      </c>
    </row>
    <row r="103">
      <c r="A103" s="107">
        <v>46067.0</v>
      </c>
      <c r="B103" s="108">
        <f t="shared" si="66"/>
        <v>3101.227273</v>
      </c>
      <c r="C103" s="108">
        <f>SUMIFS(Orders!$H:$H, Orders!$Z:$Z, $A103, Orders!$M:$M, "Delivered")</f>
        <v>68227</v>
      </c>
      <c r="D103" s="109">
        <f>SUMIFS(Orders!$Q:$Q, Orders!$Z:$Z, $A103, Orders!$M:$M, "Delivered")</f>
        <v>23400</v>
      </c>
      <c r="E103" s="110">
        <f t="shared" si="67"/>
        <v>0.3429727234</v>
      </c>
      <c r="F103" s="111">
        <f t="shared" si="68"/>
        <v>65497.92</v>
      </c>
      <c r="G103" s="111">
        <f t="shared" si="69"/>
        <v>2729.08</v>
      </c>
      <c r="H103" s="111">
        <f t="shared" si="70"/>
        <v>44827</v>
      </c>
      <c r="I103" s="112">
        <f t="shared" si="71"/>
        <v>25.21303883</v>
      </c>
      <c r="J103" s="113">
        <v>17202.1</v>
      </c>
      <c r="K103" s="114"/>
      <c r="L103" s="115">
        <f t="shared" si="72"/>
        <v>7929.08</v>
      </c>
      <c r="M103" s="116">
        <f>SUMIFS(Orders!$W:$W, Orders!$Z:$Z, $A103)</f>
        <v>8107.6096</v>
      </c>
      <c r="N103" s="117">
        <f t="shared" si="73"/>
        <v>19517.2904</v>
      </c>
      <c r="O103" s="118">
        <f t="shared" si="74"/>
        <v>84.61538462</v>
      </c>
      <c r="P103" s="113">
        <v>5.80096136</v>
      </c>
      <c r="Q103" s="119">
        <f t="shared" si="75"/>
        <v>593.1758621</v>
      </c>
      <c r="R103" s="120">
        <f t="shared" si="76"/>
        <v>661.6192308</v>
      </c>
      <c r="S103" s="109">
        <f>COUNTIFS(Orders!$Z:$Z, $A103)</f>
        <v>29</v>
      </c>
      <c r="T103" s="111">
        <f>COUNTIFS(Orders!$Z:$Z, $A103, Orders!$M:$M, "Cancelled")</f>
        <v>3</v>
      </c>
      <c r="U103" s="121">
        <f t="shared" si="77"/>
        <v>0.1034482759</v>
      </c>
      <c r="V103" s="122">
        <f>COUNTIFS(Orders!$Z:$Z, $A103, Orders!$M:$M, "pending")</f>
        <v>0</v>
      </c>
      <c r="W103" s="122">
        <f t="shared" si="78"/>
        <v>26</v>
      </c>
      <c r="X103" s="70">
        <f t="shared" si="79"/>
        <v>0.8965517241</v>
      </c>
      <c r="Y103" s="6">
        <f>COUNTIFS(Orders!$Z:$Z, $A103, Orders!$M:$M, "Delivered")</f>
        <v>22</v>
      </c>
      <c r="Z103" s="6">
        <f>COUNTIFS(Orders!$Z:$Z, $A103, Orders!$M:$M, "Return Received")</f>
        <v>4</v>
      </c>
      <c r="AA103" s="123">
        <f t="shared" si="80"/>
        <v>0</v>
      </c>
      <c r="AB103" s="6">
        <f>COUNTIFS(Orders!$Z:$Z, $A103, Orders!$M:$M, "Returned") + COUNTIFS(Orders!$Z:$Z, $A103, Orders!$M:$M, "Returned to Shipper")</f>
        <v>0</v>
      </c>
      <c r="AC103" s="6">
        <f t="shared" si="81"/>
        <v>0</v>
      </c>
      <c r="AD103" s="2">
        <f>SUMIFS(Orders!$U:$U, Orders!$Z:$Z, $A103, Orders!$M:$M, "Delivered")</f>
        <v>68227</v>
      </c>
      <c r="AE103" s="124">
        <f t="shared" si="82"/>
        <v>0</v>
      </c>
      <c r="AF103" s="2" t="str">
        <f>IFERROR(__xludf.DUMMYFUNCTION("IFERROR(TEXTJOIN("", "", TRUE, FILTER(Orders!$B$2:$B$2517, (TEXT(Orders!$D$2:$D$2517,""d-mmm"")=TEXT($A103,""d-mmm"")) * (ABS(Orders!$H$2:$H$2517 - Orders!$U$2:$U$2517) &gt;= 1) * (Orders!$M$2:$M$2517=""Delivered""))), ""All Balanced"")"),"All Balanced")</f>
        <v>All Balanced</v>
      </c>
      <c r="AG103" s="2" t="str">
        <f>IFERROR(__xludf.DUMMYFUNCTION("IFERROR(TEXTJOIN("", "", TRUE, FILTER(Orders!$I$2:$I$3000, (Orders!$M$2:$M$3000=""Delivered"") * (Orders!$N$2:$N$3000&lt;&gt;""Paid"") * (Orders!$Z$2:$Z$3000=$A103))), """")"),"")</f>
        <v/>
      </c>
      <c r="AH103" s="2">
        <f t="shared" si="83"/>
        <v>0</v>
      </c>
    </row>
    <row r="104">
      <c r="A104" s="107">
        <v>46068.0</v>
      </c>
      <c r="B104" s="108">
        <f t="shared" si="66"/>
        <v>3297.125</v>
      </c>
      <c r="C104" s="108">
        <f>SUMIFS(Orders!$H:$H, Orders!$Z:$Z, $A104, Orders!$M:$M, "Delivered")</f>
        <v>52754</v>
      </c>
      <c r="D104" s="109">
        <f>SUMIFS(Orders!$Q:$Q, Orders!$Z:$Z, $A104, Orders!$M:$M, "Delivered")</f>
        <v>18280</v>
      </c>
      <c r="E104" s="110">
        <f t="shared" si="67"/>
        <v>0.3465140084</v>
      </c>
      <c r="F104" s="111">
        <f t="shared" si="68"/>
        <v>50643.84</v>
      </c>
      <c r="G104" s="111">
        <f t="shared" si="69"/>
        <v>2110.16</v>
      </c>
      <c r="H104" s="111">
        <f t="shared" si="70"/>
        <v>34474</v>
      </c>
      <c r="I104" s="112">
        <f t="shared" si="71"/>
        <v>36.88467225</v>
      </c>
      <c r="J104" s="113">
        <v>19458.14</v>
      </c>
      <c r="K104" s="114"/>
      <c r="L104" s="115">
        <f t="shared" si="72"/>
        <v>5710.16</v>
      </c>
      <c r="M104" s="116">
        <f>SUMIFS(Orders!$W:$W, Orders!$Z:$Z, $A104)</f>
        <v>5334</v>
      </c>
      <c r="N104" s="117">
        <f t="shared" si="73"/>
        <v>9681.86</v>
      </c>
      <c r="O104" s="118">
        <f t="shared" si="74"/>
        <v>88.88888889</v>
      </c>
      <c r="P104" s="113">
        <v>3.36515686</v>
      </c>
      <c r="Q104" s="119">
        <f t="shared" si="75"/>
        <v>1024.112632</v>
      </c>
      <c r="R104" s="120">
        <f t="shared" si="76"/>
        <v>1081.007778</v>
      </c>
      <c r="S104" s="109">
        <f>COUNTIFS(Orders!$Z:$Z, $A104)</f>
        <v>19</v>
      </c>
      <c r="T104" s="111">
        <f>COUNTIFS(Orders!$Z:$Z, $A104, Orders!$M:$M, "Cancelled")</f>
        <v>1</v>
      </c>
      <c r="U104" s="121">
        <f t="shared" si="77"/>
        <v>0.05263157895</v>
      </c>
      <c r="V104" s="122">
        <f>COUNTIFS(Orders!$Z:$Z, $A104, Orders!$M:$M, "pending")</f>
        <v>0</v>
      </c>
      <c r="W104" s="122">
        <f t="shared" si="78"/>
        <v>18</v>
      </c>
      <c r="X104" s="70">
        <f t="shared" si="79"/>
        <v>0.9473684211</v>
      </c>
      <c r="Y104" s="6">
        <f>COUNTIFS(Orders!$Z:$Z, $A104, Orders!$M:$M, "Delivered")</f>
        <v>16</v>
      </c>
      <c r="Z104" s="6">
        <f>COUNTIFS(Orders!$Z:$Z, $A104, Orders!$M:$M, "Return Received")</f>
        <v>2</v>
      </c>
      <c r="AA104" s="123">
        <f t="shared" si="80"/>
        <v>0</v>
      </c>
      <c r="AB104" s="6">
        <f>COUNTIFS(Orders!$Z:$Z, $A104, Orders!$M:$M, "Returned") + COUNTIFS(Orders!$Z:$Z, $A104, Orders!$M:$M, "Returned to Shipper")</f>
        <v>0</v>
      </c>
      <c r="AC104" s="6">
        <f t="shared" si="81"/>
        <v>0</v>
      </c>
      <c r="AD104" s="2">
        <f>SUMIFS(Orders!$U:$U, Orders!$Z:$Z, $A104, Orders!$M:$M, "Delivered")</f>
        <v>52754</v>
      </c>
      <c r="AE104" s="124">
        <f t="shared" si="82"/>
        <v>0</v>
      </c>
      <c r="AF104" s="2" t="str">
        <f>IFERROR(__xludf.DUMMYFUNCTION("IFERROR(TEXTJOIN("", "", TRUE, FILTER(Orders!$B$2:$B$2517, (TEXT(Orders!$D$2:$D$2517,""d-mmm"")=TEXT($A104,""d-mmm"")) * (ABS(Orders!$H$2:$H$2517 - Orders!$U$2:$U$2517) &gt;= 1) * (Orders!$M$2:$M$2517=""Delivered""))), ""All Balanced"")"),"All Balanced")</f>
        <v>All Balanced</v>
      </c>
      <c r="AG104" s="2" t="str">
        <f>IFERROR(__xludf.DUMMYFUNCTION("IFERROR(TEXTJOIN("", "", TRUE, FILTER(Orders!$I$2:$I$3000, (Orders!$M$2:$M$3000=""Delivered"") * (Orders!$N$2:$N$3000&lt;&gt;""Paid"") * (Orders!$Z$2:$Z$3000=$A104))), """")"),"")</f>
        <v/>
      </c>
      <c r="AH104" s="2">
        <f t="shared" si="83"/>
        <v>0</v>
      </c>
    </row>
    <row r="105">
      <c r="A105" s="107">
        <v>46069.0</v>
      </c>
      <c r="B105" s="108">
        <f t="shared" si="66"/>
        <v>3223.4</v>
      </c>
      <c r="C105" s="108">
        <f>SUMIFS(Orders!$H:$H, Orders!$Z:$Z, $A105, Orders!$M:$M, "Delivered")</f>
        <v>32234</v>
      </c>
      <c r="D105" s="109">
        <f>SUMIFS(Orders!$Q:$Q, Orders!$Z:$Z, $A105, Orders!$M:$M, "Delivered")</f>
        <v>10670</v>
      </c>
      <c r="E105" s="110">
        <f t="shared" si="67"/>
        <v>0.3310169386</v>
      </c>
      <c r="F105" s="111">
        <f t="shared" si="68"/>
        <v>30944.64</v>
      </c>
      <c r="G105" s="111">
        <f t="shared" si="69"/>
        <v>1289.36</v>
      </c>
      <c r="H105" s="111">
        <f t="shared" si="70"/>
        <v>21564</v>
      </c>
      <c r="I105" s="112">
        <f t="shared" si="71"/>
        <v>47.00995843</v>
      </c>
      <c r="J105" s="113">
        <v>15153.19</v>
      </c>
      <c r="K105" s="114"/>
      <c r="L105" s="115">
        <f t="shared" si="72"/>
        <v>4089.36</v>
      </c>
      <c r="M105" s="116">
        <f>SUMIFS(Orders!$W:$W, Orders!$Z:$Z, $A105)</f>
        <v>3588.99</v>
      </c>
      <c r="N105" s="117">
        <f t="shared" si="73"/>
        <v>2821.82</v>
      </c>
      <c r="O105" s="118">
        <f t="shared" si="74"/>
        <v>71.42857143</v>
      </c>
      <c r="P105" s="113">
        <v>3.94014648</v>
      </c>
      <c r="Q105" s="119">
        <f t="shared" si="75"/>
        <v>891.3641176</v>
      </c>
      <c r="R105" s="120">
        <f t="shared" si="76"/>
        <v>1082.370714</v>
      </c>
      <c r="S105" s="109">
        <f>COUNTIFS(Orders!$Z:$Z, $A105)</f>
        <v>17</v>
      </c>
      <c r="T105" s="111">
        <f>COUNTIFS(Orders!$Z:$Z, $A105, Orders!$M:$M, "Cancelled")</f>
        <v>3</v>
      </c>
      <c r="U105" s="121">
        <f t="shared" si="77"/>
        <v>0.1764705882</v>
      </c>
      <c r="V105" s="122">
        <f>COUNTIFS(Orders!$Z:$Z, $A105, Orders!$M:$M, "pending")</f>
        <v>0</v>
      </c>
      <c r="W105" s="122">
        <f t="shared" si="78"/>
        <v>14</v>
      </c>
      <c r="X105" s="70">
        <f t="shared" si="79"/>
        <v>0.8235294118</v>
      </c>
      <c r="Y105" s="6">
        <f>COUNTIFS(Orders!$Z:$Z, $A105, Orders!$M:$M, "Delivered")</f>
        <v>10</v>
      </c>
      <c r="Z105" s="6">
        <f>COUNTIFS(Orders!$Z:$Z, $A105, Orders!$M:$M, "Return Received")</f>
        <v>4</v>
      </c>
      <c r="AA105" s="123">
        <f t="shared" si="80"/>
        <v>0</v>
      </c>
      <c r="AB105" s="6">
        <f>COUNTIFS(Orders!$Z:$Z, $A105, Orders!$M:$M, "Returned") + COUNTIFS(Orders!$Z:$Z, $A105, Orders!$M:$M, "Returned to Shipper")</f>
        <v>0</v>
      </c>
      <c r="AC105" s="6">
        <f t="shared" si="81"/>
        <v>0</v>
      </c>
      <c r="AD105" s="2">
        <f>SUMIFS(Orders!$U:$U, Orders!$Z:$Z, $A105, Orders!$M:$M, "Delivered")</f>
        <v>32234</v>
      </c>
      <c r="AE105" s="124">
        <f t="shared" si="82"/>
        <v>0</v>
      </c>
      <c r="AF105" s="2" t="str">
        <f>IFERROR(__xludf.DUMMYFUNCTION("IFERROR(TEXTJOIN("", "", TRUE, FILTER(Orders!$B$2:$B$2517, (TEXT(Orders!$D$2:$D$2517,""d-mmm"")=TEXT($A105,""d-mmm"")) * (ABS(Orders!$H$2:$H$2517 - Orders!$U$2:$U$2517) &gt;= 1) * (Orders!$M$2:$M$2517=""Delivered""))), ""All Balanced"")"),"All Balanced")</f>
        <v>All Balanced</v>
      </c>
      <c r="AG105" s="2" t="str">
        <f>IFERROR(__xludf.DUMMYFUNCTION("IFERROR(TEXTJOIN("", "", TRUE, FILTER(Orders!$I$2:$I$3000, (Orders!$M$2:$M$3000=""Delivered"") * (Orders!$N$2:$N$3000&lt;&gt;""Paid"") * (Orders!$Z$2:$Z$3000=$A105))), """")"),"")</f>
        <v/>
      </c>
      <c r="AH105" s="2">
        <f t="shared" si="83"/>
        <v>0</v>
      </c>
    </row>
    <row r="106">
      <c r="A106" s="107">
        <v>46070.0</v>
      </c>
      <c r="B106" s="108">
        <f t="shared" si="66"/>
        <v>2896.352174</v>
      </c>
      <c r="C106" s="108">
        <f>SUMIFS(Orders!$H:$H, Orders!$Z:$Z, $A106, Orders!$M:$M, "Delivered")</f>
        <v>66616.1</v>
      </c>
      <c r="D106" s="109">
        <f>SUMIFS(Orders!$Q:$Q, Orders!$Z:$Z, $A106, Orders!$M:$M, "Delivered")</f>
        <v>19995</v>
      </c>
      <c r="E106" s="110">
        <f t="shared" si="67"/>
        <v>0.3001526658</v>
      </c>
      <c r="F106" s="111">
        <f t="shared" si="68"/>
        <v>63951.456</v>
      </c>
      <c r="G106" s="111">
        <f t="shared" si="69"/>
        <v>2664.644</v>
      </c>
      <c r="H106" s="111">
        <f t="shared" si="70"/>
        <v>46621.1</v>
      </c>
      <c r="I106" s="112">
        <f t="shared" si="71"/>
        <v>30.32556694</v>
      </c>
      <c r="J106" s="113">
        <v>20201.71</v>
      </c>
      <c r="K106" s="114"/>
      <c r="L106" s="115">
        <f t="shared" si="72"/>
        <v>8064.644</v>
      </c>
      <c r="M106" s="116">
        <f>SUMIFS(Orders!$W:$W, Orders!$Z:$Z, $A106)</f>
        <v>7715.8888</v>
      </c>
      <c r="N106" s="117">
        <f t="shared" si="73"/>
        <v>18703.5012</v>
      </c>
      <c r="O106" s="118">
        <f t="shared" si="74"/>
        <v>85.18518519</v>
      </c>
      <c r="P106" s="113">
        <v>4.15792595</v>
      </c>
      <c r="Q106" s="119">
        <f t="shared" si="75"/>
        <v>721.4896429</v>
      </c>
      <c r="R106" s="120">
        <f t="shared" si="76"/>
        <v>748.2114815</v>
      </c>
      <c r="S106" s="109">
        <f>COUNTIFS(Orders!$Z:$Z, $A106)</f>
        <v>28</v>
      </c>
      <c r="T106" s="111">
        <f>COUNTIFS(Orders!$Z:$Z, $A106, Orders!$M:$M, "Cancelled")</f>
        <v>1</v>
      </c>
      <c r="U106" s="121">
        <f t="shared" si="77"/>
        <v>0.03571428571</v>
      </c>
      <c r="V106" s="122">
        <f>COUNTIFS(Orders!$Z:$Z, $A106, Orders!$M:$M, "pending")</f>
        <v>0</v>
      </c>
      <c r="W106" s="122">
        <f t="shared" si="78"/>
        <v>27</v>
      </c>
      <c r="X106" s="70">
        <f t="shared" si="79"/>
        <v>0.9642857143</v>
      </c>
      <c r="Y106" s="6">
        <f>COUNTIFS(Orders!$Z:$Z, $A106, Orders!$M:$M, "Delivered")</f>
        <v>23</v>
      </c>
      <c r="Z106" s="6">
        <f>COUNTIFS(Orders!$Z:$Z, $A106, Orders!$M:$M, "Return Received")</f>
        <v>4</v>
      </c>
      <c r="AA106" s="123">
        <f t="shared" si="80"/>
        <v>0</v>
      </c>
      <c r="AB106" s="6">
        <f>COUNTIFS(Orders!$Z:$Z, $A106, Orders!$M:$M, "Returned") + COUNTIFS(Orders!$Z:$Z, $A106, Orders!$M:$M, "Returned to Shipper")</f>
        <v>0</v>
      </c>
      <c r="AC106" s="6">
        <f t="shared" si="81"/>
        <v>0</v>
      </c>
      <c r="AD106" s="2">
        <f>SUMIFS(Orders!$U:$U, Orders!$Z:$Z, $A106, Orders!$M:$M, "Delivered")</f>
        <v>68165.6</v>
      </c>
      <c r="AE106" s="124">
        <f t="shared" si="82"/>
        <v>-1549.5</v>
      </c>
      <c r="AF106" s="2" t="str">
        <f>IFERROR(__xludf.DUMMYFUNCTION("IFERROR(TEXTJOIN("", "", TRUE, FILTER(Orders!$B$2:$B$2517, (TEXT(Orders!$D$2:$D$2517,""d-mmm"")=TEXT($A106,""d-mmm"")) * (ABS(Orders!$H$2:$H$2517 - Orders!$U$2:$U$2517) &gt;= 1) * (Orders!$M$2:$M$2517=""Delivered""))), ""All Balanced"")"),"All Balanced")</f>
        <v>All Balanced</v>
      </c>
      <c r="AG106" s="2" t="str">
        <f>IFERROR(__xludf.DUMMYFUNCTION("IFERROR(TEXTJOIN("", "", TRUE, FILTER(Orders!$I$2:$I$3000, (Orders!$M$2:$M$3000=""Delivered"") * (Orders!$N$2:$N$3000&lt;&gt;""Paid"") * (Orders!$Z$2:$Z$3000=$A106))), """")"),"")</f>
        <v/>
      </c>
      <c r="AH106" s="2">
        <f t="shared" si="83"/>
        <v>0</v>
      </c>
    </row>
    <row r="107">
      <c r="A107" s="107">
        <v>46071.0</v>
      </c>
      <c r="B107" s="108">
        <f t="shared" si="66"/>
        <v>2622.55</v>
      </c>
      <c r="C107" s="108">
        <f>SUMIFS(Orders!$H:$H, Orders!$Z:$Z, $A107, Orders!$M:$M, "Delivered")</f>
        <v>52451</v>
      </c>
      <c r="D107" s="109">
        <f>SUMIFS(Orders!$Q:$Q, Orders!$Z:$Z, $A107, Orders!$M:$M, "Delivered")</f>
        <v>15630</v>
      </c>
      <c r="E107" s="110">
        <f t="shared" si="67"/>
        <v>0.297992412</v>
      </c>
      <c r="F107" s="111">
        <f t="shared" si="68"/>
        <v>50352.96</v>
      </c>
      <c r="G107" s="111">
        <f t="shared" si="69"/>
        <v>2098.04</v>
      </c>
      <c r="H107" s="111">
        <f t="shared" si="70"/>
        <v>36821</v>
      </c>
      <c r="I107" s="112">
        <f t="shared" si="71"/>
        <v>34.90987779</v>
      </c>
      <c r="J107" s="113">
        <v>18310.58</v>
      </c>
      <c r="K107" s="114"/>
      <c r="L107" s="115">
        <f t="shared" si="72"/>
        <v>6698.04</v>
      </c>
      <c r="M107" s="116">
        <f>SUMIFS(Orders!$W:$W, Orders!$Z:$Z, $A107)</f>
        <v>6688.79</v>
      </c>
      <c r="N107" s="117">
        <f t="shared" si="73"/>
        <v>11821.63</v>
      </c>
      <c r="O107" s="118">
        <f t="shared" si="74"/>
        <v>86.95652174</v>
      </c>
      <c r="P107" s="113">
        <v>5.14166183</v>
      </c>
      <c r="Q107" s="119">
        <f t="shared" si="75"/>
        <v>631.3993103</v>
      </c>
      <c r="R107" s="120">
        <f t="shared" si="76"/>
        <v>796.1121739</v>
      </c>
      <c r="S107" s="109">
        <f>COUNTIFS(Orders!$Z:$Z, $A107)</f>
        <v>29</v>
      </c>
      <c r="T107" s="111">
        <f>COUNTIFS(Orders!$Z:$Z, $A107, Orders!$M:$M, "Cancelled")</f>
        <v>6</v>
      </c>
      <c r="U107" s="121">
        <f t="shared" si="77"/>
        <v>0.2068965517</v>
      </c>
      <c r="V107" s="122">
        <f>COUNTIFS(Orders!$Z:$Z, $A107, Orders!$M:$M, "pending")</f>
        <v>0</v>
      </c>
      <c r="W107" s="122">
        <f t="shared" si="78"/>
        <v>23</v>
      </c>
      <c r="X107" s="70">
        <f t="shared" si="79"/>
        <v>0.7931034483</v>
      </c>
      <c r="Y107" s="6">
        <f>COUNTIFS(Orders!$Z:$Z, $A107, Orders!$M:$M, "Delivered")</f>
        <v>20</v>
      </c>
      <c r="Z107" s="6">
        <f>COUNTIFS(Orders!$Z:$Z, $A107, Orders!$M:$M, "Return Received")</f>
        <v>3</v>
      </c>
      <c r="AA107" s="123">
        <f t="shared" si="80"/>
        <v>0</v>
      </c>
      <c r="AB107" s="6">
        <f>COUNTIFS(Orders!$Z:$Z, $A107, Orders!$M:$M, "Returned") + COUNTIFS(Orders!$Z:$Z, $A107, Orders!$M:$M, "Returned to Shipper")</f>
        <v>0</v>
      </c>
      <c r="AC107" s="6">
        <f t="shared" si="81"/>
        <v>0</v>
      </c>
      <c r="AD107" s="2">
        <f>SUMIFS(Orders!$U:$U, Orders!$Z:$Z, $A107, Orders!$M:$M, "Delivered")</f>
        <v>49352</v>
      </c>
      <c r="AE107" s="124">
        <f t="shared" si="82"/>
        <v>3099</v>
      </c>
      <c r="AF107" s="2" t="str">
        <f>IFERROR(__xludf.DUMMYFUNCTION("IFERROR(TEXTJOIN("", "", TRUE, FILTER(Orders!$B$2:$B$2517, (TEXT(Orders!$D$2:$D$2517,""d-mmm"")=TEXT($A107,""d-mmm"")) * (ABS(Orders!$H$2:$H$2517 - Orders!$U$2:$U$2517) &gt;= 1) * (Orders!$M$2:$M$2517=""Delivered""))), ""All Balanced"")"),"All Balanced")</f>
        <v>All Balanced</v>
      </c>
      <c r="AG107" s="2" t="str">
        <f>IFERROR(__xludf.DUMMYFUNCTION("IFERROR(TEXTJOIN("", "", TRUE, FILTER(Orders!$I$2:$I$3000, (Orders!$M$2:$M$3000=""Delivered"") * (Orders!$N$2:$N$3000&lt;&gt;""Paid"") * (Orders!$Z$2:$Z$3000=$A107))), """")"),"")</f>
        <v/>
      </c>
      <c r="AH107" s="2">
        <f t="shared" si="83"/>
        <v>0</v>
      </c>
    </row>
    <row r="108">
      <c r="A108" s="107">
        <v>46072.0</v>
      </c>
      <c r="B108" s="108">
        <f t="shared" si="66"/>
        <v>4143.666667</v>
      </c>
      <c r="C108" s="108">
        <f>SUMIFS(Orders!$H:$H, Orders!$Z:$Z, $A108, Orders!$M:$M, "Delivered")</f>
        <v>87017</v>
      </c>
      <c r="D108" s="109">
        <f>SUMIFS(Orders!$Q:$Q, Orders!$Z:$Z, $A108, Orders!$M:$M, "Delivered")</f>
        <v>27955</v>
      </c>
      <c r="E108" s="110">
        <f t="shared" si="67"/>
        <v>0.3212590643</v>
      </c>
      <c r="F108" s="111">
        <f t="shared" si="68"/>
        <v>83536.32</v>
      </c>
      <c r="G108" s="111">
        <f t="shared" si="69"/>
        <v>3480.68</v>
      </c>
      <c r="H108" s="111">
        <f t="shared" si="70"/>
        <v>59062</v>
      </c>
      <c r="I108" s="112">
        <f t="shared" si="71"/>
        <v>20.94695289</v>
      </c>
      <c r="J108" s="113">
        <v>18227.41</v>
      </c>
      <c r="K108" s="114"/>
      <c r="L108" s="115">
        <f t="shared" si="72"/>
        <v>8280.68</v>
      </c>
      <c r="M108" s="116">
        <f>SUMIFS(Orders!$W:$W, Orders!$Z:$Z, $A108)</f>
        <v>7972.6296</v>
      </c>
      <c r="N108" s="117">
        <f t="shared" si="73"/>
        <v>32861.9604</v>
      </c>
      <c r="O108" s="118">
        <f t="shared" si="74"/>
        <v>87.5</v>
      </c>
      <c r="P108" s="113">
        <v>6.33431842</v>
      </c>
      <c r="Q108" s="119">
        <f t="shared" si="75"/>
        <v>675.0892593</v>
      </c>
      <c r="R108" s="120">
        <f t="shared" si="76"/>
        <v>759.4754167</v>
      </c>
      <c r="S108" s="109">
        <f>COUNTIFS(Orders!$Z:$Z, $A108)</f>
        <v>27</v>
      </c>
      <c r="T108" s="111">
        <f>COUNTIFS(Orders!$Z:$Z, $A108, Orders!$M:$M, "Cancelled")</f>
        <v>3</v>
      </c>
      <c r="U108" s="121">
        <f t="shared" si="77"/>
        <v>0.1111111111</v>
      </c>
      <c r="V108" s="122">
        <f>COUNTIFS(Orders!$Z:$Z, $A108, Orders!$M:$M, "pending")</f>
        <v>0</v>
      </c>
      <c r="W108" s="122">
        <f t="shared" si="78"/>
        <v>24</v>
      </c>
      <c r="X108" s="70">
        <f t="shared" si="79"/>
        <v>0.8888888889</v>
      </c>
      <c r="Y108" s="6">
        <f>COUNTIFS(Orders!$Z:$Z, $A108, Orders!$M:$M, "Delivered")</f>
        <v>21</v>
      </c>
      <c r="Z108" s="6">
        <f>COUNTIFS(Orders!$Z:$Z, $A108, Orders!$M:$M, "Return Received")</f>
        <v>3</v>
      </c>
      <c r="AA108" s="123">
        <f t="shared" si="80"/>
        <v>0</v>
      </c>
      <c r="AB108" s="6">
        <f>COUNTIFS(Orders!$Z:$Z, $A108, Orders!$M:$M, "Returned") + COUNTIFS(Orders!$Z:$Z, $A108, Orders!$M:$M, "Returned to Shipper")</f>
        <v>0</v>
      </c>
      <c r="AC108" s="6">
        <f t="shared" si="81"/>
        <v>0</v>
      </c>
      <c r="AD108" s="2">
        <f>SUMIFS(Orders!$U:$U, Orders!$Z:$Z, $A108, Orders!$M:$M, "Delivered")</f>
        <v>87017</v>
      </c>
      <c r="AE108" s="124">
        <f t="shared" si="82"/>
        <v>0</v>
      </c>
      <c r="AF108" s="2" t="str">
        <f>IFERROR(__xludf.DUMMYFUNCTION("IFERROR(TEXTJOIN("", "", TRUE, FILTER(Orders!$B$2:$B$2517, (TEXT(Orders!$D$2:$D$2517,""d-mmm"")=TEXT($A108,""d-mmm"")) * (ABS(Orders!$H$2:$H$2517 - Orders!$U$2:$U$2517) &gt;= 1) * (Orders!$M$2:$M$2517=""Delivered""))), ""All Balanced"")"),"All Balanced")</f>
        <v>All Balanced</v>
      </c>
      <c r="AG108" s="2" t="str">
        <f>IFERROR(__xludf.DUMMYFUNCTION("IFERROR(TEXTJOIN("", "", TRUE, FILTER(Orders!$I$2:$I$3000, (Orders!$M$2:$M$3000=""Delivered"") * (Orders!$N$2:$N$3000&lt;&gt;""Paid"") * (Orders!$Z$2:$Z$3000=$A108))), """")"),"")</f>
        <v/>
      </c>
      <c r="AH108" s="2">
        <f t="shared" si="83"/>
        <v>0</v>
      </c>
    </row>
    <row r="109">
      <c r="A109" s="107">
        <v>46073.0</v>
      </c>
      <c r="B109" s="108">
        <f t="shared" si="66"/>
        <v>2860.153846</v>
      </c>
      <c r="C109" s="108">
        <f>SUMIFS(Orders!$H:$H, Orders!$Z:$Z, $A109, Orders!$M:$M, "Delivered")</f>
        <v>37182</v>
      </c>
      <c r="D109" s="109">
        <f>SUMIFS(Orders!$Q:$Q, Orders!$Z:$Z, $A109, Orders!$M:$M, "Delivered")</f>
        <v>9860</v>
      </c>
      <c r="E109" s="110">
        <f t="shared" si="67"/>
        <v>0.2651820773</v>
      </c>
      <c r="F109" s="111">
        <f t="shared" si="68"/>
        <v>35694.72</v>
      </c>
      <c r="G109" s="111">
        <f t="shared" si="69"/>
        <v>1487.28</v>
      </c>
      <c r="H109" s="111">
        <f t="shared" si="70"/>
        <v>27322</v>
      </c>
      <c r="I109" s="112">
        <f t="shared" si="71"/>
        <v>48.02544242</v>
      </c>
      <c r="J109" s="113">
        <v>17856.82</v>
      </c>
      <c r="K109" s="114"/>
      <c r="L109" s="115">
        <f t="shared" si="72"/>
        <v>5487.28</v>
      </c>
      <c r="M109" s="116">
        <f>SUMIFS(Orders!$W:$W, Orders!$Z:$Z, $A109)</f>
        <v>4983</v>
      </c>
      <c r="N109" s="117">
        <f t="shared" si="73"/>
        <v>4482.18</v>
      </c>
      <c r="O109" s="118">
        <f t="shared" si="74"/>
        <v>65</v>
      </c>
      <c r="P109" s="113">
        <v>4.49780608</v>
      </c>
      <c r="Q109" s="119">
        <f t="shared" si="75"/>
        <v>744.0341667</v>
      </c>
      <c r="R109" s="120">
        <f t="shared" si="76"/>
        <v>892.841</v>
      </c>
      <c r="S109" s="109">
        <f>COUNTIFS(Orders!$Z:$Z, $A109)</f>
        <v>24</v>
      </c>
      <c r="T109" s="111">
        <f>COUNTIFS(Orders!$Z:$Z, $A109, Orders!$M:$M, "Cancelled")</f>
        <v>4</v>
      </c>
      <c r="U109" s="121">
        <f t="shared" si="77"/>
        <v>0.1666666667</v>
      </c>
      <c r="V109" s="122">
        <f>COUNTIFS(Orders!$Z:$Z, $A109, Orders!$M:$M, "pending")</f>
        <v>0</v>
      </c>
      <c r="W109" s="122">
        <f t="shared" si="78"/>
        <v>20</v>
      </c>
      <c r="X109" s="70">
        <f t="shared" si="79"/>
        <v>0.8333333333</v>
      </c>
      <c r="Y109" s="6">
        <f>COUNTIFS(Orders!$Z:$Z, $A109, Orders!$M:$M, "Delivered")</f>
        <v>13</v>
      </c>
      <c r="Z109" s="6">
        <f>COUNTIFS(Orders!$Z:$Z, $A109, Orders!$M:$M, "Return Received")</f>
        <v>7</v>
      </c>
      <c r="AA109" s="123">
        <f t="shared" si="80"/>
        <v>0</v>
      </c>
      <c r="AB109" s="6">
        <f>COUNTIFS(Orders!$Z:$Z, $A109, Orders!$M:$M, "Returned") + COUNTIFS(Orders!$Z:$Z, $A109, Orders!$M:$M, "Returned to Shipper")</f>
        <v>0</v>
      </c>
      <c r="AC109" s="6">
        <f t="shared" si="81"/>
        <v>0</v>
      </c>
      <c r="AD109" s="2">
        <f>SUMIFS(Orders!$U:$U, Orders!$Z:$Z, $A109, Orders!$M:$M, "Delivered")</f>
        <v>37182</v>
      </c>
      <c r="AE109" s="124">
        <f t="shared" si="82"/>
        <v>0</v>
      </c>
      <c r="AF109" s="29" t="str">
        <f>IFERROR(__xludf.DUMMYFUNCTION("IFERROR(TEXTJOIN("", "", TRUE, FILTER(Orders!$B$2:$B$2517, (TEXT(Orders!$D$2:$D$2517,""d-mmm"")=TEXT($A109,""d-mmm"")) * (ABS(Orders!$H$2:$H$2517 - Orders!$U$2:$U$2517) &gt;= 1) * (Orders!$M$2:$M$2517=""Delivered""))), ""All Balanced"")"),"All Balanced")</f>
        <v>All Balanced</v>
      </c>
      <c r="AG109" s="2" t="str">
        <f>IFERROR(__xludf.DUMMYFUNCTION("IFERROR(TEXTJOIN("", "", TRUE, FILTER(Orders!$I$2:$I$3000, (Orders!$M$2:$M$3000=""Delivered"") * (Orders!$N$2:$N$3000&lt;&gt;""Paid"") * (Orders!$Z$2:$Z$3000=$A109))), """")"),"")</f>
        <v/>
      </c>
      <c r="AH109" s="2">
        <f t="shared" si="83"/>
        <v>0</v>
      </c>
    </row>
    <row r="110">
      <c r="A110" s="107">
        <v>46074.0</v>
      </c>
      <c r="B110" s="108">
        <f t="shared" si="66"/>
        <v>3303.777778</v>
      </c>
      <c r="C110" s="108">
        <f>SUMIFS(Orders!$H:$H, Orders!$Z:$Z, $A110, Orders!$M:$M, "Delivered")</f>
        <v>59468</v>
      </c>
      <c r="D110" s="109">
        <f>SUMIFS(Orders!$Q:$Q, Orders!$Z:$Z, $A110, Orders!$M:$M, "Delivered")</f>
        <v>15950</v>
      </c>
      <c r="E110" s="110">
        <f t="shared" si="67"/>
        <v>0.2682114751</v>
      </c>
      <c r="F110" s="111">
        <f t="shared" si="68"/>
        <v>57089.28</v>
      </c>
      <c r="G110" s="111">
        <f t="shared" si="69"/>
        <v>2378.72</v>
      </c>
      <c r="H110" s="111">
        <f t="shared" si="70"/>
        <v>43518</v>
      </c>
      <c r="I110" s="112">
        <f t="shared" si="71"/>
        <v>29.6456918</v>
      </c>
      <c r="J110" s="113">
        <v>17629.7</v>
      </c>
      <c r="K110" s="114"/>
      <c r="L110" s="115">
        <f t="shared" si="72"/>
        <v>6778.72</v>
      </c>
      <c r="M110" s="116">
        <f>SUMIFS(Orders!$W:$W, Orders!$Z:$Z, $A110)</f>
        <v>6044</v>
      </c>
      <c r="N110" s="117">
        <f t="shared" si="73"/>
        <v>19844.3</v>
      </c>
      <c r="O110" s="118">
        <f t="shared" si="74"/>
        <v>81.81818182</v>
      </c>
      <c r="P110" s="113">
        <v>5.14182317</v>
      </c>
      <c r="Q110" s="119">
        <f t="shared" si="75"/>
        <v>652.9518519</v>
      </c>
      <c r="R110" s="120">
        <f t="shared" si="76"/>
        <v>801.35</v>
      </c>
      <c r="S110" s="109">
        <f>COUNTIFS(Orders!$Z:$Z, $A110)</f>
        <v>27</v>
      </c>
      <c r="T110" s="111">
        <f>COUNTIFS(Orders!$Z:$Z, $A110, Orders!$M:$M, "Cancelled")</f>
        <v>5</v>
      </c>
      <c r="U110" s="121">
        <f t="shared" si="77"/>
        <v>0.1851851852</v>
      </c>
      <c r="V110" s="122">
        <f>COUNTIFS(Orders!$Z:$Z, $A110, Orders!$M:$M, "pending")</f>
        <v>0</v>
      </c>
      <c r="W110" s="122">
        <f t="shared" si="78"/>
        <v>22</v>
      </c>
      <c r="X110" s="70">
        <f t="shared" si="79"/>
        <v>0.8148148148</v>
      </c>
      <c r="Y110" s="6">
        <f>COUNTIFS(Orders!$Z:$Z, $A110, Orders!$M:$M, "Delivered")</f>
        <v>18</v>
      </c>
      <c r="Z110" s="6">
        <f>COUNTIFS(Orders!$Z:$Z, $A110, Orders!$M:$M, "Return Received")</f>
        <v>4</v>
      </c>
      <c r="AA110" s="123">
        <f t="shared" si="80"/>
        <v>0</v>
      </c>
      <c r="AB110" s="6">
        <f>COUNTIFS(Orders!$Z:$Z, $A110, Orders!$M:$M, "Returned") + COUNTIFS(Orders!$Z:$Z, $A110, Orders!$M:$M, "Returned to Shipper")</f>
        <v>0</v>
      </c>
      <c r="AC110" s="6">
        <f t="shared" si="81"/>
        <v>0</v>
      </c>
      <c r="AD110" s="2">
        <f>SUMIFS(Orders!$U:$U, Orders!$Z:$Z, $A110, Orders!$M:$M, "Delivered")</f>
        <v>56120</v>
      </c>
      <c r="AE110" s="124">
        <f t="shared" si="82"/>
        <v>3348</v>
      </c>
      <c r="AF110" s="2" t="str">
        <f>IFERROR(__xludf.DUMMYFUNCTION("IFERROR(TEXTJOIN("", "", TRUE, FILTER(Orders!$B$2:$B$2517, (TEXT(Orders!$D$2:$D$2517,""d-mmm"")=TEXT($A110,""d-mmm"")) * (ABS(Orders!$H$2:$H$2517 - Orders!$U$2:$U$2517) &gt;= 1) * (Orders!$M$2:$M$2517=""Delivered""))), ""All Balanced"")"),"All Balanced")</f>
        <v>All Balanced</v>
      </c>
      <c r="AG110" s="2" t="str">
        <f>IFERROR(__xludf.DUMMYFUNCTION("IFERROR(TEXTJOIN("", "", TRUE, FILTER(Orders!$I$2:$I$3000, (Orders!$M$2:$M$3000=""Delivered"") * (Orders!$N$2:$N$3000&lt;&gt;""Paid"") * (Orders!$Z$2:$Z$3000=$A110))), """")"),"")</f>
        <v/>
      </c>
      <c r="AH110" s="2">
        <f t="shared" si="83"/>
        <v>0</v>
      </c>
    </row>
    <row r="111">
      <c r="A111" s="107">
        <v>46075.0</v>
      </c>
      <c r="B111" s="108">
        <f t="shared" si="66"/>
        <v>2918.388889</v>
      </c>
      <c r="C111" s="108">
        <f>SUMIFS(Orders!$H:$H, Orders!$Z:$Z, $A111, Orders!$M:$M, "Delivered")</f>
        <v>52531</v>
      </c>
      <c r="D111" s="109">
        <f>SUMIFS(Orders!$Q:$Q, Orders!$Z:$Z, $A111, Orders!$M:$M, "Delivered")</f>
        <v>15500</v>
      </c>
      <c r="E111" s="110">
        <f t="shared" si="67"/>
        <v>0.295063867</v>
      </c>
      <c r="F111" s="111">
        <f t="shared" si="68"/>
        <v>50429.76</v>
      </c>
      <c r="G111" s="111">
        <f t="shared" si="69"/>
        <v>2101.24</v>
      </c>
      <c r="H111" s="111">
        <f t="shared" si="70"/>
        <v>37031</v>
      </c>
      <c r="I111" s="112">
        <f t="shared" si="71"/>
        <v>33.38268832</v>
      </c>
      <c r="J111" s="113">
        <v>17536.26</v>
      </c>
      <c r="K111" s="114"/>
      <c r="L111" s="115">
        <f t="shared" si="72"/>
        <v>6501.24</v>
      </c>
      <c r="M111" s="116">
        <f>SUMIFS(Orders!$W:$W, Orders!$Z:$Z, $A111)</f>
        <v>5733</v>
      </c>
      <c r="N111" s="117">
        <f t="shared" si="73"/>
        <v>13761.74</v>
      </c>
      <c r="O111" s="118">
        <f t="shared" si="74"/>
        <v>81.81818182</v>
      </c>
      <c r="P111" s="113">
        <v>4.74023102</v>
      </c>
      <c r="Q111" s="119">
        <f t="shared" si="75"/>
        <v>730.6775</v>
      </c>
      <c r="R111" s="120">
        <f t="shared" si="76"/>
        <v>797.1027273</v>
      </c>
      <c r="S111" s="109">
        <f>COUNTIFS(Orders!$Z:$Z, $A111)</f>
        <v>24</v>
      </c>
      <c r="T111" s="111">
        <f>COUNTIFS(Orders!$Z:$Z, $A111, Orders!$M:$M, "Cancelled")</f>
        <v>2</v>
      </c>
      <c r="U111" s="121">
        <f t="shared" si="77"/>
        <v>0.08333333333</v>
      </c>
      <c r="V111" s="122">
        <f>COUNTIFS(Orders!$Z:$Z, $A111, Orders!$M:$M, "pending")</f>
        <v>0</v>
      </c>
      <c r="W111" s="122">
        <f t="shared" si="78"/>
        <v>22</v>
      </c>
      <c r="X111" s="70">
        <f t="shared" si="79"/>
        <v>0.9166666667</v>
      </c>
      <c r="Y111" s="6">
        <f>COUNTIFS(Orders!$Z:$Z, $A111, Orders!$M:$M, "Delivered")</f>
        <v>18</v>
      </c>
      <c r="Z111" s="6">
        <f>COUNTIFS(Orders!$Z:$Z, $A111, Orders!$M:$M, "Return Received")</f>
        <v>4</v>
      </c>
      <c r="AA111" s="123">
        <f t="shared" si="80"/>
        <v>0</v>
      </c>
      <c r="AB111" s="6">
        <f>COUNTIFS(Orders!$Z:$Z, $A111, Orders!$M:$M, "Returned") + COUNTIFS(Orders!$Z:$Z, $A111, Orders!$M:$M, "Returned to Shipper")</f>
        <v>0</v>
      </c>
      <c r="AC111" s="6">
        <f t="shared" si="81"/>
        <v>0</v>
      </c>
      <c r="AD111" s="2">
        <f>SUMIFS(Orders!$U:$U, Orders!$Z:$Z, $A111, Orders!$M:$M, "Delivered")</f>
        <v>49682</v>
      </c>
      <c r="AE111" s="124">
        <f t="shared" si="82"/>
        <v>2849</v>
      </c>
      <c r="AF111" s="2" t="str">
        <f>IFERROR(__xludf.DUMMYFUNCTION("IFERROR(TEXTJOIN("", "", TRUE, FILTER(Orders!$B$2:$B$2517, (TEXT(Orders!$D$2:$D$2517,""d-mmm"")=TEXT($A111,""d-mmm"")) * (ABS(Orders!$H$2:$H$2517 - Orders!$U$2:$U$2517) &gt;= 1) * (Orders!$M$2:$M$2517=""Delivered""))), ""All Balanced"")"),"All Balanced")</f>
        <v>All Balanced</v>
      </c>
      <c r="AG111" s="2" t="str">
        <f>IFERROR(__xludf.DUMMYFUNCTION("IFERROR(TEXTJOIN("", "", TRUE, FILTER(Orders!$I$2:$I$3000, (Orders!$M$2:$M$3000=""Delivered"") * (Orders!$N$2:$N$3000&lt;&gt;""Paid"") * (Orders!$Z$2:$Z$3000=$A111))), """")"),"")</f>
        <v/>
      </c>
      <c r="AH111" s="2">
        <f t="shared" si="83"/>
        <v>0</v>
      </c>
    </row>
    <row r="112">
      <c r="A112" s="107">
        <v>46076.0</v>
      </c>
      <c r="B112" s="108">
        <f t="shared" si="66"/>
        <v>2903.333333</v>
      </c>
      <c r="C112" s="108">
        <f>SUMIFS(Orders!$H:$H, Orders!$Z:$Z, $A112, Orders!$M:$M, "Delivered")</f>
        <v>60970</v>
      </c>
      <c r="D112" s="109">
        <f>SUMIFS(Orders!$Q:$Q, Orders!$Z:$Z, $A112, Orders!$M:$M, "Delivered")</f>
        <v>17375</v>
      </c>
      <c r="E112" s="110">
        <f t="shared" si="67"/>
        <v>0.2849762178</v>
      </c>
      <c r="F112" s="111">
        <f t="shared" si="68"/>
        <v>58531.2</v>
      </c>
      <c r="G112" s="111">
        <f t="shared" si="69"/>
        <v>2438.8</v>
      </c>
      <c r="H112" s="111">
        <f t="shared" si="70"/>
        <v>43595</v>
      </c>
      <c r="I112" s="112">
        <f t="shared" si="71"/>
        <v>38.67958012</v>
      </c>
      <c r="J112" s="113">
        <v>23582.94</v>
      </c>
      <c r="K112" s="114"/>
      <c r="L112" s="115">
        <f t="shared" si="72"/>
        <v>7838.8</v>
      </c>
      <c r="M112" s="116">
        <f>SUMIFS(Orders!$W:$W, Orders!$Z:$Z, $A112)</f>
        <v>7849</v>
      </c>
      <c r="N112" s="117">
        <f t="shared" si="73"/>
        <v>12163.06</v>
      </c>
      <c r="O112" s="118">
        <f t="shared" si="74"/>
        <v>77.77777778</v>
      </c>
      <c r="P112" s="113">
        <v>4.45423769</v>
      </c>
      <c r="Q112" s="119">
        <f t="shared" si="75"/>
        <v>813.2048276</v>
      </c>
      <c r="R112" s="120">
        <f t="shared" si="76"/>
        <v>873.4422222</v>
      </c>
      <c r="S112" s="109">
        <f>COUNTIFS(Orders!$Z:$Z, $A112)</f>
        <v>29</v>
      </c>
      <c r="T112" s="111">
        <f>COUNTIFS(Orders!$Z:$Z, $A112, Orders!$M:$M, "Cancelled")</f>
        <v>2</v>
      </c>
      <c r="U112" s="121">
        <f t="shared" si="77"/>
        <v>0.06896551724</v>
      </c>
      <c r="V112" s="122">
        <f>COUNTIFS(Orders!$Z:$Z, $A112, Orders!$M:$M, "pending")</f>
        <v>0</v>
      </c>
      <c r="W112" s="122">
        <f t="shared" si="78"/>
        <v>27</v>
      </c>
      <c r="X112" s="70">
        <f t="shared" si="79"/>
        <v>0.9310344828</v>
      </c>
      <c r="Y112" s="6">
        <f>COUNTIFS(Orders!$Z:$Z, $A112, Orders!$M:$M, "Delivered")</f>
        <v>21</v>
      </c>
      <c r="Z112" s="6">
        <f>COUNTIFS(Orders!$Z:$Z, $A112, Orders!$M:$M, "Return Received")</f>
        <v>6</v>
      </c>
      <c r="AA112" s="123">
        <f t="shared" si="80"/>
        <v>0</v>
      </c>
      <c r="AB112" s="6">
        <f>COUNTIFS(Orders!$Z:$Z, $A112, Orders!$M:$M, "Returned") + COUNTIFS(Orders!$Z:$Z, $A112, Orders!$M:$M, "Returned to Shipper")</f>
        <v>0</v>
      </c>
      <c r="AC112" s="6">
        <f t="shared" si="81"/>
        <v>0</v>
      </c>
      <c r="AD112" s="2">
        <f>SUMIFS(Orders!$U:$U, Orders!$Z:$Z, $A112, Orders!$M:$M, "Delivered")</f>
        <v>60970</v>
      </c>
      <c r="AE112" s="124">
        <f t="shared" si="82"/>
        <v>0</v>
      </c>
      <c r="AF112" s="2" t="str">
        <f>IFERROR(__xludf.DUMMYFUNCTION("IFERROR(TEXTJOIN("", "", TRUE, FILTER(Orders!$B$2:$B$2517, (TEXT(Orders!$D$2:$D$2517,""d-mmm"")=TEXT($A112,""d-mmm"")) * (ABS(Orders!$H$2:$H$2517 - Orders!$U$2:$U$2517) &gt;= 1) * (Orders!$M$2:$M$2517=""Delivered""))), ""All Balanced"")"),"All Balanced")</f>
        <v>All Balanced</v>
      </c>
      <c r="AG112" s="2" t="str">
        <f>IFERROR(__xludf.DUMMYFUNCTION("IFERROR(TEXTJOIN("", "", TRUE, FILTER(Orders!$I$2:$I$3000, (Orders!$M$2:$M$3000=""Delivered"") * (Orders!$N$2:$N$3000&lt;&gt;""Paid"") * (Orders!$Z$2:$Z$3000=$A112))), """")"),"")</f>
        <v/>
      </c>
      <c r="AH112" s="2">
        <f t="shared" si="83"/>
        <v>0</v>
      </c>
    </row>
    <row r="113">
      <c r="A113" s="107">
        <v>46077.0</v>
      </c>
      <c r="B113" s="108">
        <f t="shared" si="66"/>
        <v>3033.677419</v>
      </c>
      <c r="C113" s="108">
        <f>SUMIFS(Orders!$H:$H, Orders!$Z:$Z, $A113, Orders!$M:$M, "Delivered")</f>
        <v>94044</v>
      </c>
      <c r="D113" s="109">
        <f>SUMIFS(Orders!$Q:$Q, Orders!$Z:$Z, $A113, Orders!$M:$M, "Delivered")</f>
        <v>27355</v>
      </c>
      <c r="E113" s="110">
        <f t="shared" si="67"/>
        <v>0.2908744843</v>
      </c>
      <c r="F113" s="111">
        <f t="shared" si="68"/>
        <v>90282.24</v>
      </c>
      <c r="G113" s="111">
        <f t="shared" si="69"/>
        <v>3761.76</v>
      </c>
      <c r="H113" s="111">
        <f t="shared" si="70"/>
        <v>66689</v>
      </c>
      <c r="I113" s="112">
        <f t="shared" si="71"/>
        <v>23.496491</v>
      </c>
      <c r="J113" s="113">
        <v>22097.04</v>
      </c>
      <c r="K113" s="114"/>
      <c r="L113" s="115">
        <f t="shared" si="72"/>
        <v>11361.76</v>
      </c>
      <c r="M113" s="116">
        <f>SUMIFS(Orders!$W:$W, Orders!$Z:$Z, $A113)</f>
        <v>11337</v>
      </c>
      <c r="N113" s="117">
        <f t="shared" si="73"/>
        <v>33254.96</v>
      </c>
      <c r="O113" s="118">
        <f t="shared" si="74"/>
        <v>81.57894737</v>
      </c>
      <c r="P113" s="113">
        <v>7.56542889</v>
      </c>
      <c r="Q113" s="119">
        <f t="shared" si="75"/>
        <v>470.1497872</v>
      </c>
      <c r="R113" s="120">
        <f t="shared" si="76"/>
        <v>581.5010526</v>
      </c>
      <c r="S113" s="109">
        <f>COUNTIFS(Orders!$Z:$Z, $A113)</f>
        <v>47</v>
      </c>
      <c r="T113" s="111">
        <f>COUNTIFS(Orders!$Z:$Z, $A113, Orders!$M:$M, "Cancelled")</f>
        <v>9</v>
      </c>
      <c r="U113" s="121">
        <f t="shared" si="77"/>
        <v>0.1914893617</v>
      </c>
      <c r="V113" s="122">
        <f>COUNTIFS(Orders!$Z:$Z, $A113, Orders!$M:$M, "pending")</f>
        <v>0</v>
      </c>
      <c r="W113" s="122">
        <f t="shared" si="78"/>
        <v>38</v>
      </c>
      <c r="X113" s="70">
        <f t="shared" si="79"/>
        <v>0.8085106383</v>
      </c>
      <c r="Y113" s="6">
        <f>COUNTIFS(Orders!$Z:$Z, $A113, Orders!$M:$M, "Delivered")</f>
        <v>31</v>
      </c>
      <c r="Z113" s="6">
        <f>COUNTIFS(Orders!$Z:$Z, $A113, Orders!$M:$M, "Return Received")</f>
        <v>7</v>
      </c>
      <c r="AA113" s="123">
        <f t="shared" si="80"/>
        <v>0</v>
      </c>
      <c r="AB113" s="6">
        <f>COUNTIFS(Orders!$Z:$Z, $A113, Orders!$M:$M, "Returned") + COUNTIFS(Orders!$Z:$Z, $A113, Orders!$M:$M, "Returned to Shipper")</f>
        <v>0</v>
      </c>
      <c r="AC113" s="6">
        <f t="shared" si="81"/>
        <v>0</v>
      </c>
      <c r="AD113" s="2">
        <f>SUMIFS(Orders!$U:$U, Orders!$Z:$Z, $A113, Orders!$M:$M, "Delivered")</f>
        <v>91195</v>
      </c>
      <c r="AE113" s="124">
        <f t="shared" si="82"/>
        <v>2849</v>
      </c>
      <c r="AF113" s="125" t="str">
        <f>IFERROR(__xludf.DUMMYFUNCTION("IFERROR(TEXTJOIN("", "", TRUE, FILTER(Orders!$B$2:$B$2517, (TEXT(Orders!$D$2:$D$2517,""d-mmm"")=TEXT($A113,""d-mmm"")) * (ABS(Orders!$H$2:$H$2517 - Orders!$U$2:$U$2517) &gt;= 1) * (Orders!$M$2:$M$2517=""Delivered""))), ""All Balanced"")"),"All Balanced")</f>
        <v>All Balanced</v>
      </c>
      <c r="AG113" s="2" t="str">
        <f>IFERROR(__xludf.DUMMYFUNCTION("IFERROR(TEXTJOIN("", "", TRUE, FILTER(Orders!$I$2:$I$3000, (Orders!$M$2:$M$3000=""Delivered"") * (Orders!$N$2:$N$3000&lt;&gt;""Paid"") * (Orders!$Z$2:$Z$3000=$A113))), """")"),"")</f>
        <v/>
      </c>
      <c r="AH113" s="2">
        <f t="shared" si="83"/>
        <v>0</v>
      </c>
    </row>
    <row r="114">
      <c r="A114" s="107">
        <v>46078.0</v>
      </c>
      <c r="B114" s="108">
        <f t="shared" si="66"/>
        <v>3413.733333</v>
      </c>
      <c r="C114" s="108">
        <f>SUMIFS(Orders!$H:$H, Orders!$Z:$Z, $A114, Orders!$M:$M, "Delivered")</f>
        <v>51206</v>
      </c>
      <c r="D114" s="109">
        <f>SUMIFS(Orders!$Q:$Q, Orders!$Z:$Z, $A114, Orders!$M:$M, "Delivered")</f>
        <v>15355</v>
      </c>
      <c r="E114" s="110">
        <f t="shared" si="67"/>
        <v>0.2998672031</v>
      </c>
      <c r="F114" s="111">
        <f t="shared" si="68"/>
        <v>49157.76</v>
      </c>
      <c r="G114" s="111">
        <f t="shared" si="69"/>
        <v>2048.24</v>
      </c>
      <c r="H114" s="111">
        <f t="shared" si="70"/>
        <v>35851</v>
      </c>
      <c r="I114" s="112">
        <f t="shared" si="71"/>
        <v>44.61953677</v>
      </c>
      <c r="J114" s="113">
        <v>22847.88</v>
      </c>
      <c r="K114" s="114"/>
      <c r="L114" s="115">
        <f t="shared" si="72"/>
        <v>7048.24</v>
      </c>
      <c r="M114" s="116">
        <f>SUMIFS(Orders!$W:$W, Orders!$Z:$Z, $A114)</f>
        <v>5920</v>
      </c>
      <c r="N114" s="117">
        <f t="shared" si="73"/>
        <v>7083.12</v>
      </c>
      <c r="O114" s="118">
        <f t="shared" si="74"/>
        <v>60</v>
      </c>
      <c r="P114" s="113">
        <v>5.08208639</v>
      </c>
      <c r="Q114" s="119">
        <f t="shared" si="75"/>
        <v>671.9964706</v>
      </c>
      <c r="R114" s="120">
        <f t="shared" si="76"/>
        <v>913.9152</v>
      </c>
      <c r="S114" s="109">
        <f>COUNTIFS(Orders!$Z:$Z, $A114)</f>
        <v>34</v>
      </c>
      <c r="T114" s="111">
        <f>COUNTIFS(Orders!$Z:$Z, $A114, Orders!$M:$M, "Cancelled")</f>
        <v>9</v>
      </c>
      <c r="U114" s="121">
        <f t="shared" si="77"/>
        <v>0.2647058824</v>
      </c>
      <c r="V114" s="122">
        <f>COUNTIFS(Orders!$Z:$Z, $A114, Orders!$M:$M, "pending")</f>
        <v>0</v>
      </c>
      <c r="W114" s="122">
        <f t="shared" si="78"/>
        <v>25</v>
      </c>
      <c r="X114" s="70">
        <f t="shared" si="79"/>
        <v>0.7352941176</v>
      </c>
      <c r="Y114" s="6">
        <f>COUNTIFS(Orders!$Z:$Z, $A114, Orders!$M:$M, "Delivered")</f>
        <v>15</v>
      </c>
      <c r="Z114" s="6">
        <f>COUNTIFS(Orders!$Z:$Z, $A114, Orders!$M:$M, "Return Received")</f>
        <v>10</v>
      </c>
      <c r="AA114" s="123">
        <f t="shared" si="80"/>
        <v>0</v>
      </c>
      <c r="AB114" s="6">
        <f>COUNTIFS(Orders!$Z:$Z, $A114, Orders!$M:$M, "Returned") + COUNTIFS(Orders!$Z:$Z, $A114, Orders!$M:$M, "Returned to Shipper")</f>
        <v>0</v>
      </c>
      <c r="AC114" s="6">
        <f t="shared" si="81"/>
        <v>0</v>
      </c>
      <c r="AD114" s="2">
        <f>SUMIFS(Orders!$U:$U, Orders!$Z:$Z, $A114, Orders!$M:$M, "Delivered")</f>
        <v>51206</v>
      </c>
      <c r="AE114" s="124">
        <f t="shared" si="82"/>
        <v>0</v>
      </c>
      <c r="AF114" s="2" t="str">
        <f>IFERROR(__xludf.DUMMYFUNCTION("IFERROR(TEXTJOIN("", "", TRUE, FILTER(Orders!$B$2:$B$2517, (TEXT(Orders!$D$2:$D$2517,""d-mmm"")=TEXT($A114,""d-mmm"")) * (ABS(Orders!$H$2:$H$2517 - Orders!$U$2:$U$2517) &gt;= 1) * (Orders!$M$2:$M$2517=""Delivered""))), ""All Balanced"")"),"All Balanced")</f>
        <v>All Balanced</v>
      </c>
      <c r="AG114" s="2" t="str">
        <f>IFERROR(__xludf.DUMMYFUNCTION("IFERROR(TEXTJOIN("", "", TRUE, FILTER(Orders!$I$2:$I$3000, (Orders!$M$2:$M$3000=""Delivered"") * (Orders!$N$2:$N$3000&lt;&gt;""Paid"") * (Orders!$Z$2:$Z$3000=$A114))), """")"),"")</f>
        <v/>
      </c>
      <c r="AH114" s="2">
        <f t="shared" si="83"/>
        <v>0</v>
      </c>
    </row>
    <row r="115">
      <c r="A115" s="107">
        <v>46079.0</v>
      </c>
      <c r="B115" s="108">
        <f t="shared" si="66"/>
        <v>3964.0625</v>
      </c>
      <c r="C115" s="108">
        <f>SUMIFS(Orders!$H:$H, Orders!$Z:$Z, $A115, Orders!$M:$M, "Delivered")</f>
        <v>63425</v>
      </c>
      <c r="D115" s="109">
        <f>SUMIFS(Orders!$Q:$Q, Orders!$Z:$Z, $A115, Orders!$M:$M, "Delivered")</f>
        <v>18100</v>
      </c>
      <c r="E115" s="110">
        <f t="shared" si="67"/>
        <v>0.2853764289</v>
      </c>
      <c r="F115" s="111">
        <f t="shared" si="68"/>
        <v>60888</v>
      </c>
      <c r="G115" s="111">
        <f t="shared" si="69"/>
        <v>2537</v>
      </c>
      <c r="H115" s="111">
        <f t="shared" si="70"/>
        <v>45325</v>
      </c>
      <c r="I115" s="112">
        <f t="shared" si="71"/>
        <v>30.47061884</v>
      </c>
      <c r="J115" s="113">
        <v>19325.99</v>
      </c>
      <c r="K115" s="114"/>
      <c r="L115" s="115">
        <f t="shared" si="72"/>
        <v>6937</v>
      </c>
      <c r="M115" s="116">
        <f>SUMIFS(Orders!$W:$W, Orders!$Z:$Z, $A115)</f>
        <v>5500.1</v>
      </c>
      <c r="N115" s="117">
        <f t="shared" si="73"/>
        <v>20498.91</v>
      </c>
      <c r="O115" s="118">
        <f t="shared" si="74"/>
        <v>72.72727273</v>
      </c>
      <c r="P115" s="113">
        <v>4.86439814</v>
      </c>
      <c r="Q115" s="119">
        <f t="shared" si="75"/>
        <v>644.1996667</v>
      </c>
      <c r="R115" s="120">
        <f t="shared" si="76"/>
        <v>878.4540909</v>
      </c>
      <c r="S115" s="109">
        <f>COUNTIFS(Orders!$Z:$Z, $A115)</f>
        <v>30</v>
      </c>
      <c r="T115" s="111">
        <f>COUNTIFS(Orders!$Z:$Z, $A115, Orders!$M:$M, "Cancelled")</f>
        <v>8</v>
      </c>
      <c r="U115" s="121">
        <f t="shared" si="77"/>
        <v>0.2666666667</v>
      </c>
      <c r="V115" s="122">
        <f>COUNTIFS(Orders!$Z:$Z, $A115, Orders!$M:$M, "pending")</f>
        <v>0</v>
      </c>
      <c r="W115" s="122">
        <f t="shared" si="78"/>
        <v>22</v>
      </c>
      <c r="X115" s="70">
        <f t="shared" si="79"/>
        <v>0.7333333333</v>
      </c>
      <c r="Y115" s="6">
        <f>COUNTIFS(Orders!$Z:$Z, $A115, Orders!$M:$M, "Delivered")</f>
        <v>16</v>
      </c>
      <c r="Z115" s="6">
        <f>COUNTIFS(Orders!$Z:$Z, $A115, Orders!$M:$M, "Return Received")</f>
        <v>6</v>
      </c>
      <c r="AA115" s="123">
        <f t="shared" si="80"/>
        <v>0</v>
      </c>
      <c r="AB115" s="6">
        <f>COUNTIFS(Orders!$Z:$Z, $A115, Orders!$M:$M, "Returned") + COUNTIFS(Orders!$Z:$Z, $A115, Orders!$M:$M, "Returned to Shipper")</f>
        <v>0</v>
      </c>
      <c r="AC115" s="6">
        <f t="shared" si="81"/>
        <v>0</v>
      </c>
      <c r="AD115" s="2">
        <f>SUMIFS(Orders!$U:$U, Orders!$Z:$Z, $A115, Orders!$M:$M, "Delivered")</f>
        <v>63425</v>
      </c>
      <c r="AE115" s="124">
        <f t="shared" si="82"/>
        <v>0</v>
      </c>
      <c r="AF115" s="2" t="str">
        <f>IFERROR(__xludf.DUMMYFUNCTION("IFERROR(TEXTJOIN("", "", TRUE, FILTER(Orders!$B$2:$B$2517, (TEXT(Orders!$D$2:$D$2517,""d-mmm"")=TEXT($A115,""d-mmm"")) * (ABS(Orders!$H$2:$H$2517 - Orders!$U$2:$U$2517) &gt;= 1) * (Orders!$M$2:$M$2517=""Delivered""))), ""All Balanced"")"),"All Balanced")</f>
        <v>All Balanced</v>
      </c>
      <c r="AG115" s="2" t="str">
        <f>IFERROR(__xludf.DUMMYFUNCTION("IFERROR(TEXTJOIN("", "", TRUE, FILTER(Orders!$I$2:$I$3000, (Orders!$M$2:$M$3000=""Delivered"") * (Orders!$N$2:$N$3000&lt;&gt;""Paid"") * (Orders!$Z$2:$Z$3000=$A115))), """")"),"")</f>
        <v/>
      </c>
      <c r="AH115" s="2">
        <f t="shared" si="83"/>
        <v>0</v>
      </c>
    </row>
    <row r="116">
      <c r="A116" s="107">
        <v>46080.0</v>
      </c>
      <c r="B116" s="108">
        <f t="shared" si="66"/>
        <v>2871.869565</v>
      </c>
      <c r="C116" s="108">
        <f>SUMIFS(Orders!$H:$H, Orders!$Z:$Z, $A116, Orders!$M:$M, "Delivered")</f>
        <v>66053</v>
      </c>
      <c r="D116" s="109">
        <f>SUMIFS(Orders!$Q:$Q, Orders!$Z:$Z, $A116, Orders!$M:$M, "Delivered")</f>
        <v>20420</v>
      </c>
      <c r="E116" s="110">
        <f t="shared" si="67"/>
        <v>0.309145686</v>
      </c>
      <c r="F116" s="111">
        <f t="shared" si="68"/>
        <v>63410.88</v>
      </c>
      <c r="G116" s="111">
        <f t="shared" si="69"/>
        <v>2642.12</v>
      </c>
      <c r="H116" s="111">
        <f t="shared" si="70"/>
        <v>45633</v>
      </c>
      <c r="I116" s="112">
        <f t="shared" si="71"/>
        <v>27.95028235</v>
      </c>
      <c r="J116" s="113">
        <v>18462.0</v>
      </c>
      <c r="K116" s="114"/>
      <c r="L116" s="115">
        <f t="shared" si="72"/>
        <v>8442.12</v>
      </c>
      <c r="M116" s="116">
        <f>SUMIFS(Orders!$W:$W, Orders!$Z:$Z, $A116)</f>
        <v>7173.1</v>
      </c>
      <c r="N116" s="117">
        <f t="shared" si="73"/>
        <v>19997.9</v>
      </c>
      <c r="O116" s="118">
        <f t="shared" si="74"/>
        <v>79.31034483</v>
      </c>
      <c r="P116" s="113">
        <v>5.62208198</v>
      </c>
      <c r="Q116" s="119">
        <f t="shared" si="75"/>
        <v>559.4545455</v>
      </c>
      <c r="R116" s="120">
        <f t="shared" si="76"/>
        <v>636.6206897</v>
      </c>
      <c r="S116" s="109">
        <f>COUNTIFS(Orders!$Z:$Z, $A116)</f>
        <v>33</v>
      </c>
      <c r="T116" s="111">
        <f>COUNTIFS(Orders!$Z:$Z, $A116, Orders!$M:$M, "Cancelled")</f>
        <v>4</v>
      </c>
      <c r="U116" s="121">
        <f t="shared" si="77"/>
        <v>0.1212121212</v>
      </c>
      <c r="V116" s="122">
        <f>COUNTIFS(Orders!$Z:$Z, $A116, Orders!$M:$M, "pending")</f>
        <v>0</v>
      </c>
      <c r="W116" s="122">
        <f t="shared" si="78"/>
        <v>29</v>
      </c>
      <c r="X116" s="70">
        <f t="shared" si="79"/>
        <v>0.8787878788</v>
      </c>
      <c r="Y116" s="6">
        <f>COUNTIFS(Orders!$Z:$Z, $A116, Orders!$M:$M, "Delivered")</f>
        <v>23</v>
      </c>
      <c r="Z116" s="6">
        <f>COUNTIFS(Orders!$Z:$Z, $A116, Orders!$M:$M, "Return Received")</f>
        <v>6</v>
      </c>
      <c r="AA116" s="123">
        <f t="shared" si="80"/>
        <v>0</v>
      </c>
      <c r="AB116" s="6">
        <f>COUNTIFS(Orders!$Z:$Z, $A116, Orders!$M:$M, "Returned") + COUNTIFS(Orders!$Z:$Z, $A116, Orders!$M:$M, "Returned to Shipper")</f>
        <v>0</v>
      </c>
      <c r="AC116" s="6">
        <f t="shared" si="81"/>
        <v>0</v>
      </c>
      <c r="AD116" s="2">
        <f>SUMIFS(Orders!$U:$U, Orders!$Z:$Z, $A116, Orders!$M:$M, "Delivered")</f>
        <v>63204</v>
      </c>
      <c r="AE116" s="124">
        <f t="shared" si="82"/>
        <v>2849</v>
      </c>
      <c r="AF116" s="2" t="str">
        <f>IFERROR(__xludf.DUMMYFUNCTION("IFERROR(TEXTJOIN("", "", TRUE, FILTER(Orders!$B$2:$B$2517, (TEXT(Orders!$D$2:$D$2517,""d-mmm"")=TEXT($A116,""d-mmm"")) * (ABS(Orders!$H$2:$H$2517 - Orders!$U$2:$U$2517) &gt;= 1) * (Orders!$M$2:$M$2517=""Delivered""))), ""All Balanced"")"),"All Balanced")</f>
        <v>All Balanced</v>
      </c>
      <c r="AG116" s="2" t="str">
        <f>IFERROR(__xludf.DUMMYFUNCTION("IFERROR(TEXTJOIN("", "", TRUE, FILTER(Orders!$I$2:$I$3000, (Orders!$M$2:$M$3000=""Delivered"") * (Orders!$N$2:$N$3000&lt;&gt;""Paid"") * (Orders!$Z$2:$Z$3000=$A116))), """")"),"")</f>
        <v/>
      </c>
      <c r="AH116" s="2">
        <f t="shared" si="83"/>
        <v>0</v>
      </c>
    </row>
    <row r="117">
      <c r="A117" s="107">
        <v>46081.0</v>
      </c>
      <c r="B117" s="108">
        <f t="shared" si="66"/>
        <v>3071.866667</v>
      </c>
      <c r="C117" s="108">
        <f>SUMIFS(Orders!$H:$H, Orders!$Z:$Z, $A117, Orders!$M:$M, "Delivered")</f>
        <v>46078</v>
      </c>
      <c r="D117" s="109">
        <f>SUMIFS(Orders!$Q:$Q, Orders!$Z:$Z, $A117, Orders!$M:$M, "Delivered")</f>
        <v>11020</v>
      </c>
      <c r="E117" s="110">
        <f t="shared" si="67"/>
        <v>0.2391596858</v>
      </c>
      <c r="F117" s="111">
        <f t="shared" si="68"/>
        <v>44234.88</v>
      </c>
      <c r="G117" s="111">
        <f t="shared" si="69"/>
        <v>1843.12</v>
      </c>
      <c r="H117" s="111">
        <f t="shared" si="70"/>
        <v>35058</v>
      </c>
      <c r="I117" s="112">
        <f t="shared" si="71"/>
        <v>35.27605365</v>
      </c>
      <c r="J117" s="113">
        <v>16254.5</v>
      </c>
      <c r="K117" s="114"/>
      <c r="L117" s="115">
        <f t="shared" si="72"/>
        <v>6043.12</v>
      </c>
      <c r="M117" s="116">
        <f>SUMIFS(Orders!$W:$W, Orders!$Z:$Z, $A117)</f>
        <v>5491.1</v>
      </c>
      <c r="N117" s="117">
        <f t="shared" si="73"/>
        <v>13312.4</v>
      </c>
      <c r="O117" s="118">
        <f t="shared" si="74"/>
        <v>71.42857143</v>
      </c>
      <c r="P117" s="113">
        <v>5.26919865</v>
      </c>
      <c r="Q117" s="119">
        <f t="shared" si="75"/>
        <v>677.2708333</v>
      </c>
      <c r="R117" s="120">
        <f t="shared" si="76"/>
        <v>774.0238095</v>
      </c>
      <c r="S117" s="109">
        <f>COUNTIFS(Orders!$Z:$Z, $A117)</f>
        <v>24</v>
      </c>
      <c r="T117" s="111">
        <f>COUNTIFS(Orders!$Z:$Z, $A117, Orders!$M:$M, "Cancelled")</f>
        <v>3</v>
      </c>
      <c r="U117" s="121">
        <f t="shared" si="77"/>
        <v>0.125</v>
      </c>
      <c r="V117" s="122">
        <f>COUNTIFS(Orders!$Z:$Z, $A117, Orders!$M:$M, "pending")</f>
        <v>0</v>
      </c>
      <c r="W117" s="122">
        <f t="shared" si="78"/>
        <v>21</v>
      </c>
      <c r="X117" s="70">
        <f t="shared" si="79"/>
        <v>0.875</v>
      </c>
      <c r="Y117" s="6">
        <f>COUNTIFS(Orders!$Z:$Z, $A117, Orders!$M:$M, "Delivered")</f>
        <v>15</v>
      </c>
      <c r="Z117" s="6">
        <f>COUNTIFS(Orders!$Z:$Z, $A117, Orders!$M:$M, "Return Received")</f>
        <v>6</v>
      </c>
      <c r="AA117" s="123">
        <f t="shared" si="80"/>
        <v>0</v>
      </c>
      <c r="AB117" s="6">
        <f>COUNTIFS(Orders!$Z:$Z, $A117, Orders!$M:$M, "Returned") + COUNTIFS(Orders!$Z:$Z, $A117, Orders!$M:$M, "Returned to Shipper")</f>
        <v>0</v>
      </c>
      <c r="AC117" s="6">
        <f t="shared" si="81"/>
        <v>0</v>
      </c>
      <c r="AD117" s="2">
        <f>SUMIFS(Orders!$U:$U, Orders!$Z:$Z, $A117, Orders!$M:$M, "Delivered")</f>
        <v>46078</v>
      </c>
      <c r="AE117" s="124">
        <f t="shared" si="82"/>
        <v>0</v>
      </c>
      <c r="AF117" s="19" t="str">
        <f>IFERROR(__xludf.DUMMYFUNCTION("IFERROR(TEXTJOIN("", "", TRUE, FILTER(Orders!$B$2:$B$2517, (TEXT(Orders!$D$2:$D$2517,""d-mmm"")=TEXT($A117,""d-mmm"")) * (ABS(Orders!$H$2:$H$2517 - Orders!$U$2:$U$2517) &gt;= 1) * (Orders!$M$2:$M$2517=""Delivered""))), ""All Balanced"")"),"All Balanced")</f>
        <v>All Balanced</v>
      </c>
      <c r="AG117" s="2" t="str">
        <f>IFERROR(__xludf.DUMMYFUNCTION("IFERROR(TEXTJOIN("", "", TRUE, FILTER(Orders!$I$2:$I$3000, (Orders!$M$2:$M$3000=""Delivered"") * (Orders!$N$2:$N$3000&lt;&gt;""Paid"") * (Orders!$Z$2:$Z$3000=$A117))), """")"),"")</f>
        <v/>
      </c>
      <c r="AH117" s="2">
        <f t="shared" si="83"/>
        <v>0</v>
      </c>
    </row>
    <row r="118">
      <c r="A118" s="107"/>
      <c r="B118" s="108"/>
      <c r="C118" s="108"/>
      <c r="D118" s="109"/>
      <c r="E118" s="110"/>
      <c r="F118" s="111"/>
      <c r="G118" s="111"/>
      <c r="H118" s="111"/>
      <c r="I118" s="112"/>
      <c r="J118" s="113"/>
      <c r="K118" s="114"/>
      <c r="L118" s="115"/>
      <c r="M118" s="116"/>
      <c r="N118" s="117"/>
      <c r="O118" s="118"/>
      <c r="P118" s="113"/>
      <c r="Q118" s="119"/>
      <c r="R118" s="120"/>
      <c r="S118" s="109"/>
      <c r="T118" s="111"/>
      <c r="U118" s="121"/>
      <c r="V118" s="122"/>
      <c r="W118" s="122"/>
      <c r="X118" s="70"/>
    </row>
    <row r="119">
      <c r="A119" s="107"/>
      <c r="B119" s="108"/>
      <c r="C119" s="108"/>
      <c r="D119" s="109"/>
      <c r="E119" s="110"/>
      <c r="F119" s="111"/>
      <c r="G119" s="111"/>
      <c r="H119" s="111"/>
      <c r="I119" s="112"/>
      <c r="J119" s="113"/>
      <c r="K119" s="114"/>
      <c r="L119" s="115"/>
      <c r="M119" s="116"/>
      <c r="N119" s="117"/>
      <c r="O119" s="118"/>
      <c r="P119" s="113"/>
      <c r="Q119" s="119"/>
      <c r="R119" s="120"/>
      <c r="S119" s="109"/>
      <c r="T119" s="111"/>
      <c r="U119" s="121"/>
      <c r="V119" s="122"/>
      <c r="W119" s="122"/>
      <c r="X119" s="70"/>
    </row>
    <row r="120">
      <c r="A120" s="107"/>
      <c r="B120" s="108"/>
      <c r="C120" s="108"/>
      <c r="D120" s="109"/>
      <c r="E120" s="110"/>
      <c r="F120" s="111"/>
      <c r="G120" s="111"/>
      <c r="H120" s="111"/>
      <c r="I120" s="112"/>
      <c r="J120" s="113"/>
      <c r="K120" s="114"/>
      <c r="L120" s="115"/>
      <c r="M120" s="116"/>
      <c r="N120" s="117"/>
      <c r="O120" s="118"/>
      <c r="P120" s="113"/>
      <c r="Q120" s="119"/>
      <c r="R120" s="120"/>
      <c r="S120" s="109"/>
      <c r="T120" s="111"/>
      <c r="U120" s="121"/>
      <c r="V120" s="122"/>
      <c r="W120" s="122"/>
      <c r="X120" s="70"/>
    </row>
    <row r="121">
      <c r="A121" s="114"/>
      <c r="B121" s="126"/>
      <c r="C121" s="126"/>
      <c r="D121" s="114"/>
      <c r="E121" s="127"/>
      <c r="F121" s="128"/>
      <c r="G121" s="114"/>
      <c r="H121" s="114"/>
      <c r="I121" s="129"/>
      <c r="J121" s="130"/>
      <c r="K121" s="114"/>
      <c r="L121" s="126"/>
      <c r="M121" s="114"/>
      <c r="N121" s="131"/>
      <c r="O121" s="129"/>
      <c r="P121" s="129"/>
      <c r="Q121" s="114"/>
      <c r="R121" s="114"/>
      <c r="S121" s="114"/>
      <c r="T121" s="114"/>
      <c r="U121" s="127"/>
      <c r="V121" s="114"/>
      <c r="W121" s="114"/>
      <c r="X121" s="70"/>
    </row>
    <row r="122">
      <c r="A122" s="132" t="s">
        <v>419</v>
      </c>
      <c r="B122" s="104"/>
      <c r="C122" s="104" t="s">
        <v>399</v>
      </c>
      <c r="D122" s="101" t="s">
        <v>420</v>
      </c>
      <c r="E122" s="133"/>
      <c r="F122" s="134" t="s">
        <v>421</v>
      </c>
      <c r="G122" s="101" t="s">
        <v>422</v>
      </c>
      <c r="H122" s="114"/>
      <c r="I122" s="129"/>
      <c r="J122" s="130"/>
      <c r="K122" s="114"/>
      <c r="L122" s="126"/>
      <c r="M122" s="114"/>
      <c r="N122" s="131"/>
      <c r="O122" s="129"/>
      <c r="P122" s="129"/>
      <c r="Q122" s="114"/>
      <c r="R122" s="114"/>
      <c r="S122" s="114"/>
      <c r="T122" s="114"/>
      <c r="U122" s="127"/>
      <c r="V122" s="114"/>
      <c r="W122" s="114"/>
      <c r="X122" s="70"/>
    </row>
    <row r="123">
      <c r="A123" s="135">
        <v>45667.0</v>
      </c>
      <c r="B123" s="136"/>
      <c r="C123" s="136">
        <f>AVERAGE(O90:O99)</f>
        <v>78.98968512</v>
      </c>
      <c r="D123" s="137" t="str">
        <f t="shared" ref="D123:D125" si="84">AVERAGE(#REF!)</f>
        <v>#REF!</v>
      </c>
      <c r="E123" s="121"/>
      <c r="F123" s="122">
        <f>AVERAGE(I90:I99)</f>
        <v>34.96838668</v>
      </c>
      <c r="G123" s="138">
        <f>SUM(N90:N99)</f>
        <v>89621.6872</v>
      </c>
      <c r="H123" s="114"/>
      <c r="I123" s="129"/>
      <c r="J123" s="130"/>
      <c r="K123" s="114"/>
      <c r="L123" s="126"/>
      <c r="M123" s="114"/>
      <c r="N123" s="131"/>
      <c r="O123" s="129"/>
      <c r="P123" s="129"/>
      <c r="Q123" s="114"/>
      <c r="R123" s="114"/>
      <c r="S123" s="114"/>
      <c r="T123" s="114"/>
      <c r="U123" s="127"/>
      <c r="V123" s="114"/>
      <c r="W123" s="114"/>
      <c r="X123" s="70"/>
    </row>
    <row r="124">
      <c r="A124" s="135">
        <v>45981.0</v>
      </c>
      <c r="B124" s="136"/>
      <c r="C124" s="136">
        <f>AVERAGE(O100:O109)</f>
        <v>81.66274989</v>
      </c>
      <c r="D124" s="137" t="str">
        <f t="shared" si="84"/>
        <v>#REF!</v>
      </c>
      <c r="E124" s="121"/>
      <c r="F124" s="122">
        <f>AVERAGE(I100:I109)</f>
        <v>36.40336923</v>
      </c>
      <c r="G124" s="138">
        <f>sum(N100:N109)</f>
        <v>120412.9828</v>
      </c>
      <c r="H124" s="114"/>
      <c r="I124" s="129"/>
      <c r="J124" s="130"/>
      <c r="K124" s="114"/>
      <c r="L124" s="126"/>
      <c r="M124" s="114"/>
      <c r="N124" s="131"/>
      <c r="O124" s="129"/>
      <c r="P124" s="129"/>
      <c r="Q124" s="114"/>
      <c r="R124" s="114"/>
      <c r="S124" s="114"/>
      <c r="T124" s="114"/>
      <c r="U124" s="127"/>
      <c r="V124" s="114"/>
      <c r="W124" s="114"/>
      <c r="X124" s="70"/>
    </row>
    <row r="125">
      <c r="A125" s="132" t="s">
        <v>423</v>
      </c>
      <c r="B125" s="136"/>
      <c r="C125" s="136">
        <f>AVERAGE(O110:O120)</f>
        <v>75.80740972</v>
      </c>
      <c r="D125" s="137" t="str">
        <f t="shared" si="84"/>
        <v>#REF!</v>
      </c>
      <c r="E125" s="121"/>
      <c r="F125" s="122">
        <f>AVERAGE(I110:I120)</f>
        <v>32.94011786</v>
      </c>
      <c r="G125" s="138">
        <f>sum(N110:N120)</f>
        <v>139916.39</v>
      </c>
      <c r="H125" s="114"/>
      <c r="I125" s="129"/>
      <c r="J125" s="130"/>
      <c r="K125" s="114"/>
      <c r="L125" s="126"/>
      <c r="M125" s="114"/>
      <c r="N125" s="131"/>
      <c r="O125" s="129"/>
      <c r="P125" s="129"/>
      <c r="Q125" s="114"/>
      <c r="R125" s="114"/>
      <c r="S125" s="114"/>
      <c r="T125" s="114"/>
      <c r="U125" s="127"/>
      <c r="V125" s="114"/>
      <c r="W125" s="114"/>
      <c r="X125" s="70"/>
    </row>
    <row r="126">
      <c r="A126" s="139"/>
      <c r="B126" s="136"/>
      <c r="C126" s="136">
        <f t="shared" ref="C126:D126" si="85">AVERAGE(AE111:AE121)</f>
        <v>1221</v>
      </c>
      <c r="D126" s="137" t="str">
        <f t="shared" si="85"/>
        <v>#DIV/0!</v>
      </c>
      <c r="E126" s="121"/>
      <c r="F126" s="122">
        <f>sum(N111:N121)</f>
        <v>120072.09</v>
      </c>
      <c r="G126" s="138">
        <f>sum(G123:G125)</f>
        <v>349951.06</v>
      </c>
      <c r="H126" s="114"/>
      <c r="I126" s="114"/>
      <c r="J126" s="130"/>
      <c r="K126" s="114"/>
      <c r="L126" s="126"/>
      <c r="M126" s="114"/>
      <c r="N126" s="131"/>
      <c r="O126" s="129"/>
      <c r="P126" s="129"/>
      <c r="Q126" s="114"/>
      <c r="R126" s="114"/>
      <c r="S126" s="114"/>
      <c r="T126" s="114"/>
      <c r="U126" s="127"/>
      <c r="V126" s="114"/>
      <c r="W126" s="114"/>
      <c r="X126" s="70"/>
    </row>
    <row r="127">
      <c r="B127" s="140"/>
      <c r="C127" s="140"/>
      <c r="E127" s="70"/>
      <c r="L127" s="140"/>
      <c r="N127" s="141"/>
      <c r="U127" s="70"/>
      <c r="X127" s="70"/>
    </row>
    <row r="128">
      <c r="B128" s="140"/>
      <c r="C128" s="140"/>
      <c r="E128" s="70"/>
      <c r="L128" s="140"/>
      <c r="N128" s="141"/>
      <c r="U128" s="70"/>
      <c r="X128" s="70"/>
    </row>
    <row r="129">
      <c r="A129" s="57"/>
      <c r="B129" s="58"/>
      <c r="C129" s="58" t="s">
        <v>381</v>
      </c>
      <c r="D129" s="59" t="s">
        <v>381</v>
      </c>
      <c r="E129" s="60"/>
      <c r="F129" s="61" t="s">
        <v>382</v>
      </c>
      <c r="G129" s="62" t="s">
        <v>382</v>
      </c>
      <c r="H129" s="63" t="s">
        <v>382</v>
      </c>
      <c r="I129" s="64" t="s">
        <v>382</v>
      </c>
      <c r="J129" s="58" t="s">
        <v>381</v>
      </c>
      <c r="K129" s="64" t="s">
        <v>382</v>
      </c>
      <c r="L129" s="63"/>
      <c r="M129" s="65" t="s">
        <v>382</v>
      </c>
      <c r="N129" s="66" t="s">
        <v>382</v>
      </c>
      <c r="O129" s="64" t="s">
        <v>382</v>
      </c>
      <c r="P129" s="67" t="s">
        <v>381</v>
      </c>
      <c r="Q129" s="63" t="s">
        <v>382</v>
      </c>
      <c r="R129" s="63" t="s">
        <v>382</v>
      </c>
      <c r="S129" s="58" t="s">
        <v>381</v>
      </c>
      <c r="T129" s="63" t="s">
        <v>382</v>
      </c>
      <c r="U129" s="68"/>
      <c r="V129" s="69"/>
      <c r="W129" s="58" t="s">
        <v>381</v>
      </c>
      <c r="X129" s="70"/>
    </row>
    <row r="130">
      <c r="A130" s="71" t="s">
        <v>383</v>
      </c>
      <c r="B130" s="72"/>
      <c r="C130" s="72"/>
      <c r="D130" s="73"/>
      <c r="E130" s="74"/>
      <c r="F130" s="75"/>
      <c r="G130" s="76">
        <f>AVERAGE(G133:G163)</f>
        <v>3185.295871</v>
      </c>
      <c r="H130" s="72"/>
      <c r="I130" s="77"/>
      <c r="J130" s="76">
        <f>AVERAGE(J133:J163)</f>
        <v>24913.71258</v>
      </c>
      <c r="K130" s="77"/>
      <c r="L130" s="72"/>
      <c r="M130" s="73"/>
      <c r="N130" s="78">
        <f t="shared" ref="N130:O130" si="86">AVERAGE(N133:N163)</f>
        <v>24612.27419</v>
      </c>
      <c r="O130" s="79">
        <f t="shared" si="86"/>
        <v>71.73827693</v>
      </c>
      <c r="P130" s="80"/>
      <c r="Q130" s="81"/>
      <c r="R130" s="81"/>
      <c r="S130" s="76">
        <f t="shared" ref="S130:T130" si="87">AVERAGE(S133:S163)</f>
        <v>40</v>
      </c>
      <c r="T130" s="76">
        <f t="shared" si="87"/>
        <v>5.935483871</v>
      </c>
      <c r="U130" s="74"/>
      <c r="V130" s="72"/>
      <c r="W130" s="76">
        <f>AVERAGE(W133:W163)</f>
        <v>34.06451613</v>
      </c>
      <c r="X130" s="70"/>
    </row>
    <row r="131">
      <c r="A131" s="71" t="s">
        <v>384</v>
      </c>
      <c r="B131" s="82">
        <f>AVERAGE(B133:B163)</f>
        <v>4191.178778</v>
      </c>
      <c r="C131" s="82">
        <f>sum(C133:C163)</f>
        <v>2468604.3</v>
      </c>
      <c r="D131" s="83">
        <f>SUM(D133:D163)</f>
        <v>659175</v>
      </c>
      <c r="E131" s="84">
        <f>AVERAGE(E133:E163)</f>
        <v>0.3057080908</v>
      </c>
      <c r="F131" s="85">
        <f t="shared" ref="F131:G131" si="88">SUM(F133:F163)</f>
        <v>2369860.128</v>
      </c>
      <c r="G131" s="76">
        <f t="shared" si="88"/>
        <v>98744.172</v>
      </c>
      <c r="H131" s="76">
        <f>sum(F133:F163)</f>
        <v>2369860.128</v>
      </c>
      <c r="I131" s="86">
        <f>AVERAGE(I133:I163)</f>
        <v>33.72159282</v>
      </c>
      <c r="J131" s="76">
        <f t="shared" ref="J131:K131" si="89">sum(J133:J163)</f>
        <v>772325.09</v>
      </c>
      <c r="K131" s="80">
        <f t="shared" si="89"/>
        <v>0</v>
      </c>
      <c r="L131" s="76">
        <f>SUM(L133:L163)</f>
        <v>309944.172</v>
      </c>
      <c r="M131" s="87">
        <f t="shared" ref="M131:N131" si="90">sum(M133:M163)</f>
        <v>274123.71</v>
      </c>
      <c r="N131" s="78">
        <f t="shared" si="90"/>
        <v>762980.5</v>
      </c>
      <c r="O131" s="79">
        <f t="shared" ref="O131:R131" si="91">AVERAGE(O133:O163)</f>
        <v>71.73827693</v>
      </c>
      <c r="P131" s="86">
        <f t="shared" si="91"/>
        <v>4.905248679</v>
      </c>
      <c r="Q131" s="82">
        <f t="shared" si="91"/>
        <v>660.3226763</v>
      </c>
      <c r="R131" s="82">
        <f t="shared" si="91"/>
        <v>776.3084748</v>
      </c>
      <c r="S131" s="76">
        <f t="shared" ref="S131:T131" si="92">sum(S133:S163)</f>
        <v>1240</v>
      </c>
      <c r="T131" s="76">
        <f t="shared" si="92"/>
        <v>184</v>
      </c>
      <c r="U131" s="88">
        <f>AVERAGE(U133:U163)</f>
        <v>0.1468263015</v>
      </c>
      <c r="V131" s="82">
        <f t="shared" ref="V131:W131" si="93">sum(V133:V163)</f>
        <v>10</v>
      </c>
      <c r="W131" s="76">
        <f t="shared" si="93"/>
        <v>1056</v>
      </c>
      <c r="X131" s="89"/>
      <c r="Y131" s="90">
        <f t="shared" ref="Y131:Z131" si="94">sum(Y133:Y163)</f>
        <v>748</v>
      </c>
      <c r="Z131" s="90">
        <f t="shared" si="94"/>
        <v>267</v>
      </c>
      <c r="AA131" s="91">
        <f>SUM(AA133:AA163)</f>
        <v>31</v>
      </c>
      <c r="AB131" s="90">
        <f>sum(AB133:AB163)</f>
        <v>1</v>
      </c>
      <c r="AC131" s="90"/>
      <c r="AD131" s="90">
        <f>SUM(AD133:AD163)</f>
        <v>2306445.2</v>
      </c>
      <c r="AE131" s="92">
        <f>sum(AE133:AE163)</f>
        <v>162159.1</v>
      </c>
    </row>
    <row r="132">
      <c r="A132" s="93" t="s">
        <v>385</v>
      </c>
      <c r="B132" s="94" t="s">
        <v>386</v>
      </c>
      <c r="C132" s="94" t="s">
        <v>387</v>
      </c>
      <c r="D132" s="95" t="s">
        <v>388</v>
      </c>
      <c r="E132" s="95" t="s">
        <v>389</v>
      </c>
      <c r="F132" s="96" t="s">
        <v>390</v>
      </c>
      <c r="G132" s="97" t="s">
        <v>391</v>
      </c>
      <c r="H132" s="97" t="s">
        <v>392</v>
      </c>
      <c r="I132" s="99" t="s">
        <v>424</v>
      </c>
      <c r="J132" s="97" t="s">
        <v>394</v>
      </c>
      <c r="K132" s="99" t="s">
        <v>395</v>
      </c>
      <c r="L132" s="94" t="s">
        <v>396</v>
      </c>
      <c r="M132" s="95" t="s">
        <v>397</v>
      </c>
      <c r="N132" s="100" t="s">
        <v>398</v>
      </c>
      <c r="O132" s="101" t="s">
        <v>399</v>
      </c>
      <c r="P132" s="102" t="s">
        <v>400</v>
      </c>
      <c r="Q132" s="103" t="s">
        <v>401</v>
      </c>
      <c r="R132" s="103" t="s">
        <v>402</v>
      </c>
      <c r="S132" s="104" t="s">
        <v>403</v>
      </c>
      <c r="T132" s="104" t="s">
        <v>404</v>
      </c>
      <c r="U132" s="116" t="s">
        <v>405</v>
      </c>
      <c r="V132" s="106" t="s">
        <v>406</v>
      </c>
      <c r="W132" s="106" t="s">
        <v>407</v>
      </c>
      <c r="X132" s="147"/>
      <c r="Y132" s="12" t="s">
        <v>409</v>
      </c>
      <c r="Z132" s="12" t="s">
        <v>410</v>
      </c>
      <c r="AA132" s="12" t="s">
        <v>411</v>
      </c>
      <c r="AB132" s="12" t="s">
        <v>412</v>
      </c>
      <c r="AC132" s="12" t="s">
        <v>413</v>
      </c>
      <c r="AD132" s="12" t="s">
        <v>414</v>
      </c>
      <c r="AE132" s="12" t="s">
        <v>415</v>
      </c>
      <c r="AF132" s="12" t="s">
        <v>416</v>
      </c>
      <c r="AG132" s="12" t="s">
        <v>417</v>
      </c>
      <c r="AH132" s="12" t="s">
        <v>418</v>
      </c>
    </row>
    <row r="133">
      <c r="A133" s="107">
        <v>46082.0</v>
      </c>
      <c r="B133" s="108">
        <f t="shared" ref="B133:B163" si="95">C133/$Y$133</f>
        <v>3660.821053</v>
      </c>
      <c r="C133" s="108">
        <f>SUMIFS(Orders!$H:$H, Orders!$Z:$Z, $A133, Orders!$M:$M, "Delivered")</f>
        <v>69555.6</v>
      </c>
      <c r="D133" s="109">
        <f>SUMIFS(Orders!$Q:$Q, Orders!$Z:$Z, $A133, Orders!$M:$M, "Delivered")</f>
        <v>18690</v>
      </c>
      <c r="E133" s="110">
        <f t="shared" ref="E133:E163" si="96">D133/$C$133</f>
        <v>0.2687058986</v>
      </c>
      <c r="F133" s="111">
        <f t="shared" ref="F133:F163" si="97">C133-(C133*4/100)</f>
        <v>66773.376</v>
      </c>
      <c r="G133" s="111">
        <f t="shared" ref="G133:G163" si="98">C133-F133</f>
        <v>2782.224</v>
      </c>
      <c r="H133" s="111">
        <f t="shared" ref="H133:H163" si="99">C133-D133</f>
        <v>50865.6</v>
      </c>
      <c r="I133" s="112">
        <f t="shared" ref="I133:I163" si="100">IFERROR(J133/C133, 0)*100</f>
        <v>33.30082696</v>
      </c>
      <c r="J133" s="113">
        <v>23162.59</v>
      </c>
      <c r="K133" s="114"/>
      <c r="L133" s="115">
        <f t="shared" ref="L133:L163" si="101">(200*W133)+C133*4%</f>
        <v>7582.224</v>
      </c>
      <c r="M133" s="116">
        <f>SUMIFS(Orders!$W:$W, Orders!$Z:$Z, $A133)</f>
        <v>6180</v>
      </c>
      <c r="N133" s="117">
        <f t="shared" ref="N133:N163" si="102">H133-J133-K133-M133</f>
        <v>21523.01</v>
      </c>
      <c r="O133" s="118">
        <f t="shared" ref="O133:O163" si="103">Y133/W133*100</f>
        <v>79.16666667</v>
      </c>
      <c r="P133" s="113">
        <v>4.80574539</v>
      </c>
      <c r="Q133" s="119">
        <f t="shared" ref="Q133:Q163" si="104">J133/S133</f>
        <v>747.1803226</v>
      </c>
      <c r="R133" s="120">
        <f t="shared" ref="R133:R163" si="105">J133/W133</f>
        <v>965.1079167</v>
      </c>
      <c r="S133" s="109">
        <f>COUNTIFS(Orders!$Z:$Z, $A133)</f>
        <v>31</v>
      </c>
      <c r="T133" s="111">
        <f>COUNTIFS(Orders!$Z:$Z, $A133, Orders!$M:$M, "Cancelled")</f>
        <v>7</v>
      </c>
      <c r="U133" s="121">
        <f t="shared" ref="U133:U163" si="106">T133/S133</f>
        <v>0.2258064516</v>
      </c>
      <c r="V133" s="122">
        <f>COUNTIFS(Orders!$Z:$Z, $A133, Orders!$M:$M, "pending")</f>
        <v>0</v>
      </c>
      <c r="W133" s="122">
        <f t="shared" ref="W133:W163" si="107">S133-T133</f>
        <v>24</v>
      </c>
      <c r="X133" s="70">
        <f t="shared" ref="X133:X163" si="108">W133/$S$133</f>
        <v>0.7741935484</v>
      </c>
      <c r="Y133" s="6">
        <f>COUNTIFS(Orders!$Z:$Z, $A133, Orders!$M:$M, "Delivered")</f>
        <v>19</v>
      </c>
      <c r="Z133" s="6">
        <f>COUNTIFS(Orders!$Z:$Z, $A133, Orders!$M:$M, "Return Received")</f>
        <v>5</v>
      </c>
      <c r="AA133" s="123">
        <f t="shared" ref="AA133:AA163" si="109">W133-Y133-Z133-V133</f>
        <v>0</v>
      </c>
      <c r="AB133" s="6">
        <f>COUNTIFS(Orders!$Z:$Z, $A133, Orders!$M:$M, "Returned") + COUNTIFS(Orders!$Z:$Z, $A133, Orders!$M:$M, "Returned to Shipper")</f>
        <v>0</v>
      </c>
      <c r="AC133" s="6">
        <f t="shared" ref="AC133:AC163" si="110">COUNTIFS(Orders!$Z:$Z, $A133, Orders!$I:$I, "", Orders!$M:$M, "&lt;&gt;Cancelled")</f>
        <v>0</v>
      </c>
      <c r="AD133" s="2">
        <f>SUMIFS(Orders!$U:$U, Orders!$Z:$Z, $A133, Orders!$M:$M, "Delivered")</f>
        <v>56763.6</v>
      </c>
      <c r="AE133" s="124">
        <f t="shared" ref="AE133:AE163" si="111">C133-AD133</f>
        <v>12792</v>
      </c>
      <c r="AF133" s="2" t="str">
        <f>IFERROR(__xludf.DUMMYFUNCTION("IFERROR(TEXTJOIN("", "", TRUE, FILTER(Orders!$B$2:$B$2517, (TEXT(Orders!$D$2:$D$2517,""d-mmm"")=TEXT($A133,""d-mmm"")) * (ABS(Orders!$H$2:$H$2517 - Orders!$U$2:$U$2517) &gt;= 1) * (Orders!$M$2:$M$2517=""Delivered""))), ""All Balanced"")"),"All Balanced")</f>
        <v>All Balanced</v>
      </c>
      <c r="AG133" s="2" t="str">
        <f>IFERROR(__xludf.DUMMYFUNCTION("IFERROR(TEXTJOIN("", "", TRUE, FILTER(Orders!$I$2:$I$2517, (Orders!$M$2:$M$2517=""Delivered"") * (Orders!$N$2:$N$2517&lt;&gt;""Paid"") * (Orders!$Z$2:$Z$2517=$A133))), """")"),"")</f>
        <v/>
      </c>
      <c r="AH133" s="2">
        <f t="shared" ref="AH133:AH163" si="112">COUNTIFS(Orders!$M:$M, "Delivered", Orders!$N:$N, "&lt;&gt;Paid", Orders!$Z:$Z, $A133)</f>
        <v>0</v>
      </c>
    </row>
    <row r="134">
      <c r="A134" s="107">
        <v>46083.0</v>
      </c>
      <c r="B134" s="108">
        <f t="shared" si="95"/>
        <v>3743.342105</v>
      </c>
      <c r="C134" s="108">
        <f>SUMIFS(Orders!$H:$H, Orders!$Z:$Z, $A134, Orders!$M:$M, "Delivered")</f>
        <v>71123.5</v>
      </c>
      <c r="D134" s="109">
        <f>SUMIFS(Orders!$Q:$Q, Orders!$Z:$Z, $A134, Orders!$M:$M, "Delivered")</f>
        <v>22690</v>
      </c>
      <c r="E134" s="110">
        <f t="shared" si="96"/>
        <v>0.3262138491</v>
      </c>
      <c r="F134" s="111">
        <f t="shared" si="97"/>
        <v>68278.56</v>
      </c>
      <c r="G134" s="111">
        <f t="shared" si="98"/>
        <v>2844.94</v>
      </c>
      <c r="H134" s="111">
        <f t="shared" si="99"/>
        <v>48433.5</v>
      </c>
      <c r="I134" s="112">
        <f t="shared" si="100"/>
        <v>29.29036113</v>
      </c>
      <c r="J134" s="113">
        <v>20832.33</v>
      </c>
      <c r="K134" s="114"/>
      <c r="L134" s="115">
        <f t="shared" si="101"/>
        <v>8444.94</v>
      </c>
      <c r="M134" s="116">
        <f>SUMIFS(Orders!$W:$W, Orders!$Z:$Z, $A134)</f>
        <v>8152.04</v>
      </c>
      <c r="N134" s="117">
        <f t="shared" si="102"/>
        <v>19449.13</v>
      </c>
      <c r="O134" s="118">
        <f t="shared" si="103"/>
        <v>78.57142857</v>
      </c>
      <c r="P134" s="113">
        <v>5.19344741</v>
      </c>
      <c r="Q134" s="119">
        <f t="shared" si="104"/>
        <v>578.6758333</v>
      </c>
      <c r="R134" s="120">
        <f t="shared" si="105"/>
        <v>744.0117857</v>
      </c>
      <c r="S134" s="109">
        <f>COUNTIFS(Orders!$Z:$Z, $A134)</f>
        <v>36</v>
      </c>
      <c r="T134" s="111">
        <f>COUNTIFS(Orders!$Z:$Z, $A134, Orders!$M:$M, "Cancelled")</f>
        <v>8</v>
      </c>
      <c r="U134" s="121">
        <f t="shared" si="106"/>
        <v>0.2222222222</v>
      </c>
      <c r="V134" s="122">
        <f>COUNTIFS(Orders!$Z:$Z, $A134, Orders!$M:$M, "pending")</f>
        <v>0</v>
      </c>
      <c r="W134" s="122">
        <f t="shared" si="107"/>
        <v>28</v>
      </c>
      <c r="X134" s="70">
        <f t="shared" si="108"/>
        <v>0.9032258065</v>
      </c>
      <c r="Y134" s="6">
        <f>COUNTIFS(Orders!$Z:$Z, $A134, Orders!$M:$M, "Delivered")</f>
        <v>22</v>
      </c>
      <c r="Z134" s="6">
        <f>COUNTIFS(Orders!$Z:$Z, $A134, Orders!$M:$M, "Return Received")</f>
        <v>6</v>
      </c>
      <c r="AA134" s="123">
        <f t="shared" si="109"/>
        <v>0</v>
      </c>
      <c r="AB134" s="6">
        <f>COUNTIFS(Orders!$Z:$Z, $A134, Orders!$M:$M, "Returned") + COUNTIFS(Orders!$Z:$Z, $A134, Orders!$M:$M, "Returned to Shipper")</f>
        <v>0</v>
      </c>
      <c r="AC134" s="6">
        <f t="shared" si="110"/>
        <v>0</v>
      </c>
      <c r="AD134" s="2">
        <f>SUMIFS(Orders!$U:$U, Orders!$Z:$Z, $A134, Orders!$M:$M, "Delivered")</f>
        <v>68374.5</v>
      </c>
      <c r="AE134" s="124">
        <f t="shared" si="111"/>
        <v>2749</v>
      </c>
      <c r="AF134" s="2" t="str">
        <f>IFERROR(__xludf.DUMMYFUNCTION("IFERROR(TEXTJOIN("", "", TRUE, FILTER(Orders!$B$2:$B$2517, (TEXT(Orders!$D$2:$D$2517,""d-mmm"")=TEXT($A134,""d-mmm"")) * (ABS(Orders!$H$2:$H$2517 - Orders!$U$2:$U$2517) &gt;= 1) * (Orders!$M$2:$M$2517=""Delivered""))), ""All Balanced"")"),"All Balanced")</f>
        <v>All Balanced</v>
      </c>
      <c r="AG134" s="2" t="str">
        <f>IFERROR(__xludf.DUMMYFUNCTION("IFERROR(TEXTJOIN("", "", TRUE, FILTER(Orders!$I$2:$I$3000, (Orders!$M$2:$M$3000=""Delivered"") * (Orders!$N$2:$N$3000&lt;&gt;""Paid"") * (Orders!$Z$2:$Z$3000=$A134))), """")"),"")</f>
        <v/>
      </c>
      <c r="AH134" s="2">
        <f t="shared" si="112"/>
        <v>0</v>
      </c>
    </row>
    <row r="135">
      <c r="A135" s="107">
        <v>46084.0</v>
      </c>
      <c r="B135" s="108">
        <f t="shared" si="95"/>
        <v>3528.789474</v>
      </c>
      <c r="C135" s="108">
        <f>SUMIFS(Orders!$H:$H, Orders!$Z:$Z, $A135, Orders!$M:$M, "Delivered")</f>
        <v>67047</v>
      </c>
      <c r="D135" s="109">
        <f>SUMIFS(Orders!$Q:$Q, Orders!$Z:$Z, $A135, Orders!$M:$M, "Delivered")</f>
        <v>16960</v>
      </c>
      <c r="E135" s="110">
        <f t="shared" si="96"/>
        <v>0.24383371</v>
      </c>
      <c r="F135" s="111">
        <f t="shared" si="97"/>
        <v>64365.12</v>
      </c>
      <c r="G135" s="111">
        <f t="shared" si="98"/>
        <v>2681.88</v>
      </c>
      <c r="H135" s="111">
        <f t="shared" si="99"/>
        <v>50087</v>
      </c>
      <c r="I135" s="112">
        <f t="shared" si="100"/>
        <v>27.37684013</v>
      </c>
      <c r="J135" s="113">
        <v>18355.35</v>
      </c>
      <c r="K135" s="114"/>
      <c r="L135" s="115">
        <f t="shared" si="101"/>
        <v>7881.88</v>
      </c>
      <c r="M135" s="116">
        <f>SUMIFS(Orders!$W:$W, Orders!$Z:$Z, $A135)</f>
        <v>7211.44</v>
      </c>
      <c r="N135" s="117">
        <f t="shared" si="102"/>
        <v>24520.21</v>
      </c>
      <c r="O135" s="118">
        <f t="shared" si="103"/>
        <v>76.92307692</v>
      </c>
      <c r="P135" s="113">
        <v>5.93485343</v>
      </c>
      <c r="Q135" s="119">
        <f t="shared" si="104"/>
        <v>611.845</v>
      </c>
      <c r="R135" s="120">
        <f t="shared" si="105"/>
        <v>705.975</v>
      </c>
      <c r="S135" s="109">
        <f>COUNTIFS(Orders!$Z:$Z, $A135)</f>
        <v>30</v>
      </c>
      <c r="T135" s="111">
        <f>COUNTIFS(Orders!$Z:$Z, $A135, Orders!$M:$M, "Cancelled")</f>
        <v>4</v>
      </c>
      <c r="U135" s="121">
        <f t="shared" si="106"/>
        <v>0.1333333333</v>
      </c>
      <c r="V135" s="122">
        <f>COUNTIFS(Orders!$Z:$Z, $A135, Orders!$M:$M, "pending")</f>
        <v>0</v>
      </c>
      <c r="W135" s="122">
        <f t="shared" si="107"/>
        <v>26</v>
      </c>
      <c r="X135" s="70">
        <f t="shared" si="108"/>
        <v>0.8387096774</v>
      </c>
      <c r="Y135" s="6">
        <f>COUNTIFS(Orders!$Z:$Z, $A135, Orders!$M:$M, "Delivered")</f>
        <v>20</v>
      </c>
      <c r="Z135" s="6">
        <f>COUNTIFS(Orders!$Z:$Z, $A135, Orders!$M:$M, "Return Received")</f>
        <v>6</v>
      </c>
      <c r="AA135" s="123">
        <f t="shared" si="109"/>
        <v>0</v>
      </c>
      <c r="AB135" s="6">
        <f>COUNTIFS(Orders!$Z:$Z, $A135, Orders!$M:$M, "Returned") + COUNTIFS(Orders!$Z:$Z, $A135, Orders!$M:$M, "Returned to Shipper")</f>
        <v>0</v>
      </c>
      <c r="AC135" s="6">
        <f t="shared" si="110"/>
        <v>0</v>
      </c>
      <c r="AD135" s="2">
        <f>SUMIFS(Orders!$U:$U, Orders!$Z:$Z, $A135, Orders!$M:$M, "Delivered")</f>
        <v>64947</v>
      </c>
      <c r="AE135" s="124">
        <f t="shared" si="111"/>
        <v>2100</v>
      </c>
      <c r="AF135" s="2" t="str">
        <f>IFERROR(__xludf.DUMMYFUNCTION("IFERROR(TEXTJOIN("", "", TRUE, FILTER(Orders!$B$2:$B$2517, (TEXT(Orders!$D$2:$D$2517,""d-mmm"")=TEXT($A135,""d-mmm"")) * (ABS(Orders!$H$2:$H$2517 - Orders!$U$2:$U$2517) &gt;= 1) * (Orders!$M$2:$M$2517=""Delivered""))), ""All Balanced"")"),"All Balanced")</f>
        <v>All Balanced</v>
      </c>
      <c r="AG135" s="2" t="str">
        <f>IFERROR(__xludf.DUMMYFUNCTION("IFERROR(TEXTJOIN("", "", TRUE, FILTER(Orders!$I$2:$I$3000, (Orders!$M$2:$M$3000=""Delivered"") * (Orders!$N$2:$N$3000&lt;&gt;""Paid"") * (Orders!$Z$2:$Z$3000=$A135))), """")"),"")</f>
        <v/>
      </c>
      <c r="AH135" s="2">
        <f t="shared" si="112"/>
        <v>0</v>
      </c>
    </row>
    <row r="136">
      <c r="A136" s="107">
        <v>46085.0</v>
      </c>
      <c r="B136" s="108">
        <f t="shared" si="95"/>
        <v>3619.105263</v>
      </c>
      <c r="C136" s="108">
        <f>SUMIFS(Orders!$H:$H, Orders!$Z:$Z, $A136, Orders!$M:$M, "Delivered")</f>
        <v>68763</v>
      </c>
      <c r="D136" s="109">
        <f>SUMIFS(Orders!$Q:$Q, Orders!$Z:$Z, $A136, Orders!$M:$M, "Delivered")</f>
        <v>20870</v>
      </c>
      <c r="E136" s="110">
        <f t="shared" si="96"/>
        <v>0.3000477316</v>
      </c>
      <c r="F136" s="111">
        <f t="shared" si="97"/>
        <v>66012.48</v>
      </c>
      <c r="G136" s="111">
        <f t="shared" si="98"/>
        <v>2750.52</v>
      </c>
      <c r="H136" s="111">
        <f t="shared" si="99"/>
        <v>47893</v>
      </c>
      <c r="I136" s="112">
        <f t="shared" si="100"/>
        <v>33.01420822</v>
      </c>
      <c r="J136" s="113">
        <v>22701.56</v>
      </c>
      <c r="K136" s="114"/>
      <c r="L136" s="115">
        <f t="shared" si="101"/>
        <v>8350.52</v>
      </c>
      <c r="M136" s="116">
        <f>SUMIFS(Orders!$W:$W, Orders!$Z:$Z, $A136)</f>
        <v>6897.78</v>
      </c>
      <c r="N136" s="117">
        <f t="shared" si="102"/>
        <v>18293.66</v>
      </c>
      <c r="O136" s="118">
        <f t="shared" si="103"/>
        <v>75</v>
      </c>
      <c r="P136" s="113">
        <v>4.33588303</v>
      </c>
      <c r="Q136" s="119">
        <f t="shared" si="104"/>
        <v>732.3083871</v>
      </c>
      <c r="R136" s="120">
        <f t="shared" si="105"/>
        <v>810.77</v>
      </c>
      <c r="S136" s="109">
        <f>COUNTIFS(Orders!$Z:$Z, $A136)</f>
        <v>31</v>
      </c>
      <c r="T136" s="111">
        <f>COUNTIFS(Orders!$Z:$Z, $A136, Orders!$M:$M, "Cancelled")</f>
        <v>3</v>
      </c>
      <c r="U136" s="121">
        <f t="shared" si="106"/>
        <v>0.09677419355</v>
      </c>
      <c r="V136" s="122">
        <f>COUNTIFS(Orders!$Z:$Z, $A136, Orders!$M:$M, "pending")</f>
        <v>0</v>
      </c>
      <c r="W136" s="122">
        <f t="shared" si="107"/>
        <v>28</v>
      </c>
      <c r="X136" s="70">
        <f t="shared" si="108"/>
        <v>0.9032258065</v>
      </c>
      <c r="Y136" s="6">
        <f>COUNTIFS(Orders!$Z:$Z, $A136, Orders!$M:$M, "Delivered")</f>
        <v>21</v>
      </c>
      <c r="Z136" s="6">
        <f>COUNTIFS(Orders!$Z:$Z, $A136, Orders!$M:$M, "Return Received")</f>
        <v>7</v>
      </c>
      <c r="AA136" s="123">
        <f t="shared" si="109"/>
        <v>0</v>
      </c>
      <c r="AB136" s="6">
        <f>COUNTIFS(Orders!$Z:$Z, $A136, Orders!$M:$M, "Returned") + COUNTIFS(Orders!$Z:$Z, $A136, Orders!$M:$M, "Returned to Shipper")</f>
        <v>0</v>
      </c>
      <c r="AC136" s="6">
        <f t="shared" si="110"/>
        <v>0</v>
      </c>
      <c r="AD136" s="2">
        <f>SUMIFS(Orders!$U:$U, Orders!$Z:$Z, $A136, Orders!$M:$M, "Delivered")</f>
        <v>56368</v>
      </c>
      <c r="AE136" s="124">
        <f t="shared" si="111"/>
        <v>12395</v>
      </c>
      <c r="AF136" s="2" t="str">
        <f>IFERROR(__xludf.DUMMYFUNCTION("IFERROR(TEXTJOIN("", "", TRUE, FILTER(Orders!$B$2:$B$2517, (TEXT(Orders!$D$2:$D$2517,""d-mmm"")=TEXT($A136,""d-mmm"")) * (ABS(Orders!$H$2:$H$2517 - Orders!$U$2:$U$2517) &gt;= 1) * (Orders!$M$2:$M$2517=""Delivered""))), ""All Balanced"")"),"All Balanced")</f>
        <v>All Balanced</v>
      </c>
      <c r="AG136" s="2" t="str">
        <f>IFERROR(__xludf.DUMMYFUNCTION("IFERROR(TEXTJOIN("", "", TRUE, FILTER(Orders!$I$2:$I$3000, (Orders!$M$2:$M$3000=""Delivered"") * (Orders!$N$2:$N$3000&lt;&gt;""Paid"") * (Orders!$Z$2:$Z$3000=$A136))), """")"),"")</f>
        <v/>
      </c>
      <c r="AH136" s="2">
        <f t="shared" si="112"/>
        <v>0</v>
      </c>
    </row>
    <row r="137">
      <c r="A137" s="107">
        <v>46086.0</v>
      </c>
      <c r="B137" s="108">
        <f t="shared" si="95"/>
        <v>3211</v>
      </c>
      <c r="C137" s="108">
        <f>SUMIFS(Orders!$H:$H, Orders!$Z:$Z, $A137, Orders!$M:$M, "Delivered")</f>
        <v>61009</v>
      </c>
      <c r="D137" s="109">
        <f>SUMIFS(Orders!$Q:$Q, Orders!$Z:$Z, $A137, Orders!$M:$M, "Delivered")</f>
        <v>17500</v>
      </c>
      <c r="E137" s="110">
        <f t="shared" si="96"/>
        <v>0.2515972833</v>
      </c>
      <c r="F137" s="111">
        <f t="shared" si="97"/>
        <v>58568.64</v>
      </c>
      <c r="G137" s="111">
        <f t="shared" si="98"/>
        <v>2440.36</v>
      </c>
      <c r="H137" s="111">
        <f t="shared" si="99"/>
        <v>43509</v>
      </c>
      <c r="I137" s="112">
        <f t="shared" si="100"/>
        <v>39.21016571</v>
      </c>
      <c r="J137" s="113">
        <v>23921.73</v>
      </c>
      <c r="K137" s="114"/>
      <c r="L137" s="115">
        <f t="shared" si="101"/>
        <v>7840.36</v>
      </c>
      <c r="M137" s="116">
        <f>SUMIFS(Orders!$W:$W, Orders!$Z:$Z, $A137)</f>
        <v>6412.1</v>
      </c>
      <c r="N137" s="117">
        <f t="shared" si="102"/>
        <v>13175.17</v>
      </c>
      <c r="O137" s="118">
        <f t="shared" si="103"/>
        <v>74.07407407</v>
      </c>
      <c r="P137" s="113">
        <v>4.95566521</v>
      </c>
      <c r="Q137" s="119">
        <f t="shared" si="104"/>
        <v>747.5540625</v>
      </c>
      <c r="R137" s="120">
        <f t="shared" si="105"/>
        <v>885.99</v>
      </c>
      <c r="S137" s="109">
        <f>COUNTIFS(Orders!$Z:$Z, $A137)</f>
        <v>32</v>
      </c>
      <c r="T137" s="111">
        <f>COUNTIFS(Orders!$Z:$Z, $A137, Orders!$M:$M, "Cancelled")</f>
        <v>5</v>
      </c>
      <c r="U137" s="121">
        <f t="shared" si="106"/>
        <v>0.15625</v>
      </c>
      <c r="V137" s="122">
        <f>COUNTIFS(Orders!$Z:$Z, $A137, Orders!$M:$M, "pending")</f>
        <v>0</v>
      </c>
      <c r="W137" s="122">
        <f t="shared" si="107"/>
        <v>27</v>
      </c>
      <c r="X137" s="70">
        <f t="shared" si="108"/>
        <v>0.8709677419</v>
      </c>
      <c r="Y137" s="6">
        <f>COUNTIFS(Orders!$Z:$Z, $A137, Orders!$M:$M, "Delivered")</f>
        <v>20</v>
      </c>
      <c r="Z137" s="6">
        <f>COUNTIFS(Orders!$Z:$Z, $A137, Orders!$M:$M, "Return Received")</f>
        <v>6</v>
      </c>
      <c r="AA137" s="123">
        <f t="shared" si="109"/>
        <v>1</v>
      </c>
      <c r="AB137" s="6">
        <f>COUNTIFS(Orders!$Z:$Z, $A137, Orders!$M:$M, "Returned") + COUNTIFS(Orders!$Z:$Z, $A137, Orders!$M:$M, "Returned to Shipper")</f>
        <v>0</v>
      </c>
      <c r="AC137" s="6">
        <f t="shared" si="110"/>
        <v>0</v>
      </c>
      <c r="AD137" s="2">
        <f>SUMIFS(Orders!$U:$U, Orders!$Z:$Z, $A137, Orders!$M:$M, "Delivered")</f>
        <v>57377</v>
      </c>
      <c r="AE137" s="124">
        <f t="shared" si="111"/>
        <v>3632</v>
      </c>
      <c r="AF137" s="2" t="str">
        <f>IFERROR(__xludf.DUMMYFUNCTION("IFERROR(TEXTJOIN("", "", TRUE, FILTER(Orders!$B$2:$B$2517, (TEXT(Orders!$D$2:$D$2517,""d-mmm"")=TEXT($A137,""d-mmm"")) * (ABS(Orders!$H$2:$H$2517 - Orders!$U$2:$U$2517) &gt;= 1) * (Orders!$M$2:$M$2517=""Delivered""))), ""All Balanced"")"),"All Balanced")</f>
        <v>All Balanced</v>
      </c>
      <c r="AG137" s="2" t="str">
        <f>IFERROR(__xludf.DUMMYFUNCTION("IFERROR(TEXTJOIN("", "", TRUE, FILTER(Orders!$I$2:$I$3000, (Orders!$M$2:$M$3000=""Delivered"") * (Orders!$N$2:$N$3000&lt;&gt;""Paid"") * (Orders!$Z$2:$Z$3000=$A137))), """")"),"")</f>
        <v/>
      </c>
      <c r="AH137" s="2">
        <f t="shared" si="112"/>
        <v>0</v>
      </c>
    </row>
    <row r="138">
      <c r="A138" s="107">
        <v>46087.0</v>
      </c>
      <c r="B138" s="108">
        <f t="shared" si="95"/>
        <v>6247.184211</v>
      </c>
      <c r="C138" s="108">
        <f>SUMIFS(Orders!$H:$H, Orders!$Z:$Z, $A138, Orders!$M:$M, "Delivered")</f>
        <v>118696.5</v>
      </c>
      <c r="D138" s="109">
        <f>SUMIFS(Orders!$Q:$Q, Orders!$Z:$Z, $A138, Orders!$M:$M, "Delivered")</f>
        <v>31325</v>
      </c>
      <c r="E138" s="110">
        <f t="shared" si="96"/>
        <v>0.4503591372</v>
      </c>
      <c r="F138" s="111">
        <f t="shared" si="97"/>
        <v>113948.64</v>
      </c>
      <c r="G138" s="111">
        <f t="shared" si="98"/>
        <v>4747.86</v>
      </c>
      <c r="H138" s="111">
        <f t="shared" si="99"/>
        <v>87371.5</v>
      </c>
      <c r="I138" s="112">
        <f t="shared" si="100"/>
        <v>20.28128883</v>
      </c>
      <c r="J138" s="113">
        <v>24073.18</v>
      </c>
      <c r="K138" s="114"/>
      <c r="L138" s="115">
        <f t="shared" si="101"/>
        <v>13347.86</v>
      </c>
      <c r="M138" s="116">
        <f>SUMIFS(Orders!$W:$W, Orders!$Z:$Z, $A138)</f>
        <v>11625</v>
      </c>
      <c r="N138" s="117">
        <f t="shared" si="102"/>
        <v>51673.32</v>
      </c>
      <c r="O138" s="118">
        <f t="shared" si="103"/>
        <v>86.04651163</v>
      </c>
      <c r="P138" s="113">
        <v>6.58016487</v>
      </c>
      <c r="Q138" s="119">
        <f t="shared" si="104"/>
        <v>491.2893878</v>
      </c>
      <c r="R138" s="120">
        <f t="shared" si="105"/>
        <v>559.8413953</v>
      </c>
      <c r="S138" s="109">
        <f>COUNTIFS(Orders!$Z:$Z, $A138)</f>
        <v>49</v>
      </c>
      <c r="T138" s="111">
        <f>COUNTIFS(Orders!$Z:$Z, $A138, Orders!$M:$M, "Cancelled")</f>
        <v>6</v>
      </c>
      <c r="U138" s="121">
        <f t="shared" si="106"/>
        <v>0.1224489796</v>
      </c>
      <c r="V138" s="122">
        <f>COUNTIFS(Orders!$Z:$Z, $A138, Orders!$M:$M, "pending")</f>
        <v>0</v>
      </c>
      <c r="W138" s="122">
        <f t="shared" si="107"/>
        <v>43</v>
      </c>
      <c r="X138" s="70">
        <f t="shared" si="108"/>
        <v>1.387096774</v>
      </c>
      <c r="Y138" s="6">
        <f>COUNTIFS(Orders!$Z:$Z, $A138, Orders!$M:$M, "Delivered")</f>
        <v>37</v>
      </c>
      <c r="Z138" s="6">
        <f>COUNTIFS(Orders!$Z:$Z, $A138, Orders!$M:$M, "Return Received")</f>
        <v>6</v>
      </c>
      <c r="AA138" s="123">
        <f t="shared" si="109"/>
        <v>0</v>
      </c>
      <c r="AB138" s="6">
        <f>COUNTIFS(Orders!$Z:$Z, $A138, Orders!$M:$M, "Returned") + COUNTIFS(Orders!$Z:$Z, $A138, Orders!$M:$M, "Returned to Shipper")</f>
        <v>0</v>
      </c>
      <c r="AC138" s="6">
        <f t="shared" si="110"/>
        <v>0</v>
      </c>
      <c r="AD138" s="2">
        <f>SUMIFS(Orders!$U:$U, Orders!$Z:$Z, $A138, Orders!$M:$M, "Delivered")</f>
        <v>115947.5</v>
      </c>
      <c r="AE138" s="124">
        <f t="shared" si="111"/>
        <v>2749</v>
      </c>
      <c r="AF138" s="2" t="str">
        <f>IFERROR(__xludf.DUMMYFUNCTION("IFERROR(TEXTJOIN("", "", TRUE, FILTER(Orders!$B$2:$B$2517, (TEXT(Orders!$D$2:$D$2517,""d-mmm"")=TEXT($A138,""d-mmm"")) * (ABS(Orders!$H$2:$H$2517 - Orders!$U$2:$U$2517) &gt;= 1) * (Orders!$M$2:$M$2517=""Delivered""))), ""All Balanced"")"),"All Balanced")</f>
        <v>All Balanced</v>
      </c>
      <c r="AG138" s="2" t="str">
        <f>IFERROR(__xludf.DUMMYFUNCTION("IFERROR(TEXTJOIN("", "", TRUE, FILTER(Orders!$I$2:$I$3000, (Orders!$M$2:$M$3000=""Delivered"") * (Orders!$N$2:$N$3000&lt;&gt;""Paid"") * (Orders!$Z$2:$Z$3000=$A138))), """")"),"")</f>
        <v/>
      </c>
      <c r="AH138" s="2">
        <f t="shared" si="112"/>
        <v>0</v>
      </c>
    </row>
    <row r="139">
      <c r="A139" s="107">
        <v>46088.0</v>
      </c>
      <c r="B139" s="108">
        <f t="shared" si="95"/>
        <v>4538.736842</v>
      </c>
      <c r="C139" s="108">
        <f>SUMIFS(Orders!$H:$H, Orders!$Z:$Z, $A139, Orders!$M:$M, "Delivered")</f>
        <v>86236</v>
      </c>
      <c r="D139" s="109">
        <f>SUMIFS(Orders!$Q:$Q, Orders!$Z:$Z, $A139, Orders!$M:$M, "Delivered")</f>
        <v>25640</v>
      </c>
      <c r="E139" s="110">
        <f t="shared" si="96"/>
        <v>0.3686259625</v>
      </c>
      <c r="F139" s="111">
        <f t="shared" si="97"/>
        <v>82786.56</v>
      </c>
      <c r="G139" s="111">
        <f t="shared" si="98"/>
        <v>3449.44</v>
      </c>
      <c r="H139" s="111">
        <f t="shared" si="99"/>
        <v>60596</v>
      </c>
      <c r="I139" s="112">
        <f t="shared" si="100"/>
        <v>25.81761677</v>
      </c>
      <c r="J139" s="113">
        <v>22264.08</v>
      </c>
      <c r="K139" s="114"/>
      <c r="L139" s="115">
        <f t="shared" si="101"/>
        <v>10049.44</v>
      </c>
      <c r="M139" s="116">
        <f>SUMIFS(Orders!$W:$W, Orders!$Z:$Z, $A139)</f>
        <v>8462.42</v>
      </c>
      <c r="N139" s="117">
        <f t="shared" si="102"/>
        <v>29869.5</v>
      </c>
      <c r="O139" s="118">
        <f t="shared" si="103"/>
        <v>69.6969697</v>
      </c>
      <c r="P139" s="113">
        <v>5.46050483</v>
      </c>
      <c r="Q139" s="119">
        <f t="shared" si="104"/>
        <v>585.8968421</v>
      </c>
      <c r="R139" s="120">
        <f t="shared" si="105"/>
        <v>674.6690909</v>
      </c>
      <c r="S139" s="109">
        <f>COUNTIFS(Orders!$Z:$Z, $A139)</f>
        <v>38</v>
      </c>
      <c r="T139" s="111">
        <f>COUNTIFS(Orders!$Z:$Z, $A139, Orders!$M:$M, "Cancelled")</f>
        <v>5</v>
      </c>
      <c r="U139" s="121">
        <f t="shared" si="106"/>
        <v>0.1315789474</v>
      </c>
      <c r="V139" s="122">
        <f>COUNTIFS(Orders!$Z:$Z, $A139, Orders!$M:$M, "pending")</f>
        <v>0</v>
      </c>
      <c r="W139" s="122">
        <f t="shared" si="107"/>
        <v>33</v>
      </c>
      <c r="X139" s="70">
        <f t="shared" si="108"/>
        <v>1.064516129</v>
      </c>
      <c r="Y139" s="6">
        <f>COUNTIFS(Orders!$Z:$Z, $A139, Orders!$M:$M, "Delivered")</f>
        <v>23</v>
      </c>
      <c r="Z139" s="6">
        <f>COUNTIFS(Orders!$Z:$Z, $A139, Orders!$M:$M, "Return Received")</f>
        <v>10</v>
      </c>
      <c r="AA139" s="123">
        <f t="shared" si="109"/>
        <v>0</v>
      </c>
      <c r="AB139" s="6">
        <f>COUNTIFS(Orders!$Z:$Z, $A139, Orders!$M:$M, "Returned") + COUNTIFS(Orders!$Z:$Z, $A139, Orders!$M:$M, "Returned to Shipper")</f>
        <v>0</v>
      </c>
      <c r="AC139" s="6">
        <f t="shared" si="110"/>
        <v>0</v>
      </c>
      <c r="AD139" s="2">
        <f>SUMIFS(Orders!$U:$U, Orders!$Z:$Z, $A139, Orders!$M:$M, "Delivered")</f>
        <v>83512</v>
      </c>
      <c r="AE139" s="124">
        <f t="shared" si="111"/>
        <v>2724</v>
      </c>
      <c r="AF139" s="2" t="str">
        <f>IFERROR(__xludf.DUMMYFUNCTION("IFERROR(TEXTJOIN("", "", TRUE, FILTER(Orders!$B$2:$B$2517, (TEXT(Orders!$D$2:$D$2517,""d-mmm"")=TEXT($A139,""d-mmm"")) * (ABS(Orders!$H$2:$H$2517 - Orders!$U$2:$U$2517) &gt;= 1) * (Orders!$M$2:$M$2517=""Delivered""))), ""All Balanced"")"),"All Balanced")</f>
        <v>All Balanced</v>
      </c>
      <c r="AG139" s="2" t="str">
        <f>IFERROR(__xludf.DUMMYFUNCTION("IFERROR(TEXTJOIN("", "", TRUE, FILTER(Orders!$I$2:$I$3000, (Orders!$M$2:$M$3000=""Delivered"") * (Orders!$N$2:$N$3000&lt;&gt;""Paid"") * (Orders!$Z$2:$Z$3000=$A139))), """")"),"")</f>
        <v/>
      </c>
      <c r="AH139" s="2">
        <f t="shared" si="112"/>
        <v>0</v>
      </c>
    </row>
    <row r="140">
      <c r="A140" s="107">
        <v>46089.0</v>
      </c>
      <c r="B140" s="108">
        <f t="shared" si="95"/>
        <v>2742.052632</v>
      </c>
      <c r="C140" s="108">
        <f>SUMIFS(Orders!$H:$H, Orders!$Z:$Z, $A140, Orders!$M:$M, "Delivered")</f>
        <v>52099</v>
      </c>
      <c r="D140" s="109">
        <f>SUMIFS(Orders!$Q:$Q, Orders!$Z:$Z, $A140, Orders!$M:$M, "Delivered")</f>
        <v>13580</v>
      </c>
      <c r="E140" s="110">
        <f t="shared" si="96"/>
        <v>0.1952394919</v>
      </c>
      <c r="F140" s="111">
        <f t="shared" si="97"/>
        <v>50015.04</v>
      </c>
      <c r="G140" s="111">
        <f t="shared" si="98"/>
        <v>2083.96</v>
      </c>
      <c r="H140" s="111">
        <f t="shared" si="99"/>
        <v>38519</v>
      </c>
      <c r="I140" s="112">
        <f t="shared" si="100"/>
        <v>51.39449893</v>
      </c>
      <c r="J140" s="113">
        <v>26776.02</v>
      </c>
      <c r="K140" s="114"/>
      <c r="L140" s="115">
        <f t="shared" si="101"/>
        <v>7083.96</v>
      </c>
      <c r="M140" s="116">
        <f>SUMIFS(Orders!$W:$W, Orders!$Z:$Z, $A140)</f>
        <v>6621.88</v>
      </c>
      <c r="N140" s="117">
        <f t="shared" si="102"/>
        <v>5121.1</v>
      </c>
      <c r="O140" s="118">
        <f t="shared" si="103"/>
        <v>80</v>
      </c>
      <c r="P140" s="113">
        <v>2.57864648</v>
      </c>
      <c r="Q140" s="119">
        <f t="shared" si="104"/>
        <v>892.534</v>
      </c>
      <c r="R140" s="120">
        <f t="shared" si="105"/>
        <v>1071.0408</v>
      </c>
      <c r="S140" s="109">
        <f>COUNTIFS(Orders!$Z:$Z, $A140)</f>
        <v>30</v>
      </c>
      <c r="T140" s="111">
        <f>COUNTIFS(Orders!$Z:$Z, $A140, Orders!$M:$M, "Cancelled")</f>
        <v>5</v>
      </c>
      <c r="U140" s="121">
        <f t="shared" si="106"/>
        <v>0.1666666667</v>
      </c>
      <c r="V140" s="122">
        <f>COUNTIFS(Orders!$Z:$Z, $A140, Orders!$M:$M, "pending")</f>
        <v>0</v>
      </c>
      <c r="W140" s="122">
        <f t="shared" si="107"/>
        <v>25</v>
      </c>
      <c r="X140" s="70">
        <f t="shared" si="108"/>
        <v>0.8064516129</v>
      </c>
      <c r="Y140" s="6">
        <f>COUNTIFS(Orders!$Z:$Z, $A140, Orders!$M:$M, "Delivered")</f>
        <v>20</v>
      </c>
      <c r="Z140" s="6">
        <f>COUNTIFS(Orders!$Z:$Z, $A140, Orders!$M:$M, "Return Received")</f>
        <v>5</v>
      </c>
      <c r="AA140" s="123">
        <f t="shared" si="109"/>
        <v>0</v>
      </c>
      <c r="AB140" s="6">
        <f>COUNTIFS(Orders!$Z:$Z, $A140, Orders!$M:$M, "Returned") + COUNTIFS(Orders!$Z:$Z, $A140, Orders!$M:$M, "Returned to Shipper")</f>
        <v>0</v>
      </c>
      <c r="AC140" s="6">
        <f t="shared" si="110"/>
        <v>0</v>
      </c>
      <c r="AD140" s="2">
        <f>SUMIFS(Orders!$U:$U, Orders!$Z:$Z, $A140, Orders!$M:$M, "Delivered")</f>
        <v>52099</v>
      </c>
      <c r="AE140" s="124">
        <f t="shared" si="111"/>
        <v>0</v>
      </c>
      <c r="AF140" s="2" t="str">
        <f>IFERROR(__xludf.DUMMYFUNCTION("IFERROR(TEXTJOIN("", "", TRUE, FILTER(Orders!$B$2:$B$2517, (TEXT(Orders!$D$2:$D$2517,""d-mmm"")=TEXT($A140,""d-mmm"")) * (ABS(Orders!$H$2:$H$2517 - Orders!$U$2:$U$2517) &gt;= 1) * (Orders!$M$2:$M$2517=""Delivered""))), ""All Balanced"")"),"All Balanced")</f>
        <v>All Balanced</v>
      </c>
      <c r="AG140" s="2" t="str">
        <f>IFERROR(__xludf.DUMMYFUNCTION("IFERROR(TEXTJOIN("", "", TRUE, FILTER(Orders!$I$2:$I$3000, (Orders!$M$2:$M$3000=""Delivered"") * (Orders!$N$2:$N$3000&lt;&gt;""Paid"") * (Orders!$Z$2:$Z$3000=$A140))), """")"),"")</f>
        <v/>
      </c>
      <c r="AH140" s="2">
        <f t="shared" si="112"/>
        <v>0</v>
      </c>
    </row>
    <row r="141">
      <c r="A141" s="107">
        <v>46090.0</v>
      </c>
      <c r="B141" s="108">
        <f t="shared" si="95"/>
        <v>3199.157895</v>
      </c>
      <c r="C141" s="108">
        <f>SUMIFS(Orders!$H:$H, Orders!$Z:$Z, $A141, Orders!$M:$M, "Delivered")</f>
        <v>60784</v>
      </c>
      <c r="D141" s="109">
        <f>SUMIFS(Orders!$Q:$Q, Orders!$Z:$Z, $A141, Orders!$M:$M, "Delivered")</f>
        <v>15880</v>
      </c>
      <c r="E141" s="110">
        <f t="shared" si="96"/>
        <v>0.2283065634</v>
      </c>
      <c r="F141" s="111">
        <f t="shared" si="97"/>
        <v>58352.64</v>
      </c>
      <c r="G141" s="111">
        <f t="shared" si="98"/>
        <v>2431.36</v>
      </c>
      <c r="H141" s="111">
        <f t="shared" si="99"/>
        <v>44904</v>
      </c>
      <c r="I141" s="112">
        <f t="shared" si="100"/>
        <v>39.14510397</v>
      </c>
      <c r="J141" s="113">
        <v>23793.96</v>
      </c>
      <c r="K141" s="114"/>
      <c r="L141" s="115">
        <f t="shared" si="101"/>
        <v>7631.36</v>
      </c>
      <c r="M141" s="116">
        <f>SUMIFS(Orders!$W:$W, Orders!$Z:$Z, $A141)</f>
        <v>6686.94</v>
      </c>
      <c r="N141" s="117">
        <f t="shared" si="102"/>
        <v>14423.1</v>
      </c>
      <c r="O141" s="118">
        <f t="shared" si="103"/>
        <v>84.61538462</v>
      </c>
      <c r="P141" s="113">
        <v>4.31369612</v>
      </c>
      <c r="Q141" s="119">
        <f t="shared" si="104"/>
        <v>881.2577778</v>
      </c>
      <c r="R141" s="120">
        <f t="shared" si="105"/>
        <v>915.1523077</v>
      </c>
      <c r="S141" s="109">
        <f>COUNTIFS(Orders!$Z:$Z, $A141)</f>
        <v>27</v>
      </c>
      <c r="T141" s="111">
        <f>COUNTIFS(Orders!$Z:$Z, $A141, Orders!$M:$M, "Cancelled")</f>
        <v>1</v>
      </c>
      <c r="U141" s="121">
        <f t="shared" si="106"/>
        <v>0.03703703704</v>
      </c>
      <c r="V141" s="122">
        <f>COUNTIFS(Orders!$Z:$Z, $A141, Orders!$M:$M, "pending")</f>
        <v>0</v>
      </c>
      <c r="W141" s="122">
        <f t="shared" si="107"/>
        <v>26</v>
      </c>
      <c r="X141" s="70">
        <f t="shared" si="108"/>
        <v>0.8387096774</v>
      </c>
      <c r="Y141" s="6">
        <f>COUNTIFS(Orders!$Z:$Z, $A141, Orders!$M:$M, "Delivered")</f>
        <v>22</v>
      </c>
      <c r="Z141" s="6">
        <f>COUNTIFS(Orders!$Z:$Z, $A141, Orders!$M:$M, "Return Received")</f>
        <v>4</v>
      </c>
      <c r="AA141" s="123">
        <f t="shared" si="109"/>
        <v>0</v>
      </c>
      <c r="AB141" s="6">
        <f>COUNTIFS(Orders!$Z:$Z, $A141, Orders!$M:$M, "Returned") + COUNTIFS(Orders!$Z:$Z, $A141, Orders!$M:$M, "Returned to Shipper")</f>
        <v>0</v>
      </c>
      <c r="AC141" s="6">
        <f t="shared" si="110"/>
        <v>0</v>
      </c>
      <c r="AD141" s="2">
        <f>SUMIFS(Orders!$U:$U, Orders!$Z:$Z, $A141, Orders!$M:$M, "Delivered")</f>
        <v>52448</v>
      </c>
      <c r="AE141" s="124">
        <f t="shared" si="111"/>
        <v>8336</v>
      </c>
      <c r="AF141" s="2" t="str">
        <f>IFERROR(__xludf.DUMMYFUNCTION("IFERROR(TEXTJOIN("", "", TRUE, FILTER(Orders!$B$2:$B$2517, (TEXT(Orders!$D$2:$D$2517,""d-mmm"")=TEXT($A141,""d-mmm"")) * (ABS(Orders!$H$2:$H$2517 - Orders!$U$2:$U$2517) &gt;= 1) * (Orders!$M$2:$M$2517=""Delivered""))), ""All Balanced"")"),"All Balanced")</f>
        <v>All Balanced</v>
      </c>
      <c r="AG141" s="2" t="str">
        <f>IFERROR(__xludf.DUMMYFUNCTION("IFERROR(TEXTJOIN("", "", TRUE, FILTER(Orders!$I$2:$I$3000, (Orders!$M$2:$M$3000=""Delivered"") * (Orders!$N$2:$N$3000&lt;&gt;""Paid"") * (Orders!$Z$2:$Z$3000=$A141))), """")"),"")</f>
        <v/>
      </c>
      <c r="AH141" s="2">
        <f t="shared" si="112"/>
        <v>0</v>
      </c>
    </row>
    <row r="142">
      <c r="A142" s="107">
        <v>46091.0</v>
      </c>
      <c r="B142" s="108">
        <f t="shared" si="95"/>
        <v>4275.421053</v>
      </c>
      <c r="C142" s="108">
        <f>SUMIFS(Orders!$H:$H, Orders!$Z:$Z, $A142, Orders!$M:$M, "Delivered")</f>
        <v>81233</v>
      </c>
      <c r="D142" s="109">
        <f>SUMIFS(Orders!$Q:$Q, Orders!$Z:$Z, $A142, Orders!$M:$M, "Delivered")</f>
        <v>20730</v>
      </c>
      <c r="E142" s="110">
        <f t="shared" si="96"/>
        <v>0.2980349533</v>
      </c>
      <c r="F142" s="111">
        <f t="shared" si="97"/>
        <v>77983.68</v>
      </c>
      <c r="G142" s="111">
        <f t="shared" si="98"/>
        <v>3249.32</v>
      </c>
      <c r="H142" s="111">
        <f t="shared" si="99"/>
        <v>60503</v>
      </c>
      <c r="I142" s="112">
        <f t="shared" si="100"/>
        <v>31.9321458</v>
      </c>
      <c r="J142" s="113">
        <v>25939.44</v>
      </c>
      <c r="K142" s="114"/>
      <c r="L142" s="115">
        <f t="shared" si="101"/>
        <v>9849.32</v>
      </c>
      <c r="M142" s="116">
        <f>SUMIFS(Orders!$W:$W, Orders!$Z:$Z, $A142)</f>
        <v>7875.6</v>
      </c>
      <c r="N142" s="117">
        <f t="shared" si="102"/>
        <v>26687.96</v>
      </c>
      <c r="O142" s="118">
        <f t="shared" si="103"/>
        <v>78.78787879</v>
      </c>
      <c r="P142" s="113">
        <v>3.70670671</v>
      </c>
      <c r="Q142" s="119">
        <f t="shared" si="104"/>
        <v>701.0659459</v>
      </c>
      <c r="R142" s="120">
        <f t="shared" si="105"/>
        <v>786.0436364</v>
      </c>
      <c r="S142" s="109">
        <f>COUNTIFS(Orders!$Z:$Z, $A142)</f>
        <v>37</v>
      </c>
      <c r="T142" s="111">
        <f>COUNTIFS(Orders!$Z:$Z, $A142, Orders!$M:$M, "Cancelled")</f>
        <v>4</v>
      </c>
      <c r="U142" s="121">
        <f t="shared" si="106"/>
        <v>0.1081081081</v>
      </c>
      <c r="V142" s="122">
        <f>COUNTIFS(Orders!$Z:$Z, $A142, Orders!$M:$M, "pending")</f>
        <v>0</v>
      </c>
      <c r="W142" s="122">
        <f t="shared" si="107"/>
        <v>33</v>
      </c>
      <c r="X142" s="70">
        <f t="shared" si="108"/>
        <v>1.064516129</v>
      </c>
      <c r="Y142" s="6">
        <f>COUNTIFS(Orders!$Z:$Z, $A142, Orders!$M:$M, "Delivered")</f>
        <v>26</v>
      </c>
      <c r="Z142" s="6">
        <f>COUNTIFS(Orders!$Z:$Z, $A142, Orders!$M:$M, "Return Received")</f>
        <v>7</v>
      </c>
      <c r="AA142" s="123">
        <f t="shared" si="109"/>
        <v>0</v>
      </c>
      <c r="AB142" s="6">
        <f>COUNTIFS(Orders!$Z:$Z, $A142, Orders!$M:$M, "Returned") + COUNTIFS(Orders!$Z:$Z, $A142, Orders!$M:$M, "Returned to Shipper")</f>
        <v>0</v>
      </c>
      <c r="AC142" s="6">
        <f t="shared" si="110"/>
        <v>0</v>
      </c>
      <c r="AD142" s="2">
        <f>SUMIFS(Orders!$U:$U, Orders!$Z:$Z, $A142, Orders!$M:$M, "Delivered")</f>
        <v>72588</v>
      </c>
      <c r="AE142" s="124">
        <f t="shared" si="111"/>
        <v>8645</v>
      </c>
      <c r="AF142" s="2" t="str">
        <f>IFERROR(__xludf.DUMMYFUNCTION("IFERROR(TEXTJOIN("", "", TRUE, FILTER(Orders!$B$2:$B$2517, (TEXT(Orders!$D$2:$D$2517,""d-mmm"")=TEXT($A142,""d-mmm"")) * (ABS(Orders!$H$2:$H$2517 - Orders!$U$2:$U$2517) &gt;= 1) * (Orders!$M$2:$M$2517=""Delivered""))), ""All Balanced"")"),"All Balanced")</f>
        <v>All Balanced</v>
      </c>
      <c r="AG142" s="2" t="str">
        <f>IFERROR(__xludf.DUMMYFUNCTION("IFERROR(TEXTJOIN("", "", TRUE, FILTER(Orders!$I$2:$I$3000, (Orders!$M$2:$M$3000=""Delivered"") * (Orders!$N$2:$N$3000&lt;&gt;""Paid"") * (Orders!$Z$2:$Z$3000=$A142))), """")"),"")</f>
        <v/>
      </c>
      <c r="AH142" s="2">
        <f t="shared" si="112"/>
        <v>0</v>
      </c>
    </row>
    <row r="143">
      <c r="A143" s="107">
        <v>46092.0</v>
      </c>
      <c r="B143" s="108">
        <f t="shared" si="95"/>
        <v>5593.552632</v>
      </c>
      <c r="C143" s="108">
        <f>SUMIFS(Orders!$H:$H, Orders!$Z:$Z, $A143, Orders!$M:$M, "Delivered")</f>
        <v>106277.5</v>
      </c>
      <c r="D143" s="109">
        <f>SUMIFS(Orders!$Q:$Q, Orders!$Z:$Z, $A143, Orders!$M:$M, "Delivered")</f>
        <v>29400</v>
      </c>
      <c r="E143" s="110">
        <f t="shared" si="96"/>
        <v>0.422683436</v>
      </c>
      <c r="F143" s="111">
        <f t="shared" si="97"/>
        <v>102026.4</v>
      </c>
      <c r="G143" s="111">
        <f t="shared" si="98"/>
        <v>4251.1</v>
      </c>
      <c r="H143" s="111">
        <f t="shared" si="99"/>
        <v>76877.5</v>
      </c>
      <c r="I143" s="112">
        <f t="shared" si="100"/>
        <v>23.9501776</v>
      </c>
      <c r="J143" s="113">
        <v>25453.65</v>
      </c>
      <c r="K143" s="114"/>
      <c r="L143" s="115">
        <f t="shared" si="101"/>
        <v>14451.1</v>
      </c>
      <c r="M143" s="116">
        <f>SUMIFS(Orders!$W:$W, Orders!$Z:$Z, $A143)</f>
        <v>13138.37</v>
      </c>
      <c r="N143" s="117">
        <f t="shared" si="102"/>
        <v>38285.48</v>
      </c>
      <c r="O143" s="118">
        <f t="shared" si="103"/>
        <v>58.82352941</v>
      </c>
      <c r="P143" s="113">
        <v>6.26741597</v>
      </c>
      <c r="Q143" s="119">
        <f t="shared" si="104"/>
        <v>424.2275</v>
      </c>
      <c r="R143" s="120">
        <f t="shared" si="105"/>
        <v>499.0911765</v>
      </c>
      <c r="S143" s="109">
        <f>COUNTIFS(Orders!$Z:$Z, $A143)</f>
        <v>60</v>
      </c>
      <c r="T143" s="111">
        <f>COUNTIFS(Orders!$Z:$Z, $A143, Orders!$M:$M, "Cancelled")</f>
        <v>9</v>
      </c>
      <c r="U143" s="121">
        <f t="shared" si="106"/>
        <v>0.15</v>
      </c>
      <c r="V143" s="122">
        <f>COUNTIFS(Orders!$Z:$Z, $A143, Orders!$M:$M, "pending")</f>
        <v>0</v>
      </c>
      <c r="W143" s="122">
        <f t="shared" si="107"/>
        <v>51</v>
      </c>
      <c r="X143" s="70">
        <f t="shared" si="108"/>
        <v>1.64516129</v>
      </c>
      <c r="Y143" s="6">
        <f>COUNTIFS(Orders!$Z:$Z, $A143, Orders!$M:$M, "Delivered")</f>
        <v>30</v>
      </c>
      <c r="Z143" s="6">
        <f>COUNTIFS(Orders!$Z:$Z, $A143, Orders!$M:$M, "Return Received")</f>
        <v>21</v>
      </c>
      <c r="AA143" s="123">
        <f t="shared" si="109"/>
        <v>0</v>
      </c>
      <c r="AB143" s="6">
        <f>COUNTIFS(Orders!$Z:$Z, $A143, Orders!$M:$M, "Returned") + COUNTIFS(Orders!$Z:$Z, $A143, Orders!$M:$M, "Returned to Shipper")</f>
        <v>0</v>
      </c>
      <c r="AC143" s="6">
        <f t="shared" si="110"/>
        <v>0</v>
      </c>
      <c r="AD143" s="2">
        <f>SUMIFS(Orders!$U:$U, Orders!$Z:$Z, $A143, Orders!$M:$M, "Delivered")</f>
        <v>99582.5</v>
      </c>
      <c r="AE143" s="124">
        <f t="shared" si="111"/>
        <v>6695</v>
      </c>
      <c r="AF143" s="2" t="str">
        <f>IFERROR(__xludf.DUMMYFUNCTION("IFERROR(TEXTJOIN("", "", TRUE, FILTER(Orders!$B$2:$B$2517, (TEXT(Orders!$D$2:$D$2517,""d-mmm"")=TEXT($A143,""d-mmm"")) * (ABS(Orders!$H$2:$H$2517 - Orders!$U$2:$U$2517) &gt;= 1) * (Orders!$M$2:$M$2517=""Delivered""))), ""All Balanced"")"),"All Balanced")</f>
        <v>All Balanced</v>
      </c>
      <c r="AG143" s="2" t="str">
        <f>IFERROR(__xludf.DUMMYFUNCTION("IFERROR(TEXTJOIN("", "", TRUE, FILTER(Orders!$I$2:$I$3000, (Orders!$M$2:$M$3000=""Delivered"") * (Orders!$N$2:$N$3000&lt;&gt;""Paid"") * (Orders!$Z$2:$Z$3000=$A143))), """")"),"")</f>
        <v/>
      </c>
      <c r="AH143" s="2">
        <f t="shared" si="112"/>
        <v>0</v>
      </c>
    </row>
    <row r="144">
      <c r="A144" s="107">
        <v>46093.0</v>
      </c>
      <c r="B144" s="108">
        <f t="shared" si="95"/>
        <v>6504.131579</v>
      </c>
      <c r="C144" s="108">
        <f>SUMIFS(Orders!$H:$H, Orders!$Z:$Z, $A144, Orders!$M:$M, "Delivered")</f>
        <v>123578.5</v>
      </c>
      <c r="D144" s="109">
        <f>SUMIFS(Orders!$Q:$Q, Orders!$Z:$Z, $A144, Orders!$M:$M, "Delivered")</f>
        <v>29890</v>
      </c>
      <c r="E144" s="110">
        <f t="shared" si="96"/>
        <v>0.4297281599</v>
      </c>
      <c r="F144" s="111">
        <f t="shared" si="97"/>
        <v>118635.36</v>
      </c>
      <c r="G144" s="111">
        <f t="shared" si="98"/>
        <v>4943.14</v>
      </c>
      <c r="H144" s="111">
        <f t="shared" si="99"/>
        <v>93688.5</v>
      </c>
      <c r="I144" s="112">
        <f t="shared" si="100"/>
        <v>20.2875662</v>
      </c>
      <c r="J144" s="113">
        <v>25071.07</v>
      </c>
      <c r="K144" s="114"/>
      <c r="L144" s="115">
        <f t="shared" si="101"/>
        <v>15343.14</v>
      </c>
      <c r="M144" s="116">
        <f>SUMIFS(Orders!$W:$W, Orders!$Z:$Z, $A144)</f>
        <v>12724.35</v>
      </c>
      <c r="N144" s="117">
        <f t="shared" si="102"/>
        <v>55893.08</v>
      </c>
      <c r="O144" s="118">
        <f t="shared" si="103"/>
        <v>71.15384615</v>
      </c>
      <c r="P144" s="113">
        <v>6.03605319</v>
      </c>
      <c r="Q144" s="119">
        <f t="shared" si="104"/>
        <v>447.6976786</v>
      </c>
      <c r="R144" s="120">
        <f t="shared" si="105"/>
        <v>482.1359615</v>
      </c>
      <c r="S144" s="109">
        <f>COUNTIFS(Orders!$Z:$Z, $A144)</f>
        <v>56</v>
      </c>
      <c r="T144" s="111">
        <f>COUNTIFS(Orders!$Z:$Z, $A144, Orders!$M:$M, "Cancelled")</f>
        <v>4</v>
      </c>
      <c r="U144" s="121">
        <f t="shared" si="106"/>
        <v>0.07142857143</v>
      </c>
      <c r="V144" s="122">
        <f>COUNTIFS(Orders!$Z:$Z, $A144, Orders!$M:$M, "pending")</f>
        <v>1</v>
      </c>
      <c r="W144" s="122">
        <f t="shared" si="107"/>
        <v>52</v>
      </c>
      <c r="X144" s="70">
        <f t="shared" si="108"/>
        <v>1.677419355</v>
      </c>
      <c r="Y144" s="6">
        <f>COUNTIFS(Orders!$Z:$Z, $A144, Orders!$M:$M, "Delivered")</f>
        <v>37</v>
      </c>
      <c r="Z144" s="6">
        <f>COUNTIFS(Orders!$Z:$Z, $A144, Orders!$M:$M, "Return Received")</f>
        <v>13</v>
      </c>
      <c r="AA144" s="123">
        <f t="shared" si="109"/>
        <v>1</v>
      </c>
      <c r="AB144" s="6">
        <f>COUNTIFS(Orders!$Z:$Z, $A144, Orders!$M:$M, "Returned") + COUNTIFS(Orders!$Z:$Z, $A144, Orders!$M:$M, "Returned to Shipper")</f>
        <v>0</v>
      </c>
      <c r="AC144" s="6">
        <f t="shared" si="110"/>
        <v>0</v>
      </c>
      <c r="AD144" s="2">
        <f>SUMIFS(Orders!$U:$U, Orders!$Z:$Z, $A144, Orders!$M:$M, "Delivered")</f>
        <v>110187.5</v>
      </c>
      <c r="AE144" s="124">
        <f t="shared" si="111"/>
        <v>13391</v>
      </c>
      <c r="AF144" s="125" t="str">
        <f>IFERROR(__xludf.DUMMYFUNCTION("IFERROR(TEXTJOIN("", "", TRUE, FILTER(Orders!$B$2:$B$2517, (TEXT(Orders!$D$2:$D$2517,""d-mmm"")=TEXT($A144,""d-mmm"")) * (ABS(Orders!$H$2:$H$2517 - Orders!$U$2:$U$2517) &gt;= 1) * (Orders!$M$2:$M$2517=""Delivered""))), ""All Balanced"")"),"All Balanced")</f>
        <v>All Balanced</v>
      </c>
      <c r="AG144" s="2" t="str">
        <f>IFERROR(__xludf.DUMMYFUNCTION("IFERROR(TEXTJOIN("", "", TRUE, FILTER(Orders!$I$2:$I$3000, (Orders!$M$2:$M$3000=""Delivered"") * (Orders!$N$2:$N$3000&lt;&gt;""Paid"") * (Orders!$Z$2:$Z$3000=$A144))), """")"),"")</f>
        <v/>
      </c>
      <c r="AH144" s="2">
        <f t="shared" si="112"/>
        <v>0</v>
      </c>
    </row>
    <row r="145">
      <c r="A145" s="107">
        <v>46094.0</v>
      </c>
      <c r="B145" s="108">
        <f t="shared" si="95"/>
        <v>6002.052632</v>
      </c>
      <c r="C145" s="108">
        <f>SUMIFS(Orders!$H:$H, Orders!$Z:$Z, $A145, Orders!$M:$M, "Delivered")</f>
        <v>114039</v>
      </c>
      <c r="D145" s="109">
        <f>SUMIFS(Orders!$Q:$Q, Orders!$Z:$Z, $A145, Orders!$M:$M, "Delivered")</f>
        <v>29760</v>
      </c>
      <c r="E145" s="110">
        <f t="shared" si="96"/>
        <v>0.4278591515</v>
      </c>
      <c r="F145" s="111">
        <f t="shared" si="97"/>
        <v>109477.44</v>
      </c>
      <c r="G145" s="111">
        <f t="shared" si="98"/>
        <v>4561.56</v>
      </c>
      <c r="H145" s="111">
        <f t="shared" si="99"/>
        <v>84279</v>
      </c>
      <c r="I145" s="112">
        <f t="shared" si="100"/>
        <v>24.72721613</v>
      </c>
      <c r="J145" s="113">
        <v>28198.67</v>
      </c>
      <c r="K145" s="114"/>
      <c r="L145" s="115">
        <f t="shared" si="101"/>
        <v>15161.56</v>
      </c>
      <c r="M145" s="116">
        <f>SUMIFS(Orders!$W:$W, Orders!$Z:$Z, $A145)</f>
        <v>13047.7</v>
      </c>
      <c r="N145" s="117">
        <f t="shared" si="102"/>
        <v>43032.63</v>
      </c>
      <c r="O145" s="118">
        <f t="shared" si="103"/>
        <v>69.81132075</v>
      </c>
      <c r="P145" s="113">
        <v>4.68064357</v>
      </c>
      <c r="Q145" s="119">
        <f t="shared" si="104"/>
        <v>503.5476786</v>
      </c>
      <c r="R145" s="120">
        <f t="shared" si="105"/>
        <v>532.0503774</v>
      </c>
      <c r="S145" s="109">
        <f>COUNTIFS(Orders!$Z:$Z, $A145)</f>
        <v>56</v>
      </c>
      <c r="T145" s="111">
        <f>COUNTIFS(Orders!$Z:$Z, $A145, Orders!$M:$M, "Cancelled")</f>
        <v>3</v>
      </c>
      <c r="U145" s="121">
        <f t="shared" si="106"/>
        <v>0.05357142857</v>
      </c>
      <c r="V145" s="122">
        <f>COUNTIFS(Orders!$Z:$Z, $A145, Orders!$M:$M, "pending")</f>
        <v>2</v>
      </c>
      <c r="W145" s="122">
        <f t="shared" si="107"/>
        <v>53</v>
      </c>
      <c r="X145" s="70">
        <f t="shared" si="108"/>
        <v>1.709677419</v>
      </c>
      <c r="Y145" s="6">
        <f>COUNTIFS(Orders!$Z:$Z, $A145, Orders!$M:$M, "Delivered")</f>
        <v>37</v>
      </c>
      <c r="Z145" s="6">
        <f>COUNTIFS(Orders!$Z:$Z, $A145, Orders!$M:$M, "Return Received")</f>
        <v>13</v>
      </c>
      <c r="AA145" s="123">
        <f t="shared" si="109"/>
        <v>1</v>
      </c>
      <c r="AB145" s="6">
        <f>COUNTIFS(Orders!$Z:$Z, $A145, Orders!$M:$M, "Returned") + COUNTIFS(Orders!$Z:$Z, $A145, Orders!$M:$M, "Returned to Shipper")</f>
        <v>0</v>
      </c>
      <c r="AC145" s="6">
        <f t="shared" si="110"/>
        <v>0</v>
      </c>
      <c r="AD145" s="2">
        <f>SUMIFS(Orders!$U:$U, Orders!$Z:$Z, $A145, Orders!$M:$M, "Delivered")</f>
        <v>110691</v>
      </c>
      <c r="AE145" s="124">
        <f t="shared" si="111"/>
        <v>3348</v>
      </c>
      <c r="AF145" s="2" t="str">
        <f>IFERROR(__xludf.DUMMYFUNCTION("IFERROR(TEXTJOIN("", "", TRUE, FILTER(Orders!$B$2:$B$2517, (TEXT(Orders!$D$2:$D$2517,""d-mmm"")=TEXT($A145,""d-mmm"")) * (ABS(Orders!$H$2:$H$2517 - Orders!$U$2:$U$2517) &gt;= 1) * (Orders!$M$2:$M$2517=""Delivered""))), ""All Balanced"")"),"All Balanced")</f>
        <v>All Balanced</v>
      </c>
      <c r="AG145" s="2" t="str">
        <f>IFERROR(__xludf.DUMMYFUNCTION("IFERROR(TEXTJOIN("", "", TRUE, FILTER(Orders!$I$2:$I$3000, (Orders!$M$2:$M$3000=""Delivered"") * (Orders!$N$2:$N$3000&lt;&gt;""Paid"") * (Orders!$Z$2:$Z$3000=$A145))), """")"),"")</f>
        <v/>
      </c>
      <c r="AH145" s="2">
        <f t="shared" si="112"/>
        <v>0</v>
      </c>
    </row>
    <row r="146">
      <c r="A146" s="107">
        <v>46095.0</v>
      </c>
      <c r="B146" s="108">
        <f t="shared" si="95"/>
        <v>6088.742105</v>
      </c>
      <c r="C146" s="108">
        <f>SUMIFS(Orders!$H:$H, Orders!$Z:$Z, $A146, Orders!$M:$M, "Delivered")</f>
        <v>115686.1</v>
      </c>
      <c r="D146" s="109">
        <f>SUMIFS(Orders!$Q:$Q, Orders!$Z:$Z, $A146, Orders!$M:$M, "Delivered")</f>
        <v>32060</v>
      </c>
      <c r="E146" s="110">
        <f t="shared" si="96"/>
        <v>0.4609262231</v>
      </c>
      <c r="F146" s="111">
        <f t="shared" si="97"/>
        <v>111058.656</v>
      </c>
      <c r="G146" s="111">
        <f t="shared" si="98"/>
        <v>4627.444</v>
      </c>
      <c r="H146" s="111">
        <f t="shared" si="99"/>
        <v>83626.1</v>
      </c>
      <c r="I146" s="112">
        <f t="shared" si="100"/>
        <v>23.44895368</v>
      </c>
      <c r="J146" s="113">
        <v>27127.18</v>
      </c>
      <c r="K146" s="114"/>
      <c r="L146" s="115">
        <f t="shared" si="101"/>
        <v>14227.444</v>
      </c>
      <c r="M146" s="116">
        <f>SUMIFS(Orders!$W:$W, Orders!$Z:$Z, $A146)</f>
        <v>12350.37</v>
      </c>
      <c r="N146" s="117">
        <f t="shared" si="102"/>
        <v>44148.55</v>
      </c>
      <c r="O146" s="118">
        <f t="shared" si="103"/>
        <v>70.83333333</v>
      </c>
      <c r="P146" s="113">
        <v>5.74038758</v>
      </c>
      <c r="Q146" s="119">
        <f t="shared" si="104"/>
        <v>502.3551852</v>
      </c>
      <c r="R146" s="120">
        <f t="shared" si="105"/>
        <v>565.1495833</v>
      </c>
      <c r="S146" s="109">
        <f>COUNTIFS(Orders!$Z:$Z, $A146)</f>
        <v>54</v>
      </c>
      <c r="T146" s="111">
        <f>COUNTIFS(Orders!$Z:$Z, $A146, Orders!$M:$M, "Cancelled")</f>
        <v>6</v>
      </c>
      <c r="U146" s="121">
        <f t="shared" si="106"/>
        <v>0.1111111111</v>
      </c>
      <c r="V146" s="122">
        <f>COUNTIFS(Orders!$Z:$Z, $A146, Orders!$M:$M, "pending")</f>
        <v>0</v>
      </c>
      <c r="W146" s="122">
        <f t="shared" si="107"/>
        <v>48</v>
      </c>
      <c r="X146" s="70">
        <f t="shared" si="108"/>
        <v>1.548387097</v>
      </c>
      <c r="Y146" s="6">
        <f>COUNTIFS(Orders!$Z:$Z, $A146, Orders!$M:$M, "Delivered")</f>
        <v>34</v>
      </c>
      <c r="Z146" s="6">
        <f>COUNTIFS(Orders!$Z:$Z, $A146, Orders!$M:$M, "Return Received")</f>
        <v>13</v>
      </c>
      <c r="AA146" s="123">
        <f t="shared" si="109"/>
        <v>1</v>
      </c>
      <c r="AB146" s="6">
        <f>COUNTIFS(Orders!$Z:$Z, $A146, Orders!$M:$M, "Returned") + COUNTIFS(Orders!$Z:$Z, $A146, Orders!$M:$M, "Returned to Shipper")</f>
        <v>0</v>
      </c>
      <c r="AC146" s="6">
        <f t="shared" si="110"/>
        <v>0</v>
      </c>
      <c r="AD146" s="2">
        <f>SUMIFS(Orders!$U:$U, Orders!$Z:$Z, $A146, Orders!$M:$M, "Delivered")</f>
        <v>107937.1</v>
      </c>
      <c r="AE146" s="124">
        <f t="shared" si="111"/>
        <v>7749</v>
      </c>
      <c r="AF146" s="22" t="str">
        <f>IFERROR(__xludf.DUMMYFUNCTION("IFERROR(TEXTJOIN("", "", TRUE, FILTER(Orders!$B$2:$B$2517, (TEXT(Orders!$D$2:$D$2517,""d-mmm"")=TEXT($A146,""d-mmm"")) * (ABS(Orders!$H$2:$H$2517 - Orders!$U$2:$U$2517) &gt;= 1) * (Orders!$M$2:$M$2517=""Delivered""))), ""All Balanced"")"),"All Balanced")</f>
        <v>All Balanced</v>
      </c>
      <c r="AG146" s="2" t="str">
        <f>IFERROR(__xludf.DUMMYFUNCTION("IFERROR(TEXTJOIN("", "", TRUE, FILTER(Orders!$I$2:$I$3000, (Orders!$M$2:$M$3000=""Delivered"") * (Orders!$N$2:$N$3000&lt;&gt;""Paid"") * (Orders!$Z$2:$Z$3000=$A146))), """")"),"")</f>
        <v/>
      </c>
      <c r="AH146" s="2">
        <f t="shared" si="112"/>
        <v>0</v>
      </c>
    </row>
    <row r="147">
      <c r="A147" s="107">
        <v>46096.0</v>
      </c>
      <c r="B147" s="108">
        <f t="shared" si="95"/>
        <v>5192.105263</v>
      </c>
      <c r="C147" s="108">
        <f>SUMIFS(Orders!$H:$H, Orders!$Z:$Z, $A147, Orders!$M:$M, "Delivered")</f>
        <v>98650</v>
      </c>
      <c r="D147" s="109">
        <f>SUMIFS(Orders!$Q:$Q, Orders!$Z:$Z, $A147, Orders!$M:$M, "Delivered")</f>
        <v>26305</v>
      </c>
      <c r="E147" s="110">
        <f t="shared" si="96"/>
        <v>0.3781866593</v>
      </c>
      <c r="F147" s="111">
        <f t="shared" si="97"/>
        <v>94704</v>
      </c>
      <c r="G147" s="111">
        <f t="shared" si="98"/>
        <v>3946</v>
      </c>
      <c r="H147" s="111">
        <f t="shared" si="99"/>
        <v>72345</v>
      </c>
      <c r="I147" s="112">
        <f t="shared" si="100"/>
        <v>39.21232641</v>
      </c>
      <c r="J147" s="113">
        <v>38682.96</v>
      </c>
      <c r="K147" s="114"/>
      <c r="L147" s="115">
        <f t="shared" si="101"/>
        <v>12746</v>
      </c>
      <c r="M147" s="116">
        <f>SUMIFS(Orders!$W:$W, Orders!$Z:$Z, $A147)</f>
        <v>11231.66</v>
      </c>
      <c r="N147" s="117">
        <f t="shared" si="102"/>
        <v>22430.38</v>
      </c>
      <c r="O147" s="118">
        <f t="shared" si="103"/>
        <v>65.90909091</v>
      </c>
      <c r="P147" s="113">
        <v>4.40554929</v>
      </c>
      <c r="Q147" s="119">
        <f t="shared" si="104"/>
        <v>743.9030769</v>
      </c>
      <c r="R147" s="120">
        <f t="shared" si="105"/>
        <v>879.1581818</v>
      </c>
      <c r="S147" s="109">
        <f>COUNTIFS(Orders!$Z:$Z, $A147)</f>
        <v>52</v>
      </c>
      <c r="T147" s="111">
        <f>COUNTIFS(Orders!$Z:$Z, $A147, Orders!$M:$M, "Cancelled")</f>
        <v>8</v>
      </c>
      <c r="U147" s="121">
        <f t="shared" si="106"/>
        <v>0.1538461538</v>
      </c>
      <c r="V147" s="122">
        <f>COUNTIFS(Orders!$Z:$Z, $A147, Orders!$M:$M, "pending")</f>
        <v>1</v>
      </c>
      <c r="W147" s="122">
        <f t="shared" si="107"/>
        <v>44</v>
      </c>
      <c r="X147" s="70">
        <f t="shared" si="108"/>
        <v>1.419354839</v>
      </c>
      <c r="Y147" s="6">
        <f>COUNTIFS(Orders!$Z:$Z, $A147, Orders!$M:$M, "Delivered")</f>
        <v>29</v>
      </c>
      <c r="Z147" s="6">
        <f>COUNTIFS(Orders!$Z:$Z, $A147, Orders!$M:$M, "Return Received")</f>
        <v>13</v>
      </c>
      <c r="AA147" s="123">
        <f t="shared" si="109"/>
        <v>1</v>
      </c>
      <c r="AB147" s="6">
        <f>COUNTIFS(Orders!$Z:$Z, $A147, Orders!$M:$M, "Returned") + COUNTIFS(Orders!$Z:$Z, $A147, Orders!$M:$M, "Returned to Shipper")</f>
        <v>0</v>
      </c>
      <c r="AC147" s="6">
        <f t="shared" si="110"/>
        <v>0</v>
      </c>
      <c r="AD147" s="2">
        <f>SUMIFS(Orders!$U:$U, Orders!$Z:$Z, $A147, Orders!$M:$M, "Delivered")</f>
        <v>91754</v>
      </c>
      <c r="AE147" s="124">
        <f t="shared" si="111"/>
        <v>6896</v>
      </c>
      <c r="AF147" s="2" t="str">
        <f>IFERROR(__xludf.DUMMYFUNCTION("IFERROR(TEXTJOIN("", "", TRUE, FILTER(Orders!$B$2:$B$2517, (TEXT(Orders!$D$2:$D$2517,""d-mmm"")=TEXT($A147,""d-mmm"")) * (ABS(Orders!$H$2:$H$2517 - Orders!$U$2:$U$2517) &gt;= 1) * (Orders!$M$2:$M$2517=""Delivered""))), ""All Balanced"")"),"All Balanced")</f>
        <v>All Balanced</v>
      </c>
      <c r="AG147" s="2" t="str">
        <f>IFERROR(__xludf.DUMMYFUNCTION("IFERROR(TEXTJOIN("", "", TRUE, FILTER(Orders!$I$2:$I$3000, (Orders!$M$2:$M$3000=""Delivered"") * (Orders!$N$2:$N$3000&lt;&gt;""Paid"") * (Orders!$Z$2:$Z$3000=$A147))), """")"),"")</f>
        <v/>
      </c>
      <c r="AH147" s="2">
        <f t="shared" si="112"/>
        <v>0</v>
      </c>
    </row>
    <row r="148">
      <c r="A148" s="107">
        <v>46097.0</v>
      </c>
      <c r="B148" s="108">
        <f t="shared" si="95"/>
        <v>5046.326316</v>
      </c>
      <c r="C148" s="108">
        <f>SUMIFS(Orders!$H:$H, Orders!$Z:$Z, $A148, Orders!$M:$M, "Delivered")</f>
        <v>95880.2</v>
      </c>
      <c r="D148" s="109">
        <f>SUMIFS(Orders!$Q:$Q, Orders!$Z:$Z, $A148, Orders!$M:$M, "Delivered")</f>
        <v>26250</v>
      </c>
      <c r="E148" s="110">
        <f t="shared" si="96"/>
        <v>0.377395925</v>
      </c>
      <c r="F148" s="111">
        <f t="shared" si="97"/>
        <v>92044.992</v>
      </c>
      <c r="G148" s="111">
        <f t="shared" si="98"/>
        <v>3835.208</v>
      </c>
      <c r="H148" s="111">
        <f t="shared" si="99"/>
        <v>69630.2</v>
      </c>
      <c r="I148" s="112">
        <f t="shared" si="100"/>
        <v>35.2268873</v>
      </c>
      <c r="J148" s="113">
        <v>33775.61</v>
      </c>
      <c r="K148" s="114"/>
      <c r="L148" s="115">
        <f t="shared" si="101"/>
        <v>12635.208</v>
      </c>
      <c r="M148" s="116">
        <f>SUMIFS(Orders!$W:$W, Orders!$Z:$Z, $A148)</f>
        <v>10400.75</v>
      </c>
      <c r="N148" s="117">
        <f t="shared" si="102"/>
        <v>25453.84</v>
      </c>
      <c r="O148" s="118">
        <f t="shared" si="103"/>
        <v>63.63636364</v>
      </c>
      <c r="P148" s="113">
        <v>3.77035737</v>
      </c>
      <c r="Q148" s="119">
        <f t="shared" si="104"/>
        <v>689.2981633</v>
      </c>
      <c r="R148" s="120">
        <f t="shared" si="105"/>
        <v>767.6275</v>
      </c>
      <c r="S148" s="109">
        <f>COUNTIFS(Orders!$Z:$Z, $A148)</f>
        <v>49</v>
      </c>
      <c r="T148" s="111">
        <f>COUNTIFS(Orders!$Z:$Z, $A148, Orders!$M:$M, "Cancelled")</f>
        <v>5</v>
      </c>
      <c r="U148" s="121">
        <f t="shared" si="106"/>
        <v>0.1020408163</v>
      </c>
      <c r="V148" s="122">
        <f>COUNTIFS(Orders!$Z:$Z, $A148, Orders!$M:$M, "pending")</f>
        <v>1</v>
      </c>
      <c r="W148" s="122">
        <f t="shared" si="107"/>
        <v>44</v>
      </c>
      <c r="X148" s="70">
        <f t="shared" si="108"/>
        <v>1.419354839</v>
      </c>
      <c r="Y148" s="6">
        <f>COUNTIFS(Orders!$Z:$Z, $A148, Orders!$M:$M, "Delivered")</f>
        <v>28</v>
      </c>
      <c r="Z148" s="6">
        <f>COUNTIFS(Orders!$Z:$Z, $A148, Orders!$M:$M, "Return Received")</f>
        <v>14</v>
      </c>
      <c r="AA148" s="123">
        <f t="shared" si="109"/>
        <v>1</v>
      </c>
      <c r="AB148" s="6">
        <f>COUNTIFS(Orders!$Z:$Z, $A148, Orders!$M:$M, "Returned") + COUNTIFS(Orders!$Z:$Z, $A148, Orders!$M:$M, "Returned to Shipper")</f>
        <v>0</v>
      </c>
      <c r="AC148" s="6">
        <f t="shared" si="110"/>
        <v>0</v>
      </c>
      <c r="AD148" s="2">
        <f>SUMIFS(Orders!$U:$U, Orders!$Z:$Z, $A148, Orders!$M:$M, "Delivered")</f>
        <v>83386.2</v>
      </c>
      <c r="AE148" s="124">
        <f t="shared" si="111"/>
        <v>12494</v>
      </c>
      <c r="AF148" s="125" t="str">
        <f>IFERROR(__xludf.DUMMYFUNCTION("IFERROR(TEXTJOIN("", "", TRUE, FILTER(Orders!$B$2:$B$2517, (TEXT(Orders!$D$2:$D$2517,""d-mmm"")=TEXT($A148,""d-mmm"")) * (ABS(Orders!$H$2:$H$2517 - Orders!$U$2:$U$2517) &gt;= 1) * (Orders!$M$2:$M$2517=""Delivered""))), ""All Balanced"")"),"All Balanced")</f>
        <v>All Balanced</v>
      </c>
      <c r="AG148" s="2" t="str">
        <f>IFERROR(__xludf.DUMMYFUNCTION("IFERROR(TEXTJOIN("", "", TRUE, FILTER(Orders!$I$2:$I$3000, (Orders!$M$2:$M$3000=""Delivered"") * (Orders!$N$2:$N$3000&lt;&gt;""Paid"") * (Orders!$Z$2:$Z$3000=$A148))), """")"),"")</f>
        <v/>
      </c>
      <c r="AH148" s="2">
        <f t="shared" si="112"/>
        <v>0</v>
      </c>
    </row>
    <row r="149">
      <c r="A149" s="107">
        <v>46098.0</v>
      </c>
      <c r="B149" s="108">
        <f t="shared" si="95"/>
        <v>4339.789474</v>
      </c>
      <c r="C149" s="108">
        <f>SUMIFS(Orders!$H:$H, Orders!$Z:$Z, $A149, Orders!$M:$M, "Delivered")</f>
        <v>82456</v>
      </c>
      <c r="D149" s="109">
        <f>SUMIFS(Orders!$Q:$Q, Orders!$Z:$Z, $A149, Orders!$M:$M, "Delivered")</f>
        <v>20010</v>
      </c>
      <c r="E149" s="110">
        <f t="shared" si="96"/>
        <v>0.2876835222</v>
      </c>
      <c r="F149" s="111">
        <f t="shared" si="97"/>
        <v>79157.76</v>
      </c>
      <c r="G149" s="111">
        <f t="shared" si="98"/>
        <v>3298.24</v>
      </c>
      <c r="H149" s="111">
        <f t="shared" si="99"/>
        <v>62446</v>
      </c>
      <c r="I149" s="112">
        <f t="shared" si="100"/>
        <v>41.74153488</v>
      </c>
      <c r="J149" s="113">
        <v>34418.4</v>
      </c>
      <c r="K149" s="114"/>
      <c r="L149" s="115">
        <f t="shared" si="101"/>
        <v>12098.24</v>
      </c>
      <c r="M149" s="116">
        <f>SUMIFS(Orders!$W:$W, Orders!$Z:$Z, $A149)</f>
        <v>10594.73</v>
      </c>
      <c r="N149" s="117">
        <f t="shared" si="102"/>
        <v>17432.87</v>
      </c>
      <c r="O149" s="118">
        <f t="shared" si="103"/>
        <v>59.09090909</v>
      </c>
      <c r="P149" s="113">
        <v>5.41086852</v>
      </c>
      <c r="Q149" s="119">
        <f t="shared" si="104"/>
        <v>637.3777778</v>
      </c>
      <c r="R149" s="120">
        <f t="shared" si="105"/>
        <v>782.2363636</v>
      </c>
      <c r="S149" s="109">
        <f>COUNTIFS(Orders!$Z:$Z, $A149)</f>
        <v>54</v>
      </c>
      <c r="T149" s="111">
        <f>COUNTIFS(Orders!$Z:$Z, $A149, Orders!$M:$M, "Cancelled")</f>
        <v>10</v>
      </c>
      <c r="U149" s="121">
        <f t="shared" si="106"/>
        <v>0.1851851852</v>
      </c>
      <c r="V149" s="122">
        <f>COUNTIFS(Orders!$Z:$Z, $A149, Orders!$M:$M, "pending")</f>
        <v>1</v>
      </c>
      <c r="W149" s="122">
        <f t="shared" si="107"/>
        <v>44</v>
      </c>
      <c r="X149" s="70">
        <f t="shared" si="108"/>
        <v>1.419354839</v>
      </c>
      <c r="Y149" s="6">
        <f>COUNTIFS(Orders!$Z:$Z, $A149, Orders!$M:$M, "Delivered")</f>
        <v>26</v>
      </c>
      <c r="Z149" s="6">
        <f>COUNTIFS(Orders!$Z:$Z, $A149, Orders!$M:$M, "Return Received")</f>
        <v>14</v>
      </c>
      <c r="AA149" s="123">
        <f t="shared" si="109"/>
        <v>3</v>
      </c>
      <c r="AB149" s="6">
        <f>COUNTIFS(Orders!$Z:$Z, $A149, Orders!$M:$M, "Returned") + COUNTIFS(Orders!$Z:$Z, $A149, Orders!$M:$M, "Returned to Shipper")</f>
        <v>0</v>
      </c>
      <c r="AC149" s="6">
        <f t="shared" si="110"/>
        <v>0</v>
      </c>
      <c r="AD149" s="2">
        <f>SUMIFS(Orders!$U:$U, Orders!$Z:$Z, $A149, Orders!$M:$M, "Delivered")</f>
        <v>77608</v>
      </c>
      <c r="AE149" s="124">
        <f t="shared" si="111"/>
        <v>4848</v>
      </c>
      <c r="AF149" s="2" t="str">
        <f>IFERROR(__xludf.DUMMYFUNCTION("IFERROR(TEXTJOIN("", "", TRUE, FILTER(Orders!$B$2:$B$2517, (TEXT(Orders!$D$2:$D$2517,""d-mmm"")=TEXT($A149,""d-mmm"")) * (ABS(Orders!$H$2:$H$2517 - Orders!$U$2:$U$2517) &gt;= 1) * (Orders!$M$2:$M$2517=""Delivered""))), ""All Balanced"")"),"All Balanced")</f>
        <v>All Balanced</v>
      </c>
      <c r="AG149" s="2" t="str">
        <f>IFERROR(__xludf.DUMMYFUNCTION("IFERROR(TEXTJOIN("", "", TRUE, FILTER(Orders!$I$2:$I$3000, (Orders!$M$2:$M$3000=""Delivered"") * (Orders!$N$2:$N$3000&lt;&gt;""Paid"") * (Orders!$Z$2:$Z$3000=$A149))), """")"),"")</f>
        <v/>
      </c>
      <c r="AH149" s="2">
        <f t="shared" si="112"/>
        <v>0</v>
      </c>
    </row>
    <row r="150">
      <c r="A150" s="107">
        <v>46099.0</v>
      </c>
      <c r="B150" s="108">
        <f t="shared" si="95"/>
        <v>5224.431579</v>
      </c>
      <c r="C150" s="108">
        <f>SUMIFS(Orders!$H:$H, Orders!$Z:$Z, $A150, Orders!$M:$M, "Delivered")</f>
        <v>99264.2</v>
      </c>
      <c r="D150" s="109">
        <f>SUMIFS(Orders!$Q:$Q, Orders!$Z:$Z, $A150, Orders!$M:$M, "Delivered")</f>
        <v>27895</v>
      </c>
      <c r="E150" s="110">
        <f t="shared" si="96"/>
        <v>0.4010460696</v>
      </c>
      <c r="F150" s="111">
        <f t="shared" si="97"/>
        <v>95293.632</v>
      </c>
      <c r="G150" s="111">
        <f t="shared" si="98"/>
        <v>3970.568</v>
      </c>
      <c r="H150" s="111">
        <f t="shared" si="99"/>
        <v>71369.2</v>
      </c>
      <c r="I150" s="112">
        <f t="shared" si="100"/>
        <v>32.66173505</v>
      </c>
      <c r="J150" s="113">
        <v>32421.41</v>
      </c>
      <c r="K150" s="114"/>
      <c r="L150" s="115">
        <f t="shared" si="101"/>
        <v>12970.568</v>
      </c>
      <c r="M150" s="116">
        <f>SUMIFS(Orders!$W:$W, Orders!$Z:$Z, $A150)</f>
        <v>12235.34</v>
      </c>
      <c r="N150" s="117">
        <f t="shared" si="102"/>
        <v>26712.45</v>
      </c>
      <c r="O150" s="118">
        <f t="shared" si="103"/>
        <v>66.66666667</v>
      </c>
      <c r="P150" s="113">
        <v>5.6038252</v>
      </c>
      <c r="Q150" s="119">
        <f t="shared" si="104"/>
        <v>514.6255556</v>
      </c>
      <c r="R150" s="120">
        <f t="shared" si="105"/>
        <v>720.4757778</v>
      </c>
      <c r="S150" s="109">
        <f>COUNTIFS(Orders!$Z:$Z, $A150)</f>
        <v>63</v>
      </c>
      <c r="T150" s="111">
        <f>COUNTIFS(Orders!$Z:$Z, $A150, Orders!$M:$M, "Cancelled")</f>
        <v>18</v>
      </c>
      <c r="U150" s="121">
        <f t="shared" si="106"/>
        <v>0.2857142857</v>
      </c>
      <c r="V150" s="122">
        <f>COUNTIFS(Orders!$Z:$Z, $A150, Orders!$M:$M, "pending")</f>
        <v>0</v>
      </c>
      <c r="W150" s="122">
        <f t="shared" si="107"/>
        <v>45</v>
      </c>
      <c r="X150" s="70">
        <f t="shared" si="108"/>
        <v>1.451612903</v>
      </c>
      <c r="Y150" s="6">
        <f>COUNTIFS(Orders!$Z:$Z, $A150, Orders!$M:$M, "Delivered")</f>
        <v>30</v>
      </c>
      <c r="Z150" s="6">
        <f>COUNTIFS(Orders!$Z:$Z, $A150, Orders!$M:$M, "Return Received")</f>
        <v>13</v>
      </c>
      <c r="AA150" s="123">
        <f t="shared" si="109"/>
        <v>2</v>
      </c>
      <c r="AB150" s="6">
        <f>COUNTIFS(Orders!$Z:$Z, $A150, Orders!$M:$M, "Returned") + COUNTIFS(Orders!$Z:$Z, $A150, Orders!$M:$M, "Returned to Shipper")</f>
        <v>0</v>
      </c>
      <c r="AC150" s="6">
        <f t="shared" si="110"/>
        <v>0</v>
      </c>
      <c r="AD150" s="2">
        <f>SUMIFS(Orders!$U:$U, Orders!$Z:$Z, $A150, Orders!$M:$M, "Delivered")</f>
        <v>97164.2</v>
      </c>
      <c r="AE150" s="124">
        <f t="shared" si="111"/>
        <v>2100</v>
      </c>
      <c r="AF150" s="2" t="str">
        <f>IFERROR(__xludf.DUMMYFUNCTION("IFERROR(TEXTJOIN("", "", TRUE, FILTER(Orders!$B$2:$B$2517, (TEXT(Orders!$D$2:$D$2517,""d-mmm"")=TEXT($A150,""d-mmm"")) * (ABS(Orders!$H$2:$H$2517 - Orders!$U$2:$U$2517) &gt;= 1) * (Orders!$M$2:$M$2517=""Delivered""))), ""All Balanced"")"),"All Balanced")</f>
        <v>All Balanced</v>
      </c>
      <c r="AG150" s="2" t="str">
        <f>IFERROR(__xludf.DUMMYFUNCTION("IFERROR(TEXTJOIN("", "", TRUE, FILTER(Orders!$I$2:$I$3000, (Orders!$M$2:$M$3000=""Delivered"") * (Orders!$N$2:$N$3000&lt;&gt;""Paid"") * (Orders!$Z$2:$Z$3000=$A150))), """")"),"")</f>
        <v/>
      </c>
      <c r="AH150" s="2">
        <f t="shared" si="112"/>
        <v>0</v>
      </c>
    </row>
    <row r="151">
      <c r="A151" s="107">
        <v>46100.0</v>
      </c>
      <c r="B151" s="108">
        <f t="shared" si="95"/>
        <v>4290.315789</v>
      </c>
      <c r="C151" s="108">
        <f>SUMIFS(Orders!$H:$H, Orders!$Z:$Z, $A151, Orders!$M:$M, "Delivered")</f>
        <v>81516</v>
      </c>
      <c r="D151" s="109">
        <f>SUMIFS(Orders!$Q:$Q, Orders!$Z:$Z, $A151, Orders!$M:$M, "Delivered")</f>
        <v>22240</v>
      </c>
      <c r="E151" s="110">
        <f t="shared" si="96"/>
        <v>0.3197442046</v>
      </c>
      <c r="F151" s="111">
        <f t="shared" si="97"/>
        <v>78255.36</v>
      </c>
      <c r="G151" s="111">
        <f t="shared" si="98"/>
        <v>3260.64</v>
      </c>
      <c r="H151" s="111">
        <f t="shared" si="99"/>
        <v>59276</v>
      </c>
      <c r="I151" s="112">
        <f t="shared" si="100"/>
        <v>35.79813779</v>
      </c>
      <c r="J151" s="113">
        <v>29181.21</v>
      </c>
      <c r="K151" s="114"/>
      <c r="L151" s="115">
        <f t="shared" si="101"/>
        <v>9660.64</v>
      </c>
      <c r="M151" s="116">
        <f>SUMIFS(Orders!$W:$W, Orders!$Z:$Z, $A151)</f>
        <v>8442.53</v>
      </c>
      <c r="N151" s="117">
        <f t="shared" si="102"/>
        <v>21652.26</v>
      </c>
      <c r="O151" s="118">
        <f t="shared" si="103"/>
        <v>68.75</v>
      </c>
      <c r="P151" s="113">
        <v>4.31236446</v>
      </c>
      <c r="Q151" s="119">
        <f t="shared" si="104"/>
        <v>648.4713333</v>
      </c>
      <c r="R151" s="120">
        <f t="shared" si="105"/>
        <v>911.9128125</v>
      </c>
      <c r="S151" s="109">
        <f>COUNTIFS(Orders!$Z:$Z, $A151)</f>
        <v>45</v>
      </c>
      <c r="T151" s="111">
        <f>COUNTIFS(Orders!$Z:$Z, $A151, Orders!$M:$M, "Cancelled")</f>
        <v>13</v>
      </c>
      <c r="U151" s="121">
        <f t="shared" si="106"/>
        <v>0.2888888889</v>
      </c>
      <c r="V151" s="122">
        <f>COUNTIFS(Orders!$Z:$Z, $A151, Orders!$M:$M, "pending")</f>
        <v>3</v>
      </c>
      <c r="W151" s="122">
        <f t="shared" si="107"/>
        <v>32</v>
      </c>
      <c r="X151" s="70">
        <f t="shared" si="108"/>
        <v>1.032258065</v>
      </c>
      <c r="Y151" s="6">
        <f>COUNTIFS(Orders!$Z:$Z, $A151, Orders!$M:$M, "Delivered")</f>
        <v>22</v>
      </c>
      <c r="Z151" s="6">
        <f>COUNTIFS(Orders!$Z:$Z, $A151, Orders!$M:$M, "Return Received")</f>
        <v>6</v>
      </c>
      <c r="AA151" s="123">
        <f t="shared" si="109"/>
        <v>1</v>
      </c>
      <c r="AB151" s="6">
        <f>COUNTIFS(Orders!$Z:$Z, $A151, Orders!$M:$M, "Returned") + COUNTIFS(Orders!$Z:$Z, $A151, Orders!$M:$M, "Returned to Shipper")</f>
        <v>0</v>
      </c>
      <c r="AC151" s="6">
        <f t="shared" si="110"/>
        <v>0</v>
      </c>
      <c r="AD151" s="2">
        <f>SUMIFS(Orders!$U:$U, Orders!$Z:$Z, $A151, Orders!$M:$M, "Delivered")</f>
        <v>81516</v>
      </c>
      <c r="AE151" s="124">
        <f t="shared" si="111"/>
        <v>0</v>
      </c>
      <c r="AF151" s="2" t="str">
        <f>IFERROR(__xludf.DUMMYFUNCTION("IFERROR(TEXTJOIN("", "", TRUE, FILTER(Orders!$B$2:$B$2517, (TEXT(Orders!$D$2:$D$2517,""d-mmm"")=TEXT($A151,""d-mmm"")) * (ABS(Orders!$H$2:$H$2517 - Orders!$U$2:$U$2517) &gt;= 1) * (Orders!$M$2:$M$2517=""Delivered""))), ""All Balanced"")"),"All Balanced")</f>
        <v>All Balanced</v>
      </c>
      <c r="AG151" s="2" t="str">
        <f>IFERROR(__xludf.DUMMYFUNCTION("IFERROR(TEXTJOIN("", "", TRUE, FILTER(Orders!$I$2:$I$3000, (Orders!$M$2:$M$3000=""Delivered"") * (Orders!$N$2:$N$3000&lt;&gt;""Paid"") * (Orders!$Z$2:$Z$3000=$A151))), """")"),"")</f>
        <v/>
      </c>
      <c r="AH151" s="2">
        <f t="shared" si="112"/>
        <v>0</v>
      </c>
    </row>
    <row r="152">
      <c r="A152" s="107">
        <v>46101.0</v>
      </c>
      <c r="B152" s="108">
        <f t="shared" si="95"/>
        <v>4455.736842</v>
      </c>
      <c r="C152" s="108">
        <f>SUMIFS(Orders!$H:$H, Orders!$Z:$Z, $A152, Orders!$M:$M, "Delivered")</f>
        <v>84659</v>
      </c>
      <c r="D152" s="109">
        <f>SUMIFS(Orders!$Q:$Q, Orders!$Z:$Z, $A152, Orders!$M:$M, "Delivered")</f>
        <v>20870</v>
      </c>
      <c r="E152" s="110">
        <f t="shared" si="96"/>
        <v>0.3000477316</v>
      </c>
      <c r="F152" s="111">
        <f t="shared" si="97"/>
        <v>81272.64</v>
      </c>
      <c r="G152" s="111">
        <f t="shared" si="98"/>
        <v>3386.36</v>
      </c>
      <c r="H152" s="111">
        <f t="shared" si="99"/>
        <v>63789</v>
      </c>
      <c r="I152" s="112">
        <f t="shared" si="100"/>
        <v>31.00954417</v>
      </c>
      <c r="J152" s="113">
        <v>26252.37</v>
      </c>
      <c r="K152" s="114"/>
      <c r="L152" s="115">
        <f t="shared" si="101"/>
        <v>11986.36</v>
      </c>
      <c r="M152" s="116">
        <f>SUMIFS(Orders!$W:$W, Orders!$Z:$Z, $A152)</f>
        <v>10135.65</v>
      </c>
      <c r="N152" s="117">
        <f t="shared" si="102"/>
        <v>27400.98</v>
      </c>
      <c r="O152" s="118">
        <f t="shared" si="103"/>
        <v>60.46511628</v>
      </c>
      <c r="P152" s="113">
        <v>5.04253159</v>
      </c>
      <c r="Q152" s="119">
        <f t="shared" si="104"/>
        <v>535.7626531</v>
      </c>
      <c r="R152" s="120">
        <f t="shared" si="105"/>
        <v>610.5202326</v>
      </c>
      <c r="S152" s="109">
        <f>COUNTIFS(Orders!$Z:$Z, $A152)</f>
        <v>49</v>
      </c>
      <c r="T152" s="111">
        <f>COUNTIFS(Orders!$Z:$Z, $A152, Orders!$M:$M, "Cancelled")</f>
        <v>6</v>
      </c>
      <c r="U152" s="121">
        <f t="shared" si="106"/>
        <v>0.1224489796</v>
      </c>
      <c r="V152" s="122">
        <f>COUNTIFS(Orders!$Z:$Z, $A152, Orders!$M:$M, "pending")</f>
        <v>0</v>
      </c>
      <c r="W152" s="122">
        <f t="shared" si="107"/>
        <v>43</v>
      </c>
      <c r="X152" s="70">
        <f t="shared" si="108"/>
        <v>1.387096774</v>
      </c>
      <c r="Y152" s="6">
        <f>COUNTIFS(Orders!$Z:$Z, $A152, Orders!$M:$M, "Delivered")</f>
        <v>26</v>
      </c>
      <c r="Z152" s="6">
        <f>COUNTIFS(Orders!$Z:$Z, $A152, Orders!$M:$M, "Return Received")</f>
        <v>16</v>
      </c>
      <c r="AA152" s="123">
        <f t="shared" si="109"/>
        <v>1</v>
      </c>
      <c r="AB152" s="6">
        <f>COUNTIFS(Orders!$Z:$Z, $A152, Orders!$M:$M, "Returned") + COUNTIFS(Orders!$Z:$Z, $A152, Orders!$M:$M, "Returned to Shipper")</f>
        <v>0</v>
      </c>
      <c r="AC152" s="6">
        <f t="shared" si="110"/>
        <v>0</v>
      </c>
      <c r="AD152" s="2">
        <f>SUMIFS(Orders!$U:$U, Orders!$Z:$Z, $A152, Orders!$M:$M, "Delivered")</f>
        <v>70514</v>
      </c>
      <c r="AE152" s="124">
        <f t="shared" si="111"/>
        <v>14145</v>
      </c>
      <c r="AF152" s="29" t="str">
        <f>IFERROR(__xludf.DUMMYFUNCTION("IFERROR(TEXTJOIN("", "", TRUE, FILTER(Orders!$B$2:$B$2517, (TEXT(Orders!$D$2:$D$2517,""d-mmm"")=TEXT($A152,""d-mmm"")) * (ABS(Orders!$H$2:$H$2517 - Orders!$U$2:$U$2517) &gt;= 1) * (Orders!$M$2:$M$2517=""Delivered""))), ""All Balanced"")"),"All Balanced")</f>
        <v>All Balanced</v>
      </c>
      <c r="AG152" s="2" t="str">
        <f>IFERROR(__xludf.DUMMYFUNCTION("IFERROR(TEXTJOIN("", "", TRUE, FILTER(Orders!$I$2:$I$3000, (Orders!$M$2:$M$3000=""Delivered"") * (Orders!$N$2:$N$3000&lt;&gt;""Paid"") * (Orders!$Z$2:$Z$3000=$A152))), """")"),"")</f>
        <v/>
      </c>
      <c r="AH152" s="2">
        <f t="shared" si="112"/>
        <v>0</v>
      </c>
    </row>
    <row r="153">
      <c r="A153" s="107">
        <v>46102.0</v>
      </c>
      <c r="B153" s="108">
        <f t="shared" si="95"/>
        <v>1688.736842</v>
      </c>
      <c r="C153" s="108">
        <f>SUMIFS(Orders!$H:$H, Orders!$Z:$Z, $A153, Orders!$M:$M, "Delivered")</f>
        <v>32086</v>
      </c>
      <c r="D153" s="109">
        <f>SUMIFS(Orders!$Q:$Q, Orders!$Z:$Z, $A153, Orders!$M:$M, "Delivered")</f>
        <v>9300</v>
      </c>
      <c r="E153" s="110">
        <f t="shared" si="96"/>
        <v>0.1337059849</v>
      </c>
      <c r="F153" s="111">
        <f t="shared" si="97"/>
        <v>30802.56</v>
      </c>
      <c r="G153" s="111">
        <f t="shared" si="98"/>
        <v>1283.44</v>
      </c>
      <c r="H153" s="111">
        <f t="shared" si="99"/>
        <v>22786</v>
      </c>
      <c r="I153" s="112">
        <f t="shared" si="100"/>
        <v>56.23518045</v>
      </c>
      <c r="J153" s="113">
        <v>18043.62</v>
      </c>
      <c r="K153" s="114"/>
      <c r="L153" s="115">
        <f t="shared" si="101"/>
        <v>5683.44</v>
      </c>
      <c r="M153" s="116">
        <f>SUMIFS(Orders!$W:$W, Orders!$Z:$Z, $A153)</f>
        <v>4407.95</v>
      </c>
      <c r="N153" s="117">
        <f t="shared" si="102"/>
        <v>334.43</v>
      </c>
      <c r="O153" s="118">
        <f t="shared" si="103"/>
        <v>40.90909091</v>
      </c>
      <c r="P153" s="113">
        <v>4.61876855</v>
      </c>
      <c r="Q153" s="119">
        <f t="shared" si="104"/>
        <v>644.415</v>
      </c>
      <c r="R153" s="120">
        <f t="shared" si="105"/>
        <v>820.1645455</v>
      </c>
      <c r="S153" s="109">
        <f>COUNTIFS(Orders!$Z:$Z, $A153)</f>
        <v>28</v>
      </c>
      <c r="T153" s="111">
        <f>COUNTIFS(Orders!$Z:$Z, $A153, Orders!$M:$M, "Cancelled")</f>
        <v>6</v>
      </c>
      <c r="U153" s="121">
        <f t="shared" si="106"/>
        <v>0.2142857143</v>
      </c>
      <c r="V153" s="122">
        <f>COUNTIFS(Orders!$Z:$Z, $A153, Orders!$M:$M, "pending")</f>
        <v>0</v>
      </c>
      <c r="W153" s="122">
        <f t="shared" si="107"/>
        <v>22</v>
      </c>
      <c r="X153" s="70">
        <f t="shared" si="108"/>
        <v>0.7096774194</v>
      </c>
      <c r="Y153" s="6">
        <f>COUNTIFS(Orders!$Z:$Z, $A153, Orders!$M:$M, "Delivered")</f>
        <v>9</v>
      </c>
      <c r="Z153" s="6">
        <f>COUNTIFS(Orders!$Z:$Z, $A153, Orders!$M:$M, "Return Received")</f>
        <v>10</v>
      </c>
      <c r="AA153" s="123">
        <f t="shared" si="109"/>
        <v>3</v>
      </c>
      <c r="AB153" s="6">
        <f>COUNTIFS(Orders!$Z:$Z, $A153, Orders!$M:$M, "Returned") + COUNTIFS(Orders!$Z:$Z, $A153, Orders!$M:$M, "Returned to Shipper")</f>
        <v>0</v>
      </c>
      <c r="AC153" s="6">
        <f t="shared" si="110"/>
        <v>0</v>
      </c>
      <c r="AD153" s="2">
        <f>SUMIFS(Orders!$U:$U, Orders!$Z:$Z, $A153, Orders!$M:$M, "Delivered")</f>
        <v>28787</v>
      </c>
      <c r="AE153" s="124">
        <f t="shared" si="111"/>
        <v>3299</v>
      </c>
      <c r="AF153" s="2" t="str">
        <f>IFERROR(__xludf.DUMMYFUNCTION("IFERROR(TEXTJOIN("", "", TRUE, FILTER(Orders!$B$2:$B$2517, (TEXT(Orders!$D$2:$D$2517,""d-mmm"")=TEXT($A153,""d-mmm"")) * (ABS(Orders!$H$2:$H$2517 - Orders!$U$2:$U$2517) &gt;= 1) * (Orders!$M$2:$M$2517=""Delivered""))), ""All Balanced"")"),"All Balanced")</f>
        <v>All Balanced</v>
      </c>
      <c r="AG153" s="2" t="str">
        <f>IFERROR(__xludf.DUMMYFUNCTION("IFERROR(TEXTJOIN("", "", TRUE, FILTER(Orders!$I$2:$I$3000, (Orders!$M$2:$M$3000=""Delivered"") * (Orders!$N$2:$N$3000&lt;&gt;""Paid"") * (Orders!$Z$2:$Z$3000=$A153))), """")"),"")</f>
        <v/>
      </c>
      <c r="AH153" s="2">
        <f t="shared" si="112"/>
        <v>0</v>
      </c>
    </row>
    <row r="154">
      <c r="A154" s="107">
        <v>46103.0</v>
      </c>
      <c r="B154" s="108">
        <f t="shared" si="95"/>
        <v>1904.368421</v>
      </c>
      <c r="C154" s="108">
        <f>SUMIFS(Orders!$H:$H, Orders!$Z:$Z, $A154, Orders!$M:$M, "Delivered")</f>
        <v>36183</v>
      </c>
      <c r="D154" s="109">
        <f>SUMIFS(Orders!$Q:$Q, Orders!$Z:$Z, $A154, Orders!$M:$M, "Delivered")</f>
        <v>10600</v>
      </c>
      <c r="E154" s="110">
        <f t="shared" si="96"/>
        <v>0.1523960688</v>
      </c>
      <c r="F154" s="111">
        <f t="shared" si="97"/>
        <v>34735.68</v>
      </c>
      <c r="G154" s="111">
        <f t="shared" si="98"/>
        <v>1447.32</v>
      </c>
      <c r="H154" s="111">
        <f t="shared" si="99"/>
        <v>25583</v>
      </c>
      <c r="I154" s="112">
        <f t="shared" si="100"/>
        <v>63.61327143</v>
      </c>
      <c r="J154" s="113">
        <v>23017.19</v>
      </c>
      <c r="K154" s="114"/>
      <c r="L154" s="115">
        <f t="shared" si="101"/>
        <v>5047.32</v>
      </c>
      <c r="M154" s="116">
        <f>SUMIFS(Orders!$W:$W, Orders!$Z:$Z, $A154)</f>
        <v>4902.04</v>
      </c>
      <c r="N154" s="117">
        <f t="shared" si="102"/>
        <v>-2336.23</v>
      </c>
      <c r="O154" s="118">
        <f t="shared" si="103"/>
        <v>66.66666667</v>
      </c>
      <c r="P154" s="113">
        <v>2.49599517</v>
      </c>
      <c r="Q154" s="119">
        <f t="shared" si="104"/>
        <v>1150.8595</v>
      </c>
      <c r="R154" s="120">
        <f t="shared" si="105"/>
        <v>1278.732778</v>
      </c>
      <c r="S154" s="109">
        <f>COUNTIFS(Orders!$Z:$Z, $A154)</f>
        <v>20</v>
      </c>
      <c r="T154" s="111">
        <f>COUNTIFS(Orders!$Z:$Z, $A154, Orders!$M:$M, "Cancelled")</f>
        <v>2</v>
      </c>
      <c r="U154" s="121">
        <f t="shared" si="106"/>
        <v>0.1</v>
      </c>
      <c r="V154" s="122">
        <f>COUNTIFS(Orders!$Z:$Z, $A154, Orders!$M:$M, "pending")</f>
        <v>0</v>
      </c>
      <c r="W154" s="122">
        <f t="shared" si="107"/>
        <v>18</v>
      </c>
      <c r="X154" s="70">
        <f t="shared" si="108"/>
        <v>0.5806451613</v>
      </c>
      <c r="Y154" s="6">
        <f>COUNTIFS(Orders!$Z:$Z, $A154, Orders!$M:$M, "Delivered")</f>
        <v>12</v>
      </c>
      <c r="Z154" s="6">
        <f>COUNTIFS(Orders!$Z:$Z, $A154, Orders!$M:$M, "Return Received")</f>
        <v>6</v>
      </c>
      <c r="AA154" s="123">
        <f t="shared" si="109"/>
        <v>0</v>
      </c>
      <c r="AB154" s="6">
        <f>COUNTIFS(Orders!$Z:$Z, $A154, Orders!$M:$M, "Returned") + COUNTIFS(Orders!$Z:$Z, $A154, Orders!$M:$M, "Returned to Shipper")</f>
        <v>0</v>
      </c>
      <c r="AC154" s="6">
        <f t="shared" si="110"/>
        <v>0</v>
      </c>
      <c r="AD154" s="2">
        <f>SUMIFS(Orders!$U:$U, Orders!$Z:$Z, $A154, Orders!$M:$M, "Delivered")</f>
        <v>32835</v>
      </c>
      <c r="AE154" s="124">
        <f t="shared" si="111"/>
        <v>3348</v>
      </c>
      <c r="AF154" s="2" t="str">
        <f>IFERROR(__xludf.DUMMYFUNCTION("IFERROR(TEXTJOIN("", "", TRUE, FILTER(Orders!$B$2:$B$2517, (TEXT(Orders!$D$2:$D$2517,""d-mmm"")=TEXT($A154,""d-mmm"")) * (ABS(Orders!$H$2:$H$2517 - Orders!$U$2:$U$2517) &gt;= 1) * (Orders!$M$2:$M$2517=""Delivered""))), ""All Balanced"")"),"All Balanced")</f>
        <v>All Balanced</v>
      </c>
      <c r="AG154" s="2" t="str">
        <f>IFERROR(__xludf.DUMMYFUNCTION("IFERROR(TEXTJOIN("", "", TRUE, FILTER(Orders!$I$2:$I$3000, (Orders!$M$2:$M$3000=""Delivered"") * (Orders!$N$2:$N$3000&lt;&gt;""Paid"") * (Orders!$Z$2:$Z$3000=$A154))), """")"),"")</f>
        <v/>
      </c>
      <c r="AH154" s="2">
        <f t="shared" si="112"/>
        <v>0</v>
      </c>
    </row>
    <row r="155">
      <c r="A155" s="107">
        <v>46104.0</v>
      </c>
      <c r="B155" s="108">
        <f t="shared" si="95"/>
        <v>4911.157895</v>
      </c>
      <c r="C155" s="108">
        <f>SUMIFS(Orders!$H:$H, Orders!$Z:$Z, $A155, Orders!$M:$M, "Delivered")</f>
        <v>93312</v>
      </c>
      <c r="D155" s="109">
        <f>SUMIFS(Orders!$Q:$Q, Orders!$Z:$Z, $A155, Orders!$M:$M, "Delivered")</f>
        <v>24400</v>
      </c>
      <c r="E155" s="110">
        <f t="shared" si="96"/>
        <v>0.3507984979</v>
      </c>
      <c r="F155" s="111">
        <f t="shared" si="97"/>
        <v>89579.52</v>
      </c>
      <c r="G155" s="111">
        <f t="shared" si="98"/>
        <v>3732.48</v>
      </c>
      <c r="H155" s="111">
        <f t="shared" si="99"/>
        <v>68912</v>
      </c>
      <c r="I155" s="112">
        <f t="shared" si="100"/>
        <v>28.50730881</v>
      </c>
      <c r="J155" s="113">
        <v>26600.74</v>
      </c>
      <c r="K155" s="114"/>
      <c r="L155" s="115">
        <f t="shared" si="101"/>
        <v>10932.48</v>
      </c>
      <c r="M155" s="116">
        <f>SUMIFS(Orders!$W:$W, Orders!$Z:$Z, $A155)</f>
        <v>10119.32</v>
      </c>
      <c r="N155" s="117">
        <f t="shared" si="102"/>
        <v>32191.94</v>
      </c>
      <c r="O155" s="118">
        <f t="shared" si="103"/>
        <v>72.22222222</v>
      </c>
      <c r="P155" s="113">
        <v>4.92108133</v>
      </c>
      <c r="Q155" s="119">
        <f t="shared" si="104"/>
        <v>618.6218605</v>
      </c>
      <c r="R155" s="120">
        <f t="shared" si="105"/>
        <v>738.9094444</v>
      </c>
      <c r="S155" s="109">
        <f>COUNTIFS(Orders!$Z:$Z, $A155)</f>
        <v>43</v>
      </c>
      <c r="T155" s="111">
        <f>COUNTIFS(Orders!$Z:$Z, $A155, Orders!$M:$M, "Cancelled")</f>
        <v>7</v>
      </c>
      <c r="U155" s="121">
        <f t="shared" si="106"/>
        <v>0.1627906977</v>
      </c>
      <c r="V155" s="122">
        <f>COUNTIFS(Orders!$Z:$Z, $A155, Orders!$M:$M, "pending")</f>
        <v>0</v>
      </c>
      <c r="W155" s="122">
        <f t="shared" si="107"/>
        <v>36</v>
      </c>
      <c r="X155" s="70">
        <f t="shared" si="108"/>
        <v>1.161290323</v>
      </c>
      <c r="Y155" s="6">
        <f>COUNTIFS(Orders!$Z:$Z, $A155, Orders!$M:$M, "Delivered")</f>
        <v>26</v>
      </c>
      <c r="Z155" s="6">
        <f>COUNTIFS(Orders!$Z:$Z, $A155, Orders!$M:$M, "Return Received")</f>
        <v>8</v>
      </c>
      <c r="AA155" s="123">
        <f t="shared" si="109"/>
        <v>2</v>
      </c>
      <c r="AB155" s="6">
        <f>COUNTIFS(Orders!$Z:$Z, $A155, Orders!$M:$M, "Returned") + COUNTIFS(Orders!$Z:$Z, $A155, Orders!$M:$M, "Returned to Shipper")</f>
        <v>0</v>
      </c>
      <c r="AC155" s="6">
        <f t="shared" si="110"/>
        <v>0</v>
      </c>
      <c r="AD155" s="2">
        <f>SUMIFS(Orders!$U:$U, Orders!$Z:$Z, $A155, Orders!$M:$M, "Delivered")</f>
        <v>90364</v>
      </c>
      <c r="AE155" s="124">
        <f t="shared" si="111"/>
        <v>2948</v>
      </c>
      <c r="AF155" s="2" t="str">
        <f>IFERROR(__xludf.DUMMYFUNCTION("IFERROR(TEXTJOIN("", "", TRUE, FILTER(Orders!$B$2:$B$2517, (TEXT(Orders!$D$2:$D$2517,""d-mmm"")=TEXT($A155,""d-mmm"")) * (ABS(Orders!$H$2:$H$2517 - Orders!$U$2:$U$2517) &gt;= 1) * (Orders!$M$2:$M$2517=""Delivered""))), ""All Balanced"")"),"All Balanced")</f>
        <v>All Balanced</v>
      </c>
      <c r="AG155" s="2" t="str">
        <f>IFERROR(__xludf.DUMMYFUNCTION("IFERROR(TEXTJOIN("", "", TRUE, FILTER(Orders!$I$2:$I$3000, (Orders!$M$2:$M$3000=""Delivered"") * (Orders!$N$2:$N$3000&lt;&gt;""Paid"") * (Orders!$Z$2:$Z$3000=$A155))), """")"),"")</f>
        <v/>
      </c>
      <c r="AH155" s="2">
        <f t="shared" si="112"/>
        <v>0</v>
      </c>
    </row>
    <row r="156">
      <c r="A156" s="107">
        <v>46105.0</v>
      </c>
      <c r="B156" s="108">
        <f t="shared" si="95"/>
        <v>2956.578947</v>
      </c>
      <c r="C156" s="108">
        <f>SUMIFS(Orders!$H:$H, Orders!$Z:$Z, $A156, Orders!$M:$M, "Delivered")</f>
        <v>56175</v>
      </c>
      <c r="D156" s="109">
        <f>SUMIFS(Orders!$Q:$Q, Orders!$Z:$Z, $A156, Orders!$M:$M, "Delivered")</f>
        <v>14315</v>
      </c>
      <c r="E156" s="110">
        <f t="shared" si="96"/>
        <v>0.2058065778</v>
      </c>
      <c r="F156" s="111">
        <f t="shared" si="97"/>
        <v>53928</v>
      </c>
      <c r="G156" s="111">
        <f t="shared" si="98"/>
        <v>2247</v>
      </c>
      <c r="H156" s="111">
        <f t="shared" si="99"/>
        <v>41860</v>
      </c>
      <c r="I156" s="112">
        <f t="shared" si="100"/>
        <v>43.87606587</v>
      </c>
      <c r="J156" s="113">
        <v>24647.38</v>
      </c>
      <c r="K156" s="114"/>
      <c r="L156" s="115">
        <f t="shared" si="101"/>
        <v>6847</v>
      </c>
      <c r="M156" s="116">
        <f>SUMIFS(Orders!$W:$W, Orders!$Z:$Z, $A156)</f>
        <v>6475.18</v>
      </c>
      <c r="N156" s="117">
        <f t="shared" si="102"/>
        <v>10737.44</v>
      </c>
      <c r="O156" s="118">
        <f t="shared" si="103"/>
        <v>78.26086957</v>
      </c>
      <c r="P156" s="113">
        <v>2.88846511</v>
      </c>
      <c r="Q156" s="119">
        <f t="shared" si="104"/>
        <v>880.2635714</v>
      </c>
      <c r="R156" s="120">
        <f t="shared" si="105"/>
        <v>1071.625217</v>
      </c>
      <c r="S156" s="109">
        <f>COUNTIFS(Orders!$Z:$Z, $A156)</f>
        <v>28</v>
      </c>
      <c r="T156" s="111">
        <f>COUNTIFS(Orders!$Z:$Z, $A156, Orders!$M:$M, "Cancelled")</f>
        <v>5</v>
      </c>
      <c r="U156" s="121">
        <f t="shared" si="106"/>
        <v>0.1785714286</v>
      </c>
      <c r="V156" s="122">
        <f>COUNTIFS(Orders!$Z:$Z, $A156, Orders!$M:$M, "pending")</f>
        <v>0</v>
      </c>
      <c r="W156" s="122">
        <f t="shared" si="107"/>
        <v>23</v>
      </c>
      <c r="X156" s="70">
        <f t="shared" si="108"/>
        <v>0.7419354839</v>
      </c>
      <c r="Y156" s="6">
        <f>COUNTIFS(Orders!$Z:$Z, $A156, Orders!$M:$M, "Delivered")</f>
        <v>18</v>
      </c>
      <c r="Z156" s="6">
        <f>COUNTIFS(Orders!$Z:$Z, $A156, Orders!$M:$M, "Return Received")</f>
        <v>5</v>
      </c>
      <c r="AA156" s="123">
        <f t="shared" si="109"/>
        <v>0</v>
      </c>
      <c r="AB156" s="6">
        <f>COUNTIFS(Orders!$Z:$Z, $A156, Orders!$M:$M, "Returned") + COUNTIFS(Orders!$Z:$Z, $A156, Orders!$M:$M, "Returned to Shipper")</f>
        <v>0</v>
      </c>
      <c r="AC156" s="6">
        <f t="shared" si="110"/>
        <v>0</v>
      </c>
      <c r="AD156" s="2">
        <f>SUMIFS(Orders!$U:$U, Orders!$Z:$Z, $A156, Orders!$M:$M, "Delivered")</f>
        <v>52676</v>
      </c>
      <c r="AE156" s="124">
        <f t="shared" si="111"/>
        <v>3499</v>
      </c>
      <c r="AF156" s="125" t="str">
        <f>IFERROR(__xludf.DUMMYFUNCTION("IFERROR(TEXTJOIN("", "", TRUE, FILTER(Orders!$B$2:$B$2517, (TEXT(Orders!$D$2:$D$2517,""d-mmm"")=TEXT($A156,""d-mmm"")) * (ABS(Orders!$H$2:$H$2517 - Orders!$U$2:$U$2517) &gt;= 1) * (Orders!$M$2:$M$2517=""Delivered""))), ""All Balanced"")"),"All Balanced")</f>
        <v>All Balanced</v>
      </c>
      <c r="AG156" s="2" t="str">
        <f>IFERROR(__xludf.DUMMYFUNCTION("IFERROR(TEXTJOIN("", "", TRUE, FILTER(Orders!$I$2:$I$3000, (Orders!$M$2:$M$3000=""Delivered"") * (Orders!$N$2:$N$3000&lt;&gt;""Paid"") * (Orders!$Z$2:$Z$3000=$A156))), """")"),"")</f>
        <v/>
      </c>
      <c r="AH156" s="2">
        <f t="shared" si="112"/>
        <v>0</v>
      </c>
    </row>
    <row r="157">
      <c r="A157" s="107">
        <v>46106.0</v>
      </c>
      <c r="B157" s="108">
        <f t="shared" si="95"/>
        <v>2836.052632</v>
      </c>
      <c r="C157" s="108">
        <f>SUMIFS(Orders!$H:$H, Orders!$Z:$Z, $A157, Orders!$M:$M, "Delivered")</f>
        <v>53885</v>
      </c>
      <c r="D157" s="109">
        <f>SUMIFS(Orders!$Q:$Q, Orders!$Z:$Z, $A157, Orders!$M:$M, "Delivered")</f>
        <v>13485</v>
      </c>
      <c r="E157" s="110">
        <f t="shared" si="96"/>
        <v>0.193873678</v>
      </c>
      <c r="F157" s="111">
        <f t="shared" si="97"/>
        <v>51729.6</v>
      </c>
      <c r="G157" s="111">
        <f t="shared" si="98"/>
        <v>2155.4</v>
      </c>
      <c r="H157" s="111">
        <f t="shared" si="99"/>
        <v>40400</v>
      </c>
      <c r="I157" s="112">
        <f t="shared" si="100"/>
        <v>37.83045374</v>
      </c>
      <c r="J157" s="113">
        <v>20384.94</v>
      </c>
      <c r="K157" s="114"/>
      <c r="L157" s="115">
        <f t="shared" si="101"/>
        <v>6355.4</v>
      </c>
      <c r="M157" s="116">
        <f>SUMIFS(Orders!$W:$W, Orders!$Z:$Z, $A157)</f>
        <v>6480.94</v>
      </c>
      <c r="N157" s="117">
        <f t="shared" si="102"/>
        <v>13534.12</v>
      </c>
      <c r="O157" s="118">
        <f t="shared" si="103"/>
        <v>90.47619048</v>
      </c>
      <c r="P157" s="113">
        <v>3.74923914</v>
      </c>
      <c r="Q157" s="119">
        <f t="shared" si="104"/>
        <v>886.3017391</v>
      </c>
      <c r="R157" s="120">
        <f t="shared" si="105"/>
        <v>970.7114286</v>
      </c>
      <c r="S157" s="109">
        <f>COUNTIFS(Orders!$Z:$Z, $A157)</f>
        <v>23</v>
      </c>
      <c r="T157" s="111">
        <f>COUNTIFS(Orders!$Z:$Z, $A157, Orders!$M:$M, "Cancelled")</f>
        <v>2</v>
      </c>
      <c r="U157" s="121">
        <f t="shared" si="106"/>
        <v>0.08695652174</v>
      </c>
      <c r="V157" s="122">
        <f>COUNTIFS(Orders!$Z:$Z, $A157, Orders!$M:$M, "pending")</f>
        <v>0</v>
      </c>
      <c r="W157" s="122">
        <f t="shared" si="107"/>
        <v>21</v>
      </c>
      <c r="X157" s="70">
        <f t="shared" si="108"/>
        <v>0.6774193548</v>
      </c>
      <c r="Y157" s="6">
        <f>COUNTIFS(Orders!$Z:$Z, $A157, Orders!$M:$M, "Delivered")</f>
        <v>19</v>
      </c>
      <c r="Z157" s="6">
        <f>COUNTIFS(Orders!$Z:$Z, $A157, Orders!$M:$M, "Return Received")</f>
        <v>2</v>
      </c>
      <c r="AA157" s="123">
        <f t="shared" si="109"/>
        <v>0</v>
      </c>
      <c r="AB157" s="6">
        <f>COUNTIFS(Orders!$Z:$Z, $A157, Orders!$M:$M, "Returned") + COUNTIFS(Orders!$Z:$Z, $A157, Orders!$M:$M, "Returned to Shipper")</f>
        <v>0</v>
      </c>
      <c r="AC157" s="6">
        <f t="shared" si="110"/>
        <v>0</v>
      </c>
      <c r="AD157" s="2">
        <f>SUMIFS(Orders!$U:$U, Orders!$Z:$Z, $A157, Orders!$M:$M, "Delivered")</f>
        <v>54886</v>
      </c>
      <c r="AE157" s="124">
        <f t="shared" si="111"/>
        <v>-1001</v>
      </c>
      <c r="AF157" s="2" t="str">
        <f>IFERROR(__xludf.DUMMYFUNCTION("IFERROR(TEXTJOIN("", "", TRUE, FILTER(Orders!$B$2:$B$2517, (TEXT(Orders!$D$2:$D$2517,""d-mmm"")=TEXT($A157,""d-mmm"")) * (ABS(Orders!$H$2:$H$2517 - Orders!$U$2:$U$2517) &gt;= 1) * (Orders!$M$2:$M$2517=""Delivered""))), ""All Balanced"")"),"All Balanced")</f>
        <v>All Balanced</v>
      </c>
      <c r="AG157" s="2" t="str">
        <f>IFERROR(__xludf.DUMMYFUNCTION("IFERROR(TEXTJOIN("", "", TRUE, FILTER(Orders!$I$2:$I$3000, (Orders!$M$2:$M$3000=""Delivered"") * (Orders!$N$2:$N$3000&lt;&gt;""Paid"") * (Orders!$Z$2:$Z$3000=$A157))), """")"),"")</f>
        <v/>
      </c>
      <c r="AH157" s="2">
        <f t="shared" si="112"/>
        <v>0</v>
      </c>
    </row>
    <row r="158">
      <c r="A158" s="107">
        <v>46107.0</v>
      </c>
      <c r="B158" s="108">
        <f t="shared" si="95"/>
        <v>4628.584211</v>
      </c>
      <c r="C158" s="108">
        <f>SUMIFS(Orders!$H:$H, Orders!$Z:$Z, $A158, Orders!$M:$M, "Delivered")</f>
        <v>87943.1</v>
      </c>
      <c r="D158" s="109">
        <f>SUMIFS(Orders!$Q:$Q, Orders!$Z:$Z, $A158, Orders!$M:$M, "Delivered")</f>
        <v>22080</v>
      </c>
      <c r="E158" s="110">
        <f t="shared" si="96"/>
        <v>0.3174438866</v>
      </c>
      <c r="F158" s="111">
        <f t="shared" si="97"/>
        <v>84425.376</v>
      </c>
      <c r="G158" s="111">
        <f t="shared" si="98"/>
        <v>3517.724</v>
      </c>
      <c r="H158" s="111">
        <f t="shared" si="99"/>
        <v>65863.1</v>
      </c>
      <c r="I158" s="112">
        <f t="shared" si="100"/>
        <v>20.32505108</v>
      </c>
      <c r="J158" s="113">
        <v>17874.48</v>
      </c>
      <c r="K158" s="114"/>
      <c r="L158" s="115">
        <f t="shared" si="101"/>
        <v>10517.724</v>
      </c>
      <c r="M158" s="116">
        <f>SUMIFS(Orders!$W:$W, Orders!$Z:$Z, $A158)</f>
        <v>9960.53</v>
      </c>
      <c r="N158" s="117">
        <f t="shared" si="102"/>
        <v>38028.09</v>
      </c>
      <c r="O158" s="118">
        <f t="shared" si="103"/>
        <v>77.14285714</v>
      </c>
      <c r="P158" s="113">
        <v>7.02833251</v>
      </c>
      <c r="Q158" s="119">
        <f t="shared" si="104"/>
        <v>458.32</v>
      </c>
      <c r="R158" s="120">
        <f t="shared" si="105"/>
        <v>510.6994286</v>
      </c>
      <c r="S158" s="109">
        <f>COUNTIFS(Orders!$Z:$Z, $A158)</f>
        <v>39</v>
      </c>
      <c r="T158" s="111">
        <f>COUNTIFS(Orders!$Z:$Z, $A158, Orders!$M:$M, "Cancelled")</f>
        <v>4</v>
      </c>
      <c r="U158" s="121">
        <f t="shared" si="106"/>
        <v>0.1025641026</v>
      </c>
      <c r="V158" s="122">
        <f>COUNTIFS(Orders!$Z:$Z, $A158, Orders!$M:$M, "pending")</f>
        <v>0</v>
      </c>
      <c r="W158" s="122">
        <f t="shared" si="107"/>
        <v>35</v>
      </c>
      <c r="X158" s="70">
        <f t="shared" si="108"/>
        <v>1.129032258</v>
      </c>
      <c r="Y158" s="6">
        <f>COUNTIFS(Orders!$Z:$Z, $A158, Orders!$M:$M, "Delivered")</f>
        <v>27</v>
      </c>
      <c r="Z158" s="6">
        <f>COUNTIFS(Orders!$Z:$Z, $A158, Orders!$M:$M, "Return Received")</f>
        <v>7</v>
      </c>
      <c r="AA158" s="123">
        <f t="shared" si="109"/>
        <v>1</v>
      </c>
      <c r="AB158" s="6">
        <f>COUNTIFS(Orders!$Z:$Z, $A158, Orders!$M:$M, "Returned") + COUNTIFS(Orders!$Z:$Z, $A158, Orders!$M:$M, "Returned to Shipper")</f>
        <v>0</v>
      </c>
      <c r="AC158" s="6">
        <f t="shared" si="110"/>
        <v>0</v>
      </c>
      <c r="AD158" s="2">
        <f>SUMIFS(Orders!$U:$U, Orders!$Z:$Z, $A158, Orders!$M:$M, "Delivered")</f>
        <v>84347.1</v>
      </c>
      <c r="AE158" s="124">
        <f t="shared" si="111"/>
        <v>3596</v>
      </c>
      <c r="AF158" s="125" t="str">
        <f>IFERROR(__xludf.DUMMYFUNCTION("IFERROR(TEXTJOIN("", "", TRUE, FILTER(Orders!$B$2:$B$2517, (TEXT(Orders!$D$2:$D$2517,""d-mmm"")=TEXT($A158,""d-mmm"")) * (ABS(Orders!$H$2:$H$2517 - Orders!$U$2:$U$2517) &gt;= 1) * (Orders!$M$2:$M$2517=""Delivered""))), ""All Balanced"")"),"All Balanced")</f>
        <v>All Balanced</v>
      </c>
      <c r="AG158" s="2" t="str">
        <f>IFERROR(__xludf.DUMMYFUNCTION("IFERROR(TEXTJOIN("", "", TRUE, FILTER(Orders!$I$2:$I$3000, (Orders!$M$2:$M$3000=""Delivered"") * (Orders!$N$2:$N$3000&lt;&gt;""Paid"") * (Orders!$Z$2:$Z$3000=$A158))), """")"),"")</f>
        <v/>
      </c>
      <c r="AH158" s="2">
        <f t="shared" si="112"/>
        <v>0</v>
      </c>
    </row>
    <row r="159">
      <c r="A159" s="107">
        <v>46108.0</v>
      </c>
      <c r="B159" s="108">
        <f t="shared" si="95"/>
        <v>3745.268421</v>
      </c>
      <c r="C159" s="108">
        <f>SUMIFS(Orders!$H:$H, Orders!$Z:$Z, $A159, Orders!$M:$M, "Delivered")</f>
        <v>71160.1</v>
      </c>
      <c r="D159" s="109">
        <f>SUMIFS(Orders!$Q:$Q, Orders!$Z:$Z, $A159, Orders!$M:$M, "Delivered")</f>
        <v>19530</v>
      </c>
      <c r="E159" s="110">
        <f t="shared" si="96"/>
        <v>0.2807825682</v>
      </c>
      <c r="F159" s="111">
        <f t="shared" si="97"/>
        <v>68313.696</v>
      </c>
      <c r="G159" s="111">
        <f t="shared" si="98"/>
        <v>2846.404</v>
      </c>
      <c r="H159" s="111">
        <f t="shared" si="99"/>
        <v>51630.1</v>
      </c>
      <c r="I159" s="112">
        <f t="shared" si="100"/>
        <v>31.24864917</v>
      </c>
      <c r="J159" s="113">
        <v>22236.57</v>
      </c>
      <c r="K159" s="114"/>
      <c r="L159" s="115">
        <f t="shared" si="101"/>
        <v>9846.404</v>
      </c>
      <c r="M159" s="116">
        <f>SUMIFS(Orders!$W:$W, Orders!$Z:$Z, $A159)</f>
        <v>8945.76</v>
      </c>
      <c r="N159" s="117">
        <f t="shared" si="102"/>
        <v>20447.77</v>
      </c>
      <c r="O159" s="118">
        <f t="shared" si="103"/>
        <v>60</v>
      </c>
      <c r="P159" s="113">
        <v>5.86228287</v>
      </c>
      <c r="Q159" s="119">
        <f t="shared" si="104"/>
        <v>529.4421429</v>
      </c>
      <c r="R159" s="120">
        <f t="shared" si="105"/>
        <v>635.3305714</v>
      </c>
      <c r="S159" s="109">
        <f>COUNTIFS(Orders!$Z:$Z, $A159)</f>
        <v>42</v>
      </c>
      <c r="T159" s="111">
        <f>COUNTIFS(Orders!$Z:$Z, $A159, Orders!$M:$M, "Cancelled")</f>
        <v>7</v>
      </c>
      <c r="U159" s="121">
        <f t="shared" si="106"/>
        <v>0.1666666667</v>
      </c>
      <c r="V159" s="122">
        <f>COUNTIFS(Orders!$Z:$Z, $A159, Orders!$M:$M, "pending")</f>
        <v>0</v>
      </c>
      <c r="W159" s="122">
        <f t="shared" si="107"/>
        <v>35</v>
      </c>
      <c r="X159" s="70">
        <f t="shared" si="108"/>
        <v>1.129032258</v>
      </c>
      <c r="Y159" s="6">
        <f>COUNTIFS(Orders!$Z:$Z, $A159, Orders!$M:$M, "Delivered")</f>
        <v>21</v>
      </c>
      <c r="Z159" s="6">
        <f>COUNTIFS(Orders!$Z:$Z, $A159, Orders!$M:$M, "Return Received")</f>
        <v>11</v>
      </c>
      <c r="AA159" s="123">
        <f t="shared" si="109"/>
        <v>3</v>
      </c>
      <c r="AB159" s="6">
        <f>COUNTIFS(Orders!$Z:$Z, $A159, Orders!$M:$M, "Returned") + COUNTIFS(Orders!$Z:$Z, $A159, Orders!$M:$M, "Returned to Shipper")</f>
        <v>1</v>
      </c>
      <c r="AC159" s="6">
        <f t="shared" si="110"/>
        <v>0</v>
      </c>
      <c r="AD159" s="2">
        <f>SUMIFS(Orders!$U:$U, Orders!$Z:$Z, $A159, Orders!$M:$M, "Delivered")</f>
        <v>62022</v>
      </c>
      <c r="AE159" s="124">
        <f t="shared" si="111"/>
        <v>9138.1</v>
      </c>
      <c r="AF159" s="125" t="str">
        <f>IFERROR(__xludf.DUMMYFUNCTION("IFERROR(TEXTJOIN("", "", TRUE, FILTER(Orders!$B$2:$B$2517, (TEXT(Orders!$D$2:$D$2517,""d-mmm"")=TEXT($A159,""d-mmm"")) * (ABS(Orders!$H$2:$H$2517 - Orders!$U$2:$U$2517) &gt;= 1) * (Orders!$M$2:$M$2517=""Delivered""))), ""All Balanced"")"),"All Balanced")</f>
        <v>All Balanced</v>
      </c>
      <c r="AG159" s="2" t="str">
        <f>IFERROR(__xludf.DUMMYFUNCTION("IFERROR(TEXTJOIN("", "", TRUE, FILTER(Orders!$I$2:$I$3000, (Orders!$M$2:$M$3000=""Delivered"") * (Orders!$N$2:$N$3000&lt;&gt;""Paid"") * (Orders!$Z$2:$Z$3000=$A159))), """")"),"")</f>
        <v/>
      </c>
      <c r="AH159" s="2">
        <f t="shared" si="112"/>
        <v>0</v>
      </c>
    </row>
    <row r="160">
      <c r="A160" s="107">
        <v>46109.0</v>
      </c>
      <c r="B160" s="108">
        <f t="shared" si="95"/>
        <v>4531</v>
      </c>
      <c r="C160" s="108">
        <f>SUMIFS(Orders!$H:$H, Orders!$Z:$Z, $A160, Orders!$M:$M, "Delivered")</f>
        <v>86089</v>
      </c>
      <c r="D160" s="109">
        <f>SUMIFS(Orders!$Q:$Q, Orders!$Z:$Z, $A160, Orders!$M:$M, "Delivered")</f>
        <v>22120</v>
      </c>
      <c r="E160" s="110">
        <f t="shared" si="96"/>
        <v>0.3180189661</v>
      </c>
      <c r="F160" s="111">
        <f t="shared" si="97"/>
        <v>82645.44</v>
      </c>
      <c r="G160" s="111">
        <f t="shared" si="98"/>
        <v>3443.56</v>
      </c>
      <c r="H160" s="111">
        <f t="shared" si="99"/>
        <v>63969</v>
      </c>
      <c r="I160" s="112">
        <f t="shared" si="100"/>
        <v>22.2058335</v>
      </c>
      <c r="J160" s="113">
        <v>19116.78</v>
      </c>
      <c r="K160" s="114"/>
      <c r="L160" s="115">
        <f t="shared" si="101"/>
        <v>8643.56</v>
      </c>
      <c r="M160" s="116">
        <f>SUMIFS(Orders!$W:$W, Orders!$Z:$Z, $A160)</f>
        <v>8924.65</v>
      </c>
      <c r="N160" s="117">
        <f t="shared" si="102"/>
        <v>35927.57</v>
      </c>
      <c r="O160" s="118">
        <f t="shared" si="103"/>
        <v>88.46153846</v>
      </c>
      <c r="P160" s="113">
        <v>6.58131791</v>
      </c>
      <c r="Q160" s="119">
        <f t="shared" si="104"/>
        <v>562.2582353</v>
      </c>
      <c r="R160" s="120">
        <f t="shared" si="105"/>
        <v>735.2607692</v>
      </c>
      <c r="S160" s="109">
        <f>COUNTIFS(Orders!$Z:$Z, $A160)</f>
        <v>34</v>
      </c>
      <c r="T160" s="111">
        <f>COUNTIFS(Orders!$Z:$Z, $A160, Orders!$M:$M, "Cancelled")</f>
        <v>8</v>
      </c>
      <c r="U160" s="121">
        <f t="shared" si="106"/>
        <v>0.2352941176</v>
      </c>
      <c r="V160" s="122">
        <f>COUNTIFS(Orders!$Z:$Z, $A160, Orders!$M:$M, "pending")</f>
        <v>1</v>
      </c>
      <c r="W160" s="122">
        <f t="shared" si="107"/>
        <v>26</v>
      </c>
      <c r="X160" s="70">
        <f t="shared" si="108"/>
        <v>0.8387096774</v>
      </c>
      <c r="Y160" s="6">
        <f>COUNTIFS(Orders!$Z:$Z, $A160, Orders!$M:$M, "Delivered")</f>
        <v>23</v>
      </c>
      <c r="Z160" s="6">
        <f>COUNTIFS(Orders!$Z:$Z, $A160, Orders!$M:$M, "Return Received")</f>
        <v>2</v>
      </c>
      <c r="AA160" s="123">
        <f t="shared" si="109"/>
        <v>0</v>
      </c>
      <c r="AB160" s="6">
        <f>COUNTIFS(Orders!$Z:$Z, $A160, Orders!$M:$M, "Returned") + COUNTIFS(Orders!$Z:$Z, $A160, Orders!$M:$M, "Returned to Shipper")</f>
        <v>0</v>
      </c>
      <c r="AC160" s="6">
        <f t="shared" si="110"/>
        <v>0</v>
      </c>
      <c r="AD160" s="2">
        <f>SUMIFS(Orders!$U:$U, Orders!$Z:$Z, $A160, Orders!$M:$M, "Delivered")</f>
        <v>86089</v>
      </c>
      <c r="AE160" s="124">
        <f t="shared" si="111"/>
        <v>0</v>
      </c>
      <c r="AF160" s="2" t="str">
        <f>IFERROR(__xludf.DUMMYFUNCTION("IFERROR(TEXTJOIN("", "", TRUE, FILTER(Orders!$B$2:$B$2517, (TEXT(Orders!$D$2:$D$2517,""d-mmm"")=TEXT($A160,""d-mmm"")) * (ABS(Orders!$H$2:$H$2517 - Orders!$U$2:$U$2517) &gt;= 1) * (Orders!$M$2:$M$2517=""Delivered""))), ""All Balanced"")"),"All Balanced")</f>
        <v>All Balanced</v>
      </c>
      <c r="AG160" s="2" t="str">
        <f>IFERROR(__xludf.DUMMYFUNCTION("IFERROR(TEXTJOIN("", "", TRUE, FILTER(Orders!$I$2:$I$3000, (Orders!$M$2:$M$3000=""Delivered"") * (Orders!$N$2:$N$3000&lt;&gt;""Paid"") * (Orders!$Z$2:$Z$3000=$A160))), """")"),"")</f>
        <v/>
      </c>
      <c r="AH160" s="2">
        <f t="shared" si="112"/>
        <v>0</v>
      </c>
    </row>
    <row r="161">
      <c r="A161" s="107">
        <v>46110.0</v>
      </c>
      <c r="B161" s="108">
        <f t="shared" si="95"/>
        <v>3637.684211</v>
      </c>
      <c r="C161" s="108">
        <f>SUMIFS(Orders!$H:$H, Orders!$Z:$Z, $A161, Orders!$M:$M, "Delivered")</f>
        <v>69116</v>
      </c>
      <c r="D161" s="109">
        <f>SUMIFS(Orders!$Q:$Q, Orders!$Z:$Z, $A161, Orders!$M:$M, "Delivered")</f>
        <v>16720</v>
      </c>
      <c r="E161" s="110">
        <f t="shared" si="96"/>
        <v>0.240383233</v>
      </c>
      <c r="F161" s="111">
        <f t="shared" si="97"/>
        <v>66351.36</v>
      </c>
      <c r="G161" s="111">
        <f t="shared" si="98"/>
        <v>2764.64</v>
      </c>
      <c r="H161" s="111">
        <f t="shared" si="99"/>
        <v>52396</v>
      </c>
      <c r="I161" s="112">
        <f t="shared" si="100"/>
        <v>31.16065745</v>
      </c>
      <c r="J161" s="113">
        <v>21537.0</v>
      </c>
      <c r="K161" s="114"/>
      <c r="L161" s="115">
        <f t="shared" si="101"/>
        <v>8564.64</v>
      </c>
      <c r="M161" s="116">
        <f>SUMIFS(Orders!$W:$W, Orders!$Z:$Z, $A161)</f>
        <v>8076.86</v>
      </c>
      <c r="N161" s="117">
        <f t="shared" si="102"/>
        <v>22782.14</v>
      </c>
      <c r="O161" s="118">
        <f t="shared" si="103"/>
        <v>75.86206897</v>
      </c>
      <c r="P161" s="113">
        <v>4.92567939</v>
      </c>
      <c r="Q161" s="119">
        <f t="shared" si="104"/>
        <v>652.6363636</v>
      </c>
      <c r="R161" s="120">
        <f t="shared" si="105"/>
        <v>742.6551724</v>
      </c>
      <c r="S161" s="109">
        <f>COUNTIFS(Orders!$Z:$Z, $A161)</f>
        <v>33</v>
      </c>
      <c r="T161" s="111">
        <f>COUNTIFS(Orders!$Z:$Z, $A161, Orders!$M:$M, "Cancelled")</f>
        <v>4</v>
      </c>
      <c r="U161" s="121">
        <f t="shared" si="106"/>
        <v>0.1212121212</v>
      </c>
      <c r="V161" s="122">
        <f>COUNTIFS(Orders!$Z:$Z, $A161, Orders!$M:$M, "pending")</f>
        <v>0</v>
      </c>
      <c r="W161" s="122">
        <f t="shared" si="107"/>
        <v>29</v>
      </c>
      <c r="X161" s="70">
        <f t="shared" si="108"/>
        <v>0.935483871</v>
      </c>
      <c r="Y161" s="6">
        <f>COUNTIFS(Orders!$Z:$Z, $A161, Orders!$M:$M, "Delivered")</f>
        <v>22</v>
      </c>
      <c r="Z161" s="6">
        <f>COUNTIFS(Orders!$Z:$Z, $A161, Orders!$M:$M, "Return Received")</f>
        <v>7</v>
      </c>
      <c r="AA161" s="123">
        <f t="shared" si="109"/>
        <v>0</v>
      </c>
      <c r="AB161" s="6">
        <f>COUNTIFS(Orders!$Z:$Z, $A161, Orders!$M:$M, "Returned") + COUNTIFS(Orders!$Z:$Z, $A161, Orders!$M:$M, "Returned to Shipper")</f>
        <v>0</v>
      </c>
      <c r="AC161" s="6">
        <f t="shared" si="110"/>
        <v>0</v>
      </c>
      <c r="AD161" s="2">
        <f>SUMIFS(Orders!$U:$U, Orders!$Z:$Z, $A161, Orders!$M:$M, "Delivered")</f>
        <v>62669</v>
      </c>
      <c r="AE161" s="124">
        <f t="shared" si="111"/>
        <v>6447</v>
      </c>
      <c r="AF161" s="2" t="str">
        <f>IFERROR(__xludf.DUMMYFUNCTION("IFERROR(TEXTJOIN("", "", TRUE, FILTER(Orders!$B$2:$B$2517, (TEXT(Orders!$D$2:$D$2517,""d-mmm"")=TEXT($A161,""d-mmm"")) * (ABS(Orders!$H$2:$H$2517 - Orders!$U$2:$U$2517) &gt;= 1) * (Orders!$M$2:$M$2517=""Delivered""))), ""All Balanced"")"),"All Balanced")</f>
        <v>All Balanced</v>
      </c>
      <c r="AG161" s="2" t="str">
        <f>IFERROR(__xludf.DUMMYFUNCTION("IFERROR(TEXTJOIN("", "", TRUE, FILTER(Orders!$I$2:$I$3000, (Orders!$M$2:$M$3000=""Delivered"") * (Orders!$N$2:$N$3000&lt;&gt;""Paid"") * (Orders!$Z$2:$Z$3000=$A161))), """")"),"")</f>
        <v/>
      </c>
      <c r="AH161" s="2">
        <f t="shared" si="112"/>
        <v>0</v>
      </c>
    </row>
    <row r="162">
      <c r="A162" s="107">
        <v>46111.0</v>
      </c>
      <c r="B162" s="108">
        <f t="shared" si="95"/>
        <v>2411.947368</v>
      </c>
      <c r="C162" s="108">
        <f>SUMIFS(Orders!$H:$H, Orders!$Z:$Z, $A162, Orders!$M:$M, "Delivered")</f>
        <v>45827</v>
      </c>
      <c r="D162" s="109">
        <f>SUMIFS(Orders!$Q:$Q, Orders!$Z:$Z, $A162, Orders!$M:$M, "Delivered")</f>
        <v>11900</v>
      </c>
      <c r="E162" s="110">
        <f t="shared" si="96"/>
        <v>0.1710861527</v>
      </c>
      <c r="F162" s="111">
        <f t="shared" si="97"/>
        <v>43993.92</v>
      </c>
      <c r="G162" s="111">
        <f t="shared" si="98"/>
        <v>1833.08</v>
      </c>
      <c r="H162" s="111">
        <f t="shared" si="99"/>
        <v>33927</v>
      </c>
      <c r="I162" s="112">
        <f t="shared" si="100"/>
        <v>45.45852881</v>
      </c>
      <c r="J162" s="113">
        <v>20832.28</v>
      </c>
      <c r="K162" s="114"/>
      <c r="L162" s="115">
        <f t="shared" si="101"/>
        <v>5633.08</v>
      </c>
      <c r="M162" s="116">
        <f>SUMIFS(Orders!$W:$W, Orders!$Z:$Z, $A162)</f>
        <v>4548.18</v>
      </c>
      <c r="N162" s="117">
        <f t="shared" si="102"/>
        <v>8546.54</v>
      </c>
      <c r="O162" s="118">
        <f t="shared" si="103"/>
        <v>68.42105263</v>
      </c>
      <c r="P162" s="113">
        <v>3.86710838</v>
      </c>
      <c r="Q162" s="119">
        <f t="shared" si="104"/>
        <v>946.9218182</v>
      </c>
      <c r="R162" s="120">
        <f t="shared" si="105"/>
        <v>1096.435789</v>
      </c>
      <c r="S162" s="109">
        <f>COUNTIFS(Orders!$Z:$Z, $A162)</f>
        <v>22</v>
      </c>
      <c r="T162" s="111">
        <f>COUNTIFS(Orders!$Z:$Z, $A162, Orders!$M:$M, "Cancelled")</f>
        <v>3</v>
      </c>
      <c r="U162" s="121">
        <f t="shared" si="106"/>
        <v>0.1363636364</v>
      </c>
      <c r="V162" s="122">
        <f>COUNTIFS(Orders!$Z:$Z, $A162, Orders!$M:$M, "pending")</f>
        <v>0</v>
      </c>
      <c r="W162" s="122">
        <f t="shared" si="107"/>
        <v>19</v>
      </c>
      <c r="X162" s="70">
        <f t="shared" si="108"/>
        <v>0.6129032258</v>
      </c>
      <c r="Y162" s="6">
        <f>COUNTIFS(Orders!$Z:$Z, $A162, Orders!$M:$M, "Delivered")</f>
        <v>13</v>
      </c>
      <c r="Z162" s="6">
        <f>COUNTIFS(Orders!$Z:$Z, $A162, Orders!$M:$M, "Return Received")</f>
        <v>3</v>
      </c>
      <c r="AA162" s="123">
        <f t="shared" si="109"/>
        <v>3</v>
      </c>
      <c r="AB162" s="6">
        <f>COUNTIFS(Orders!$Z:$Z, $A162, Orders!$M:$M, "Returned") + COUNTIFS(Orders!$Z:$Z, $A162, Orders!$M:$M, "Returned to Shipper")</f>
        <v>0</v>
      </c>
      <c r="AC162" s="6">
        <f t="shared" si="110"/>
        <v>0</v>
      </c>
      <c r="AD162" s="2">
        <f>SUMIFS(Orders!$U:$U, Orders!$Z:$Z, $A162, Orders!$M:$M, "Delivered")</f>
        <v>45827</v>
      </c>
      <c r="AE162" s="124">
        <f t="shared" si="111"/>
        <v>0</v>
      </c>
      <c r="AF162" s="125" t="str">
        <f>IFERROR(__xludf.DUMMYFUNCTION("IFERROR(TEXTJOIN("", "", TRUE, FILTER(Orders!$B$2:$B$2517, (TEXT(Orders!$D$2:$D$2517,""d-mmm"")=TEXT($A162,""d-mmm"")) * (ABS(Orders!$H$2:$H$2517 - Orders!$U$2:$U$2517) &gt;= 1) * (Orders!$M$2:$M$2517=""Delivered""))), ""All Balanced"")"),"All Balanced")</f>
        <v>All Balanced</v>
      </c>
      <c r="AG162" s="2" t="str">
        <f>IFERROR(__xludf.DUMMYFUNCTION("IFERROR(TEXTJOIN("", "", TRUE, FILTER(Orders!$I$2:$I$3000, (Orders!$M$2:$M$3000=""Delivered"") * (Orders!$N$2:$N$3000&lt;&gt;""Paid"") * (Orders!$Z$2:$Z$3000=$A162))), """")"),"")</f>
        <v/>
      </c>
      <c r="AH162" s="2">
        <f t="shared" si="112"/>
        <v>0</v>
      </c>
    </row>
    <row r="163">
      <c r="A163" s="107">
        <v>46112.0</v>
      </c>
      <c r="B163" s="108">
        <f t="shared" si="95"/>
        <v>5172.368421</v>
      </c>
      <c r="C163" s="108">
        <f>SUMIFS(Orders!$H:$H, Orders!$Z:$Z, $A163, Orders!$M:$M, "Delivered")</f>
        <v>98275</v>
      </c>
      <c r="D163" s="109">
        <f>SUMIFS(Orders!$Q:$Q, Orders!$Z:$Z, $A163, Orders!$M:$M, "Delivered")</f>
        <v>26180</v>
      </c>
      <c r="E163" s="110">
        <f t="shared" si="96"/>
        <v>0.3763895359</v>
      </c>
      <c r="F163" s="111">
        <f t="shared" si="97"/>
        <v>94344</v>
      </c>
      <c r="G163" s="111">
        <f t="shared" si="98"/>
        <v>3931</v>
      </c>
      <c r="H163" s="111">
        <f t="shared" si="99"/>
        <v>72095</v>
      </c>
      <c r="I163" s="112">
        <f t="shared" si="100"/>
        <v>26.08124141</v>
      </c>
      <c r="J163" s="113">
        <v>25631.34</v>
      </c>
      <c r="K163" s="114"/>
      <c r="L163" s="115">
        <f t="shared" si="101"/>
        <v>12531</v>
      </c>
      <c r="M163" s="116">
        <f>SUMIFS(Orders!$W:$W, Orders!$Z:$Z, $A163)</f>
        <v>10855.65</v>
      </c>
      <c r="N163" s="117">
        <f t="shared" si="102"/>
        <v>35608.01</v>
      </c>
      <c r="O163" s="118">
        <f t="shared" si="103"/>
        <v>67.44186047</v>
      </c>
      <c r="P163" s="113">
        <v>5.98912847</v>
      </c>
      <c r="Q163" s="119">
        <f t="shared" si="104"/>
        <v>523.0885714</v>
      </c>
      <c r="R163" s="120">
        <f t="shared" si="105"/>
        <v>596.0776744</v>
      </c>
      <c r="S163" s="109">
        <f>COUNTIFS(Orders!$Z:$Z, $A163)</f>
        <v>49</v>
      </c>
      <c r="T163" s="111">
        <f>COUNTIFS(Orders!$Z:$Z, $A163, Orders!$M:$M, "Cancelled")</f>
        <v>6</v>
      </c>
      <c r="U163" s="121">
        <f t="shared" si="106"/>
        <v>0.1224489796</v>
      </c>
      <c r="V163" s="122">
        <f>COUNTIFS(Orders!$Z:$Z, $A163, Orders!$M:$M, "pending")</f>
        <v>0</v>
      </c>
      <c r="W163" s="122">
        <f t="shared" si="107"/>
        <v>43</v>
      </c>
      <c r="X163" s="70">
        <f t="shared" si="108"/>
        <v>1.387096774</v>
      </c>
      <c r="Y163" s="6">
        <f>COUNTIFS(Orders!$Z:$Z, $A163, Orders!$M:$M, "Delivered")</f>
        <v>29</v>
      </c>
      <c r="Z163" s="6">
        <f>COUNTIFS(Orders!$Z:$Z, $A163, Orders!$M:$M, "Return Received")</f>
        <v>8</v>
      </c>
      <c r="AA163" s="123">
        <f t="shared" si="109"/>
        <v>6</v>
      </c>
      <c r="AB163" s="6">
        <f>COUNTIFS(Orders!$Z:$Z, $A163, Orders!$M:$M, "Returned") + COUNTIFS(Orders!$Z:$Z, $A163, Orders!$M:$M, "Returned to Shipper")</f>
        <v>0</v>
      </c>
      <c r="AC163" s="6">
        <f t="shared" si="110"/>
        <v>0</v>
      </c>
      <c r="AD163" s="2">
        <f>SUMIFS(Orders!$U:$U, Orders!$Z:$Z, $A163, Orders!$M:$M, "Delivered")</f>
        <v>95178</v>
      </c>
      <c r="AE163" s="124">
        <f t="shared" si="111"/>
        <v>3097</v>
      </c>
      <c r="AF163" s="22" t="str">
        <f>IFERROR(__xludf.DUMMYFUNCTION("IFERROR(TEXTJOIN("", "", TRUE, FILTER(Orders!$B$2:$B$2517, (TEXT(Orders!$D$2:$D$2517,""d-mmm"")=TEXT($A163,""d-mmm"")) * (ABS(Orders!$H$2:$H$2517 - Orders!$U$2:$U$2517) &gt;= 1) * (Orders!$M$2:$M$2517=""Delivered""))), ""All Balanced"")"),"All Balanced")</f>
        <v>All Balanced</v>
      </c>
      <c r="AG163" s="2" t="str">
        <f>IFERROR(__xludf.DUMMYFUNCTION("IFERROR(TEXTJOIN("", "", TRUE, FILTER(Orders!$I$2:$I$3000, (Orders!$M$2:$M$3000=""Delivered"") * (Orders!$N$2:$N$3000&lt;&gt;""Paid"") * (Orders!$Z$2:$Z$3000=$A163))), """")"),"")</f>
        <v/>
      </c>
      <c r="AH163" s="2">
        <f t="shared" si="112"/>
        <v>0</v>
      </c>
    </row>
    <row r="164">
      <c r="A164" s="114"/>
      <c r="B164" s="126"/>
      <c r="C164" s="126"/>
      <c r="D164" s="114"/>
      <c r="E164" s="127"/>
      <c r="F164" s="128"/>
      <c r="G164" s="114"/>
      <c r="H164" s="114"/>
      <c r="I164" s="129"/>
      <c r="J164" s="130"/>
      <c r="K164" s="114"/>
      <c r="L164" s="126"/>
      <c r="M164" s="114"/>
      <c r="N164" s="131"/>
      <c r="O164" s="129"/>
      <c r="P164" s="129"/>
      <c r="Q164" s="114"/>
      <c r="R164" s="114"/>
      <c r="S164" s="114"/>
      <c r="T164" s="114"/>
      <c r="U164" s="127"/>
      <c r="V164" s="114"/>
      <c r="W164" s="114"/>
      <c r="X164" s="70"/>
    </row>
    <row r="165">
      <c r="A165" s="132" t="s">
        <v>419</v>
      </c>
      <c r="B165" s="104"/>
      <c r="C165" s="104" t="s">
        <v>399</v>
      </c>
      <c r="D165" s="101" t="s">
        <v>420</v>
      </c>
      <c r="E165" s="133"/>
      <c r="F165" s="134" t="s">
        <v>421</v>
      </c>
      <c r="G165" s="101" t="s">
        <v>422</v>
      </c>
      <c r="H165" s="114"/>
      <c r="I165" s="129"/>
      <c r="J165" s="130"/>
      <c r="K165" s="114"/>
      <c r="L165" s="126"/>
      <c r="M165" s="114"/>
      <c r="N165" s="131"/>
      <c r="O165" s="129"/>
      <c r="P165" s="129"/>
      <c r="Q165" s="114"/>
      <c r="R165" s="114"/>
      <c r="S165" s="114"/>
      <c r="T165" s="114"/>
      <c r="U165" s="127"/>
      <c r="V165" s="114"/>
      <c r="W165" s="114"/>
      <c r="X165" s="70"/>
    </row>
    <row r="166">
      <c r="A166" s="135">
        <v>45667.0</v>
      </c>
      <c r="B166" s="136"/>
      <c r="C166" s="136">
        <f>AVERAGE(O133:O142)</f>
        <v>78.2881991</v>
      </c>
      <c r="D166" s="137" t="str">
        <f>AVERAGE(AJ91:AJ100)</f>
        <v>#DIV/0!</v>
      </c>
      <c r="E166" s="121"/>
      <c r="F166" s="122">
        <f>AVERAGE(I133:I142)</f>
        <v>33.07630565</v>
      </c>
      <c r="G166" s="138">
        <f>SUM(N133:N142)</f>
        <v>224736.16</v>
      </c>
      <c r="H166" s="114"/>
      <c r="I166" s="129"/>
      <c r="J166" s="130"/>
      <c r="K166" s="114"/>
      <c r="L166" s="126"/>
      <c r="M166" s="114"/>
      <c r="N166" s="131"/>
      <c r="O166" s="129"/>
      <c r="P166" s="129"/>
      <c r="Q166" s="114"/>
      <c r="R166" s="114"/>
      <c r="S166" s="114"/>
      <c r="T166" s="114"/>
      <c r="U166" s="127"/>
      <c r="V166" s="114"/>
      <c r="W166" s="114"/>
      <c r="X166" s="70"/>
    </row>
    <row r="167">
      <c r="A167" s="135">
        <v>45981.0</v>
      </c>
      <c r="B167" s="136"/>
      <c r="C167" s="136">
        <f>AVERAGE(O143:O152)</f>
        <v>65.51401762</v>
      </c>
      <c r="D167" s="137" t="str">
        <f>AVERAGE(AJ101:AJ110)</f>
        <v>#DIV/0!</v>
      </c>
      <c r="E167" s="121"/>
      <c r="F167" s="122">
        <f>AVERAGE(I143:I152)</f>
        <v>30.80640792</v>
      </c>
      <c r="G167" s="138">
        <f>sum(N143:N152)</f>
        <v>322442.52</v>
      </c>
      <c r="H167" s="114"/>
      <c r="I167" s="129"/>
      <c r="J167" s="130"/>
      <c r="K167" s="114"/>
      <c r="L167" s="126"/>
      <c r="M167" s="114"/>
      <c r="N167" s="131"/>
      <c r="O167" s="129"/>
      <c r="P167" s="129"/>
      <c r="Q167" s="114"/>
      <c r="R167" s="114"/>
      <c r="S167" s="114"/>
      <c r="T167" s="114"/>
      <c r="U167" s="127"/>
      <c r="V167" s="114"/>
      <c r="W167" s="114"/>
      <c r="X167" s="70"/>
    </row>
    <row r="168">
      <c r="A168" s="132" t="s">
        <v>423</v>
      </c>
      <c r="B168" s="136"/>
      <c r="C168" s="136">
        <f>AVERAGE(O153:O163)</f>
        <v>71.44221977</v>
      </c>
      <c r="D168" s="137" t="str">
        <f>AVERAGE(AJ111:AJ121)</f>
        <v>#DIV/0!</v>
      </c>
      <c r="E168" s="121"/>
      <c r="F168" s="122">
        <f>AVERAGE(I153:I163)</f>
        <v>36.95838561</v>
      </c>
      <c r="G168" s="138">
        <f>sum(N153:N163)</f>
        <v>215801.82</v>
      </c>
      <c r="H168" s="114"/>
      <c r="I168" s="129"/>
      <c r="J168" s="130"/>
      <c r="K168" s="114"/>
      <c r="L168" s="126"/>
      <c r="M168" s="114"/>
      <c r="N168" s="131"/>
      <c r="O168" s="129"/>
      <c r="P168" s="129"/>
      <c r="Q168" s="114"/>
      <c r="R168" s="114"/>
      <c r="S168" s="114"/>
      <c r="T168" s="114"/>
      <c r="U168" s="127"/>
      <c r="V168" s="114"/>
      <c r="W168" s="114"/>
      <c r="X168" s="70"/>
    </row>
    <row r="169">
      <c r="A169" s="139"/>
      <c r="B169" s="136"/>
      <c r="C169" s="136">
        <f t="shared" ref="C169:D169" si="113">AVERAGE(AE154:AE164)</f>
        <v>3107.21</v>
      </c>
      <c r="D169" s="137" t="str">
        <f t="shared" si="113"/>
        <v>#DIV/0!</v>
      </c>
      <c r="E169" s="121"/>
      <c r="F169" s="122">
        <f>sum(N154:N164)</f>
        <v>215467.39</v>
      </c>
      <c r="G169" s="138">
        <f>sum(G166:G168)</f>
        <v>762980.5</v>
      </c>
      <c r="H169" s="114"/>
      <c r="I169" s="114"/>
      <c r="J169" s="130"/>
      <c r="K169" s="114"/>
      <c r="L169" s="126"/>
      <c r="M169" s="114"/>
      <c r="N169" s="131"/>
      <c r="O169" s="129"/>
      <c r="P169" s="129"/>
      <c r="Q169" s="114"/>
      <c r="R169" s="114"/>
      <c r="S169" s="114"/>
      <c r="T169" s="114"/>
      <c r="U169" s="127"/>
      <c r="V169" s="114"/>
      <c r="W169" s="114"/>
      <c r="X169" s="70"/>
    </row>
    <row r="170">
      <c r="B170" s="140"/>
      <c r="C170" s="140"/>
      <c r="E170" s="70"/>
      <c r="L170" s="140"/>
      <c r="N170" s="141"/>
      <c r="U170" s="70"/>
      <c r="X170" s="70"/>
    </row>
    <row r="171">
      <c r="B171" s="140"/>
      <c r="C171" s="140"/>
      <c r="E171" s="70"/>
      <c r="L171" s="140"/>
      <c r="N171" s="141"/>
      <c r="U171" s="70"/>
      <c r="X171" s="70"/>
    </row>
    <row r="172">
      <c r="A172" s="57"/>
      <c r="B172" s="58"/>
      <c r="C172" s="58" t="s">
        <v>381</v>
      </c>
      <c r="D172" s="59" t="s">
        <v>381</v>
      </c>
      <c r="E172" s="60"/>
      <c r="F172" s="61" t="s">
        <v>382</v>
      </c>
      <c r="G172" s="62" t="s">
        <v>382</v>
      </c>
      <c r="H172" s="63" t="s">
        <v>382</v>
      </c>
      <c r="I172" s="64" t="s">
        <v>382</v>
      </c>
      <c r="J172" s="58" t="s">
        <v>381</v>
      </c>
      <c r="K172" s="64" t="s">
        <v>382</v>
      </c>
      <c r="L172" s="63"/>
      <c r="M172" s="65" t="s">
        <v>382</v>
      </c>
      <c r="N172" s="66" t="s">
        <v>382</v>
      </c>
      <c r="O172" s="64" t="s">
        <v>382</v>
      </c>
      <c r="P172" s="67" t="s">
        <v>381</v>
      </c>
      <c r="Q172" s="63" t="s">
        <v>382</v>
      </c>
      <c r="R172" s="63" t="s">
        <v>382</v>
      </c>
      <c r="S172" s="58" t="s">
        <v>381</v>
      </c>
      <c r="T172" s="63" t="s">
        <v>382</v>
      </c>
      <c r="U172" s="68"/>
      <c r="V172" s="69"/>
      <c r="W172" s="58" t="s">
        <v>381</v>
      </c>
      <c r="X172" s="70"/>
    </row>
    <row r="173">
      <c r="A173" s="71" t="s">
        <v>383</v>
      </c>
      <c r="B173" s="72"/>
      <c r="C173" s="72"/>
      <c r="D173" s="73"/>
      <c r="E173" s="74"/>
      <c r="F173" s="75"/>
      <c r="G173" s="76">
        <f>AVERAGE(G176:G206)</f>
        <v>1087.384413</v>
      </c>
      <c r="H173" s="72"/>
      <c r="I173" s="77"/>
      <c r="J173" s="76" t="str">
        <f>AVERAGE(J176:J206)</f>
        <v>#DIV/0!</v>
      </c>
      <c r="K173" s="77"/>
      <c r="L173" s="72"/>
      <c r="M173" s="73"/>
      <c r="N173" s="78">
        <f t="shared" ref="N173:O173" si="114">AVERAGE(N176:N206)</f>
        <v>16425.94161</v>
      </c>
      <c r="O173" s="79" t="str">
        <f t="shared" si="114"/>
        <v>#DIV/0!</v>
      </c>
      <c r="P173" s="80"/>
      <c r="Q173" s="81"/>
      <c r="R173" s="81"/>
      <c r="S173" s="76">
        <f t="shared" ref="S173:T173" si="115">AVERAGE(S176:S206)</f>
        <v>17.48387097</v>
      </c>
      <c r="T173" s="76">
        <f t="shared" si="115"/>
        <v>1.580645161</v>
      </c>
      <c r="U173" s="74"/>
      <c r="V173" s="72"/>
      <c r="W173" s="76">
        <f>AVERAGE(W176:W206)</f>
        <v>15.90322581</v>
      </c>
      <c r="X173" s="70"/>
    </row>
    <row r="174">
      <c r="A174" s="71" t="s">
        <v>384</v>
      </c>
      <c r="B174" s="82">
        <f>AVERAGE(B176:B206)</f>
        <v>1430.768964</v>
      </c>
      <c r="C174" s="82">
        <f>sum(C176:C206)</f>
        <v>842722.92</v>
      </c>
      <c r="D174" s="83">
        <f>SUM(D176:D206)</f>
        <v>256090</v>
      </c>
      <c r="E174" s="84">
        <f>AVERAGE(E176:E206)</f>
        <v>0.1187678309</v>
      </c>
      <c r="F174" s="85">
        <f t="shared" ref="F174:G174" si="116">SUM(F176:F206)</f>
        <v>809014.0032</v>
      </c>
      <c r="G174" s="76">
        <f t="shared" si="116"/>
        <v>33708.9168</v>
      </c>
      <c r="H174" s="76">
        <f>sum(F176:F206)</f>
        <v>809014.0032</v>
      </c>
      <c r="I174" s="86">
        <f>AVERAGE(I176:I206)</f>
        <v>0</v>
      </c>
      <c r="J174" s="76">
        <f t="shared" ref="J174:K174" si="117">sum(J176:J206)</f>
        <v>0</v>
      </c>
      <c r="K174" s="80">
        <f t="shared" si="117"/>
        <v>0</v>
      </c>
      <c r="L174" s="76">
        <f>SUM(L176:L206)</f>
        <v>132308.9168</v>
      </c>
      <c r="M174" s="87">
        <f t="shared" ref="M174:N174" si="118">sum(M176:M206)</f>
        <v>77428.73</v>
      </c>
      <c r="N174" s="78">
        <f t="shared" si="118"/>
        <v>509204.19</v>
      </c>
      <c r="O174" s="79" t="str">
        <f t="shared" ref="O174:R174" si="119">AVERAGE(O176:O206)</f>
        <v>#DIV/0!</v>
      </c>
      <c r="P174" s="86" t="str">
        <f t="shared" si="119"/>
        <v>#DIV/0!</v>
      </c>
      <c r="Q174" s="82" t="str">
        <f t="shared" si="119"/>
        <v>#DIV/0!</v>
      </c>
      <c r="R174" s="82" t="str">
        <f t="shared" si="119"/>
        <v>#DIV/0!</v>
      </c>
      <c r="S174" s="76">
        <f t="shared" ref="S174:T174" si="120">sum(S176:S206)</f>
        <v>542</v>
      </c>
      <c r="T174" s="76">
        <f t="shared" si="120"/>
        <v>49</v>
      </c>
      <c r="U174" s="88"/>
      <c r="V174" s="82">
        <f t="shared" ref="V174:W174" si="121">sum(V176:V206)</f>
        <v>115</v>
      </c>
      <c r="W174" s="76">
        <f t="shared" si="121"/>
        <v>493</v>
      </c>
      <c r="X174" s="89"/>
      <c r="Y174" s="90">
        <f t="shared" ref="Y174:Z174" si="122">sum(Y176:Y206)</f>
        <v>255</v>
      </c>
      <c r="Z174" s="90">
        <f t="shared" si="122"/>
        <v>34</v>
      </c>
      <c r="AA174" s="91">
        <f>SUM(AA176:AA206)</f>
        <v>89</v>
      </c>
      <c r="AB174" s="90">
        <f>sum(AB176:AB206)</f>
        <v>0</v>
      </c>
      <c r="AC174" s="90"/>
      <c r="AD174" s="90">
        <f>SUM(AD176:AD206)</f>
        <v>659985</v>
      </c>
      <c r="AE174" s="92">
        <f>sum(AE176:AE206)</f>
        <v>182737.92</v>
      </c>
    </row>
    <row r="175">
      <c r="A175" s="93" t="s">
        <v>385</v>
      </c>
      <c r="B175" s="94" t="s">
        <v>386</v>
      </c>
      <c r="C175" s="94" t="s">
        <v>387</v>
      </c>
      <c r="D175" s="95" t="s">
        <v>388</v>
      </c>
      <c r="E175" s="95" t="s">
        <v>389</v>
      </c>
      <c r="F175" s="96" t="s">
        <v>390</v>
      </c>
      <c r="G175" s="97" t="s">
        <v>391</v>
      </c>
      <c r="H175" s="97" t="s">
        <v>392</v>
      </c>
      <c r="I175" s="99" t="s">
        <v>424</v>
      </c>
      <c r="J175" s="97" t="s">
        <v>394</v>
      </c>
      <c r="K175" s="99" t="s">
        <v>395</v>
      </c>
      <c r="L175" s="94" t="s">
        <v>396</v>
      </c>
      <c r="M175" s="95" t="s">
        <v>397</v>
      </c>
      <c r="N175" s="100" t="s">
        <v>398</v>
      </c>
      <c r="O175" s="101" t="s">
        <v>399</v>
      </c>
      <c r="P175" s="102" t="s">
        <v>400</v>
      </c>
      <c r="Q175" s="103" t="s">
        <v>401</v>
      </c>
      <c r="R175" s="103" t="s">
        <v>402</v>
      </c>
      <c r="S175" s="104" t="s">
        <v>403</v>
      </c>
      <c r="T175" s="104" t="s">
        <v>404</v>
      </c>
      <c r="U175" s="148"/>
      <c r="V175" s="106" t="s">
        <v>406</v>
      </c>
      <c r="W175" s="106" t="s">
        <v>407</v>
      </c>
      <c r="X175" s="147"/>
      <c r="Y175" s="12" t="s">
        <v>409</v>
      </c>
      <c r="Z175" s="12" t="s">
        <v>410</v>
      </c>
      <c r="AA175" s="12" t="s">
        <v>411</v>
      </c>
      <c r="AB175" s="12" t="s">
        <v>412</v>
      </c>
      <c r="AC175" s="12" t="s">
        <v>413</v>
      </c>
      <c r="AD175" s="12" t="s">
        <v>414</v>
      </c>
      <c r="AE175" s="12" t="s">
        <v>415</v>
      </c>
      <c r="AF175" s="12" t="s">
        <v>416</v>
      </c>
      <c r="AG175" s="12" t="s">
        <v>417</v>
      </c>
      <c r="AH175" s="12" t="s">
        <v>418</v>
      </c>
    </row>
    <row r="176">
      <c r="A176" s="107">
        <v>46113.0</v>
      </c>
      <c r="B176" s="108">
        <f t="shared" ref="B176:B206" si="123">C176/$Y$133</f>
        <v>4398.789474</v>
      </c>
      <c r="C176" s="108">
        <f>SUMIFS(Orders!$H:$H, Orders!$Z:$Z, $A176, Orders!$M:$M, "Delivered")</f>
        <v>83577</v>
      </c>
      <c r="D176" s="109">
        <f>SUMIFS(Orders!$Q:$Q, Orders!$Z:$Z, $A176, Orders!$M:$M, "Delivered")</f>
        <v>25105</v>
      </c>
      <c r="E176" s="110">
        <f t="shared" ref="E176:E206" si="124">D176/$C$133</f>
        <v>0.3609342742</v>
      </c>
      <c r="F176" s="111">
        <f t="shared" ref="F176:F206" si="125">C176-(C176*4/100)</f>
        <v>80233.92</v>
      </c>
      <c r="G176" s="111">
        <f t="shared" ref="G176:G206" si="126">C176-F176</f>
        <v>3343.08</v>
      </c>
      <c r="H176" s="111">
        <f t="shared" ref="H176:H206" si="127">C176-D176</f>
        <v>58472</v>
      </c>
      <c r="I176" s="112">
        <f t="shared" ref="I176:I206" si="128">IFERROR(J176/C176, 0)*100</f>
        <v>0</v>
      </c>
      <c r="J176" s="113"/>
      <c r="K176" s="114"/>
      <c r="L176" s="115">
        <f t="shared" ref="L176:L206" si="129">(200*W176)+C176*4%</f>
        <v>8943.08</v>
      </c>
      <c r="M176" s="116">
        <f>SUMIFS(Orders!$W:$W, Orders!$Z:$Z, $A176)</f>
        <v>7939.28</v>
      </c>
      <c r="N176" s="117">
        <f t="shared" ref="N176:N206" si="130">H176-J176-K176-M176</f>
        <v>50532.72</v>
      </c>
      <c r="O176" s="118">
        <f t="shared" ref="O176:O206" si="131">Y176/W176*100</f>
        <v>82.14285714</v>
      </c>
      <c r="P176" s="113"/>
      <c r="Q176" s="119">
        <f t="shared" ref="Q176:Q206" si="132">J176/S176</f>
        <v>0</v>
      </c>
      <c r="R176" s="120">
        <f t="shared" ref="R176:R206" si="133">J176/W176</f>
        <v>0</v>
      </c>
      <c r="S176" s="109">
        <f>COUNTIFS(Orders!$Z:$Z, $A176)</f>
        <v>30</v>
      </c>
      <c r="T176" s="111">
        <f>COUNTIFS(Orders!$Z:$Z, $A176, Orders!$M:$M, "Cancelled")</f>
        <v>2</v>
      </c>
      <c r="U176" s="121">
        <f t="shared" ref="U176:U206" si="134">T176/S176</f>
        <v>0.06666666667</v>
      </c>
      <c r="V176" s="122">
        <f>COUNTIFS(Orders!$Z:$Z, $A176, Orders!$M:$M, "pending")</f>
        <v>2</v>
      </c>
      <c r="W176" s="122">
        <f t="shared" ref="W176:W206" si="135">S176-T176</f>
        <v>28</v>
      </c>
      <c r="X176" s="70">
        <f t="shared" ref="X176:X206" si="136">W176/$S$133</f>
        <v>0.9032258065</v>
      </c>
      <c r="Y176" s="6">
        <f>COUNTIFS(Orders!$Z:$Z, $A176, Orders!$M:$M, "Delivered")</f>
        <v>23</v>
      </c>
      <c r="Z176" s="6">
        <f>COUNTIFS(Orders!$Z:$Z, $A176, Orders!$M:$M, "Return Received")</f>
        <v>0</v>
      </c>
      <c r="AA176" s="123">
        <f t="shared" ref="AA176:AA206" si="137">W176-Y176-Z176-V176</f>
        <v>3</v>
      </c>
      <c r="AB176" s="6">
        <f>COUNTIFS(Orders!$Z:$Z, $A176, Orders!$M:$M, "Returned") + COUNTIFS(Orders!$Z:$Z, $A176, Orders!$M:$M, "Returned to Shipper")</f>
        <v>0</v>
      </c>
      <c r="AC176" s="6">
        <f t="shared" ref="AC176:AC206" si="138">COUNTIFS(Orders!$Z:$Z, $A176, Orders!$I:$I, "", Orders!$M:$M, "&lt;&gt;Cancelled")</f>
        <v>0</v>
      </c>
      <c r="AD176" s="2">
        <f>SUMIFS(Orders!$U:$U, Orders!$Z:$Z, $A176, Orders!$M:$M, "Delivered")</f>
        <v>75209</v>
      </c>
      <c r="AE176" s="124">
        <f t="shared" ref="AE176:AE206" si="139">C176-AD176</f>
        <v>8368</v>
      </c>
      <c r="AF176" s="2" t="str">
        <f>IFERROR(__xludf.DUMMYFUNCTION("IFERROR(TEXTJOIN("", "", TRUE, FILTER(Orders!$B$2:$B$2517, (TEXT(Orders!$D$2:$D$2517,""d-mmm"")=TEXT($A176,""d-mmm"")) * (ABS(Orders!$H$2:$H$2517 - Orders!$U$2:$U$2517) &gt;= 1) * (Orders!$M$2:$M$2517=""Delivered""))), ""All Balanced"")"),"All Balanced")</f>
        <v>All Balanced</v>
      </c>
      <c r="AG176" s="2" t="str">
        <f>IFERROR(__xludf.DUMMYFUNCTION("IFERROR(TEXTJOIN("", "", TRUE, FILTER(Orders!$I$2:$I$2517, (Orders!$M$2:$M$2517=""Delivered"") * (Orders!$N$2:$N$2517&lt;&gt;""Paid"") * (Orders!$Z$2:$Z$2517=$A176))), """")"),"")</f>
        <v/>
      </c>
      <c r="AH176" s="2">
        <f t="shared" ref="AH176:AH206" si="140">COUNTIFS(Orders!$M:$M, "Delivered", Orders!$N:$N, "&lt;&gt;Paid", Orders!$Z:$Z, $A176)</f>
        <v>0</v>
      </c>
    </row>
    <row r="177">
      <c r="A177" s="107">
        <v>46114.0</v>
      </c>
      <c r="B177" s="108">
        <f t="shared" si="123"/>
        <v>1570.263158</v>
      </c>
      <c r="C177" s="108">
        <f>SUMIFS(Orders!$H:$H, Orders!$Z:$Z, $A177, Orders!$M:$M, "Delivered")</f>
        <v>29835</v>
      </c>
      <c r="D177" s="109">
        <f>SUMIFS(Orders!$Q:$Q, Orders!$Z:$Z, $A177, Orders!$M:$M, "Delivered")</f>
        <v>8570</v>
      </c>
      <c r="E177" s="110">
        <f t="shared" si="124"/>
        <v>0.1232107839</v>
      </c>
      <c r="F177" s="111">
        <f t="shared" si="125"/>
        <v>28641.6</v>
      </c>
      <c r="G177" s="111">
        <f t="shared" si="126"/>
        <v>1193.4</v>
      </c>
      <c r="H177" s="111">
        <f t="shared" si="127"/>
        <v>21265</v>
      </c>
      <c r="I177" s="112">
        <f t="shared" si="128"/>
        <v>0</v>
      </c>
      <c r="J177" s="113"/>
      <c r="K177" s="114"/>
      <c r="L177" s="115">
        <f t="shared" si="129"/>
        <v>5793.4</v>
      </c>
      <c r="M177" s="116">
        <f>SUMIFS(Orders!$W:$W, Orders!$Z:$Z, $A177)</f>
        <v>3738.1</v>
      </c>
      <c r="N177" s="117">
        <f t="shared" si="130"/>
        <v>17526.9</v>
      </c>
      <c r="O177" s="118">
        <f t="shared" si="131"/>
        <v>43.47826087</v>
      </c>
      <c r="P177" s="113"/>
      <c r="Q177" s="119">
        <f t="shared" si="132"/>
        <v>0</v>
      </c>
      <c r="R177" s="120">
        <f t="shared" si="133"/>
        <v>0</v>
      </c>
      <c r="S177" s="109">
        <f>COUNTIFS(Orders!$Z:$Z, $A177)</f>
        <v>29</v>
      </c>
      <c r="T177" s="111">
        <f>COUNTIFS(Orders!$Z:$Z, $A177, Orders!$M:$M, "Cancelled")</f>
        <v>6</v>
      </c>
      <c r="U177" s="121">
        <f t="shared" si="134"/>
        <v>0.2068965517</v>
      </c>
      <c r="V177" s="122">
        <f>COUNTIFS(Orders!$Z:$Z, $A177, Orders!$M:$M, "pending")</f>
        <v>1</v>
      </c>
      <c r="W177" s="122">
        <f t="shared" si="135"/>
        <v>23</v>
      </c>
      <c r="X177" s="70">
        <f t="shared" si="136"/>
        <v>0.7419354839</v>
      </c>
      <c r="Y177" s="6">
        <f>COUNTIFS(Orders!$Z:$Z, $A177, Orders!$M:$M, "Delivered")</f>
        <v>10</v>
      </c>
      <c r="Z177" s="6">
        <f>COUNTIFS(Orders!$Z:$Z, $A177, Orders!$M:$M, "Return Received")</f>
        <v>5</v>
      </c>
      <c r="AA177" s="123">
        <f t="shared" si="137"/>
        <v>7</v>
      </c>
      <c r="AB177" s="6">
        <f>COUNTIFS(Orders!$Z:$Z, $A177, Orders!$M:$M, "Returned") + COUNTIFS(Orders!$Z:$Z, $A177, Orders!$M:$M, "Returned to Shipper")</f>
        <v>0</v>
      </c>
      <c r="AC177" s="6">
        <f t="shared" si="138"/>
        <v>0</v>
      </c>
      <c r="AD177" s="2">
        <f>SUMIFS(Orders!$U:$U, Orders!$Z:$Z, $A177, Orders!$M:$M, "Delivered")</f>
        <v>29835</v>
      </c>
      <c r="AE177" s="124">
        <f t="shared" si="139"/>
        <v>0</v>
      </c>
      <c r="AF177" s="2" t="str">
        <f>IFERROR(__xludf.DUMMYFUNCTION("IFERROR(TEXTJOIN("", "", TRUE, FILTER(Orders!$B$2:$B$2517, (TEXT(Orders!$D$2:$D$2517,""d-mmm"")=TEXT($A177,""d-mmm"")) * (ABS(Orders!$H$2:$H$2517 - Orders!$U$2:$U$2517) &gt;= 1) * (Orders!$M$2:$M$2517=""Delivered""))), ""All Balanced"")"),"All Balanced")</f>
        <v>All Balanced</v>
      </c>
      <c r="AG177" s="2" t="str">
        <f>IFERROR(__xludf.DUMMYFUNCTION("IFERROR(TEXTJOIN("", "", TRUE, FILTER(Orders!$I$2:$I$3000, (Orders!$M$2:$M$3000=""Delivered"") * (Orders!$N$2:$N$3000&lt;&gt;""Paid"") * (Orders!$Z$2:$Z$3000=$A177))), """")"),"")</f>
        <v/>
      </c>
      <c r="AH177" s="2">
        <f t="shared" si="140"/>
        <v>0</v>
      </c>
    </row>
    <row r="178">
      <c r="A178" s="107">
        <v>46115.0</v>
      </c>
      <c r="B178" s="108">
        <f t="shared" si="123"/>
        <v>2938.263158</v>
      </c>
      <c r="C178" s="108">
        <f>SUMIFS(Orders!$H:$H, Orders!$Z:$Z, $A178, Orders!$M:$M, "Delivered")</f>
        <v>55827</v>
      </c>
      <c r="D178" s="109">
        <f>SUMIFS(Orders!$Q:$Q, Orders!$Z:$Z, $A178, Orders!$M:$M, "Delivered")</f>
        <v>16100</v>
      </c>
      <c r="E178" s="110">
        <f t="shared" si="124"/>
        <v>0.2314695007</v>
      </c>
      <c r="F178" s="111">
        <f t="shared" si="125"/>
        <v>53593.92</v>
      </c>
      <c r="G178" s="111">
        <f t="shared" si="126"/>
        <v>2233.08</v>
      </c>
      <c r="H178" s="111">
        <f t="shared" si="127"/>
        <v>39727</v>
      </c>
      <c r="I178" s="112">
        <f t="shared" si="128"/>
        <v>0</v>
      </c>
      <c r="J178" s="113"/>
      <c r="K178" s="114"/>
      <c r="L178" s="115">
        <f t="shared" si="129"/>
        <v>8033.08</v>
      </c>
      <c r="M178" s="116">
        <f>SUMIFS(Orders!$W:$W, Orders!$Z:$Z, $A178)</f>
        <v>5924.35</v>
      </c>
      <c r="N178" s="117">
        <f t="shared" si="130"/>
        <v>33802.65</v>
      </c>
      <c r="O178" s="118">
        <f t="shared" si="131"/>
        <v>62.06896552</v>
      </c>
      <c r="P178" s="113"/>
      <c r="Q178" s="119">
        <f t="shared" si="132"/>
        <v>0</v>
      </c>
      <c r="R178" s="120">
        <f t="shared" si="133"/>
        <v>0</v>
      </c>
      <c r="S178" s="109">
        <f>COUNTIFS(Orders!$Z:$Z, $A178)</f>
        <v>34</v>
      </c>
      <c r="T178" s="111">
        <f>COUNTIFS(Orders!$Z:$Z, $A178, Orders!$M:$M, "Cancelled")</f>
        <v>5</v>
      </c>
      <c r="U178" s="121">
        <f t="shared" si="134"/>
        <v>0.1470588235</v>
      </c>
      <c r="V178" s="122">
        <f>COUNTIFS(Orders!$Z:$Z, $A178, Orders!$M:$M, "pending")</f>
        <v>2</v>
      </c>
      <c r="W178" s="122">
        <f t="shared" si="135"/>
        <v>29</v>
      </c>
      <c r="X178" s="70">
        <f t="shared" si="136"/>
        <v>0.935483871</v>
      </c>
      <c r="Y178" s="6">
        <f>COUNTIFS(Orders!$Z:$Z, $A178, Orders!$M:$M, "Delivered")</f>
        <v>18</v>
      </c>
      <c r="Z178" s="6">
        <f>COUNTIFS(Orders!$Z:$Z, $A178, Orders!$M:$M, "Return Received")</f>
        <v>3</v>
      </c>
      <c r="AA178" s="123">
        <f t="shared" si="137"/>
        <v>6</v>
      </c>
      <c r="AB178" s="6">
        <f>COUNTIFS(Orders!$Z:$Z, $A178, Orders!$M:$M, "Returned") + COUNTIFS(Orders!$Z:$Z, $A178, Orders!$M:$M, "Returned to Shipper")</f>
        <v>0</v>
      </c>
      <c r="AC178" s="6">
        <f t="shared" si="138"/>
        <v>0</v>
      </c>
      <c r="AD178" s="2">
        <f>SUMIFS(Orders!$U:$U, Orders!$Z:$Z, $A178, Orders!$M:$M, "Delivered")</f>
        <v>52429</v>
      </c>
      <c r="AE178" s="124">
        <f t="shared" si="139"/>
        <v>3398</v>
      </c>
      <c r="AF178" s="2" t="str">
        <f>IFERROR(__xludf.DUMMYFUNCTION("IFERROR(TEXTJOIN("", "", TRUE, FILTER(Orders!$B$2:$B$2517, (TEXT(Orders!$D$2:$D$2517,""d-mmm"")=TEXT($A178,""d-mmm"")) * (ABS(Orders!$H$2:$H$2517 - Orders!$U$2:$U$2517) &gt;= 1) * (Orders!$M$2:$M$2517=""Delivered""))), ""All Balanced"")"),"All Balanced")</f>
        <v>All Balanced</v>
      </c>
      <c r="AG178" s="2" t="str">
        <f>IFERROR(__xludf.DUMMYFUNCTION("IFERROR(TEXTJOIN("", "", TRUE, FILTER(Orders!$I$2:$I$3000, (Orders!$M$2:$M$3000=""Delivered"") * (Orders!$N$2:$N$3000&lt;&gt;""Paid"") * (Orders!$Z$2:$Z$3000=$A178))), """")"),"")</f>
        <v/>
      </c>
      <c r="AH178" s="2">
        <f t="shared" si="140"/>
        <v>0</v>
      </c>
    </row>
    <row r="179">
      <c r="A179" s="107">
        <v>46116.0</v>
      </c>
      <c r="B179" s="108">
        <f t="shared" si="123"/>
        <v>2446.315789</v>
      </c>
      <c r="C179" s="108">
        <f>SUMIFS(Orders!$H:$H, Orders!$Z:$Z, $A179, Orders!$M:$M, "Delivered")</f>
        <v>46480</v>
      </c>
      <c r="D179" s="109">
        <f>SUMIFS(Orders!$Q:$Q, Orders!$Z:$Z, $A179, Orders!$M:$M, "Delivered")</f>
        <v>14755</v>
      </c>
      <c r="E179" s="110">
        <f t="shared" si="124"/>
        <v>0.2121324523</v>
      </c>
      <c r="F179" s="111">
        <f t="shared" si="125"/>
        <v>44620.8</v>
      </c>
      <c r="G179" s="111">
        <f t="shared" si="126"/>
        <v>1859.2</v>
      </c>
      <c r="H179" s="111">
        <f t="shared" si="127"/>
        <v>31725</v>
      </c>
      <c r="I179" s="112">
        <f t="shared" si="128"/>
        <v>0</v>
      </c>
      <c r="J179" s="113"/>
      <c r="K179" s="114"/>
      <c r="L179" s="115">
        <f t="shared" si="129"/>
        <v>5859.2</v>
      </c>
      <c r="M179" s="116">
        <f>SUMIFS(Orders!$W:$W, Orders!$Z:$Z, $A179)</f>
        <v>4171.55</v>
      </c>
      <c r="N179" s="117">
        <f t="shared" si="130"/>
        <v>27553.45</v>
      </c>
      <c r="O179" s="118">
        <f t="shared" si="131"/>
        <v>55</v>
      </c>
      <c r="P179" s="113"/>
      <c r="Q179" s="119">
        <f t="shared" si="132"/>
        <v>0</v>
      </c>
      <c r="R179" s="120">
        <f t="shared" si="133"/>
        <v>0</v>
      </c>
      <c r="S179" s="109">
        <f>COUNTIFS(Orders!$Z:$Z, $A179)</f>
        <v>23</v>
      </c>
      <c r="T179" s="111">
        <f>COUNTIFS(Orders!$Z:$Z, $A179, Orders!$M:$M, "Cancelled")</f>
        <v>3</v>
      </c>
      <c r="U179" s="121">
        <f t="shared" si="134"/>
        <v>0.1304347826</v>
      </c>
      <c r="V179" s="122">
        <f>COUNTIFS(Orders!$Z:$Z, $A179, Orders!$M:$M, "pending")</f>
        <v>0</v>
      </c>
      <c r="W179" s="122">
        <f t="shared" si="135"/>
        <v>20</v>
      </c>
      <c r="X179" s="70">
        <f t="shared" si="136"/>
        <v>0.6451612903</v>
      </c>
      <c r="Y179" s="6">
        <f>COUNTIFS(Orders!$Z:$Z, $A179, Orders!$M:$M, "Delivered")</f>
        <v>11</v>
      </c>
      <c r="Z179" s="6">
        <f>COUNTIFS(Orders!$Z:$Z, $A179, Orders!$M:$M, "Return Received")</f>
        <v>3</v>
      </c>
      <c r="AA179" s="123">
        <f t="shared" si="137"/>
        <v>6</v>
      </c>
      <c r="AB179" s="6">
        <f>COUNTIFS(Orders!$Z:$Z, $A179, Orders!$M:$M, "Returned") + COUNTIFS(Orders!$Z:$Z, $A179, Orders!$M:$M, "Returned to Shipper")</f>
        <v>0</v>
      </c>
      <c r="AC179" s="6">
        <f t="shared" si="138"/>
        <v>0</v>
      </c>
      <c r="AD179" s="2">
        <f>SUMIFS(Orders!$U:$U, Orders!$Z:$Z, $A179, Orders!$M:$M, "Delivered")</f>
        <v>44582</v>
      </c>
      <c r="AE179" s="124">
        <f t="shared" si="139"/>
        <v>1898</v>
      </c>
      <c r="AF179" s="2" t="str">
        <f>IFERROR(__xludf.DUMMYFUNCTION("IFERROR(TEXTJOIN("", "", TRUE, FILTER(Orders!$B$2:$B$2517, (TEXT(Orders!$D$2:$D$2517,""d-mmm"")=TEXT($A179,""d-mmm"")) * (ABS(Orders!$H$2:$H$2517 - Orders!$U$2:$U$2517) &gt;= 1) * (Orders!$M$2:$M$2517=""Delivered""))), ""All Balanced"")"),"All Balanced")</f>
        <v>All Balanced</v>
      </c>
      <c r="AG179" s="2" t="str">
        <f>IFERROR(__xludf.DUMMYFUNCTION("IFERROR(TEXTJOIN("", "", TRUE, FILTER(Orders!$I$2:$I$3000, (Orders!$M$2:$M$3000=""Delivered"") * (Orders!$N$2:$N$3000&lt;&gt;""Paid"") * (Orders!$Z$2:$Z$3000=$A179))), """")"),"")</f>
        <v/>
      </c>
      <c r="AH179" s="2">
        <f t="shared" si="140"/>
        <v>0</v>
      </c>
    </row>
    <row r="180">
      <c r="A180" s="107">
        <v>46117.0</v>
      </c>
      <c r="B180" s="108">
        <f t="shared" si="123"/>
        <v>2680.263158</v>
      </c>
      <c r="C180" s="108">
        <f>SUMIFS(Orders!$H:$H, Orders!$Z:$Z, $A180, Orders!$M:$M, "Delivered")</f>
        <v>50925</v>
      </c>
      <c r="D180" s="109">
        <f>SUMIFS(Orders!$Q:$Q, Orders!$Z:$Z, $A180, Orders!$M:$M, "Delivered")</f>
        <v>13850</v>
      </c>
      <c r="E180" s="110">
        <f t="shared" si="124"/>
        <v>0.1991212785</v>
      </c>
      <c r="F180" s="111">
        <f t="shared" si="125"/>
        <v>48888</v>
      </c>
      <c r="G180" s="111">
        <f t="shared" si="126"/>
        <v>2037</v>
      </c>
      <c r="H180" s="111">
        <f t="shared" si="127"/>
        <v>37075</v>
      </c>
      <c r="I180" s="112">
        <f t="shared" si="128"/>
        <v>0</v>
      </c>
      <c r="J180" s="113"/>
      <c r="K180" s="114"/>
      <c r="L180" s="115">
        <f t="shared" si="129"/>
        <v>7637</v>
      </c>
      <c r="M180" s="116">
        <f>SUMIFS(Orders!$W:$W, Orders!$Z:$Z, $A180)</f>
        <v>5855</v>
      </c>
      <c r="N180" s="117">
        <f t="shared" si="130"/>
        <v>31220</v>
      </c>
      <c r="O180" s="118">
        <f t="shared" si="131"/>
        <v>53.57142857</v>
      </c>
      <c r="P180" s="113"/>
      <c r="Q180" s="119">
        <f t="shared" si="132"/>
        <v>0</v>
      </c>
      <c r="R180" s="120">
        <f t="shared" si="133"/>
        <v>0</v>
      </c>
      <c r="S180" s="109">
        <f>COUNTIFS(Orders!$Z:$Z, $A180)</f>
        <v>34</v>
      </c>
      <c r="T180" s="111">
        <f>COUNTIFS(Orders!$Z:$Z, $A180, Orders!$M:$M, "Cancelled")</f>
        <v>6</v>
      </c>
      <c r="U180" s="121">
        <f t="shared" si="134"/>
        <v>0.1764705882</v>
      </c>
      <c r="V180" s="122">
        <f>COUNTIFS(Orders!$Z:$Z, $A180, Orders!$M:$M, "pending")</f>
        <v>2</v>
      </c>
      <c r="W180" s="122">
        <f t="shared" si="135"/>
        <v>28</v>
      </c>
      <c r="X180" s="70">
        <f t="shared" si="136"/>
        <v>0.9032258065</v>
      </c>
      <c r="Y180" s="6">
        <f>COUNTIFS(Orders!$Z:$Z, $A180, Orders!$M:$M, "Delivered")</f>
        <v>15</v>
      </c>
      <c r="Z180" s="6">
        <f>COUNTIFS(Orders!$Z:$Z, $A180, Orders!$M:$M, "Return Received")</f>
        <v>5</v>
      </c>
      <c r="AA180" s="123">
        <f t="shared" si="137"/>
        <v>6</v>
      </c>
      <c r="AB180" s="6">
        <f>COUNTIFS(Orders!$Z:$Z, $A180, Orders!$M:$M, "Returned") + COUNTIFS(Orders!$Z:$Z, $A180, Orders!$M:$M, "Returned to Shipper")</f>
        <v>0</v>
      </c>
      <c r="AC180" s="6">
        <f t="shared" si="138"/>
        <v>0</v>
      </c>
      <c r="AD180" s="2">
        <f>SUMIFS(Orders!$U:$U, Orders!$Z:$Z, $A180, Orders!$M:$M, "Delivered")</f>
        <v>42779</v>
      </c>
      <c r="AE180" s="124">
        <f t="shared" si="139"/>
        <v>8146</v>
      </c>
      <c r="AF180" s="2" t="str">
        <f>IFERROR(__xludf.DUMMYFUNCTION("IFERROR(TEXTJOIN("", "", TRUE, FILTER(Orders!$B$2:$B$2517, (TEXT(Orders!$D$2:$D$2517,""d-mmm"")=TEXT($A180,""d-mmm"")) * (ABS(Orders!$H$2:$H$2517 - Orders!$U$2:$U$2517) &gt;= 1) * (Orders!$M$2:$M$2517=""Delivered""))), ""All Balanced"")"),"All Balanced")</f>
        <v>All Balanced</v>
      </c>
      <c r="AG180" s="2" t="str">
        <f>IFERROR(__xludf.DUMMYFUNCTION("IFERROR(TEXTJOIN("", "", TRUE, FILTER(Orders!$I$2:$I$3000, (Orders!$M$2:$M$3000=""Delivered"") * (Orders!$N$2:$N$3000&lt;&gt;""Paid"") * (Orders!$Z$2:$Z$3000=$A180))), """")"),"")</f>
        <v/>
      </c>
      <c r="AH180" s="2">
        <f t="shared" si="140"/>
        <v>0</v>
      </c>
    </row>
    <row r="181">
      <c r="A181" s="107">
        <v>46118.0</v>
      </c>
      <c r="B181" s="108">
        <f t="shared" si="123"/>
        <v>1688.578947</v>
      </c>
      <c r="C181" s="108">
        <f>SUMIFS(Orders!$H:$H, Orders!$Z:$Z, $A181, Orders!$M:$M, "Delivered")</f>
        <v>32083</v>
      </c>
      <c r="D181" s="109">
        <f>SUMIFS(Orders!$Q:$Q, Orders!$Z:$Z, $A181, Orders!$M:$M, "Delivered")</f>
        <v>8940</v>
      </c>
      <c r="E181" s="110">
        <f t="shared" si="124"/>
        <v>0.1285302693</v>
      </c>
      <c r="F181" s="111">
        <f t="shared" si="125"/>
        <v>30799.68</v>
      </c>
      <c r="G181" s="111">
        <f t="shared" si="126"/>
        <v>1283.32</v>
      </c>
      <c r="H181" s="111">
        <f t="shared" si="127"/>
        <v>23143</v>
      </c>
      <c r="I181" s="112">
        <f t="shared" si="128"/>
        <v>0</v>
      </c>
      <c r="J181" s="113"/>
      <c r="K181" s="114"/>
      <c r="L181" s="115">
        <f t="shared" si="129"/>
        <v>4883.32</v>
      </c>
      <c r="M181" s="116">
        <f>SUMIFS(Orders!$W:$W, Orders!$Z:$Z, $A181)</f>
        <v>3802.82</v>
      </c>
      <c r="N181" s="117">
        <f t="shared" si="130"/>
        <v>19340.18</v>
      </c>
      <c r="O181" s="118">
        <f t="shared" si="131"/>
        <v>61.11111111</v>
      </c>
      <c r="P181" s="113"/>
      <c r="Q181" s="119">
        <f t="shared" si="132"/>
        <v>0</v>
      </c>
      <c r="R181" s="120">
        <f t="shared" si="133"/>
        <v>0</v>
      </c>
      <c r="S181" s="109">
        <f>COUNTIFS(Orders!$Z:$Z, $A181)</f>
        <v>21</v>
      </c>
      <c r="T181" s="111">
        <f>COUNTIFS(Orders!$Z:$Z, $A181, Orders!$M:$M, "Cancelled")</f>
        <v>3</v>
      </c>
      <c r="U181" s="121">
        <f t="shared" si="134"/>
        <v>0.1428571429</v>
      </c>
      <c r="V181" s="122">
        <f>COUNTIFS(Orders!$Z:$Z, $A181, Orders!$M:$M, "pending")</f>
        <v>1</v>
      </c>
      <c r="W181" s="122">
        <f t="shared" si="135"/>
        <v>18</v>
      </c>
      <c r="X181" s="70">
        <f t="shared" si="136"/>
        <v>0.5806451613</v>
      </c>
      <c r="Y181" s="6">
        <f>COUNTIFS(Orders!$Z:$Z, $A181, Orders!$M:$M, "Delivered")</f>
        <v>11</v>
      </c>
      <c r="Z181" s="6">
        <f>COUNTIFS(Orders!$Z:$Z, $A181, Orders!$M:$M, "Return Received")</f>
        <v>1</v>
      </c>
      <c r="AA181" s="123">
        <f t="shared" si="137"/>
        <v>5</v>
      </c>
      <c r="AB181" s="6">
        <f>COUNTIFS(Orders!$Z:$Z, $A181, Orders!$M:$M, "Returned") + COUNTIFS(Orders!$Z:$Z, $A181, Orders!$M:$M, "Returned to Shipper")</f>
        <v>0</v>
      </c>
      <c r="AC181" s="6">
        <f t="shared" si="138"/>
        <v>0</v>
      </c>
      <c r="AD181" s="2">
        <f>SUMIFS(Orders!$U:$U, Orders!$Z:$Z, $A181, Orders!$M:$M, "Delivered")</f>
        <v>31784</v>
      </c>
      <c r="AE181" s="124">
        <f t="shared" si="139"/>
        <v>299</v>
      </c>
      <c r="AF181" s="2" t="str">
        <f>IFERROR(__xludf.DUMMYFUNCTION("IFERROR(TEXTJOIN("", "", TRUE, FILTER(Orders!$B$2:$B$2517, (TEXT(Orders!$D$2:$D$2517,""d-mmm"")=TEXT($A181,""d-mmm"")) * (ABS(Orders!$H$2:$H$2517 - Orders!$U$2:$U$2517) &gt;= 1) * (Orders!$M$2:$M$2517=""Delivered""))), ""All Balanced"")"),"All Balanced")</f>
        <v>All Balanced</v>
      </c>
      <c r="AG181" s="2" t="str">
        <f>IFERROR(__xludf.DUMMYFUNCTION("IFERROR(TEXTJOIN("", "", TRUE, FILTER(Orders!$I$2:$I$3000, (Orders!$M$2:$M$3000=""Delivered"") * (Orders!$N$2:$N$3000&lt;&gt;""Paid"") * (Orders!$Z$2:$Z$3000=$A181))), """")"),"")</f>
        <v/>
      </c>
      <c r="AH181" s="2">
        <f t="shared" si="140"/>
        <v>0</v>
      </c>
    </row>
    <row r="182">
      <c r="A182" s="107">
        <v>46119.0</v>
      </c>
      <c r="B182" s="108">
        <f t="shared" si="123"/>
        <v>2783.789474</v>
      </c>
      <c r="C182" s="108">
        <f>SUMIFS(Orders!$H:$H, Orders!$Z:$Z, $A182, Orders!$M:$M, "Delivered")</f>
        <v>52892</v>
      </c>
      <c r="D182" s="109">
        <f>SUMIFS(Orders!$Q:$Q, Orders!$Z:$Z, $A182, Orders!$M:$M, "Delivered")</f>
        <v>15020</v>
      </c>
      <c r="E182" s="110">
        <f t="shared" si="124"/>
        <v>0.215942354</v>
      </c>
      <c r="F182" s="111">
        <f t="shared" si="125"/>
        <v>50776.32</v>
      </c>
      <c r="G182" s="111">
        <f t="shared" si="126"/>
        <v>2115.68</v>
      </c>
      <c r="H182" s="111">
        <f t="shared" si="127"/>
        <v>37872</v>
      </c>
      <c r="I182" s="112">
        <f t="shared" si="128"/>
        <v>0</v>
      </c>
      <c r="J182" s="113"/>
      <c r="K182" s="114"/>
      <c r="L182" s="115">
        <f t="shared" si="129"/>
        <v>9115.68</v>
      </c>
      <c r="M182" s="116">
        <f>SUMIFS(Orders!$W:$W, Orders!$Z:$Z, $A182)</f>
        <v>6692.07</v>
      </c>
      <c r="N182" s="117">
        <f t="shared" si="130"/>
        <v>31179.93</v>
      </c>
      <c r="O182" s="118">
        <f t="shared" si="131"/>
        <v>48.57142857</v>
      </c>
      <c r="P182" s="113"/>
      <c r="Q182" s="119">
        <f t="shared" si="132"/>
        <v>0</v>
      </c>
      <c r="R182" s="120">
        <f t="shared" si="133"/>
        <v>0</v>
      </c>
      <c r="S182" s="109">
        <f>COUNTIFS(Orders!$Z:$Z, $A182)</f>
        <v>41</v>
      </c>
      <c r="T182" s="111">
        <f>COUNTIFS(Orders!$Z:$Z, $A182, Orders!$M:$M, "Cancelled")</f>
        <v>6</v>
      </c>
      <c r="U182" s="121">
        <f t="shared" si="134"/>
        <v>0.1463414634</v>
      </c>
      <c r="V182" s="122">
        <f>COUNTIFS(Orders!$Z:$Z, $A182, Orders!$M:$M, "pending")</f>
        <v>5</v>
      </c>
      <c r="W182" s="122">
        <f t="shared" si="135"/>
        <v>35</v>
      </c>
      <c r="X182" s="70">
        <f t="shared" si="136"/>
        <v>1.129032258</v>
      </c>
      <c r="Y182" s="6">
        <f>COUNTIFS(Orders!$Z:$Z, $A182, Orders!$M:$M, "Delivered")</f>
        <v>17</v>
      </c>
      <c r="Z182" s="6">
        <f>COUNTIFS(Orders!$Z:$Z, $A182, Orders!$M:$M, "Return Received")</f>
        <v>7</v>
      </c>
      <c r="AA182" s="123">
        <f t="shared" si="137"/>
        <v>6</v>
      </c>
      <c r="AB182" s="6">
        <f>COUNTIFS(Orders!$Z:$Z, $A182, Orders!$M:$M, "Returned") + COUNTIFS(Orders!$Z:$Z, $A182, Orders!$M:$M, "Returned to Shipper")</f>
        <v>0</v>
      </c>
      <c r="AC182" s="6">
        <f t="shared" si="138"/>
        <v>0</v>
      </c>
      <c r="AD182" s="2">
        <f>SUMIFS(Orders!$U:$U, Orders!$Z:$Z, $A182, Orders!$M:$M, "Delivered")</f>
        <v>46977</v>
      </c>
      <c r="AE182" s="124">
        <f t="shared" si="139"/>
        <v>5915</v>
      </c>
      <c r="AF182" s="2" t="str">
        <f>IFERROR(__xludf.DUMMYFUNCTION("IFERROR(TEXTJOIN("", "", TRUE, FILTER(Orders!$B$2:$B$2517, (TEXT(Orders!$D$2:$D$2517,""d-mmm"")=TEXT($A182,""d-mmm"")) * (ABS(Orders!$H$2:$H$2517 - Orders!$U$2:$U$2517) &gt;= 1) * (Orders!$M$2:$M$2517=""Delivered""))), ""All Balanced"")"),"All Balanced")</f>
        <v>All Balanced</v>
      </c>
      <c r="AG182" s="2" t="str">
        <f>IFERROR(__xludf.DUMMYFUNCTION("IFERROR(TEXTJOIN("", "", TRUE, FILTER(Orders!$I$2:$I$3000, (Orders!$M$2:$M$3000=""Delivered"") * (Orders!$N$2:$N$3000&lt;&gt;""Paid"") * (Orders!$Z$2:$Z$3000=$A182))), """")"),"")</f>
        <v/>
      </c>
      <c r="AH182" s="2">
        <f t="shared" si="140"/>
        <v>0</v>
      </c>
    </row>
    <row r="183">
      <c r="A183" s="107">
        <v>46120.0</v>
      </c>
      <c r="B183" s="108">
        <f t="shared" si="123"/>
        <v>3216.210526</v>
      </c>
      <c r="C183" s="108">
        <f>SUMIFS(Orders!$H:$H, Orders!$Z:$Z, $A183, Orders!$M:$M, "Delivered")</f>
        <v>61108</v>
      </c>
      <c r="D183" s="109">
        <f>SUMIFS(Orders!$Q:$Q, Orders!$Z:$Z, $A183, Orders!$M:$M, "Delivered")</f>
        <v>18580</v>
      </c>
      <c r="E183" s="110">
        <f t="shared" si="124"/>
        <v>0.26712443</v>
      </c>
      <c r="F183" s="111">
        <f t="shared" si="125"/>
        <v>58663.68</v>
      </c>
      <c r="G183" s="111">
        <f t="shared" si="126"/>
        <v>2444.32</v>
      </c>
      <c r="H183" s="111">
        <f t="shared" si="127"/>
        <v>42528</v>
      </c>
      <c r="I183" s="112">
        <f t="shared" si="128"/>
        <v>0</v>
      </c>
      <c r="J183" s="113"/>
      <c r="K183" s="114"/>
      <c r="L183" s="115">
        <f t="shared" si="129"/>
        <v>7444.32</v>
      </c>
      <c r="M183" s="116">
        <f>SUMIFS(Orders!$W:$W, Orders!$Z:$Z, $A183)</f>
        <v>5068.41</v>
      </c>
      <c r="N183" s="117">
        <f t="shared" si="130"/>
        <v>37459.59</v>
      </c>
      <c r="O183" s="118">
        <f t="shared" si="131"/>
        <v>68</v>
      </c>
      <c r="P183" s="113"/>
      <c r="Q183" s="119">
        <f t="shared" si="132"/>
        <v>0</v>
      </c>
      <c r="R183" s="120">
        <f t="shared" si="133"/>
        <v>0</v>
      </c>
      <c r="S183" s="109">
        <f>COUNTIFS(Orders!$Z:$Z, $A183)</f>
        <v>29</v>
      </c>
      <c r="T183" s="111">
        <f>COUNTIFS(Orders!$Z:$Z, $A183, Orders!$M:$M, "Cancelled")</f>
        <v>4</v>
      </c>
      <c r="U183" s="121">
        <f t="shared" si="134"/>
        <v>0.1379310345</v>
      </c>
      <c r="V183" s="122">
        <f>COUNTIFS(Orders!$Z:$Z, $A183, Orders!$M:$M, "pending")</f>
        <v>2</v>
      </c>
      <c r="W183" s="122">
        <f t="shared" si="135"/>
        <v>25</v>
      </c>
      <c r="X183" s="70">
        <f t="shared" si="136"/>
        <v>0.8064516129</v>
      </c>
      <c r="Y183" s="6">
        <f>COUNTIFS(Orders!$Z:$Z, $A183, Orders!$M:$M, "Delivered")</f>
        <v>17</v>
      </c>
      <c r="Z183" s="6">
        <f>COUNTIFS(Orders!$Z:$Z, $A183, Orders!$M:$M, "Return Received")</f>
        <v>2</v>
      </c>
      <c r="AA183" s="123">
        <f t="shared" si="137"/>
        <v>4</v>
      </c>
      <c r="AB183" s="6">
        <f>COUNTIFS(Orders!$Z:$Z, $A183, Orders!$M:$M, "Returned") + COUNTIFS(Orders!$Z:$Z, $A183, Orders!$M:$M, "Returned to Shipper")</f>
        <v>0</v>
      </c>
      <c r="AC183" s="6">
        <f t="shared" si="138"/>
        <v>0</v>
      </c>
      <c r="AD183" s="2">
        <f>SUMIFS(Orders!$U:$U, Orders!$Z:$Z, $A183, Orders!$M:$M, "Delivered")</f>
        <v>43873</v>
      </c>
      <c r="AE183" s="124">
        <f t="shared" si="139"/>
        <v>17235</v>
      </c>
      <c r="AF183" s="2" t="str">
        <f>IFERROR(__xludf.DUMMYFUNCTION("IFERROR(TEXTJOIN("", "", TRUE, FILTER(Orders!$B$2:$B$2517, (TEXT(Orders!$D$2:$D$2517,""d-mmm"")=TEXT($A183,""d-mmm"")) * (ABS(Orders!$H$2:$H$2517 - Orders!$U$2:$U$2517) &gt;= 1) * (Orders!$M$2:$M$2517=""Delivered""))), ""All Balanced"")"),"All Balanced")</f>
        <v>All Balanced</v>
      </c>
      <c r="AG183" s="2" t="str">
        <f>IFERROR(__xludf.DUMMYFUNCTION("IFERROR(TEXTJOIN("", "", TRUE, FILTER(Orders!$I$2:$I$3000, (Orders!$M$2:$M$3000=""Delivered"") * (Orders!$N$2:$N$3000&lt;&gt;""Paid"") * (Orders!$Z$2:$Z$3000=$A183))), """")"),"")</f>
        <v/>
      </c>
      <c r="AH183" s="2">
        <f t="shared" si="140"/>
        <v>0</v>
      </c>
    </row>
    <row r="184">
      <c r="A184" s="107">
        <v>46121.0</v>
      </c>
      <c r="B184" s="108">
        <f t="shared" si="123"/>
        <v>2924.210526</v>
      </c>
      <c r="C184" s="108">
        <f>SUMIFS(Orders!$H:$H, Orders!$Z:$Z, $A184, Orders!$M:$M, "Delivered")</f>
        <v>55560</v>
      </c>
      <c r="D184" s="109">
        <f>SUMIFS(Orders!$Q:$Q, Orders!$Z:$Z, $A184, Orders!$M:$M, "Delivered")</f>
        <v>16130</v>
      </c>
      <c r="E184" s="110">
        <f t="shared" si="124"/>
        <v>0.2319008103</v>
      </c>
      <c r="F184" s="111">
        <f t="shared" si="125"/>
        <v>53337.6</v>
      </c>
      <c r="G184" s="111">
        <f t="shared" si="126"/>
        <v>2222.4</v>
      </c>
      <c r="H184" s="111">
        <f t="shared" si="127"/>
        <v>39430</v>
      </c>
      <c r="I184" s="112">
        <f t="shared" si="128"/>
        <v>0</v>
      </c>
      <c r="J184" s="113"/>
      <c r="K184" s="114"/>
      <c r="L184" s="115">
        <f t="shared" si="129"/>
        <v>7822.4</v>
      </c>
      <c r="M184" s="116">
        <f>SUMIFS(Orders!$W:$W, Orders!$Z:$Z, $A184)</f>
        <v>6065.43</v>
      </c>
      <c r="N184" s="117">
        <f t="shared" si="130"/>
        <v>33364.57</v>
      </c>
      <c r="O184" s="118">
        <f t="shared" si="131"/>
        <v>67.85714286</v>
      </c>
      <c r="P184" s="113"/>
      <c r="Q184" s="119">
        <f t="shared" si="132"/>
        <v>0</v>
      </c>
      <c r="R184" s="120">
        <f t="shared" si="133"/>
        <v>0</v>
      </c>
      <c r="S184" s="109">
        <f>COUNTIFS(Orders!$Z:$Z, $A184)</f>
        <v>30</v>
      </c>
      <c r="T184" s="111">
        <f>COUNTIFS(Orders!$Z:$Z, $A184, Orders!$M:$M, "Cancelled")</f>
        <v>2</v>
      </c>
      <c r="U184" s="121">
        <f t="shared" si="134"/>
        <v>0.06666666667</v>
      </c>
      <c r="V184" s="122">
        <f>COUNTIFS(Orders!$Z:$Z, $A184, Orders!$M:$M, "pending")</f>
        <v>2</v>
      </c>
      <c r="W184" s="122">
        <f t="shared" si="135"/>
        <v>28</v>
      </c>
      <c r="X184" s="70">
        <f t="shared" si="136"/>
        <v>0.9032258065</v>
      </c>
      <c r="Y184" s="6">
        <f>COUNTIFS(Orders!$Z:$Z, $A184, Orders!$M:$M, "Delivered")</f>
        <v>19</v>
      </c>
      <c r="Z184" s="6">
        <f>COUNTIFS(Orders!$Z:$Z, $A184, Orders!$M:$M, "Return Received")</f>
        <v>4</v>
      </c>
      <c r="AA184" s="123">
        <f t="shared" si="137"/>
        <v>3</v>
      </c>
      <c r="AB184" s="6">
        <f>COUNTIFS(Orders!$Z:$Z, $A184, Orders!$M:$M, "Returned") + COUNTIFS(Orders!$Z:$Z, $A184, Orders!$M:$M, "Returned to Shipper")</f>
        <v>0</v>
      </c>
      <c r="AC184" s="6">
        <f t="shared" si="138"/>
        <v>0</v>
      </c>
      <c r="AD184" s="2">
        <f>SUMIFS(Orders!$U:$U, Orders!$Z:$Z, $A184, Orders!$M:$M, "Delivered")</f>
        <v>48766</v>
      </c>
      <c r="AE184" s="124">
        <f t="shared" si="139"/>
        <v>6794</v>
      </c>
      <c r="AF184" s="2" t="str">
        <f>IFERROR(__xludf.DUMMYFUNCTION("IFERROR(TEXTJOIN("", "", TRUE, FILTER(Orders!$B$2:$B$2517, (TEXT(Orders!$D$2:$D$2517,""d-mmm"")=TEXT($A184,""d-mmm"")) * (ABS(Orders!$H$2:$H$2517 - Orders!$U$2:$U$2517) &gt;= 1) * (Orders!$M$2:$M$2517=""Delivered""))), ""All Balanced"")"),"All Balanced")</f>
        <v>All Balanced</v>
      </c>
      <c r="AG184" s="2" t="str">
        <f>IFERROR(__xludf.DUMMYFUNCTION("IFERROR(TEXTJOIN("", "", TRUE, FILTER(Orders!$I$2:$I$3000, (Orders!$M$2:$M$3000=""Delivered"") * (Orders!$N$2:$N$3000&lt;&gt;""Paid"") * (Orders!$Z$2:$Z$3000=$A184))), """")"),"")</f>
        <v/>
      </c>
      <c r="AH184" s="2">
        <f t="shared" si="140"/>
        <v>0</v>
      </c>
    </row>
    <row r="185">
      <c r="A185" s="107">
        <v>46122.0</v>
      </c>
      <c r="B185" s="108">
        <f t="shared" si="123"/>
        <v>3870.628421</v>
      </c>
      <c r="C185" s="108">
        <f>SUMIFS(Orders!$H:$H, Orders!$Z:$Z, $A185, Orders!$M:$M, "Delivered")</f>
        <v>73541.94</v>
      </c>
      <c r="D185" s="109">
        <f>SUMIFS(Orders!$Q:$Q, Orders!$Z:$Z, $A185, Orders!$M:$M, "Delivered")</f>
        <v>23840</v>
      </c>
      <c r="E185" s="110">
        <f t="shared" si="124"/>
        <v>0.3427473848</v>
      </c>
      <c r="F185" s="111">
        <f t="shared" si="125"/>
        <v>70600.2624</v>
      </c>
      <c r="G185" s="111">
        <f t="shared" si="126"/>
        <v>2941.6776</v>
      </c>
      <c r="H185" s="111">
        <f t="shared" si="127"/>
        <v>49701.94</v>
      </c>
      <c r="I185" s="112">
        <f t="shared" si="128"/>
        <v>0</v>
      </c>
      <c r="J185" s="113"/>
      <c r="K185" s="114"/>
      <c r="L185" s="115">
        <f t="shared" si="129"/>
        <v>9941.6776</v>
      </c>
      <c r="M185" s="116">
        <f>SUMIFS(Orders!$W:$W, Orders!$Z:$Z, $A185)</f>
        <v>8078.42</v>
      </c>
      <c r="N185" s="117">
        <f t="shared" si="130"/>
        <v>41623.52</v>
      </c>
      <c r="O185" s="118">
        <f t="shared" si="131"/>
        <v>62.85714286</v>
      </c>
      <c r="P185" s="113"/>
      <c r="Q185" s="119">
        <f t="shared" si="132"/>
        <v>0</v>
      </c>
      <c r="R185" s="120">
        <f t="shared" si="133"/>
        <v>0</v>
      </c>
      <c r="S185" s="109">
        <f>COUNTIFS(Orders!$Z:$Z, $A185)</f>
        <v>35</v>
      </c>
      <c r="T185" s="111">
        <f>COUNTIFS(Orders!$Z:$Z, $A185, Orders!$M:$M, "Cancelled")</f>
        <v>0</v>
      </c>
      <c r="U185" s="121">
        <f t="shared" si="134"/>
        <v>0</v>
      </c>
      <c r="V185" s="122">
        <f>COUNTIFS(Orders!$Z:$Z, $A185, Orders!$M:$M, "pending")</f>
        <v>5</v>
      </c>
      <c r="W185" s="122">
        <f t="shared" si="135"/>
        <v>35</v>
      </c>
      <c r="X185" s="70">
        <f t="shared" si="136"/>
        <v>1.129032258</v>
      </c>
      <c r="Y185" s="6">
        <f>COUNTIFS(Orders!$Z:$Z, $A185, Orders!$M:$M, "Delivered")</f>
        <v>22</v>
      </c>
      <c r="Z185" s="6">
        <f>COUNTIFS(Orders!$Z:$Z, $A185, Orders!$M:$M, "Return Received")</f>
        <v>2</v>
      </c>
      <c r="AA185" s="123">
        <f t="shared" si="137"/>
        <v>6</v>
      </c>
      <c r="AB185" s="6">
        <f>COUNTIFS(Orders!$Z:$Z, $A185, Orders!$M:$M, "Returned") + COUNTIFS(Orders!$Z:$Z, $A185, Orders!$M:$M, "Returned to Shipper")</f>
        <v>0</v>
      </c>
      <c r="AC185" s="6">
        <f t="shared" si="138"/>
        <v>0</v>
      </c>
      <c r="AD185" s="2">
        <f>SUMIFS(Orders!$U:$U, Orders!$Z:$Z, $A185, Orders!$M:$M, "Delivered")</f>
        <v>69542</v>
      </c>
      <c r="AE185" s="124">
        <f t="shared" si="139"/>
        <v>3999.94</v>
      </c>
      <c r="AF185" s="2" t="str">
        <f>IFERROR(__xludf.DUMMYFUNCTION("IFERROR(TEXTJOIN("", "", TRUE, FILTER(Orders!$B$2:$B$2517, (TEXT(Orders!$D$2:$D$2517,""d-mmm"")=TEXT($A185,""d-mmm"")) * (ABS(Orders!$H$2:$H$2517 - Orders!$U$2:$U$2517) &gt;= 1) * (Orders!$M$2:$M$2517=""Delivered""))), ""All Balanced"")"),"All Balanced")</f>
        <v>All Balanced</v>
      </c>
      <c r="AG185" s="2" t="str">
        <f>IFERROR(__xludf.DUMMYFUNCTION("IFERROR(TEXTJOIN("", "", TRUE, FILTER(Orders!$I$2:$I$3000, (Orders!$M$2:$M$3000=""Delivered"") * (Orders!$N$2:$N$3000&lt;&gt;""Paid"") * (Orders!$Z$2:$Z$3000=$A185))), """")"),"")</f>
        <v/>
      </c>
      <c r="AH185" s="2">
        <f t="shared" si="140"/>
        <v>0</v>
      </c>
    </row>
    <row r="186">
      <c r="A186" s="107">
        <v>46123.0</v>
      </c>
      <c r="B186" s="108">
        <f t="shared" si="123"/>
        <v>2853.631579</v>
      </c>
      <c r="C186" s="108">
        <f>SUMIFS(Orders!$H:$H, Orders!$Z:$Z, $A186, Orders!$M:$M, "Delivered")</f>
        <v>54219</v>
      </c>
      <c r="D186" s="109">
        <f>SUMIFS(Orders!$Q:$Q, Orders!$Z:$Z, $A186, Orders!$M:$M, "Delivered")</f>
        <v>16360</v>
      </c>
      <c r="E186" s="110">
        <f t="shared" si="124"/>
        <v>0.2352075174</v>
      </c>
      <c r="F186" s="111">
        <f t="shared" si="125"/>
        <v>52050.24</v>
      </c>
      <c r="G186" s="111">
        <f t="shared" si="126"/>
        <v>2168.76</v>
      </c>
      <c r="H186" s="111">
        <f t="shared" si="127"/>
        <v>37859</v>
      </c>
      <c r="I186" s="112">
        <f t="shared" si="128"/>
        <v>0</v>
      </c>
      <c r="J186" s="113"/>
      <c r="K186" s="114"/>
      <c r="L186" s="115">
        <f t="shared" si="129"/>
        <v>9168.76</v>
      </c>
      <c r="M186" s="116">
        <f>SUMIFS(Orders!$W:$W, Orders!$Z:$Z, $A186)</f>
        <v>5274.5</v>
      </c>
      <c r="N186" s="117">
        <f t="shared" si="130"/>
        <v>32584.5</v>
      </c>
      <c r="O186" s="118">
        <f t="shared" si="131"/>
        <v>54.28571429</v>
      </c>
      <c r="P186" s="113"/>
      <c r="Q186" s="119">
        <f t="shared" si="132"/>
        <v>0</v>
      </c>
      <c r="R186" s="120">
        <f t="shared" si="133"/>
        <v>0</v>
      </c>
      <c r="S186" s="109">
        <f>COUNTIFS(Orders!$Z:$Z, $A186)</f>
        <v>38</v>
      </c>
      <c r="T186" s="111">
        <f>COUNTIFS(Orders!$Z:$Z, $A186, Orders!$M:$M, "Cancelled")</f>
        <v>3</v>
      </c>
      <c r="U186" s="121">
        <f t="shared" si="134"/>
        <v>0.07894736842</v>
      </c>
      <c r="V186" s="122">
        <f>COUNTIFS(Orders!$Z:$Z, $A186, Orders!$M:$M, "pending")</f>
        <v>13</v>
      </c>
      <c r="W186" s="122">
        <f t="shared" si="135"/>
        <v>35</v>
      </c>
      <c r="X186" s="70">
        <f t="shared" si="136"/>
        <v>1.129032258</v>
      </c>
      <c r="Y186" s="6">
        <f>COUNTIFS(Orders!$Z:$Z, $A186, Orders!$M:$M, "Delivered")</f>
        <v>19</v>
      </c>
      <c r="Z186" s="6">
        <f>COUNTIFS(Orders!$Z:$Z, $A186, Orders!$M:$M, "Return Received")</f>
        <v>1</v>
      </c>
      <c r="AA186" s="123">
        <f t="shared" si="137"/>
        <v>2</v>
      </c>
      <c r="AB186" s="6">
        <f>COUNTIFS(Orders!$Z:$Z, $A186, Orders!$M:$M, "Returned") + COUNTIFS(Orders!$Z:$Z, $A186, Orders!$M:$M, "Returned to Shipper")</f>
        <v>0</v>
      </c>
      <c r="AC186" s="6">
        <f t="shared" si="138"/>
        <v>0</v>
      </c>
      <c r="AD186" s="2">
        <f>SUMIFS(Orders!$U:$U, Orders!$Z:$Z, $A186, Orders!$M:$M, "Delivered")</f>
        <v>42777</v>
      </c>
      <c r="AE186" s="124">
        <f t="shared" si="139"/>
        <v>11442</v>
      </c>
      <c r="AF186" s="2" t="str">
        <f>IFERROR(__xludf.DUMMYFUNCTION("IFERROR(TEXTJOIN("", "", TRUE, FILTER(Orders!$B$2:$B$2517, (TEXT(Orders!$D$2:$D$2517,""d-mmm"")=TEXT($A186,""d-mmm"")) * (ABS(Orders!$H$2:$H$2517 - Orders!$U$2:$U$2517) &gt;= 1) * (Orders!$M$2:$M$2517=""Delivered""))), ""All Balanced"")"),"All Balanced")</f>
        <v>All Balanced</v>
      </c>
      <c r="AG186" s="2" t="str">
        <f>IFERROR(__xludf.DUMMYFUNCTION("IFERROR(TEXTJOIN("", "", TRUE, FILTER(Orders!$I$2:$I$3000, (Orders!$M$2:$M$3000=""Delivered"") * (Orders!$N$2:$N$3000&lt;&gt;""Paid"") * (Orders!$Z$2:$Z$3000=$A186))), """")"),"")</f>
        <v/>
      </c>
      <c r="AH186" s="2">
        <f t="shared" si="140"/>
        <v>0</v>
      </c>
    </row>
    <row r="187">
      <c r="A187" s="107">
        <v>46124.0</v>
      </c>
      <c r="B187" s="108">
        <f t="shared" si="123"/>
        <v>4182.156842</v>
      </c>
      <c r="C187" s="108">
        <f>SUMIFS(Orders!$H:$H, Orders!$Z:$Z, $A187, Orders!$M:$M, "Delivered")</f>
        <v>79460.98</v>
      </c>
      <c r="D187" s="109">
        <f>SUMIFS(Orders!$Q:$Q, Orders!$Z:$Z, $A187, Orders!$M:$M, "Delivered")</f>
        <v>26160</v>
      </c>
      <c r="E187" s="110">
        <f t="shared" si="124"/>
        <v>0.3761019961</v>
      </c>
      <c r="F187" s="111">
        <f t="shared" si="125"/>
        <v>76282.5408</v>
      </c>
      <c r="G187" s="111">
        <f t="shared" si="126"/>
        <v>3178.4392</v>
      </c>
      <c r="H187" s="111">
        <f t="shared" si="127"/>
        <v>53300.98</v>
      </c>
      <c r="I187" s="112">
        <f t="shared" si="128"/>
        <v>0</v>
      </c>
      <c r="J187" s="113"/>
      <c r="K187" s="114"/>
      <c r="L187" s="115">
        <f t="shared" si="129"/>
        <v>13178.4392</v>
      </c>
      <c r="M187" s="116">
        <f>SUMIFS(Orders!$W:$W, Orders!$Z:$Z, $A187)</f>
        <v>7438.62</v>
      </c>
      <c r="N187" s="117">
        <f t="shared" si="130"/>
        <v>45862.36</v>
      </c>
      <c r="O187" s="118">
        <f t="shared" si="131"/>
        <v>48</v>
      </c>
      <c r="P187" s="113"/>
      <c r="Q187" s="119">
        <f t="shared" si="132"/>
        <v>0</v>
      </c>
      <c r="R187" s="120">
        <f t="shared" si="133"/>
        <v>0</v>
      </c>
      <c r="S187" s="109">
        <f>COUNTIFS(Orders!$Z:$Z, $A187)</f>
        <v>53</v>
      </c>
      <c r="T187" s="111">
        <f>COUNTIFS(Orders!$Z:$Z, $A187, Orders!$M:$M, "Cancelled")</f>
        <v>3</v>
      </c>
      <c r="U187" s="121">
        <f t="shared" si="134"/>
        <v>0.05660377358</v>
      </c>
      <c r="V187" s="122">
        <f>COUNTIFS(Orders!$Z:$Z, $A187, Orders!$M:$M, "pending")</f>
        <v>14</v>
      </c>
      <c r="W187" s="122">
        <f t="shared" si="135"/>
        <v>50</v>
      </c>
      <c r="X187" s="70">
        <f t="shared" si="136"/>
        <v>1.612903226</v>
      </c>
      <c r="Y187" s="6">
        <f>COUNTIFS(Orders!$Z:$Z, $A187, Orders!$M:$M, "Delivered")</f>
        <v>24</v>
      </c>
      <c r="Z187" s="6">
        <f>COUNTIFS(Orders!$Z:$Z, $A187, Orders!$M:$M, "Return Received")</f>
        <v>1</v>
      </c>
      <c r="AA187" s="123">
        <f t="shared" si="137"/>
        <v>11</v>
      </c>
      <c r="AB187" s="6">
        <f>COUNTIFS(Orders!$Z:$Z, $A187, Orders!$M:$M, "Returned") + COUNTIFS(Orders!$Z:$Z, $A187, Orders!$M:$M, "Returned to Shipper")</f>
        <v>0</v>
      </c>
      <c r="AC187" s="6">
        <f t="shared" si="138"/>
        <v>0</v>
      </c>
      <c r="AD187" s="2">
        <f>SUMIFS(Orders!$U:$U, Orders!$Z:$Z, $A187, Orders!$M:$M, "Delivered")</f>
        <v>62415</v>
      </c>
      <c r="AE187" s="124">
        <f t="shared" si="139"/>
        <v>17045.98</v>
      </c>
      <c r="AF187" s="125" t="str">
        <f>IFERROR(__xludf.DUMMYFUNCTION("IFERROR(TEXTJOIN("", "", TRUE, FILTER(Orders!$B$2:$B$2517, (TEXT(Orders!$D$2:$D$2517,""d-mmm"")=TEXT($A187,""d-mmm"")) * (ABS(Orders!$H$2:$H$2517 - Orders!$U$2:$U$2517) &gt;= 1) * (Orders!$M$2:$M$2517=""Delivered""))), ""All Balanced"")"),"All Balanced")</f>
        <v>All Balanced</v>
      </c>
      <c r="AG187" s="2" t="str">
        <f>IFERROR(__xludf.DUMMYFUNCTION("IFERROR(TEXTJOIN("", "", TRUE, FILTER(Orders!$I$2:$I$3000, (Orders!$M$2:$M$3000=""Delivered"") * (Orders!$N$2:$N$3000&lt;&gt;""Paid"") * (Orders!$Z$2:$Z$3000=$A187))), """")"),"")</f>
        <v/>
      </c>
      <c r="AH187" s="2">
        <f t="shared" si="140"/>
        <v>0</v>
      </c>
    </row>
    <row r="188">
      <c r="A188" s="107">
        <v>46125.0</v>
      </c>
      <c r="B188" s="108">
        <f t="shared" si="123"/>
        <v>3003.368421</v>
      </c>
      <c r="C188" s="108">
        <f>SUMIFS(Orders!$H:$H, Orders!$Z:$Z, $A188, Orders!$M:$M, "Delivered")</f>
        <v>57064</v>
      </c>
      <c r="D188" s="109">
        <f>SUMIFS(Orders!$Q:$Q, Orders!$Z:$Z, $A188, Orders!$M:$M, "Delivered")</f>
        <v>17090</v>
      </c>
      <c r="E188" s="110">
        <f t="shared" si="124"/>
        <v>0.2457027184</v>
      </c>
      <c r="F188" s="111">
        <f t="shared" si="125"/>
        <v>54781.44</v>
      </c>
      <c r="G188" s="111">
        <f t="shared" si="126"/>
        <v>2282.56</v>
      </c>
      <c r="H188" s="111">
        <f t="shared" si="127"/>
        <v>39974</v>
      </c>
      <c r="I188" s="112">
        <f t="shared" si="128"/>
        <v>0</v>
      </c>
      <c r="J188" s="113"/>
      <c r="K188" s="114"/>
      <c r="L188" s="115">
        <f t="shared" si="129"/>
        <v>8282.56</v>
      </c>
      <c r="M188" s="116">
        <f>SUMIFS(Orders!$W:$W, Orders!$Z:$Z, $A188)</f>
        <v>4551.87</v>
      </c>
      <c r="N188" s="117">
        <f t="shared" si="130"/>
        <v>35422.13</v>
      </c>
      <c r="O188" s="118">
        <f t="shared" si="131"/>
        <v>60</v>
      </c>
      <c r="P188" s="113"/>
      <c r="Q188" s="119">
        <f t="shared" si="132"/>
        <v>0</v>
      </c>
      <c r="R188" s="120">
        <f t="shared" si="133"/>
        <v>0</v>
      </c>
      <c r="S188" s="109">
        <f>COUNTIFS(Orders!$Z:$Z, $A188)</f>
        <v>32</v>
      </c>
      <c r="T188" s="111">
        <f>COUNTIFS(Orders!$Z:$Z, $A188, Orders!$M:$M, "Cancelled")</f>
        <v>2</v>
      </c>
      <c r="U188" s="121">
        <f t="shared" si="134"/>
        <v>0.0625</v>
      </c>
      <c r="V188" s="122">
        <f>COUNTIFS(Orders!$Z:$Z, $A188, Orders!$M:$M, "pending")</f>
        <v>8</v>
      </c>
      <c r="W188" s="122">
        <f t="shared" si="135"/>
        <v>30</v>
      </c>
      <c r="X188" s="70">
        <f t="shared" si="136"/>
        <v>0.9677419355</v>
      </c>
      <c r="Y188" s="6">
        <f>COUNTIFS(Orders!$Z:$Z, $A188, Orders!$M:$M, "Delivered")</f>
        <v>18</v>
      </c>
      <c r="Z188" s="6">
        <f>COUNTIFS(Orders!$Z:$Z, $A188, Orders!$M:$M, "Return Received")</f>
        <v>0</v>
      </c>
      <c r="AA188" s="123">
        <f t="shared" si="137"/>
        <v>4</v>
      </c>
      <c r="AB188" s="6">
        <f>COUNTIFS(Orders!$Z:$Z, $A188, Orders!$M:$M, "Returned") + COUNTIFS(Orders!$Z:$Z, $A188, Orders!$M:$M, "Returned to Shipper")</f>
        <v>0</v>
      </c>
      <c r="AC188" s="6">
        <f t="shared" si="138"/>
        <v>0</v>
      </c>
      <c r="AD188" s="2">
        <f>SUMIFS(Orders!$U:$U, Orders!$Z:$Z, $A188, Orders!$M:$M, "Delivered")</f>
        <v>40030</v>
      </c>
      <c r="AE188" s="124">
        <f t="shared" si="139"/>
        <v>17034</v>
      </c>
      <c r="AF188" s="2" t="str">
        <f>IFERROR(__xludf.DUMMYFUNCTION("IFERROR(TEXTJOIN("", "", TRUE, FILTER(Orders!$B$2:$B$2517, (TEXT(Orders!$D$2:$D$2517,""d-mmm"")=TEXT($A188,""d-mmm"")) * (ABS(Orders!$H$2:$H$2517 - Orders!$U$2:$U$2517) &gt;= 1) * (Orders!$M$2:$M$2517=""Delivered""))), ""All Balanced"")"),"All Balanced")</f>
        <v>All Balanced</v>
      </c>
      <c r="AG188" s="2" t="str">
        <f>IFERROR(__xludf.DUMMYFUNCTION("IFERROR(TEXTJOIN("", "", TRUE, FILTER(Orders!$I$2:$I$3000, (Orders!$M$2:$M$3000=""Delivered"") * (Orders!$N$2:$N$3000&lt;&gt;""Paid"") * (Orders!$Z$2:$Z$3000=$A188))), """")"),"")</f>
        <v/>
      </c>
      <c r="AH188" s="2">
        <f t="shared" si="140"/>
        <v>0</v>
      </c>
    </row>
    <row r="189">
      <c r="A189" s="107">
        <v>46126.0</v>
      </c>
      <c r="B189" s="108">
        <f t="shared" si="123"/>
        <v>2141.052632</v>
      </c>
      <c r="C189" s="108">
        <f>SUMIFS(Orders!$H:$H, Orders!$Z:$Z, $A189, Orders!$M:$M, "Delivered")</f>
        <v>40680</v>
      </c>
      <c r="D189" s="109">
        <f>SUMIFS(Orders!$Q:$Q, Orders!$Z:$Z, $A189, Orders!$M:$M, "Delivered")</f>
        <v>12370</v>
      </c>
      <c r="E189" s="110">
        <f t="shared" si="124"/>
        <v>0.1778433368</v>
      </c>
      <c r="F189" s="111">
        <f t="shared" si="125"/>
        <v>39052.8</v>
      </c>
      <c r="G189" s="111">
        <f t="shared" si="126"/>
        <v>1627.2</v>
      </c>
      <c r="H189" s="111">
        <f t="shared" si="127"/>
        <v>28310</v>
      </c>
      <c r="I189" s="112">
        <f t="shared" si="128"/>
        <v>0</v>
      </c>
      <c r="J189" s="113"/>
      <c r="K189" s="114"/>
      <c r="L189" s="115">
        <f t="shared" si="129"/>
        <v>6027.2</v>
      </c>
      <c r="M189" s="116">
        <f>SUMIFS(Orders!$W:$W, Orders!$Z:$Z, $A189)</f>
        <v>1994.53</v>
      </c>
      <c r="N189" s="117">
        <f t="shared" si="130"/>
        <v>26315.47</v>
      </c>
      <c r="O189" s="118">
        <f t="shared" si="131"/>
        <v>54.54545455</v>
      </c>
      <c r="P189" s="113"/>
      <c r="Q189" s="119">
        <f t="shared" si="132"/>
        <v>0</v>
      </c>
      <c r="R189" s="120">
        <f t="shared" si="133"/>
        <v>0</v>
      </c>
      <c r="S189" s="109">
        <f>COUNTIFS(Orders!$Z:$Z, $A189)</f>
        <v>24</v>
      </c>
      <c r="T189" s="111">
        <f>COUNTIFS(Orders!$Z:$Z, $A189, Orders!$M:$M, "Cancelled")</f>
        <v>2</v>
      </c>
      <c r="U189" s="121">
        <f t="shared" si="134"/>
        <v>0.08333333333</v>
      </c>
      <c r="V189" s="122">
        <f>COUNTIFS(Orders!$Z:$Z, $A189, Orders!$M:$M, "pending")</f>
        <v>8</v>
      </c>
      <c r="W189" s="122">
        <f t="shared" si="135"/>
        <v>22</v>
      </c>
      <c r="X189" s="70">
        <f t="shared" si="136"/>
        <v>0.7096774194</v>
      </c>
      <c r="Y189" s="6">
        <f>COUNTIFS(Orders!$Z:$Z, $A189, Orders!$M:$M, "Delivered")</f>
        <v>12</v>
      </c>
      <c r="Z189" s="6">
        <f>COUNTIFS(Orders!$Z:$Z, $A189, Orders!$M:$M, "Return Received")</f>
        <v>0</v>
      </c>
      <c r="AA189" s="123">
        <f t="shared" si="137"/>
        <v>2</v>
      </c>
      <c r="AB189" s="6">
        <f>COUNTIFS(Orders!$Z:$Z, $A189, Orders!$M:$M, "Returned") + COUNTIFS(Orders!$Z:$Z, $A189, Orders!$M:$M, "Returned to Shipper")</f>
        <v>0</v>
      </c>
      <c r="AC189" s="6">
        <f t="shared" si="138"/>
        <v>0</v>
      </c>
      <c r="AD189" s="2">
        <f>SUMIFS(Orders!$U:$U, Orders!$Z:$Z, $A189, Orders!$M:$M, "Delivered")</f>
        <v>20840</v>
      </c>
      <c r="AE189" s="124">
        <f t="shared" si="139"/>
        <v>19840</v>
      </c>
      <c r="AF189" s="22" t="str">
        <f>IFERROR(__xludf.DUMMYFUNCTION("IFERROR(TEXTJOIN("", "", TRUE, FILTER(Orders!$B$2:$B$2517, (TEXT(Orders!$D$2:$D$2517,""d-mmm"")=TEXT($A189,""d-mmm"")) * (ABS(Orders!$H$2:$H$2517 - Orders!$U$2:$U$2517) &gt;= 1) * (Orders!$M$2:$M$2517=""Delivered""))), ""All Balanced"")"),"All Balanced")</f>
        <v>All Balanced</v>
      </c>
      <c r="AG189" s="2" t="str">
        <f>IFERROR(__xludf.DUMMYFUNCTION("IFERROR(TEXTJOIN("", "", TRUE, FILTER(Orders!$I$2:$I$3000, (Orders!$M$2:$M$3000=""Delivered"") * (Orders!$N$2:$N$3000&lt;&gt;""Paid"") * (Orders!$Z$2:$Z$3000=$A189))), """")"),"")</f>
        <v/>
      </c>
      <c r="AH189" s="2">
        <f t="shared" si="140"/>
        <v>0</v>
      </c>
    </row>
    <row r="190">
      <c r="A190" s="107">
        <v>46127.0</v>
      </c>
      <c r="B190" s="108">
        <f t="shared" si="123"/>
        <v>2275.947368</v>
      </c>
      <c r="C190" s="108">
        <f>SUMIFS(Orders!$H:$H, Orders!$Z:$Z, $A190, Orders!$M:$M, "Delivered")</f>
        <v>43243</v>
      </c>
      <c r="D190" s="109">
        <f>SUMIFS(Orders!$Q:$Q, Orders!$Z:$Z, $A190, Orders!$M:$M, "Delivered")</f>
        <v>15650</v>
      </c>
      <c r="E190" s="110">
        <f t="shared" si="124"/>
        <v>0.2249998562</v>
      </c>
      <c r="F190" s="111">
        <f t="shared" si="125"/>
        <v>41513.28</v>
      </c>
      <c r="G190" s="111">
        <f t="shared" si="126"/>
        <v>1729.72</v>
      </c>
      <c r="H190" s="111">
        <f t="shared" si="127"/>
        <v>27593</v>
      </c>
      <c r="I190" s="112">
        <f t="shared" si="128"/>
        <v>0</v>
      </c>
      <c r="J190" s="113"/>
      <c r="K190" s="114"/>
      <c r="L190" s="115">
        <f t="shared" si="129"/>
        <v>5129.72</v>
      </c>
      <c r="M190" s="116">
        <f>SUMIFS(Orders!$W:$W, Orders!$Z:$Z, $A190)</f>
        <v>578.83</v>
      </c>
      <c r="N190" s="117">
        <f t="shared" si="130"/>
        <v>27014.17</v>
      </c>
      <c r="O190" s="118">
        <f t="shared" si="131"/>
        <v>64.70588235</v>
      </c>
      <c r="P190" s="113"/>
      <c r="Q190" s="119">
        <f t="shared" si="132"/>
        <v>0</v>
      </c>
      <c r="R190" s="120">
        <f t="shared" si="133"/>
        <v>0</v>
      </c>
      <c r="S190" s="109">
        <f>COUNTIFS(Orders!$Z:$Z, $A190)</f>
        <v>19</v>
      </c>
      <c r="T190" s="111">
        <f>COUNTIFS(Orders!$Z:$Z, $A190, Orders!$M:$M, "Cancelled")</f>
        <v>2</v>
      </c>
      <c r="U190" s="121">
        <f t="shared" si="134"/>
        <v>0.1052631579</v>
      </c>
      <c r="V190" s="122">
        <f>COUNTIFS(Orders!$Z:$Z, $A190, Orders!$M:$M, "pending")</f>
        <v>4</v>
      </c>
      <c r="W190" s="122">
        <f t="shared" si="135"/>
        <v>17</v>
      </c>
      <c r="X190" s="70">
        <f t="shared" si="136"/>
        <v>0.5483870968</v>
      </c>
      <c r="Y190" s="6">
        <f>COUNTIFS(Orders!$Z:$Z, $A190, Orders!$M:$M, "Delivered")</f>
        <v>11</v>
      </c>
      <c r="Z190" s="6">
        <f>COUNTIFS(Orders!$Z:$Z, $A190, Orders!$M:$M, "Return Received")</f>
        <v>0</v>
      </c>
      <c r="AA190" s="123">
        <f t="shared" si="137"/>
        <v>2</v>
      </c>
      <c r="AB190" s="6">
        <f>COUNTIFS(Orders!$Z:$Z, $A190, Orders!$M:$M, "Returned") + COUNTIFS(Orders!$Z:$Z, $A190, Orders!$M:$M, "Returned to Shipper")</f>
        <v>0</v>
      </c>
      <c r="AC190" s="6">
        <f t="shared" si="138"/>
        <v>0</v>
      </c>
      <c r="AD190" s="2">
        <f>SUMIFS(Orders!$U:$U, Orders!$Z:$Z, $A190, Orders!$M:$M, "Delivered")</f>
        <v>4998</v>
      </c>
      <c r="AE190" s="124">
        <f t="shared" si="139"/>
        <v>38245</v>
      </c>
      <c r="AF190" s="2" t="str">
        <f>IFERROR(__xludf.DUMMYFUNCTION("IFERROR(TEXTJOIN("", "", TRUE, FILTER(Orders!$B$2:$B$2517, (TEXT(Orders!$D$2:$D$2517,""d-mmm"")=TEXT($A190,""d-mmm"")) * (ABS(Orders!$H$2:$H$2517 - Orders!$U$2:$U$2517) &gt;= 1) * (Orders!$M$2:$M$2517=""Delivered""))), ""All Balanced"")"),"All Balanced")</f>
        <v>All Balanced</v>
      </c>
      <c r="AG190" s="2" t="str">
        <f>IFERROR(__xludf.DUMMYFUNCTION("IFERROR(TEXTJOIN("", "", TRUE, FILTER(Orders!$I$2:$I$3000, (Orders!$M$2:$M$3000=""Delivered"") * (Orders!$N$2:$N$3000&lt;&gt;""Paid"") * (Orders!$Z$2:$Z$3000=$A190))), """")"),"")</f>
        <v/>
      </c>
      <c r="AH190" s="2">
        <f t="shared" si="140"/>
        <v>0</v>
      </c>
    </row>
    <row r="191">
      <c r="A191" s="107">
        <v>46128.0</v>
      </c>
      <c r="B191" s="108">
        <f t="shared" si="123"/>
        <v>1201.578947</v>
      </c>
      <c r="C191" s="108">
        <f>SUMIFS(Orders!$H:$H, Orders!$Z:$Z, $A191, Orders!$M:$M, "Delivered")</f>
        <v>22830</v>
      </c>
      <c r="D191" s="109">
        <f>SUMIFS(Orders!$Q:$Q, Orders!$Z:$Z, $A191, Orders!$M:$M, "Delivered")</f>
        <v>6770</v>
      </c>
      <c r="E191" s="110">
        <f t="shared" si="124"/>
        <v>0.09733220618</v>
      </c>
      <c r="F191" s="111">
        <f t="shared" si="125"/>
        <v>21916.8</v>
      </c>
      <c r="G191" s="111">
        <f t="shared" si="126"/>
        <v>913.2</v>
      </c>
      <c r="H191" s="111">
        <f t="shared" si="127"/>
        <v>16060</v>
      </c>
      <c r="I191" s="112">
        <f t="shared" si="128"/>
        <v>0</v>
      </c>
      <c r="J191" s="113"/>
      <c r="K191" s="114"/>
      <c r="L191" s="115">
        <f t="shared" si="129"/>
        <v>4513.2</v>
      </c>
      <c r="M191" s="116">
        <f>SUMIFS(Orders!$W:$W, Orders!$Z:$Z, $A191)</f>
        <v>254.95</v>
      </c>
      <c r="N191" s="117">
        <f t="shared" si="130"/>
        <v>15805.05</v>
      </c>
      <c r="O191" s="118">
        <f t="shared" si="131"/>
        <v>38.88888889</v>
      </c>
      <c r="P191" s="113"/>
      <c r="Q191" s="119">
        <f t="shared" si="132"/>
        <v>0</v>
      </c>
      <c r="R191" s="120">
        <f t="shared" si="133"/>
        <v>0</v>
      </c>
      <c r="S191" s="109">
        <f>COUNTIFS(Orders!$Z:$Z, $A191)</f>
        <v>18</v>
      </c>
      <c r="T191" s="111">
        <f>COUNTIFS(Orders!$Z:$Z, $A191, Orders!$M:$M, "Cancelled")</f>
        <v>0</v>
      </c>
      <c r="U191" s="121">
        <f t="shared" si="134"/>
        <v>0</v>
      </c>
      <c r="V191" s="122">
        <f>COUNTIFS(Orders!$Z:$Z, $A191, Orders!$M:$M, "pending")</f>
        <v>9</v>
      </c>
      <c r="W191" s="122">
        <f t="shared" si="135"/>
        <v>18</v>
      </c>
      <c r="X191" s="70">
        <f t="shared" si="136"/>
        <v>0.5806451613</v>
      </c>
      <c r="Y191" s="6">
        <f>COUNTIFS(Orders!$Z:$Z, $A191, Orders!$M:$M, "Delivered")</f>
        <v>7</v>
      </c>
      <c r="Z191" s="6">
        <f>COUNTIFS(Orders!$Z:$Z, $A191, Orders!$M:$M, "Return Received")</f>
        <v>0</v>
      </c>
      <c r="AA191" s="123">
        <f t="shared" si="137"/>
        <v>2</v>
      </c>
      <c r="AB191" s="6">
        <f>COUNTIFS(Orders!$Z:$Z, $A191, Orders!$M:$M, "Returned") + COUNTIFS(Orders!$Z:$Z, $A191, Orders!$M:$M, "Returned to Shipper")</f>
        <v>0</v>
      </c>
      <c r="AC191" s="6">
        <f t="shared" si="138"/>
        <v>0</v>
      </c>
      <c r="AD191" s="2">
        <f>SUMIFS(Orders!$U:$U, Orders!$Z:$Z, $A191, Orders!$M:$M, "Delivered")</f>
        <v>3149</v>
      </c>
      <c r="AE191" s="124">
        <f t="shared" si="139"/>
        <v>19681</v>
      </c>
      <c r="AF191" s="125" t="str">
        <f>IFERROR(__xludf.DUMMYFUNCTION("IFERROR(TEXTJOIN("", "", TRUE, FILTER(Orders!$B$2:$B$2517, (TEXT(Orders!$D$2:$D$2517,""d-mmm"")=TEXT($A191,""d-mmm"")) * (ABS(Orders!$H$2:$H$2517 - Orders!$U$2:$U$2517) &gt;= 1) * (Orders!$M$2:$M$2517=""Delivered""))), ""All Balanced"")"),"All Balanced")</f>
        <v>All Balanced</v>
      </c>
      <c r="AG191" s="2" t="str">
        <f>IFERROR(__xludf.DUMMYFUNCTION("IFERROR(TEXTJOIN("", "", TRUE, FILTER(Orders!$I$2:$I$3000, (Orders!$M$2:$M$3000=""Delivered"") * (Orders!$N$2:$N$3000&lt;&gt;""Paid"") * (Orders!$Z$2:$Z$3000=$A191))), """")"),"")</f>
        <v/>
      </c>
      <c r="AH191" s="2">
        <f t="shared" si="140"/>
        <v>0</v>
      </c>
    </row>
    <row r="192">
      <c r="A192" s="107">
        <v>46129.0</v>
      </c>
      <c r="B192" s="108">
        <f t="shared" si="123"/>
        <v>178.7894737</v>
      </c>
      <c r="C192" s="108">
        <f>SUMIFS(Orders!$H:$H, Orders!$Z:$Z, $A192, Orders!$M:$M, "Delivered")</f>
        <v>3397</v>
      </c>
      <c r="D192" s="109">
        <f>SUMIFS(Orders!$Q:$Q, Orders!$Z:$Z, $A192, Orders!$M:$M, "Delivered")</f>
        <v>800</v>
      </c>
      <c r="E192" s="110">
        <f t="shared" si="124"/>
        <v>0.01150159009</v>
      </c>
      <c r="F192" s="111">
        <f t="shared" si="125"/>
        <v>3261.12</v>
      </c>
      <c r="G192" s="111">
        <f t="shared" si="126"/>
        <v>135.88</v>
      </c>
      <c r="H192" s="111">
        <f t="shared" si="127"/>
        <v>2597</v>
      </c>
      <c r="I192" s="112">
        <f t="shared" si="128"/>
        <v>0</v>
      </c>
      <c r="J192" s="113"/>
      <c r="K192" s="114"/>
      <c r="L192" s="115">
        <f t="shared" si="129"/>
        <v>2535.88</v>
      </c>
      <c r="M192" s="116">
        <f>SUMIFS(Orders!$W:$W, Orders!$Z:$Z, $A192)</f>
        <v>0</v>
      </c>
      <c r="N192" s="117">
        <f t="shared" si="130"/>
        <v>2597</v>
      </c>
      <c r="O192" s="118">
        <f t="shared" si="131"/>
        <v>8.333333333</v>
      </c>
      <c r="P192" s="113"/>
      <c r="Q192" s="119">
        <f t="shared" si="132"/>
        <v>0</v>
      </c>
      <c r="R192" s="120">
        <f t="shared" si="133"/>
        <v>0</v>
      </c>
      <c r="S192" s="109">
        <f>COUNTIFS(Orders!$Z:$Z, $A192)</f>
        <v>12</v>
      </c>
      <c r="T192" s="111">
        <f>COUNTIFS(Orders!$Z:$Z, $A192, Orders!$M:$M, "Cancelled")</f>
        <v>0</v>
      </c>
      <c r="U192" s="121">
        <f t="shared" si="134"/>
        <v>0</v>
      </c>
      <c r="V192" s="122">
        <f>COUNTIFS(Orders!$Z:$Z, $A192, Orders!$M:$M, "pending")</f>
        <v>5</v>
      </c>
      <c r="W192" s="122">
        <f t="shared" si="135"/>
        <v>12</v>
      </c>
      <c r="X192" s="70">
        <f t="shared" si="136"/>
        <v>0.3870967742</v>
      </c>
      <c r="Y192" s="6">
        <f>COUNTIFS(Orders!$Z:$Z, $A192, Orders!$M:$M, "Delivered")</f>
        <v>1</v>
      </c>
      <c r="Z192" s="6">
        <f>COUNTIFS(Orders!$Z:$Z, $A192, Orders!$M:$M, "Return Received")</f>
        <v>0</v>
      </c>
      <c r="AA192" s="123">
        <f t="shared" si="137"/>
        <v>6</v>
      </c>
      <c r="AB192" s="6">
        <f>COUNTIFS(Orders!$Z:$Z, $A192, Orders!$M:$M, "Returned") + COUNTIFS(Orders!$Z:$Z, $A192, Orders!$M:$M, "Returned to Shipper")</f>
        <v>0</v>
      </c>
      <c r="AC192" s="6">
        <f t="shared" si="138"/>
        <v>0</v>
      </c>
      <c r="AD192" s="2">
        <f>SUMIFS(Orders!$U:$U, Orders!$Z:$Z, $A192, Orders!$M:$M, "Delivered")</f>
        <v>0</v>
      </c>
      <c r="AE192" s="124">
        <f t="shared" si="139"/>
        <v>3397</v>
      </c>
      <c r="AF192" s="2" t="str">
        <f>IFERROR(__xludf.DUMMYFUNCTION("IFERROR(TEXTJOIN("", "", TRUE, FILTER(Orders!$B$2:$B$2517, (TEXT(Orders!$D$2:$D$2517,""d-mmm"")=TEXT($A192,""d-mmm"")) * (ABS(Orders!$H$2:$H$2517 - Orders!$U$2:$U$2517) &gt;= 1) * (Orders!$M$2:$M$2517=""Delivered""))), ""All Balanced"")"),"All Balanced")</f>
        <v>All Balanced</v>
      </c>
      <c r="AG192" s="2" t="str">
        <f>IFERROR(__xludf.DUMMYFUNCTION("IFERROR(TEXTJOIN("", "", TRUE, FILTER(Orders!$I$2:$I$3000, (Orders!$M$2:$M$3000=""Delivered"") * (Orders!$N$2:$N$3000&lt;&gt;""Paid"") * (Orders!$Z$2:$Z$3000=$A192))), """")"),"")</f>
        <v/>
      </c>
      <c r="AH192" s="2">
        <f t="shared" si="140"/>
        <v>0</v>
      </c>
    </row>
    <row r="193">
      <c r="A193" s="107">
        <v>46130.0</v>
      </c>
      <c r="B193" s="108">
        <f t="shared" si="123"/>
        <v>0</v>
      </c>
      <c r="C193" s="108">
        <f>SUMIFS(Orders!$H:$H, Orders!$Z:$Z, $A193, Orders!$M:$M, "Delivered")</f>
        <v>0</v>
      </c>
      <c r="D193" s="109">
        <f>SUMIFS(Orders!$Q:$Q, Orders!$Z:$Z, $A193, Orders!$M:$M, "Delivered")</f>
        <v>0</v>
      </c>
      <c r="E193" s="110">
        <f t="shared" si="124"/>
        <v>0</v>
      </c>
      <c r="F193" s="111">
        <f t="shared" si="125"/>
        <v>0</v>
      </c>
      <c r="G193" s="111">
        <f t="shared" si="126"/>
        <v>0</v>
      </c>
      <c r="H193" s="111">
        <f t="shared" si="127"/>
        <v>0</v>
      </c>
      <c r="I193" s="112">
        <f t="shared" si="128"/>
        <v>0</v>
      </c>
      <c r="J193" s="113"/>
      <c r="K193" s="114"/>
      <c r="L193" s="115">
        <f t="shared" si="129"/>
        <v>3400</v>
      </c>
      <c r="M193" s="116">
        <f>SUMIFS(Orders!$W:$W, Orders!$Z:$Z, $A193)</f>
        <v>0</v>
      </c>
      <c r="N193" s="117">
        <f t="shared" si="130"/>
        <v>0</v>
      </c>
      <c r="O193" s="118">
        <f t="shared" si="131"/>
        <v>0</v>
      </c>
      <c r="P193" s="113"/>
      <c r="Q193" s="119">
        <f t="shared" si="132"/>
        <v>0</v>
      </c>
      <c r="R193" s="120">
        <f t="shared" si="133"/>
        <v>0</v>
      </c>
      <c r="S193" s="109">
        <f>COUNTIFS(Orders!$Z:$Z, $A193)</f>
        <v>17</v>
      </c>
      <c r="T193" s="111">
        <f>COUNTIFS(Orders!$Z:$Z, $A193, Orders!$M:$M, "Cancelled")</f>
        <v>0</v>
      </c>
      <c r="U193" s="121">
        <f t="shared" si="134"/>
        <v>0</v>
      </c>
      <c r="V193" s="122">
        <f>COUNTIFS(Orders!$Z:$Z, $A193, Orders!$M:$M, "pending")</f>
        <v>9</v>
      </c>
      <c r="W193" s="122">
        <f t="shared" si="135"/>
        <v>17</v>
      </c>
      <c r="X193" s="70">
        <f t="shared" si="136"/>
        <v>0.5483870968</v>
      </c>
      <c r="Y193" s="6">
        <f>COUNTIFS(Orders!$Z:$Z, $A193, Orders!$M:$M, "Delivered")</f>
        <v>0</v>
      </c>
      <c r="Z193" s="6">
        <f>COUNTIFS(Orders!$Z:$Z, $A193, Orders!$M:$M, "Return Received")</f>
        <v>0</v>
      </c>
      <c r="AA193" s="123">
        <f t="shared" si="137"/>
        <v>8</v>
      </c>
      <c r="AB193" s="6">
        <f>COUNTIFS(Orders!$Z:$Z, $A193, Orders!$M:$M, "Returned") + COUNTIFS(Orders!$Z:$Z, $A193, Orders!$M:$M, "Returned to Shipper")</f>
        <v>0</v>
      </c>
      <c r="AC193" s="6">
        <f t="shared" si="138"/>
        <v>0</v>
      </c>
      <c r="AD193" s="2">
        <f>SUMIFS(Orders!$U:$U, Orders!$Z:$Z, $A193, Orders!$M:$M, "Delivered")</f>
        <v>0</v>
      </c>
      <c r="AE193" s="124">
        <f t="shared" si="139"/>
        <v>0</v>
      </c>
      <c r="AF193" s="2" t="str">
        <f>IFERROR(__xludf.DUMMYFUNCTION("IFERROR(TEXTJOIN("", "", TRUE, FILTER(Orders!$B$2:$B$2517, (TEXT(Orders!$D$2:$D$2517,""d-mmm"")=TEXT($A193,""d-mmm"")) * (ABS(Orders!$H$2:$H$2517 - Orders!$U$2:$U$2517) &gt;= 1) * (Orders!$M$2:$M$2517=""Delivered""))), ""All Balanced"")"),"All Balanced")</f>
        <v>All Balanced</v>
      </c>
      <c r="AG193" s="2" t="str">
        <f>IFERROR(__xludf.DUMMYFUNCTION("IFERROR(TEXTJOIN("", "", TRUE, FILTER(Orders!$I$2:$I$3000, (Orders!$M$2:$M$3000=""Delivered"") * (Orders!$N$2:$N$3000&lt;&gt;""Paid"") * (Orders!$Z$2:$Z$3000=$A193))), """")"),"")</f>
        <v/>
      </c>
      <c r="AH193" s="2">
        <f t="shared" si="140"/>
        <v>0</v>
      </c>
    </row>
    <row r="194">
      <c r="A194" s="107">
        <v>46131.0</v>
      </c>
      <c r="B194" s="108">
        <f t="shared" si="123"/>
        <v>0</v>
      </c>
      <c r="C194" s="108">
        <f>SUMIFS(Orders!$H:$H, Orders!$Z:$Z, $A194, Orders!$M:$M, "Delivered")</f>
        <v>0</v>
      </c>
      <c r="D194" s="109">
        <f>SUMIFS(Orders!$Q:$Q, Orders!$Z:$Z, $A194, Orders!$M:$M, "Delivered")</f>
        <v>0</v>
      </c>
      <c r="E194" s="110">
        <f t="shared" si="124"/>
        <v>0</v>
      </c>
      <c r="F194" s="111">
        <f t="shared" si="125"/>
        <v>0</v>
      </c>
      <c r="G194" s="111">
        <f t="shared" si="126"/>
        <v>0</v>
      </c>
      <c r="H194" s="111">
        <f t="shared" si="127"/>
        <v>0</v>
      </c>
      <c r="I194" s="112">
        <f t="shared" si="128"/>
        <v>0</v>
      </c>
      <c r="J194" s="113"/>
      <c r="K194" s="114"/>
      <c r="L194" s="115">
        <f t="shared" si="129"/>
        <v>4200</v>
      </c>
      <c r="M194" s="116">
        <f>SUMIFS(Orders!$W:$W, Orders!$Z:$Z, $A194)</f>
        <v>0</v>
      </c>
      <c r="N194" s="117">
        <f t="shared" si="130"/>
        <v>0</v>
      </c>
      <c r="O194" s="118">
        <f t="shared" si="131"/>
        <v>0</v>
      </c>
      <c r="P194" s="113"/>
      <c r="Q194" s="119">
        <f t="shared" si="132"/>
        <v>0</v>
      </c>
      <c r="R194" s="120">
        <f t="shared" si="133"/>
        <v>0</v>
      </c>
      <c r="S194" s="109">
        <f>COUNTIFS(Orders!$Z:$Z, $A194)</f>
        <v>21</v>
      </c>
      <c r="T194" s="111">
        <f>COUNTIFS(Orders!$Z:$Z, $A194, Orders!$M:$M, "Cancelled")</f>
        <v>0</v>
      </c>
      <c r="U194" s="121">
        <f t="shared" si="134"/>
        <v>0</v>
      </c>
      <c r="V194" s="122">
        <f>COUNTIFS(Orders!$Z:$Z, $A194, Orders!$M:$M, "pending")</f>
        <v>21</v>
      </c>
      <c r="W194" s="122">
        <f t="shared" si="135"/>
        <v>21</v>
      </c>
      <c r="X194" s="70">
        <f t="shared" si="136"/>
        <v>0.6774193548</v>
      </c>
      <c r="Y194" s="6">
        <f>COUNTIFS(Orders!$Z:$Z, $A194, Orders!$M:$M, "Delivered")</f>
        <v>0</v>
      </c>
      <c r="Z194" s="6">
        <f>COUNTIFS(Orders!$Z:$Z, $A194, Orders!$M:$M, "Return Received")</f>
        <v>0</v>
      </c>
      <c r="AA194" s="123">
        <f t="shared" si="137"/>
        <v>0</v>
      </c>
      <c r="AB194" s="6">
        <f>COUNTIFS(Orders!$Z:$Z, $A194, Orders!$M:$M, "Returned") + COUNTIFS(Orders!$Z:$Z, $A194, Orders!$M:$M, "Returned to Shipper")</f>
        <v>0</v>
      </c>
      <c r="AC194" s="6">
        <f t="shared" si="138"/>
        <v>0</v>
      </c>
      <c r="AD194" s="2">
        <f>SUMIFS(Orders!$U:$U, Orders!$Z:$Z, $A194, Orders!$M:$M, "Delivered")</f>
        <v>0</v>
      </c>
      <c r="AE194" s="124">
        <f t="shared" si="139"/>
        <v>0</v>
      </c>
      <c r="AF194" s="2" t="str">
        <f>IFERROR(__xludf.DUMMYFUNCTION("IFERROR(TEXTJOIN("", "", TRUE, FILTER(Orders!$B$2:$B$2517, (TEXT(Orders!$D$2:$D$2517,""d-mmm"")=TEXT($A194,""d-mmm"")) * (ABS(Orders!$H$2:$H$2517 - Orders!$U$2:$U$2517) &gt;= 1) * (Orders!$M$2:$M$2517=""Delivered""))), ""All Balanced"")"),"All Balanced")</f>
        <v>All Balanced</v>
      </c>
      <c r="AG194" s="2" t="str">
        <f>IFERROR(__xludf.DUMMYFUNCTION("IFERROR(TEXTJOIN("", "", TRUE, FILTER(Orders!$I$2:$I$3000, (Orders!$M$2:$M$3000=""Delivered"") * (Orders!$N$2:$N$3000&lt;&gt;""Paid"") * (Orders!$Z$2:$Z$3000=$A194))), """")"),"")</f>
        <v/>
      </c>
      <c r="AH194" s="2">
        <f t="shared" si="140"/>
        <v>0</v>
      </c>
    </row>
    <row r="195">
      <c r="A195" s="107">
        <v>46132.0</v>
      </c>
      <c r="B195" s="108">
        <f t="shared" si="123"/>
        <v>0</v>
      </c>
      <c r="C195" s="108">
        <f>SUMIFS(Orders!$H:$H, Orders!$Z:$Z, $A195, Orders!$M:$M, "Delivered")</f>
        <v>0</v>
      </c>
      <c r="D195" s="109">
        <f>SUMIFS(Orders!$Q:$Q, Orders!$Z:$Z, $A195, Orders!$M:$M, "Delivered")</f>
        <v>0</v>
      </c>
      <c r="E195" s="110">
        <f t="shared" si="124"/>
        <v>0</v>
      </c>
      <c r="F195" s="111">
        <f t="shared" si="125"/>
        <v>0</v>
      </c>
      <c r="G195" s="111">
        <f t="shared" si="126"/>
        <v>0</v>
      </c>
      <c r="H195" s="111">
        <f t="shared" si="127"/>
        <v>0</v>
      </c>
      <c r="I195" s="112">
        <f t="shared" si="128"/>
        <v>0</v>
      </c>
      <c r="J195" s="113"/>
      <c r="K195" s="114"/>
      <c r="L195" s="115">
        <f t="shared" si="129"/>
        <v>400</v>
      </c>
      <c r="M195" s="116">
        <f>SUMIFS(Orders!$W:$W, Orders!$Z:$Z, $A195)</f>
        <v>0</v>
      </c>
      <c r="N195" s="117">
        <f t="shared" si="130"/>
        <v>0</v>
      </c>
      <c r="O195" s="118">
        <f t="shared" si="131"/>
        <v>0</v>
      </c>
      <c r="P195" s="113"/>
      <c r="Q195" s="119">
        <f t="shared" si="132"/>
        <v>0</v>
      </c>
      <c r="R195" s="120">
        <f t="shared" si="133"/>
        <v>0</v>
      </c>
      <c r="S195" s="109">
        <f>COUNTIFS(Orders!$Z:$Z, $A195)</f>
        <v>2</v>
      </c>
      <c r="T195" s="111">
        <f>COUNTIFS(Orders!$Z:$Z, $A195, Orders!$M:$M, "Cancelled")</f>
        <v>0</v>
      </c>
      <c r="U195" s="121">
        <f t="shared" si="134"/>
        <v>0</v>
      </c>
      <c r="V195" s="122">
        <f>COUNTIFS(Orders!$Z:$Z, $A195, Orders!$M:$M, "pending")</f>
        <v>2</v>
      </c>
      <c r="W195" s="122">
        <f t="shared" si="135"/>
        <v>2</v>
      </c>
      <c r="X195" s="70">
        <f t="shared" si="136"/>
        <v>0.06451612903</v>
      </c>
      <c r="Y195" s="6">
        <f>COUNTIFS(Orders!$Z:$Z, $A195, Orders!$M:$M, "Delivered")</f>
        <v>0</v>
      </c>
      <c r="Z195" s="6">
        <f>COUNTIFS(Orders!$Z:$Z, $A195, Orders!$M:$M, "Return Received")</f>
        <v>0</v>
      </c>
      <c r="AA195" s="123">
        <f t="shared" si="137"/>
        <v>0</v>
      </c>
      <c r="AB195" s="6">
        <f>COUNTIFS(Orders!$Z:$Z, $A195, Orders!$M:$M, "Returned") + COUNTIFS(Orders!$Z:$Z, $A195, Orders!$M:$M, "Returned to Shipper")</f>
        <v>0</v>
      </c>
      <c r="AC195" s="6">
        <f t="shared" si="138"/>
        <v>0</v>
      </c>
      <c r="AD195" s="2">
        <f>SUMIFS(Orders!$U:$U, Orders!$Z:$Z, $A195, Orders!$M:$M, "Delivered")</f>
        <v>0</v>
      </c>
      <c r="AE195" s="124">
        <f t="shared" si="139"/>
        <v>0</v>
      </c>
      <c r="AF195" s="29" t="str">
        <f>IFERROR(__xludf.DUMMYFUNCTION("IFERROR(TEXTJOIN("", "", TRUE, FILTER(Orders!$B$2:$B$2517, (TEXT(Orders!$D$2:$D$2517,""d-mmm"")=TEXT($A195,""d-mmm"")) * (ABS(Orders!$H$2:$H$2517 - Orders!$U$2:$U$2517) &gt;= 1) * (Orders!$M$2:$M$2517=""Delivered""))), ""All Balanced"")"),"All Balanced")</f>
        <v>All Balanced</v>
      </c>
      <c r="AG195" s="2" t="str">
        <f>IFERROR(__xludf.DUMMYFUNCTION("IFERROR(TEXTJOIN("", "", TRUE, FILTER(Orders!$I$2:$I$3000, (Orders!$M$2:$M$3000=""Delivered"") * (Orders!$N$2:$N$3000&lt;&gt;""Paid"") * (Orders!$Z$2:$Z$3000=$A195))), """")"),"")</f>
        <v/>
      </c>
      <c r="AH195" s="2">
        <f t="shared" si="140"/>
        <v>0</v>
      </c>
    </row>
    <row r="196">
      <c r="A196" s="107">
        <v>46133.0</v>
      </c>
      <c r="B196" s="108">
        <f t="shared" si="123"/>
        <v>0</v>
      </c>
      <c r="C196" s="108">
        <f>SUMIFS(Orders!$H:$H, Orders!$Z:$Z, $A196, Orders!$M:$M, "Delivered")</f>
        <v>0</v>
      </c>
      <c r="D196" s="109">
        <f>SUMIFS(Orders!$Q:$Q, Orders!$Z:$Z, $A196, Orders!$M:$M, "Delivered")</f>
        <v>0</v>
      </c>
      <c r="E196" s="110">
        <f t="shared" si="124"/>
        <v>0</v>
      </c>
      <c r="F196" s="111">
        <f t="shared" si="125"/>
        <v>0</v>
      </c>
      <c r="G196" s="111">
        <f t="shared" si="126"/>
        <v>0</v>
      </c>
      <c r="H196" s="111">
        <f t="shared" si="127"/>
        <v>0</v>
      </c>
      <c r="I196" s="112">
        <f t="shared" si="128"/>
        <v>0</v>
      </c>
      <c r="J196" s="113"/>
      <c r="K196" s="114"/>
      <c r="L196" s="115">
        <f t="shared" si="129"/>
        <v>0</v>
      </c>
      <c r="M196" s="116">
        <f>SUMIFS(Orders!$W:$W, Orders!$Z:$Z, $A196)</f>
        <v>0</v>
      </c>
      <c r="N196" s="117">
        <f t="shared" si="130"/>
        <v>0</v>
      </c>
      <c r="O196" s="118" t="str">
        <f t="shared" si="131"/>
        <v>#DIV/0!</v>
      </c>
      <c r="P196" s="113"/>
      <c r="Q196" s="119" t="str">
        <f t="shared" si="132"/>
        <v>#DIV/0!</v>
      </c>
      <c r="R196" s="120" t="str">
        <f t="shared" si="133"/>
        <v>#DIV/0!</v>
      </c>
      <c r="S196" s="109">
        <f>COUNTIFS(Orders!$Z:$Z, $A196)</f>
        <v>0</v>
      </c>
      <c r="T196" s="111">
        <f>COUNTIFS(Orders!$Z:$Z, $A196, Orders!$M:$M, "Cancelled")</f>
        <v>0</v>
      </c>
      <c r="U196" s="121" t="str">
        <f t="shared" si="134"/>
        <v>#DIV/0!</v>
      </c>
      <c r="V196" s="122">
        <f>COUNTIFS(Orders!$Z:$Z, $A196, Orders!$M:$M, "pending")</f>
        <v>0</v>
      </c>
      <c r="W196" s="122">
        <f t="shared" si="135"/>
        <v>0</v>
      </c>
      <c r="X196" s="70">
        <f t="shared" si="136"/>
        <v>0</v>
      </c>
      <c r="Y196" s="6">
        <f>COUNTIFS(Orders!$Z:$Z, $A196, Orders!$M:$M, "Delivered")</f>
        <v>0</v>
      </c>
      <c r="Z196" s="6">
        <f>COUNTIFS(Orders!$Z:$Z, $A196, Orders!$M:$M, "Return Received")</f>
        <v>0</v>
      </c>
      <c r="AA196" s="123">
        <f t="shared" si="137"/>
        <v>0</v>
      </c>
      <c r="AB196" s="6">
        <f>COUNTIFS(Orders!$Z:$Z, $A196, Orders!$M:$M, "Returned") + COUNTIFS(Orders!$Z:$Z, $A196, Orders!$M:$M, "Returned to Shipper")</f>
        <v>0</v>
      </c>
      <c r="AC196" s="6">
        <f t="shared" si="138"/>
        <v>0</v>
      </c>
      <c r="AD196" s="2">
        <f>SUMIFS(Orders!$U:$U, Orders!$Z:$Z, $A196, Orders!$M:$M, "Delivered")</f>
        <v>0</v>
      </c>
      <c r="AE196" s="124">
        <f t="shared" si="139"/>
        <v>0</v>
      </c>
      <c r="AF196" s="2" t="str">
        <f>IFERROR(__xludf.DUMMYFUNCTION("IFERROR(TEXTJOIN("", "", TRUE, FILTER(Orders!$B$2:$B$2517, (TEXT(Orders!$D$2:$D$2517,""d-mmm"")=TEXT($A196,""d-mmm"")) * (ABS(Orders!$H$2:$H$2517 - Orders!$U$2:$U$2517) &gt;= 1) * (Orders!$M$2:$M$2517=""Delivered""))), ""All Balanced"")"),"All Balanced")</f>
        <v>All Balanced</v>
      </c>
      <c r="AG196" s="2" t="str">
        <f>IFERROR(__xludf.DUMMYFUNCTION("IFERROR(TEXTJOIN("", "", TRUE, FILTER(Orders!$I$2:$I$3000, (Orders!$M$2:$M$3000=""Delivered"") * (Orders!$N$2:$N$3000&lt;&gt;""Paid"") * (Orders!$Z$2:$Z$3000=$A196))), """")"),"")</f>
        <v/>
      </c>
      <c r="AH196" s="2">
        <f t="shared" si="140"/>
        <v>0</v>
      </c>
    </row>
    <row r="197">
      <c r="A197" s="107">
        <v>46134.0</v>
      </c>
      <c r="B197" s="108">
        <f t="shared" si="123"/>
        <v>0</v>
      </c>
      <c r="C197" s="108">
        <f>SUMIFS(Orders!$H:$H, Orders!$Z:$Z, $A197, Orders!$M:$M, "Delivered")</f>
        <v>0</v>
      </c>
      <c r="D197" s="109">
        <f>SUMIFS(Orders!$Q:$Q, Orders!$Z:$Z, $A197, Orders!$M:$M, "Delivered")</f>
        <v>0</v>
      </c>
      <c r="E197" s="110">
        <f t="shared" si="124"/>
        <v>0</v>
      </c>
      <c r="F197" s="111">
        <f t="shared" si="125"/>
        <v>0</v>
      </c>
      <c r="G197" s="111">
        <f t="shared" si="126"/>
        <v>0</v>
      </c>
      <c r="H197" s="111">
        <f t="shared" si="127"/>
        <v>0</v>
      </c>
      <c r="I197" s="112">
        <f t="shared" si="128"/>
        <v>0</v>
      </c>
      <c r="J197" s="113"/>
      <c r="K197" s="114"/>
      <c r="L197" s="115">
        <f t="shared" si="129"/>
        <v>0</v>
      </c>
      <c r="M197" s="116">
        <f>SUMIFS(Orders!$W:$W, Orders!$Z:$Z, $A197)</f>
        <v>0</v>
      </c>
      <c r="N197" s="117">
        <f t="shared" si="130"/>
        <v>0</v>
      </c>
      <c r="O197" s="118" t="str">
        <f t="shared" si="131"/>
        <v>#DIV/0!</v>
      </c>
      <c r="P197" s="113"/>
      <c r="Q197" s="119" t="str">
        <f t="shared" si="132"/>
        <v>#DIV/0!</v>
      </c>
      <c r="R197" s="120" t="str">
        <f t="shared" si="133"/>
        <v>#DIV/0!</v>
      </c>
      <c r="S197" s="109">
        <f>COUNTIFS(Orders!$Z:$Z, $A197)</f>
        <v>0</v>
      </c>
      <c r="T197" s="111">
        <f>COUNTIFS(Orders!$Z:$Z, $A197, Orders!$M:$M, "Cancelled")</f>
        <v>0</v>
      </c>
      <c r="U197" s="121" t="str">
        <f t="shared" si="134"/>
        <v>#DIV/0!</v>
      </c>
      <c r="V197" s="122">
        <f>COUNTIFS(Orders!$Z:$Z, $A197, Orders!$M:$M, "pending")</f>
        <v>0</v>
      </c>
      <c r="W197" s="122">
        <f t="shared" si="135"/>
        <v>0</v>
      </c>
      <c r="X197" s="70">
        <f t="shared" si="136"/>
        <v>0</v>
      </c>
      <c r="Y197" s="6">
        <f>COUNTIFS(Orders!$Z:$Z, $A197, Orders!$M:$M, "Delivered")</f>
        <v>0</v>
      </c>
      <c r="Z197" s="6">
        <f>COUNTIFS(Orders!$Z:$Z, $A197, Orders!$M:$M, "Return Received")</f>
        <v>0</v>
      </c>
      <c r="AA197" s="123">
        <f t="shared" si="137"/>
        <v>0</v>
      </c>
      <c r="AB197" s="6">
        <f>COUNTIFS(Orders!$Z:$Z, $A197, Orders!$M:$M, "Returned") + COUNTIFS(Orders!$Z:$Z, $A197, Orders!$M:$M, "Returned to Shipper")</f>
        <v>0</v>
      </c>
      <c r="AC197" s="6">
        <f t="shared" si="138"/>
        <v>0</v>
      </c>
      <c r="AD197" s="2">
        <f>SUMIFS(Orders!$U:$U, Orders!$Z:$Z, $A197, Orders!$M:$M, "Delivered")</f>
        <v>0</v>
      </c>
      <c r="AE197" s="124">
        <f t="shared" si="139"/>
        <v>0</v>
      </c>
      <c r="AF197" s="2" t="str">
        <f>IFERROR(__xludf.DUMMYFUNCTION("IFERROR(TEXTJOIN("", "", TRUE, FILTER(Orders!$B$2:$B$2517, (TEXT(Orders!$D$2:$D$2517,""d-mmm"")=TEXT($A197,""d-mmm"")) * (ABS(Orders!$H$2:$H$2517 - Orders!$U$2:$U$2517) &gt;= 1) * (Orders!$M$2:$M$2517=""Delivered""))), ""All Balanced"")"),"All Balanced")</f>
        <v>All Balanced</v>
      </c>
      <c r="AG197" s="2" t="str">
        <f>IFERROR(__xludf.DUMMYFUNCTION("IFERROR(TEXTJOIN("", "", TRUE, FILTER(Orders!$I$2:$I$3000, (Orders!$M$2:$M$3000=""Delivered"") * (Orders!$N$2:$N$3000&lt;&gt;""Paid"") * (Orders!$Z$2:$Z$3000=$A197))), """")"),"")</f>
        <v/>
      </c>
      <c r="AH197" s="2">
        <f t="shared" si="140"/>
        <v>0</v>
      </c>
    </row>
    <row r="198">
      <c r="A198" s="107">
        <v>46135.0</v>
      </c>
      <c r="B198" s="108">
        <f t="shared" si="123"/>
        <v>0</v>
      </c>
      <c r="C198" s="108">
        <f>SUMIFS(Orders!$H:$H, Orders!$Z:$Z, $A198, Orders!$M:$M, "Delivered")</f>
        <v>0</v>
      </c>
      <c r="D198" s="109">
        <f>SUMIFS(Orders!$Q:$Q, Orders!$Z:$Z, $A198, Orders!$M:$M, "Delivered")</f>
        <v>0</v>
      </c>
      <c r="E198" s="110">
        <f t="shared" si="124"/>
        <v>0</v>
      </c>
      <c r="F198" s="111">
        <f t="shared" si="125"/>
        <v>0</v>
      </c>
      <c r="G198" s="111">
        <f t="shared" si="126"/>
        <v>0</v>
      </c>
      <c r="H198" s="111">
        <f t="shared" si="127"/>
        <v>0</v>
      </c>
      <c r="I198" s="112">
        <f t="shared" si="128"/>
        <v>0</v>
      </c>
      <c r="J198" s="113"/>
      <c r="K198" s="114"/>
      <c r="L198" s="115">
        <f t="shared" si="129"/>
        <v>0</v>
      </c>
      <c r="M198" s="116">
        <f>SUMIFS(Orders!$W:$W, Orders!$Z:$Z, $A198)</f>
        <v>0</v>
      </c>
      <c r="N198" s="117">
        <f t="shared" si="130"/>
        <v>0</v>
      </c>
      <c r="O198" s="118" t="str">
        <f t="shared" si="131"/>
        <v>#DIV/0!</v>
      </c>
      <c r="P198" s="113"/>
      <c r="Q198" s="119" t="str">
        <f t="shared" si="132"/>
        <v>#DIV/0!</v>
      </c>
      <c r="R198" s="120" t="str">
        <f t="shared" si="133"/>
        <v>#DIV/0!</v>
      </c>
      <c r="S198" s="109">
        <f>COUNTIFS(Orders!$Z:$Z, $A198)</f>
        <v>0</v>
      </c>
      <c r="T198" s="111">
        <f>COUNTIFS(Orders!$Z:$Z, $A198, Orders!$M:$M, "Cancelled")</f>
        <v>0</v>
      </c>
      <c r="U198" s="121" t="str">
        <f t="shared" si="134"/>
        <v>#DIV/0!</v>
      </c>
      <c r="V198" s="122">
        <f>COUNTIFS(Orders!$Z:$Z, $A198, Orders!$M:$M, "pending")</f>
        <v>0</v>
      </c>
      <c r="W198" s="122">
        <f t="shared" si="135"/>
        <v>0</v>
      </c>
      <c r="X198" s="70">
        <f t="shared" si="136"/>
        <v>0</v>
      </c>
      <c r="Y198" s="6">
        <f>COUNTIFS(Orders!$Z:$Z, $A198, Orders!$M:$M, "Delivered")</f>
        <v>0</v>
      </c>
      <c r="Z198" s="6">
        <f>COUNTIFS(Orders!$Z:$Z, $A198, Orders!$M:$M, "Return Received")</f>
        <v>0</v>
      </c>
      <c r="AA198" s="123">
        <f t="shared" si="137"/>
        <v>0</v>
      </c>
      <c r="AB198" s="6">
        <f>COUNTIFS(Orders!$Z:$Z, $A198, Orders!$M:$M, "Returned") + COUNTIFS(Orders!$Z:$Z, $A198, Orders!$M:$M, "Returned to Shipper")</f>
        <v>0</v>
      </c>
      <c r="AC198" s="6">
        <f t="shared" si="138"/>
        <v>0</v>
      </c>
      <c r="AD198" s="2">
        <f>SUMIFS(Orders!$U:$U, Orders!$Z:$Z, $A198, Orders!$M:$M, "Delivered")</f>
        <v>0</v>
      </c>
      <c r="AE198" s="124">
        <f t="shared" si="139"/>
        <v>0</v>
      </c>
      <c r="AF198" s="2" t="str">
        <f>IFERROR(__xludf.DUMMYFUNCTION("IFERROR(TEXTJOIN("", "", TRUE, FILTER(Orders!$B$2:$B$2517, (TEXT(Orders!$D$2:$D$2517,""d-mmm"")=TEXT($A198,""d-mmm"")) * (ABS(Orders!$H$2:$H$2517 - Orders!$U$2:$U$2517) &gt;= 1) * (Orders!$M$2:$M$2517=""Delivered""))), ""All Balanced"")"),"All Balanced")</f>
        <v>All Balanced</v>
      </c>
      <c r="AG198" s="2" t="str">
        <f>IFERROR(__xludf.DUMMYFUNCTION("IFERROR(TEXTJOIN("", "", TRUE, FILTER(Orders!$I$2:$I$3000, (Orders!$M$2:$M$3000=""Delivered"") * (Orders!$N$2:$N$3000&lt;&gt;""Paid"") * (Orders!$Z$2:$Z$3000=$A198))), """")"),"")</f>
        <v/>
      </c>
      <c r="AH198" s="2">
        <f t="shared" si="140"/>
        <v>0</v>
      </c>
    </row>
    <row r="199">
      <c r="A199" s="107">
        <v>46136.0</v>
      </c>
      <c r="B199" s="108">
        <f t="shared" si="123"/>
        <v>0</v>
      </c>
      <c r="C199" s="108">
        <f>SUMIFS(Orders!$H:$H, Orders!$Z:$Z, $A199, Orders!$M:$M, "Delivered")</f>
        <v>0</v>
      </c>
      <c r="D199" s="109">
        <f>SUMIFS(Orders!$Q:$Q, Orders!$Z:$Z, $A199, Orders!$M:$M, "Delivered")</f>
        <v>0</v>
      </c>
      <c r="E199" s="110">
        <f t="shared" si="124"/>
        <v>0</v>
      </c>
      <c r="F199" s="111">
        <f t="shared" si="125"/>
        <v>0</v>
      </c>
      <c r="G199" s="111">
        <f t="shared" si="126"/>
        <v>0</v>
      </c>
      <c r="H199" s="111">
        <f t="shared" si="127"/>
        <v>0</v>
      </c>
      <c r="I199" s="112">
        <f t="shared" si="128"/>
        <v>0</v>
      </c>
      <c r="J199" s="113"/>
      <c r="K199" s="114"/>
      <c r="L199" s="115">
        <f t="shared" si="129"/>
        <v>0</v>
      </c>
      <c r="M199" s="116">
        <f>SUMIFS(Orders!$W:$W, Orders!$Z:$Z, $A199)</f>
        <v>0</v>
      </c>
      <c r="N199" s="117">
        <f t="shared" si="130"/>
        <v>0</v>
      </c>
      <c r="O199" s="118" t="str">
        <f t="shared" si="131"/>
        <v>#DIV/0!</v>
      </c>
      <c r="P199" s="113"/>
      <c r="Q199" s="119" t="str">
        <f t="shared" si="132"/>
        <v>#DIV/0!</v>
      </c>
      <c r="R199" s="120" t="str">
        <f t="shared" si="133"/>
        <v>#DIV/0!</v>
      </c>
      <c r="S199" s="109">
        <f>COUNTIFS(Orders!$Z:$Z, $A199)</f>
        <v>0</v>
      </c>
      <c r="T199" s="111">
        <f>COUNTIFS(Orders!$Z:$Z, $A199, Orders!$M:$M, "Cancelled")</f>
        <v>0</v>
      </c>
      <c r="U199" s="121" t="str">
        <f t="shared" si="134"/>
        <v>#DIV/0!</v>
      </c>
      <c r="V199" s="122">
        <f>COUNTIFS(Orders!$Z:$Z, $A199, Orders!$M:$M, "pending")</f>
        <v>0</v>
      </c>
      <c r="W199" s="122">
        <f t="shared" si="135"/>
        <v>0</v>
      </c>
      <c r="X199" s="70">
        <f t="shared" si="136"/>
        <v>0</v>
      </c>
      <c r="Y199" s="6">
        <f>COUNTIFS(Orders!$Z:$Z, $A199, Orders!$M:$M, "Delivered")</f>
        <v>0</v>
      </c>
      <c r="Z199" s="6">
        <f>COUNTIFS(Orders!$Z:$Z, $A199, Orders!$M:$M, "Return Received")</f>
        <v>0</v>
      </c>
      <c r="AA199" s="123">
        <f t="shared" si="137"/>
        <v>0</v>
      </c>
      <c r="AB199" s="6">
        <f>COUNTIFS(Orders!$Z:$Z, $A199, Orders!$M:$M, "Returned") + COUNTIFS(Orders!$Z:$Z, $A199, Orders!$M:$M, "Returned to Shipper")</f>
        <v>0</v>
      </c>
      <c r="AC199" s="6">
        <f t="shared" si="138"/>
        <v>0</v>
      </c>
      <c r="AD199" s="2">
        <f>SUMIFS(Orders!$U:$U, Orders!$Z:$Z, $A199, Orders!$M:$M, "Delivered")</f>
        <v>0</v>
      </c>
      <c r="AE199" s="124">
        <f t="shared" si="139"/>
        <v>0</v>
      </c>
      <c r="AF199" s="125" t="str">
        <f>IFERROR(__xludf.DUMMYFUNCTION("IFERROR(TEXTJOIN("", "", TRUE, FILTER(Orders!$B$2:$B$2517, (TEXT(Orders!$D$2:$D$2517,""d-mmm"")=TEXT($A199,""d-mmm"")) * (ABS(Orders!$H$2:$H$2517 - Orders!$U$2:$U$2517) &gt;= 1) * (Orders!$M$2:$M$2517=""Delivered""))), ""All Balanced"")"),"All Balanced")</f>
        <v>All Balanced</v>
      </c>
      <c r="AG199" s="2" t="str">
        <f>IFERROR(__xludf.DUMMYFUNCTION("IFERROR(TEXTJOIN("", "", TRUE, FILTER(Orders!$I$2:$I$3000, (Orders!$M$2:$M$3000=""Delivered"") * (Orders!$N$2:$N$3000&lt;&gt;""Paid"") * (Orders!$Z$2:$Z$3000=$A199))), """")"),"")</f>
        <v/>
      </c>
      <c r="AH199" s="2">
        <f t="shared" si="140"/>
        <v>0</v>
      </c>
    </row>
    <row r="200">
      <c r="A200" s="107">
        <v>46137.0</v>
      </c>
      <c r="B200" s="108">
        <f t="shared" si="123"/>
        <v>0</v>
      </c>
      <c r="C200" s="108">
        <f>SUMIFS(Orders!$H:$H, Orders!$Z:$Z, $A200, Orders!$M:$M, "Delivered")</f>
        <v>0</v>
      </c>
      <c r="D200" s="109">
        <f>SUMIFS(Orders!$Q:$Q, Orders!$Z:$Z, $A200, Orders!$M:$M, "Delivered")</f>
        <v>0</v>
      </c>
      <c r="E200" s="110">
        <f t="shared" si="124"/>
        <v>0</v>
      </c>
      <c r="F200" s="111">
        <f t="shared" si="125"/>
        <v>0</v>
      </c>
      <c r="G200" s="111">
        <f t="shared" si="126"/>
        <v>0</v>
      </c>
      <c r="H200" s="111">
        <f t="shared" si="127"/>
        <v>0</v>
      </c>
      <c r="I200" s="112">
        <f t="shared" si="128"/>
        <v>0</v>
      </c>
      <c r="J200" s="113"/>
      <c r="K200" s="114"/>
      <c r="L200" s="115">
        <f t="shared" si="129"/>
        <v>0</v>
      </c>
      <c r="M200" s="116">
        <f>SUMIFS(Orders!$W:$W, Orders!$Z:$Z, $A200)</f>
        <v>0</v>
      </c>
      <c r="N200" s="117">
        <f t="shared" si="130"/>
        <v>0</v>
      </c>
      <c r="O200" s="118" t="str">
        <f t="shared" si="131"/>
        <v>#DIV/0!</v>
      </c>
      <c r="P200" s="113"/>
      <c r="Q200" s="119" t="str">
        <f t="shared" si="132"/>
        <v>#DIV/0!</v>
      </c>
      <c r="R200" s="120" t="str">
        <f t="shared" si="133"/>
        <v>#DIV/0!</v>
      </c>
      <c r="S200" s="109">
        <f>COUNTIFS(Orders!$Z:$Z, $A200)</f>
        <v>0</v>
      </c>
      <c r="T200" s="111">
        <f>COUNTIFS(Orders!$Z:$Z, $A200, Orders!$M:$M, "Cancelled")</f>
        <v>0</v>
      </c>
      <c r="U200" s="121" t="str">
        <f t="shared" si="134"/>
        <v>#DIV/0!</v>
      </c>
      <c r="V200" s="122">
        <f>COUNTIFS(Orders!$Z:$Z, $A200, Orders!$M:$M, "pending")</f>
        <v>0</v>
      </c>
      <c r="W200" s="122">
        <f t="shared" si="135"/>
        <v>0</v>
      </c>
      <c r="X200" s="70">
        <f t="shared" si="136"/>
        <v>0</v>
      </c>
      <c r="Y200" s="6">
        <f>COUNTIFS(Orders!$Z:$Z, $A200, Orders!$M:$M, "Delivered")</f>
        <v>0</v>
      </c>
      <c r="Z200" s="6">
        <f>COUNTIFS(Orders!$Z:$Z, $A200, Orders!$M:$M, "Return Received")</f>
        <v>0</v>
      </c>
      <c r="AA200" s="123">
        <f t="shared" si="137"/>
        <v>0</v>
      </c>
      <c r="AB200" s="6">
        <f>COUNTIFS(Orders!$Z:$Z, $A200, Orders!$M:$M, "Returned") + COUNTIFS(Orders!$Z:$Z, $A200, Orders!$M:$M, "Returned to Shipper")</f>
        <v>0</v>
      </c>
      <c r="AC200" s="6">
        <f t="shared" si="138"/>
        <v>0</v>
      </c>
      <c r="AD200" s="2">
        <f>SUMIFS(Orders!$U:$U, Orders!$Z:$Z, $A200, Orders!$M:$M, "Delivered")</f>
        <v>0</v>
      </c>
      <c r="AE200" s="124">
        <f t="shared" si="139"/>
        <v>0</v>
      </c>
      <c r="AF200" s="2" t="str">
        <f>IFERROR(__xludf.DUMMYFUNCTION("IFERROR(TEXTJOIN("", "", TRUE, FILTER(Orders!$B$2:$B$2517, (TEXT(Orders!$D$2:$D$2517,""d-mmm"")=TEXT($A200,""d-mmm"")) * (ABS(Orders!$H$2:$H$2517 - Orders!$U$2:$U$2517) &gt;= 1) * (Orders!$M$2:$M$2517=""Delivered""))), ""All Balanced"")"),"All Balanced")</f>
        <v>All Balanced</v>
      </c>
      <c r="AG200" s="2" t="str">
        <f>IFERROR(__xludf.DUMMYFUNCTION("IFERROR(TEXTJOIN("", "", TRUE, FILTER(Orders!$I$2:$I$3000, (Orders!$M$2:$M$3000=""Delivered"") * (Orders!$N$2:$N$3000&lt;&gt;""Paid"") * (Orders!$Z$2:$Z$3000=$A200))), """")"),"")</f>
        <v/>
      </c>
      <c r="AH200" s="2">
        <f t="shared" si="140"/>
        <v>0</v>
      </c>
    </row>
    <row r="201">
      <c r="A201" s="107">
        <v>46138.0</v>
      </c>
      <c r="B201" s="108">
        <f t="shared" si="123"/>
        <v>0</v>
      </c>
      <c r="C201" s="108">
        <f>SUMIFS(Orders!$H:$H, Orders!$Z:$Z, $A201, Orders!$M:$M, "Delivered")</f>
        <v>0</v>
      </c>
      <c r="D201" s="109">
        <f>SUMIFS(Orders!$Q:$Q, Orders!$Z:$Z, $A201, Orders!$M:$M, "Delivered")</f>
        <v>0</v>
      </c>
      <c r="E201" s="110">
        <f t="shared" si="124"/>
        <v>0</v>
      </c>
      <c r="F201" s="111">
        <f t="shared" si="125"/>
        <v>0</v>
      </c>
      <c r="G201" s="111">
        <f t="shared" si="126"/>
        <v>0</v>
      </c>
      <c r="H201" s="111">
        <f t="shared" si="127"/>
        <v>0</v>
      </c>
      <c r="I201" s="112">
        <f t="shared" si="128"/>
        <v>0</v>
      </c>
      <c r="J201" s="113"/>
      <c r="K201" s="114"/>
      <c r="L201" s="115">
        <f t="shared" si="129"/>
        <v>0</v>
      </c>
      <c r="M201" s="116">
        <f>SUMIFS(Orders!$W:$W, Orders!$Z:$Z, $A201)</f>
        <v>0</v>
      </c>
      <c r="N201" s="117">
        <f t="shared" si="130"/>
        <v>0</v>
      </c>
      <c r="O201" s="118" t="str">
        <f t="shared" si="131"/>
        <v>#DIV/0!</v>
      </c>
      <c r="P201" s="113"/>
      <c r="Q201" s="119" t="str">
        <f t="shared" si="132"/>
        <v>#DIV/0!</v>
      </c>
      <c r="R201" s="120" t="str">
        <f t="shared" si="133"/>
        <v>#DIV/0!</v>
      </c>
      <c r="S201" s="109">
        <f>COUNTIFS(Orders!$Z:$Z, $A201)</f>
        <v>0</v>
      </c>
      <c r="T201" s="111">
        <f>COUNTIFS(Orders!$Z:$Z, $A201, Orders!$M:$M, "Cancelled")</f>
        <v>0</v>
      </c>
      <c r="U201" s="121" t="str">
        <f t="shared" si="134"/>
        <v>#DIV/0!</v>
      </c>
      <c r="V201" s="122">
        <f>COUNTIFS(Orders!$Z:$Z, $A201, Orders!$M:$M, "pending")</f>
        <v>0</v>
      </c>
      <c r="W201" s="122">
        <f t="shared" si="135"/>
        <v>0</v>
      </c>
      <c r="X201" s="70">
        <f t="shared" si="136"/>
        <v>0</v>
      </c>
      <c r="Y201" s="6">
        <f>COUNTIFS(Orders!$Z:$Z, $A201, Orders!$M:$M, "Delivered")</f>
        <v>0</v>
      </c>
      <c r="Z201" s="6">
        <f>COUNTIFS(Orders!$Z:$Z, $A201, Orders!$M:$M, "Return Received")</f>
        <v>0</v>
      </c>
      <c r="AA201" s="123">
        <f t="shared" si="137"/>
        <v>0</v>
      </c>
      <c r="AB201" s="6">
        <f>COUNTIFS(Orders!$Z:$Z, $A201, Orders!$M:$M, "Returned") + COUNTIFS(Orders!$Z:$Z, $A201, Orders!$M:$M, "Returned to Shipper")</f>
        <v>0</v>
      </c>
      <c r="AC201" s="6">
        <f t="shared" si="138"/>
        <v>0</v>
      </c>
      <c r="AD201" s="2">
        <f>SUMIFS(Orders!$U:$U, Orders!$Z:$Z, $A201, Orders!$M:$M, "Delivered")</f>
        <v>0</v>
      </c>
      <c r="AE201" s="124">
        <f t="shared" si="139"/>
        <v>0</v>
      </c>
      <c r="AF201" s="125" t="str">
        <f>IFERROR(__xludf.DUMMYFUNCTION("IFERROR(TEXTJOIN("", "", TRUE, FILTER(Orders!$B$2:$B$2517, (TEXT(Orders!$D$2:$D$2517,""d-mmm"")=TEXT($A201,""d-mmm"")) * (ABS(Orders!$H$2:$H$2517 - Orders!$U$2:$U$2517) &gt;= 1) * (Orders!$M$2:$M$2517=""Delivered""))), ""All Balanced"")"),"All Balanced")</f>
        <v>All Balanced</v>
      </c>
      <c r="AG201" s="2" t="str">
        <f>IFERROR(__xludf.DUMMYFUNCTION("IFERROR(TEXTJOIN("", "", TRUE, FILTER(Orders!$I$2:$I$3000, (Orders!$M$2:$M$3000=""Delivered"") * (Orders!$N$2:$N$3000&lt;&gt;""Paid"") * (Orders!$Z$2:$Z$3000=$A201))), """")"),"")</f>
        <v/>
      </c>
      <c r="AH201" s="2">
        <f t="shared" si="140"/>
        <v>0</v>
      </c>
    </row>
    <row r="202">
      <c r="A202" s="107">
        <v>46139.0</v>
      </c>
      <c r="B202" s="108">
        <f t="shared" si="123"/>
        <v>0</v>
      </c>
      <c r="C202" s="108">
        <f>SUMIFS(Orders!$H:$H, Orders!$Z:$Z, $A202, Orders!$M:$M, "Delivered")</f>
        <v>0</v>
      </c>
      <c r="D202" s="109">
        <f>SUMIFS(Orders!$Q:$Q, Orders!$Z:$Z, $A202, Orders!$M:$M, "Delivered")</f>
        <v>0</v>
      </c>
      <c r="E202" s="110">
        <f t="shared" si="124"/>
        <v>0</v>
      </c>
      <c r="F202" s="111">
        <f t="shared" si="125"/>
        <v>0</v>
      </c>
      <c r="G202" s="111">
        <f t="shared" si="126"/>
        <v>0</v>
      </c>
      <c r="H202" s="111">
        <f t="shared" si="127"/>
        <v>0</v>
      </c>
      <c r="I202" s="112">
        <f t="shared" si="128"/>
        <v>0</v>
      </c>
      <c r="J202" s="113"/>
      <c r="K202" s="114"/>
      <c r="L202" s="115">
        <f t="shared" si="129"/>
        <v>0</v>
      </c>
      <c r="M202" s="116">
        <f>SUMIFS(Orders!$W:$W, Orders!$Z:$Z, $A202)</f>
        <v>0</v>
      </c>
      <c r="N202" s="117">
        <f t="shared" si="130"/>
        <v>0</v>
      </c>
      <c r="O202" s="118" t="str">
        <f t="shared" si="131"/>
        <v>#DIV/0!</v>
      </c>
      <c r="P202" s="113"/>
      <c r="Q202" s="119" t="str">
        <f t="shared" si="132"/>
        <v>#DIV/0!</v>
      </c>
      <c r="R202" s="120" t="str">
        <f t="shared" si="133"/>
        <v>#DIV/0!</v>
      </c>
      <c r="S202" s="109">
        <f>COUNTIFS(Orders!$Z:$Z, $A202)</f>
        <v>0</v>
      </c>
      <c r="T202" s="111">
        <f>COUNTIFS(Orders!$Z:$Z, $A202, Orders!$M:$M, "Cancelled")</f>
        <v>0</v>
      </c>
      <c r="U202" s="121" t="str">
        <f t="shared" si="134"/>
        <v>#DIV/0!</v>
      </c>
      <c r="V202" s="122">
        <f>COUNTIFS(Orders!$Z:$Z, $A202, Orders!$M:$M, "pending")</f>
        <v>0</v>
      </c>
      <c r="W202" s="122">
        <f t="shared" si="135"/>
        <v>0</v>
      </c>
      <c r="X202" s="70">
        <f t="shared" si="136"/>
        <v>0</v>
      </c>
      <c r="Y202" s="6">
        <f>COUNTIFS(Orders!$Z:$Z, $A202, Orders!$M:$M, "Delivered")</f>
        <v>0</v>
      </c>
      <c r="Z202" s="6">
        <f>COUNTIFS(Orders!$Z:$Z, $A202, Orders!$M:$M, "Return Received")</f>
        <v>0</v>
      </c>
      <c r="AA202" s="123">
        <f t="shared" si="137"/>
        <v>0</v>
      </c>
      <c r="AB202" s="6">
        <f>COUNTIFS(Orders!$Z:$Z, $A202, Orders!$M:$M, "Returned") + COUNTIFS(Orders!$Z:$Z, $A202, Orders!$M:$M, "Returned to Shipper")</f>
        <v>0</v>
      </c>
      <c r="AC202" s="6">
        <f t="shared" si="138"/>
        <v>0</v>
      </c>
      <c r="AD202" s="2">
        <f>SUMIFS(Orders!$U:$U, Orders!$Z:$Z, $A202, Orders!$M:$M, "Delivered")</f>
        <v>0</v>
      </c>
      <c r="AE202" s="124">
        <f t="shared" si="139"/>
        <v>0</v>
      </c>
      <c r="AF202" s="125" t="str">
        <f>IFERROR(__xludf.DUMMYFUNCTION("IFERROR(TEXTJOIN("", "", TRUE, FILTER(Orders!$B$2:$B$2517, (TEXT(Orders!$D$2:$D$2517,""d-mmm"")=TEXT($A202,""d-mmm"")) * (ABS(Orders!$H$2:$H$2517 - Orders!$U$2:$U$2517) &gt;= 1) * (Orders!$M$2:$M$2517=""Delivered""))), ""All Balanced"")"),"All Balanced")</f>
        <v>All Balanced</v>
      </c>
      <c r="AG202" s="2" t="str">
        <f>IFERROR(__xludf.DUMMYFUNCTION("IFERROR(TEXTJOIN("", "", TRUE, FILTER(Orders!$I$2:$I$3000, (Orders!$M$2:$M$3000=""Delivered"") * (Orders!$N$2:$N$3000&lt;&gt;""Paid"") * (Orders!$Z$2:$Z$3000=$A202))), """")"),"")</f>
        <v/>
      </c>
      <c r="AH202" s="2">
        <f t="shared" si="140"/>
        <v>0</v>
      </c>
    </row>
    <row r="203">
      <c r="A203" s="107">
        <v>46140.0</v>
      </c>
      <c r="B203" s="108">
        <f t="shared" si="123"/>
        <v>0</v>
      </c>
      <c r="C203" s="108">
        <f>SUMIFS(Orders!$H:$H, Orders!$Z:$Z, $A203, Orders!$M:$M, "Delivered")</f>
        <v>0</v>
      </c>
      <c r="D203" s="109">
        <f>SUMIFS(Orders!$Q:$Q, Orders!$Z:$Z, $A203, Orders!$M:$M, "Delivered")</f>
        <v>0</v>
      </c>
      <c r="E203" s="110">
        <f t="shared" si="124"/>
        <v>0</v>
      </c>
      <c r="F203" s="111">
        <f t="shared" si="125"/>
        <v>0</v>
      </c>
      <c r="G203" s="111">
        <f t="shared" si="126"/>
        <v>0</v>
      </c>
      <c r="H203" s="111">
        <f t="shared" si="127"/>
        <v>0</v>
      </c>
      <c r="I203" s="112">
        <f t="shared" si="128"/>
        <v>0</v>
      </c>
      <c r="J203" s="113"/>
      <c r="K203" s="114"/>
      <c r="L203" s="115">
        <f t="shared" si="129"/>
        <v>0</v>
      </c>
      <c r="M203" s="116">
        <f>SUMIFS(Orders!$W:$W, Orders!$Z:$Z, $A203)</f>
        <v>0</v>
      </c>
      <c r="N203" s="117">
        <f t="shared" si="130"/>
        <v>0</v>
      </c>
      <c r="O203" s="118" t="str">
        <f t="shared" si="131"/>
        <v>#DIV/0!</v>
      </c>
      <c r="P203" s="113"/>
      <c r="Q203" s="119" t="str">
        <f t="shared" si="132"/>
        <v>#DIV/0!</v>
      </c>
      <c r="R203" s="120" t="str">
        <f t="shared" si="133"/>
        <v>#DIV/0!</v>
      </c>
      <c r="S203" s="109">
        <f>COUNTIFS(Orders!$Z:$Z, $A203)</f>
        <v>0</v>
      </c>
      <c r="T203" s="111">
        <f>COUNTIFS(Orders!$Z:$Z, $A203, Orders!$M:$M, "Cancelled")</f>
        <v>0</v>
      </c>
      <c r="U203" s="121" t="str">
        <f t="shared" si="134"/>
        <v>#DIV/0!</v>
      </c>
      <c r="V203" s="122">
        <f>COUNTIFS(Orders!$Z:$Z, $A203, Orders!$M:$M, "pending")</f>
        <v>0</v>
      </c>
      <c r="W203" s="122">
        <f t="shared" si="135"/>
        <v>0</v>
      </c>
      <c r="X203" s="70">
        <f t="shared" si="136"/>
        <v>0</v>
      </c>
      <c r="Y203" s="6">
        <f>COUNTIFS(Orders!$Z:$Z, $A203, Orders!$M:$M, "Delivered")</f>
        <v>0</v>
      </c>
      <c r="Z203" s="6">
        <f>COUNTIFS(Orders!$Z:$Z, $A203, Orders!$M:$M, "Return Received")</f>
        <v>0</v>
      </c>
      <c r="AA203" s="123">
        <f t="shared" si="137"/>
        <v>0</v>
      </c>
      <c r="AB203" s="6">
        <f>COUNTIFS(Orders!$Z:$Z, $A203, Orders!$M:$M, "Returned") + COUNTIFS(Orders!$Z:$Z, $A203, Orders!$M:$M, "Returned to Shipper")</f>
        <v>0</v>
      </c>
      <c r="AC203" s="6">
        <f t="shared" si="138"/>
        <v>0</v>
      </c>
      <c r="AD203" s="2">
        <f>SUMIFS(Orders!$U:$U, Orders!$Z:$Z, $A203, Orders!$M:$M, "Delivered")</f>
        <v>0</v>
      </c>
      <c r="AE203" s="124">
        <f t="shared" si="139"/>
        <v>0</v>
      </c>
      <c r="AF203" s="2" t="str">
        <f>IFERROR(__xludf.DUMMYFUNCTION("IFERROR(TEXTJOIN("", "", TRUE, FILTER(Orders!$B$2:$B$2517, (TEXT(Orders!$D$2:$D$2517,""d-mmm"")=TEXT($A203,""d-mmm"")) * (ABS(Orders!$H$2:$H$2517 - Orders!$U$2:$U$2517) &gt;= 1) * (Orders!$M$2:$M$2517=""Delivered""))), ""All Balanced"")"),"All Balanced")</f>
        <v>All Balanced</v>
      </c>
      <c r="AG203" s="2" t="str">
        <f>IFERROR(__xludf.DUMMYFUNCTION("IFERROR(TEXTJOIN("", "", TRUE, FILTER(Orders!$I$2:$I$3000, (Orders!$M$2:$M$3000=""Delivered"") * (Orders!$N$2:$N$3000&lt;&gt;""Paid"") * (Orders!$Z$2:$Z$3000=$A203))), """")"),"")</f>
        <v/>
      </c>
      <c r="AH203" s="2">
        <f t="shared" si="140"/>
        <v>0</v>
      </c>
    </row>
    <row r="204">
      <c r="A204" s="107">
        <v>46141.0</v>
      </c>
      <c r="B204" s="108">
        <f t="shared" si="123"/>
        <v>0</v>
      </c>
      <c r="C204" s="108">
        <f>SUMIFS(Orders!$H:$H, Orders!$Z:$Z, $A204, Orders!$M:$M, "Delivered")</f>
        <v>0</v>
      </c>
      <c r="D204" s="109">
        <f>SUMIFS(Orders!$Q:$Q, Orders!$Z:$Z, $A204, Orders!$M:$M, "Delivered")</f>
        <v>0</v>
      </c>
      <c r="E204" s="110">
        <f t="shared" si="124"/>
        <v>0</v>
      </c>
      <c r="F204" s="111">
        <f t="shared" si="125"/>
        <v>0</v>
      </c>
      <c r="G204" s="111">
        <f t="shared" si="126"/>
        <v>0</v>
      </c>
      <c r="H204" s="111">
        <f t="shared" si="127"/>
        <v>0</v>
      </c>
      <c r="I204" s="112">
        <f t="shared" si="128"/>
        <v>0</v>
      </c>
      <c r="J204" s="113"/>
      <c r="K204" s="114"/>
      <c r="L204" s="115">
        <f t="shared" si="129"/>
        <v>0</v>
      </c>
      <c r="M204" s="116">
        <f>SUMIFS(Orders!$W:$W, Orders!$Z:$Z, $A204)</f>
        <v>0</v>
      </c>
      <c r="N204" s="117">
        <f t="shared" si="130"/>
        <v>0</v>
      </c>
      <c r="O204" s="118" t="str">
        <f t="shared" si="131"/>
        <v>#DIV/0!</v>
      </c>
      <c r="P204" s="113"/>
      <c r="Q204" s="119" t="str">
        <f t="shared" si="132"/>
        <v>#DIV/0!</v>
      </c>
      <c r="R204" s="120" t="str">
        <f t="shared" si="133"/>
        <v>#DIV/0!</v>
      </c>
      <c r="S204" s="109">
        <f>COUNTIFS(Orders!$Z:$Z, $A204)</f>
        <v>0</v>
      </c>
      <c r="T204" s="111">
        <f>COUNTIFS(Orders!$Z:$Z, $A204, Orders!$M:$M, "Cancelled")</f>
        <v>0</v>
      </c>
      <c r="U204" s="121" t="str">
        <f t="shared" si="134"/>
        <v>#DIV/0!</v>
      </c>
      <c r="V204" s="122">
        <f>COUNTIFS(Orders!$Z:$Z, $A204, Orders!$M:$M, "pending")</f>
        <v>0</v>
      </c>
      <c r="W204" s="122">
        <f t="shared" si="135"/>
        <v>0</v>
      </c>
      <c r="X204" s="70">
        <f t="shared" si="136"/>
        <v>0</v>
      </c>
      <c r="Y204" s="6">
        <f>COUNTIFS(Orders!$Z:$Z, $A204, Orders!$M:$M, "Delivered")</f>
        <v>0</v>
      </c>
      <c r="Z204" s="6">
        <f>COUNTIFS(Orders!$Z:$Z, $A204, Orders!$M:$M, "Return Received")</f>
        <v>0</v>
      </c>
      <c r="AA204" s="123">
        <f t="shared" si="137"/>
        <v>0</v>
      </c>
      <c r="AB204" s="6">
        <f>COUNTIFS(Orders!$Z:$Z, $A204, Orders!$M:$M, "Returned") + COUNTIFS(Orders!$Z:$Z, $A204, Orders!$M:$M, "Returned to Shipper")</f>
        <v>0</v>
      </c>
      <c r="AC204" s="6">
        <f t="shared" si="138"/>
        <v>0</v>
      </c>
      <c r="AD204" s="2">
        <f>SUMIFS(Orders!$U:$U, Orders!$Z:$Z, $A204, Orders!$M:$M, "Delivered")</f>
        <v>0</v>
      </c>
      <c r="AE204" s="124">
        <f t="shared" si="139"/>
        <v>0</v>
      </c>
      <c r="AF204" s="2" t="str">
        <f>IFERROR(__xludf.DUMMYFUNCTION("IFERROR(TEXTJOIN("", "", TRUE, FILTER(Orders!$B$2:$B$2517, (TEXT(Orders!$D$2:$D$2517,""d-mmm"")=TEXT($A204,""d-mmm"")) * (ABS(Orders!$H$2:$H$2517 - Orders!$U$2:$U$2517) &gt;= 1) * (Orders!$M$2:$M$2517=""Delivered""))), ""All Balanced"")"),"All Balanced")</f>
        <v>All Balanced</v>
      </c>
      <c r="AG204" s="2" t="str">
        <f>IFERROR(__xludf.DUMMYFUNCTION("IFERROR(TEXTJOIN("", "", TRUE, FILTER(Orders!$I$2:$I$3000, (Orders!$M$2:$M$3000=""Delivered"") * (Orders!$N$2:$N$3000&lt;&gt;""Paid"") * (Orders!$Z$2:$Z$3000=$A204))), """")"),"")</f>
        <v/>
      </c>
      <c r="AH204" s="2">
        <f t="shared" si="140"/>
        <v>0</v>
      </c>
    </row>
    <row r="205">
      <c r="A205" s="107">
        <v>46142.0</v>
      </c>
      <c r="B205" s="108">
        <f t="shared" si="123"/>
        <v>0</v>
      </c>
      <c r="C205" s="108">
        <f>SUMIFS(Orders!$H:$H, Orders!$Z:$Z, $A205, Orders!$M:$M, "Delivered")</f>
        <v>0</v>
      </c>
      <c r="D205" s="109">
        <f>SUMIFS(Orders!$Q:$Q, Orders!$Z:$Z, $A205, Orders!$M:$M, "Delivered")</f>
        <v>0</v>
      </c>
      <c r="E205" s="110">
        <f t="shared" si="124"/>
        <v>0</v>
      </c>
      <c r="F205" s="111">
        <f t="shared" si="125"/>
        <v>0</v>
      </c>
      <c r="G205" s="111">
        <f t="shared" si="126"/>
        <v>0</v>
      </c>
      <c r="H205" s="111">
        <f t="shared" si="127"/>
        <v>0</v>
      </c>
      <c r="I205" s="112">
        <f t="shared" si="128"/>
        <v>0</v>
      </c>
      <c r="J205" s="113"/>
      <c r="K205" s="114"/>
      <c r="L205" s="115">
        <f t="shared" si="129"/>
        <v>0</v>
      </c>
      <c r="M205" s="116">
        <f>SUMIFS(Orders!$W:$W, Orders!$Z:$Z, $A205)</f>
        <v>0</v>
      </c>
      <c r="N205" s="117">
        <f t="shared" si="130"/>
        <v>0</v>
      </c>
      <c r="O205" s="118" t="str">
        <f t="shared" si="131"/>
        <v>#DIV/0!</v>
      </c>
      <c r="P205" s="113"/>
      <c r="Q205" s="119" t="str">
        <f t="shared" si="132"/>
        <v>#DIV/0!</v>
      </c>
      <c r="R205" s="120" t="str">
        <f t="shared" si="133"/>
        <v>#DIV/0!</v>
      </c>
      <c r="S205" s="109">
        <f>COUNTIFS(Orders!$Z:$Z, $A205)</f>
        <v>0</v>
      </c>
      <c r="T205" s="111">
        <f>COUNTIFS(Orders!$Z:$Z, $A205, Orders!$M:$M, "Cancelled")</f>
        <v>0</v>
      </c>
      <c r="U205" s="121" t="str">
        <f t="shared" si="134"/>
        <v>#DIV/0!</v>
      </c>
      <c r="V205" s="122">
        <f>COUNTIFS(Orders!$Z:$Z, $A205, Orders!$M:$M, "pending")</f>
        <v>0</v>
      </c>
      <c r="W205" s="122">
        <f t="shared" si="135"/>
        <v>0</v>
      </c>
      <c r="X205" s="70">
        <f t="shared" si="136"/>
        <v>0</v>
      </c>
      <c r="Y205" s="6">
        <f>COUNTIFS(Orders!$Z:$Z, $A205, Orders!$M:$M, "Delivered")</f>
        <v>0</v>
      </c>
      <c r="Z205" s="6">
        <f>COUNTIFS(Orders!$Z:$Z, $A205, Orders!$M:$M, "Return Received")</f>
        <v>0</v>
      </c>
      <c r="AA205" s="123">
        <f t="shared" si="137"/>
        <v>0</v>
      </c>
      <c r="AB205" s="6">
        <f>COUNTIFS(Orders!$Z:$Z, $A205, Orders!$M:$M, "Returned") + COUNTIFS(Orders!$Z:$Z, $A205, Orders!$M:$M, "Returned to Shipper")</f>
        <v>0</v>
      </c>
      <c r="AC205" s="6">
        <f t="shared" si="138"/>
        <v>0</v>
      </c>
      <c r="AD205" s="2">
        <f>SUMIFS(Orders!$U:$U, Orders!$Z:$Z, $A205, Orders!$M:$M, "Delivered")</f>
        <v>0</v>
      </c>
      <c r="AE205" s="124">
        <f t="shared" si="139"/>
        <v>0</v>
      </c>
      <c r="AF205" s="125" t="str">
        <f>IFERROR(__xludf.DUMMYFUNCTION("IFERROR(TEXTJOIN("", "", TRUE, FILTER(Orders!$B$2:$B$2517, (TEXT(Orders!$D$2:$D$2517,""d-mmm"")=TEXT($A205,""d-mmm"")) * (ABS(Orders!$H$2:$H$2517 - Orders!$U$2:$U$2517) &gt;= 1) * (Orders!$M$2:$M$2517=""Delivered""))), ""All Balanced"")"),"All Balanced")</f>
        <v>All Balanced</v>
      </c>
      <c r="AG205" s="2" t="str">
        <f>IFERROR(__xludf.DUMMYFUNCTION("IFERROR(TEXTJOIN("", "", TRUE, FILTER(Orders!$I$2:$I$3000, (Orders!$M$2:$M$3000=""Delivered"") * (Orders!$N$2:$N$3000&lt;&gt;""Paid"") * (Orders!$Z$2:$Z$3000=$A205))), """")"),"")</f>
        <v/>
      </c>
      <c r="AH205" s="2">
        <f t="shared" si="140"/>
        <v>0</v>
      </c>
    </row>
    <row r="206">
      <c r="A206" s="107">
        <v>46143.0</v>
      </c>
      <c r="B206" s="108">
        <f t="shared" si="123"/>
        <v>0</v>
      </c>
      <c r="C206" s="108">
        <f>SUMIFS(Orders!$H:$H, Orders!$Z:$Z, $A206, Orders!$M:$M, "Delivered")</f>
        <v>0</v>
      </c>
      <c r="D206" s="109">
        <f>SUMIFS(Orders!$Q:$Q, Orders!$Z:$Z, $A206, Orders!$M:$M, "Delivered")</f>
        <v>0</v>
      </c>
      <c r="E206" s="110">
        <f t="shared" si="124"/>
        <v>0</v>
      </c>
      <c r="F206" s="111">
        <f t="shared" si="125"/>
        <v>0</v>
      </c>
      <c r="G206" s="111">
        <f t="shared" si="126"/>
        <v>0</v>
      </c>
      <c r="H206" s="111">
        <f t="shared" si="127"/>
        <v>0</v>
      </c>
      <c r="I206" s="112">
        <f t="shared" si="128"/>
        <v>0</v>
      </c>
      <c r="J206" s="113"/>
      <c r="K206" s="114"/>
      <c r="L206" s="115">
        <f t="shared" si="129"/>
        <v>0</v>
      </c>
      <c r="M206" s="116">
        <f>SUMIFS(Orders!$W:$W, Orders!$Z:$Z, $A206)</f>
        <v>0</v>
      </c>
      <c r="N206" s="117">
        <f t="shared" si="130"/>
        <v>0</v>
      </c>
      <c r="O206" s="118" t="str">
        <f t="shared" si="131"/>
        <v>#DIV/0!</v>
      </c>
      <c r="P206" s="113"/>
      <c r="Q206" s="119" t="str">
        <f t="shared" si="132"/>
        <v>#DIV/0!</v>
      </c>
      <c r="R206" s="120" t="str">
        <f t="shared" si="133"/>
        <v>#DIV/0!</v>
      </c>
      <c r="S206" s="109">
        <f>COUNTIFS(Orders!$Z:$Z, $A206)</f>
        <v>0</v>
      </c>
      <c r="T206" s="111">
        <f>COUNTIFS(Orders!$Z:$Z, $A206, Orders!$M:$M, "Cancelled")</f>
        <v>0</v>
      </c>
      <c r="U206" s="121" t="str">
        <f t="shared" si="134"/>
        <v>#DIV/0!</v>
      </c>
      <c r="V206" s="122">
        <f>COUNTIFS(Orders!$Z:$Z, $A206, Orders!$M:$M, "pending")</f>
        <v>0</v>
      </c>
      <c r="W206" s="122">
        <f t="shared" si="135"/>
        <v>0</v>
      </c>
      <c r="X206" s="70">
        <f t="shared" si="136"/>
        <v>0</v>
      </c>
      <c r="Y206" s="6">
        <f>COUNTIFS(Orders!$Z:$Z, $A206, Orders!$M:$M, "Delivered")</f>
        <v>0</v>
      </c>
      <c r="Z206" s="6">
        <f>COUNTIFS(Orders!$Z:$Z, $A206, Orders!$M:$M, "Return Received")</f>
        <v>0</v>
      </c>
      <c r="AA206" s="123">
        <f t="shared" si="137"/>
        <v>0</v>
      </c>
      <c r="AB206" s="6">
        <f>COUNTIFS(Orders!$Z:$Z, $A206, Orders!$M:$M, "Returned") + COUNTIFS(Orders!$Z:$Z, $A206, Orders!$M:$M, "Returned to Shipper")</f>
        <v>0</v>
      </c>
      <c r="AC206" s="6">
        <f t="shared" si="138"/>
        <v>0</v>
      </c>
      <c r="AD206" s="2">
        <f>SUMIFS(Orders!$U:$U, Orders!$Z:$Z, $A206, Orders!$M:$M, "Delivered")</f>
        <v>0</v>
      </c>
      <c r="AE206" s="124">
        <f t="shared" si="139"/>
        <v>0</v>
      </c>
      <c r="AF206" s="22" t="str">
        <f>IFERROR(__xludf.DUMMYFUNCTION("IFERROR(TEXTJOIN("", "", TRUE, FILTER(Orders!$B$2:$B$2517, (TEXT(Orders!$D$2:$D$2517,""d-mmm"")=TEXT($A206,""d-mmm"")) * (ABS(Orders!$H$2:$H$2517 - Orders!$U$2:$U$2517) &gt;= 1) * (Orders!$M$2:$M$2517=""Delivered""))), ""All Balanced"")"),"All Balanced")</f>
        <v>All Balanced</v>
      </c>
      <c r="AG206" s="2" t="str">
        <f>IFERROR(__xludf.DUMMYFUNCTION("IFERROR(TEXTJOIN("", "", TRUE, FILTER(Orders!$I$2:$I$3000, (Orders!$M$2:$M$3000=""Delivered"") * (Orders!$N$2:$N$3000&lt;&gt;""Paid"") * (Orders!$Z$2:$Z$3000=$A206))), """")"),"")</f>
        <v/>
      </c>
      <c r="AH206" s="2">
        <f t="shared" si="140"/>
        <v>0</v>
      </c>
    </row>
    <row r="207">
      <c r="A207" s="114"/>
      <c r="B207" s="126"/>
      <c r="C207" s="126"/>
      <c r="D207" s="114"/>
      <c r="E207" s="127"/>
      <c r="F207" s="128"/>
      <c r="G207" s="114"/>
      <c r="H207" s="114"/>
      <c r="I207" s="129"/>
      <c r="J207" s="130"/>
      <c r="K207" s="114"/>
      <c r="L207" s="126"/>
      <c r="M207" s="114"/>
      <c r="N207" s="131"/>
      <c r="O207" s="129"/>
      <c r="P207" s="129"/>
      <c r="Q207" s="114"/>
      <c r="R207" s="114"/>
      <c r="S207" s="114"/>
      <c r="T207" s="114"/>
      <c r="U207" s="127"/>
      <c r="V207" s="114"/>
      <c r="W207" s="114"/>
      <c r="X207" s="70"/>
    </row>
    <row r="208">
      <c r="A208" s="132" t="s">
        <v>419</v>
      </c>
      <c r="B208" s="104"/>
      <c r="C208" s="104" t="s">
        <v>399</v>
      </c>
      <c r="D208" s="101" t="s">
        <v>420</v>
      </c>
      <c r="E208" s="133"/>
      <c r="F208" s="134" t="s">
        <v>421</v>
      </c>
      <c r="G208" s="101" t="s">
        <v>422</v>
      </c>
      <c r="H208" s="114"/>
      <c r="I208" s="129"/>
      <c r="J208" s="130"/>
      <c r="K208" s="114"/>
      <c r="L208" s="126"/>
      <c r="M208" s="114"/>
      <c r="N208" s="131"/>
      <c r="O208" s="129"/>
      <c r="P208" s="129"/>
      <c r="Q208" s="114"/>
      <c r="R208" s="114"/>
      <c r="S208" s="114"/>
      <c r="T208" s="114"/>
      <c r="U208" s="127"/>
      <c r="V208" s="114"/>
      <c r="W208" s="114"/>
      <c r="X208" s="70"/>
    </row>
    <row r="209">
      <c r="A209" s="135">
        <v>45667.0</v>
      </c>
      <c r="B209" s="136"/>
      <c r="C209" s="136">
        <f>AVERAGE(O176:O185)</f>
        <v>60.46583375</v>
      </c>
      <c r="D209" s="137" t="str">
        <f>AVERAGE(AJ134:AJ143)</f>
        <v>#DIV/0!</v>
      </c>
      <c r="E209" s="121"/>
      <c r="F209" s="122">
        <f>AVERAGE(I176:I185)</f>
        <v>0</v>
      </c>
      <c r="G209" s="138">
        <f>SUM(N176:N185)</f>
        <v>323603.51</v>
      </c>
      <c r="H209" s="114"/>
      <c r="I209" s="129"/>
      <c r="J209" s="130"/>
      <c r="K209" s="114"/>
      <c r="L209" s="126"/>
      <c r="M209" s="114"/>
      <c r="N209" s="131"/>
      <c r="O209" s="129"/>
      <c r="P209" s="129"/>
      <c r="Q209" s="114"/>
      <c r="R209" s="114"/>
      <c r="S209" s="114"/>
      <c r="T209" s="114"/>
      <c r="U209" s="127"/>
      <c r="V209" s="114"/>
      <c r="W209" s="114"/>
      <c r="X209" s="70"/>
    </row>
    <row r="210">
      <c r="A210" s="135">
        <v>45981.0</v>
      </c>
      <c r="B210" s="136"/>
      <c r="C210" s="136">
        <f>AVERAGE(O186:O195)</f>
        <v>32.87592734</v>
      </c>
      <c r="D210" s="137" t="str">
        <f>AVERAGE(AJ144:AJ153)</f>
        <v>#DIV/0!</v>
      </c>
      <c r="E210" s="121"/>
      <c r="F210" s="122">
        <f>AVERAGE(I186:I195)</f>
        <v>0</v>
      </c>
      <c r="G210" s="138">
        <f>sum(N186:N195)</f>
        <v>185600.68</v>
      </c>
      <c r="H210" s="114"/>
      <c r="I210" s="129"/>
      <c r="J210" s="130"/>
      <c r="K210" s="114"/>
      <c r="L210" s="126"/>
      <c r="M210" s="114"/>
      <c r="N210" s="131"/>
      <c r="O210" s="129"/>
      <c r="P210" s="129"/>
      <c r="Q210" s="114"/>
      <c r="R210" s="114"/>
      <c r="S210" s="114"/>
      <c r="T210" s="114"/>
      <c r="U210" s="127"/>
      <c r="V210" s="114"/>
      <c r="W210" s="114"/>
      <c r="X210" s="70"/>
    </row>
    <row r="211">
      <c r="A211" s="132" t="s">
        <v>423</v>
      </c>
      <c r="B211" s="136"/>
      <c r="C211" s="136" t="str">
        <f>AVERAGE(O196:O206)</f>
        <v>#DIV/0!</v>
      </c>
      <c r="D211" s="137" t="str">
        <f>AVERAGE(AJ154:AJ164)</f>
        <v>#DIV/0!</v>
      </c>
      <c r="E211" s="121"/>
      <c r="F211" s="122">
        <f>AVERAGE(I196:I206)</f>
        <v>0</v>
      </c>
      <c r="G211" s="138">
        <f>sum(N196:N206)</f>
        <v>0</v>
      </c>
      <c r="H211" s="114"/>
      <c r="I211" s="129"/>
      <c r="J211" s="130"/>
      <c r="K211" s="114"/>
      <c r="L211" s="126"/>
      <c r="M211" s="114"/>
      <c r="N211" s="131"/>
      <c r="O211" s="129"/>
      <c r="P211" s="129"/>
      <c r="Q211" s="114"/>
      <c r="R211" s="114"/>
      <c r="S211" s="114"/>
      <c r="T211" s="114"/>
      <c r="U211" s="127"/>
      <c r="V211" s="114"/>
      <c r="W211" s="114"/>
      <c r="X211" s="70"/>
    </row>
    <row r="212">
      <c r="A212" s="139"/>
      <c r="B212" s="136"/>
      <c r="C212" s="136">
        <f t="shared" ref="C212:D212" si="141">AVERAGE(AE197:AE207)</f>
        <v>0</v>
      </c>
      <c r="D212" s="137" t="str">
        <f t="shared" si="141"/>
        <v>#DIV/0!</v>
      </c>
      <c r="E212" s="121"/>
      <c r="F212" s="122">
        <f>sum(N197:N207)</f>
        <v>0</v>
      </c>
      <c r="G212" s="138">
        <f>sum(G209:G211)</f>
        <v>509204.19</v>
      </c>
      <c r="H212" s="114"/>
      <c r="I212" s="114"/>
      <c r="J212" s="130"/>
      <c r="K212" s="114"/>
      <c r="L212" s="126"/>
      <c r="M212" s="114"/>
      <c r="N212" s="131"/>
      <c r="O212" s="129"/>
      <c r="P212" s="129"/>
      <c r="Q212" s="114"/>
      <c r="R212" s="114"/>
      <c r="S212" s="114"/>
      <c r="T212" s="114"/>
      <c r="U212" s="127"/>
      <c r="V212" s="114"/>
      <c r="W212" s="114"/>
      <c r="X212" s="70"/>
    </row>
    <row r="213">
      <c r="B213" s="140"/>
      <c r="C213" s="140"/>
      <c r="E213" s="70"/>
      <c r="L213" s="140"/>
      <c r="N213" s="141"/>
      <c r="U213" s="70"/>
      <c r="X213" s="70"/>
    </row>
    <row r="214">
      <c r="B214" s="140"/>
      <c r="C214" s="140"/>
      <c r="E214" s="70"/>
      <c r="L214" s="140"/>
      <c r="N214" s="141"/>
      <c r="U214" s="70"/>
      <c r="X214" s="70"/>
    </row>
    <row r="215">
      <c r="B215" s="140"/>
      <c r="C215" s="140"/>
      <c r="E215" s="70"/>
      <c r="L215" s="140"/>
      <c r="N215" s="141"/>
      <c r="U215" s="70"/>
      <c r="X215" s="70"/>
    </row>
    <row r="216">
      <c r="B216" s="140"/>
      <c r="C216" s="140"/>
      <c r="E216" s="70"/>
      <c r="L216" s="140"/>
      <c r="N216" s="141"/>
      <c r="U216" s="70"/>
      <c r="X216" s="70"/>
    </row>
    <row r="217">
      <c r="B217" s="140"/>
      <c r="C217" s="140"/>
      <c r="E217" s="70"/>
      <c r="L217" s="140"/>
      <c r="N217" s="141"/>
      <c r="U217" s="70"/>
      <c r="X217" s="70"/>
    </row>
    <row r="218">
      <c r="B218" s="140"/>
      <c r="C218" s="140"/>
      <c r="E218" s="70"/>
      <c r="L218" s="140"/>
      <c r="N218" s="141"/>
      <c r="U218" s="70"/>
      <c r="X218" s="70"/>
    </row>
    <row r="219">
      <c r="B219" s="140"/>
      <c r="C219" s="140"/>
      <c r="E219" s="70"/>
      <c r="L219" s="140"/>
      <c r="N219" s="141"/>
      <c r="U219" s="70"/>
      <c r="X219" s="70"/>
    </row>
    <row r="220">
      <c r="B220" s="140"/>
      <c r="C220" s="140"/>
      <c r="E220" s="70"/>
      <c r="L220" s="140"/>
      <c r="N220" s="141"/>
      <c r="U220" s="70"/>
      <c r="X220" s="70"/>
    </row>
    <row r="221">
      <c r="B221" s="140"/>
      <c r="C221" s="140"/>
      <c r="E221" s="70"/>
      <c r="L221" s="140"/>
      <c r="N221" s="141"/>
      <c r="U221" s="70"/>
      <c r="X221" s="70"/>
    </row>
    <row r="222">
      <c r="B222" s="140"/>
      <c r="C222" s="140"/>
      <c r="E222" s="70"/>
      <c r="L222" s="140"/>
      <c r="N222" s="141"/>
      <c r="U222" s="70"/>
      <c r="X222" s="70"/>
    </row>
    <row r="223">
      <c r="B223" s="140"/>
      <c r="C223" s="140"/>
      <c r="E223" s="70"/>
      <c r="L223" s="140"/>
      <c r="N223" s="141"/>
      <c r="U223" s="70"/>
      <c r="X223" s="70"/>
    </row>
    <row r="224">
      <c r="B224" s="140"/>
      <c r="C224" s="140"/>
      <c r="E224" s="70"/>
      <c r="L224" s="140"/>
      <c r="N224" s="141"/>
      <c r="U224" s="70"/>
      <c r="X224" s="70"/>
    </row>
    <row r="225">
      <c r="B225" s="140"/>
      <c r="C225" s="140"/>
      <c r="E225" s="70"/>
      <c r="L225" s="140"/>
      <c r="N225" s="141"/>
      <c r="U225" s="70"/>
      <c r="X225" s="70"/>
    </row>
    <row r="226">
      <c r="B226" s="140"/>
      <c r="C226" s="140"/>
      <c r="E226" s="70"/>
      <c r="L226" s="140"/>
      <c r="N226" s="141"/>
      <c r="U226" s="70"/>
      <c r="X226" s="70"/>
    </row>
    <row r="227">
      <c r="B227" s="140"/>
      <c r="C227" s="140"/>
      <c r="E227" s="70"/>
      <c r="L227" s="140"/>
      <c r="N227" s="141"/>
      <c r="U227" s="70"/>
      <c r="X227" s="70"/>
    </row>
    <row r="228">
      <c r="B228" s="140"/>
      <c r="C228" s="140"/>
      <c r="E228" s="70"/>
      <c r="L228" s="140"/>
      <c r="N228" s="141"/>
      <c r="U228" s="70"/>
      <c r="X228" s="70"/>
    </row>
    <row r="229">
      <c r="B229" s="140"/>
      <c r="C229" s="140"/>
      <c r="E229" s="70"/>
      <c r="L229" s="140"/>
      <c r="N229" s="141"/>
      <c r="U229" s="70"/>
      <c r="X229" s="70"/>
    </row>
    <row r="230">
      <c r="B230" s="140"/>
      <c r="C230" s="140"/>
      <c r="E230" s="70"/>
      <c r="L230" s="140"/>
      <c r="N230" s="141"/>
      <c r="U230" s="70"/>
      <c r="X230" s="70"/>
    </row>
    <row r="231">
      <c r="B231" s="140"/>
      <c r="C231" s="140"/>
      <c r="E231" s="70"/>
      <c r="L231" s="140"/>
      <c r="N231" s="141"/>
      <c r="U231" s="70"/>
      <c r="X231" s="70"/>
    </row>
    <row r="232">
      <c r="B232" s="140"/>
      <c r="C232" s="140"/>
      <c r="E232" s="70"/>
      <c r="L232" s="140"/>
      <c r="N232" s="141"/>
      <c r="U232" s="70"/>
      <c r="X232" s="70"/>
    </row>
    <row r="233">
      <c r="B233" s="140"/>
      <c r="C233" s="140"/>
      <c r="E233" s="70"/>
      <c r="L233" s="140"/>
      <c r="N233" s="141"/>
      <c r="U233" s="70"/>
      <c r="X233" s="70"/>
    </row>
    <row r="234">
      <c r="B234" s="140"/>
      <c r="C234" s="140"/>
      <c r="E234" s="70"/>
      <c r="L234" s="140"/>
      <c r="N234" s="141"/>
      <c r="U234" s="70"/>
      <c r="X234" s="70"/>
    </row>
    <row r="235">
      <c r="B235" s="140"/>
      <c r="C235" s="140"/>
      <c r="E235" s="70"/>
      <c r="L235" s="140"/>
      <c r="N235" s="141"/>
      <c r="U235" s="70"/>
      <c r="X235" s="70"/>
    </row>
    <row r="236">
      <c r="B236" s="140"/>
      <c r="C236" s="140"/>
      <c r="E236" s="70"/>
      <c r="L236" s="140"/>
      <c r="N236" s="141"/>
      <c r="U236" s="70"/>
      <c r="X236" s="70"/>
    </row>
    <row r="237">
      <c r="B237" s="140"/>
      <c r="C237" s="140"/>
      <c r="E237" s="70"/>
      <c r="L237" s="140"/>
      <c r="N237" s="141"/>
      <c r="U237" s="70"/>
      <c r="X237" s="70"/>
    </row>
    <row r="238">
      <c r="B238" s="140"/>
      <c r="C238" s="140"/>
      <c r="E238" s="70"/>
      <c r="L238" s="140"/>
      <c r="N238" s="141"/>
      <c r="U238" s="70"/>
      <c r="X238" s="70"/>
    </row>
    <row r="239">
      <c r="B239" s="140"/>
      <c r="C239" s="140"/>
      <c r="E239" s="70"/>
      <c r="L239" s="140"/>
      <c r="N239" s="141"/>
      <c r="U239" s="70"/>
      <c r="X239" s="70"/>
    </row>
    <row r="240">
      <c r="B240" s="140"/>
      <c r="C240" s="140"/>
      <c r="E240" s="70"/>
      <c r="L240" s="140"/>
      <c r="N240" s="141"/>
      <c r="U240" s="70"/>
      <c r="X240" s="70"/>
    </row>
    <row r="241">
      <c r="B241" s="140"/>
      <c r="C241" s="140"/>
      <c r="E241" s="70"/>
      <c r="L241" s="140"/>
      <c r="N241" s="141"/>
      <c r="U241" s="70"/>
      <c r="X241" s="70"/>
    </row>
    <row r="242">
      <c r="B242" s="140"/>
      <c r="C242" s="140"/>
      <c r="E242" s="70"/>
      <c r="L242" s="140"/>
      <c r="N242" s="141"/>
      <c r="U242" s="70"/>
      <c r="X242" s="70"/>
    </row>
    <row r="243">
      <c r="B243" s="140"/>
      <c r="C243" s="140"/>
      <c r="E243" s="70"/>
      <c r="L243" s="140"/>
      <c r="N243" s="141"/>
      <c r="U243" s="70"/>
      <c r="X243" s="70"/>
    </row>
    <row r="244">
      <c r="B244" s="140"/>
      <c r="C244" s="140"/>
      <c r="E244" s="70"/>
      <c r="L244" s="140"/>
      <c r="N244" s="141"/>
      <c r="U244" s="70"/>
      <c r="X244" s="70"/>
    </row>
    <row r="245">
      <c r="B245" s="140"/>
      <c r="C245" s="140"/>
      <c r="E245" s="70"/>
      <c r="L245" s="140"/>
      <c r="N245" s="141"/>
      <c r="U245" s="70"/>
      <c r="X245" s="70"/>
    </row>
    <row r="246">
      <c r="B246" s="140"/>
      <c r="C246" s="140"/>
      <c r="E246" s="70"/>
      <c r="L246" s="140"/>
      <c r="N246" s="141"/>
      <c r="U246" s="70"/>
      <c r="X246" s="70"/>
    </row>
    <row r="247">
      <c r="B247" s="140"/>
      <c r="C247" s="140"/>
      <c r="E247" s="70"/>
      <c r="L247" s="140"/>
      <c r="N247" s="141"/>
      <c r="U247" s="70"/>
      <c r="X247" s="70"/>
    </row>
    <row r="248">
      <c r="B248" s="140"/>
      <c r="C248" s="140"/>
      <c r="E248" s="70"/>
      <c r="L248" s="140"/>
      <c r="N248" s="141"/>
      <c r="U248" s="70"/>
      <c r="X248" s="70"/>
    </row>
    <row r="249">
      <c r="B249" s="140"/>
      <c r="C249" s="140"/>
      <c r="E249" s="70"/>
      <c r="L249" s="140"/>
      <c r="N249" s="141"/>
      <c r="U249" s="70"/>
      <c r="X249" s="70"/>
    </row>
    <row r="250">
      <c r="B250" s="140"/>
      <c r="C250" s="140"/>
      <c r="E250" s="70"/>
      <c r="L250" s="140"/>
      <c r="N250" s="141"/>
      <c r="U250" s="70"/>
      <c r="X250" s="70"/>
    </row>
    <row r="251">
      <c r="B251" s="140"/>
      <c r="C251" s="140"/>
      <c r="E251" s="70"/>
      <c r="L251" s="140"/>
      <c r="N251" s="141"/>
      <c r="U251" s="70"/>
      <c r="X251" s="70"/>
    </row>
    <row r="252">
      <c r="B252" s="140"/>
      <c r="C252" s="140"/>
      <c r="E252" s="70"/>
      <c r="L252" s="140"/>
      <c r="N252" s="141"/>
      <c r="U252" s="70"/>
      <c r="X252" s="70"/>
    </row>
    <row r="253">
      <c r="B253" s="140"/>
      <c r="C253" s="140"/>
      <c r="E253" s="70"/>
      <c r="L253" s="140"/>
      <c r="N253" s="141"/>
      <c r="U253" s="70"/>
      <c r="X253" s="70"/>
    </row>
    <row r="254">
      <c r="B254" s="140"/>
      <c r="C254" s="140"/>
      <c r="E254" s="70"/>
      <c r="L254" s="140"/>
      <c r="N254" s="141"/>
      <c r="U254" s="70"/>
      <c r="X254" s="70"/>
    </row>
    <row r="255">
      <c r="B255" s="140"/>
      <c r="C255" s="140"/>
      <c r="E255" s="70"/>
      <c r="L255" s="140"/>
      <c r="N255" s="141"/>
      <c r="U255" s="70"/>
      <c r="X255" s="70"/>
    </row>
    <row r="256">
      <c r="B256" s="140"/>
      <c r="C256" s="140"/>
      <c r="E256" s="70"/>
      <c r="L256" s="140"/>
      <c r="N256" s="141"/>
      <c r="U256" s="70"/>
      <c r="X256" s="70"/>
    </row>
    <row r="257">
      <c r="B257" s="140"/>
      <c r="C257" s="140"/>
      <c r="E257" s="70"/>
      <c r="L257" s="140"/>
      <c r="N257" s="141"/>
      <c r="U257" s="70"/>
      <c r="X257" s="70"/>
    </row>
    <row r="258">
      <c r="B258" s="140"/>
      <c r="C258" s="140"/>
      <c r="E258" s="70"/>
      <c r="L258" s="140"/>
      <c r="N258" s="141"/>
      <c r="U258" s="70"/>
      <c r="X258" s="70"/>
    </row>
    <row r="259">
      <c r="B259" s="140"/>
      <c r="C259" s="140"/>
      <c r="E259" s="70"/>
      <c r="L259" s="140"/>
      <c r="N259" s="141"/>
      <c r="U259" s="70"/>
      <c r="X259" s="70"/>
    </row>
    <row r="260">
      <c r="B260" s="140"/>
      <c r="C260" s="140"/>
      <c r="E260" s="70"/>
      <c r="L260" s="140"/>
      <c r="N260" s="141"/>
      <c r="U260" s="70"/>
      <c r="X260" s="70"/>
    </row>
    <row r="261">
      <c r="B261" s="140"/>
      <c r="C261" s="140"/>
      <c r="E261" s="70"/>
      <c r="L261" s="140"/>
      <c r="N261" s="141"/>
      <c r="U261" s="70"/>
      <c r="X261" s="70"/>
    </row>
    <row r="262">
      <c r="B262" s="140"/>
      <c r="C262" s="140"/>
      <c r="E262" s="70"/>
      <c r="L262" s="140"/>
      <c r="N262" s="141"/>
      <c r="U262" s="70"/>
      <c r="X262" s="70"/>
    </row>
    <row r="263">
      <c r="B263" s="140"/>
      <c r="C263" s="140"/>
      <c r="E263" s="70"/>
      <c r="L263" s="140"/>
      <c r="N263" s="141"/>
      <c r="U263" s="70"/>
      <c r="X263" s="70"/>
    </row>
    <row r="264">
      <c r="B264" s="140"/>
      <c r="C264" s="140"/>
      <c r="E264" s="70"/>
      <c r="L264" s="140"/>
      <c r="N264" s="141"/>
      <c r="U264" s="70"/>
      <c r="X264" s="70"/>
    </row>
    <row r="265">
      <c r="B265" s="140"/>
      <c r="C265" s="140"/>
      <c r="E265" s="70"/>
      <c r="L265" s="140"/>
      <c r="N265" s="141"/>
      <c r="U265" s="70"/>
      <c r="X265" s="70"/>
    </row>
    <row r="266">
      <c r="B266" s="140"/>
      <c r="C266" s="140"/>
      <c r="E266" s="70"/>
      <c r="L266" s="140"/>
      <c r="N266" s="141"/>
      <c r="U266" s="70"/>
      <c r="X266" s="70"/>
    </row>
    <row r="267">
      <c r="B267" s="140"/>
      <c r="C267" s="140"/>
      <c r="E267" s="70"/>
      <c r="L267" s="140"/>
      <c r="N267" s="141"/>
      <c r="U267" s="70"/>
      <c r="X267" s="70"/>
    </row>
    <row r="268">
      <c r="B268" s="140"/>
      <c r="C268" s="140"/>
      <c r="E268" s="70"/>
      <c r="L268" s="140"/>
      <c r="N268" s="141"/>
      <c r="U268" s="70"/>
      <c r="X268" s="70"/>
    </row>
    <row r="269">
      <c r="B269" s="140"/>
      <c r="C269" s="140"/>
      <c r="E269" s="70"/>
      <c r="L269" s="140"/>
      <c r="N269" s="141"/>
      <c r="U269" s="70"/>
      <c r="X269" s="70"/>
    </row>
    <row r="270">
      <c r="B270" s="140"/>
      <c r="C270" s="140"/>
      <c r="E270" s="70"/>
      <c r="L270" s="140"/>
      <c r="N270" s="141"/>
      <c r="U270" s="70"/>
      <c r="X270" s="70"/>
    </row>
    <row r="271">
      <c r="B271" s="140"/>
      <c r="C271" s="140"/>
      <c r="E271" s="70"/>
      <c r="L271" s="140"/>
      <c r="N271" s="141"/>
      <c r="U271" s="70"/>
      <c r="X271" s="70"/>
    </row>
    <row r="272">
      <c r="B272" s="140"/>
      <c r="C272" s="140"/>
      <c r="E272" s="70"/>
      <c r="L272" s="140"/>
      <c r="N272" s="141"/>
      <c r="U272" s="70"/>
      <c r="X272" s="70"/>
    </row>
    <row r="273">
      <c r="B273" s="140"/>
      <c r="C273" s="140"/>
      <c r="E273" s="70"/>
      <c r="L273" s="140"/>
      <c r="N273" s="141"/>
      <c r="U273" s="70"/>
      <c r="X273" s="70"/>
    </row>
    <row r="274">
      <c r="B274" s="140"/>
      <c r="C274" s="140"/>
      <c r="E274" s="70"/>
      <c r="L274" s="140"/>
      <c r="N274" s="141"/>
      <c r="U274" s="70"/>
      <c r="X274" s="70"/>
    </row>
    <row r="275">
      <c r="B275" s="140"/>
      <c r="C275" s="140"/>
      <c r="E275" s="70"/>
      <c r="L275" s="140"/>
      <c r="N275" s="141"/>
      <c r="U275" s="70"/>
      <c r="X275" s="70"/>
    </row>
    <row r="276">
      <c r="B276" s="140"/>
      <c r="C276" s="140"/>
      <c r="E276" s="70"/>
      <c r="L276" s="140"/>
      <c r="N276" s="141"/>
      <c r="U276" s="70"/>
      <c r="X276" s="70"/>
    </row>
    <row r="277">
      <c r="B277" s="140"/>
      <c r="C277" s="140"/>
      <c r="E277" s="70"/>
      <c r="L277" s="140"/>
      <c r="N277" s="141"/>
      <c r="U277" s="70"/>
      <c r="X277" s="70"/>
    </row>
    <row r="278">
      <c r="B278" s="140"/>
      <c r="C278" s="140"/>
      <c r="E278" s="70"/>
      <c r="L278" s="140"/>
      <c r="N278" s="141"/>
      <c r="U278" s="70"/>
      <c r="X278" s="70"/>
    </row>
    <row r="279">
      <c r="B279" s="140"/>
      <c r="C279" s="140"/>
      <c r="E279" s="70"/>
      <c r="L279" s="140"/>
      <c r="N279" s="141"/>
      <c r="U279" s="70"/>
      <c r="X279" s="70"/>
    </row>
    <row r="280">
      <c r="B280" s="140"/>
      <c r="C280" s="140"/>
      <c r="E280" s="70"/>
      <c r="L280" s="140"/>
      <c r="N280" s="141"/>
      <c r="U280" s="70"/>
      <c r="X280" s="70"/>
    </row>
    <row r="281">
      <c r="B281" s="140"/>
      <c r="C281" s="140"/>
      <c r="E281" s="70"/>
      <c r="L281" s="140"/>
      <c r="N281" s="141"/>
      <c r="U281" s="70"/>
      <c r="X281" s="70"/>
    </row>
    <row r="282">
      <c r="B282" s="140"/>
      <c r="C282" s="140"/>
      <c r="E282" s="70"/>
      <c r="L282" s="140"/>
      <c r="N282" s="141"/>
      <c r="U282" s="70"/>
      <c r="X282" s="70"/>
    </row>
    <row r="283">
      <c r="B283" s="140"/>
      <c r="C283" s="140"/>
      <c r="E283" s="70"/>
      <c r="L283" s="140"/>
      <c r="N283" s="141"/>
      <c r="U283" s="70"/>
      <c r="X283" s="70"/>
    </row>
    <row r="284">
      <c r="B284" s="140"/>
      <c r="C284" s="140"/>
      <c r="E284" s="70"/>
      <c r="L284" s="140"/>
      <c r="N284" s="141"/>
      <c r="U284" s="70"/>
      <c r="X284" s="70"/>
    </row>
    <row r="285">
      <c r="B285" s="140"/>
      <c r="C285" s="140"/>
      <c r="E285" s="70"/>
      <c r="L285" s="140"/>
      <c r="N285" s="141"/>
      <c r="U285" s="70"/>
      <c r="X285" s="70"/>
    </row>
    <row r="286">
      <c r="B286" s="140"/>
      <c r="C286" s="140"/>
      <c r="E286" s="70"/>
      <c r="L286" s="140"/>
      <c r="N286" s="141"/>
      <c r="U286" s="70"/>
      <c r="X286" s="70"/>
    </row>
    <row r="287">
      <c r="B287" s="140"/>
      <c r="C287" s="140"/>
      <c r="E287" s="70"/>
      <c r="L287" s="140"/>
      <c r="N287" s="141"/>
      <c r="U287" s="70"/>
      <c r="X287" s="70"/>
    </row>
    <row r="288">
      <c r="B288" s="140"/>
      <c r="C288" s="140"/>
      <c r="E288" s="70"/>
      <c r="L288" s="140"/>
      <c r="N288" s="141"/>
      <c r="U288" s="70"/>
      <c r="X288" s="70"/>
    </row>
    <row r="289">
      <c r="B289" s="140"/>
      <c r="C289" s="140"/>
      <c r="E289" s="70"/>
      <c r="L289" s="140"/>
      <c r="N289" s="141"/>
      <c r="U289" s="70"/>
      <c r="X289" s="70"/>
    </row>
    <row r="290">
      <c r="B290" s="140"/>
      <c r="C290" s="140"/>
      <c r="E290" s="70"/>
      <c r="L290" s="140"/>
      <c r="N290" s="141"/>
      <c r="U290" s="70"/>
      <c r="X290" s="70"/>
    </row>
    <row r="291">
      <c r="B291" s="140"/>
      <c r="C291" s="140"/>
      <c r="E291" s="70"/>
      <c r="L291" s="140"/>
      <c r="N291" s="141"/>
      <c r="U291" s="70"/>
      <c r="X291" s="70"/>
    </row>
    <row r="292">
      <c r="B292" s="140"/>
      <c r="C292" s="140"/>
      <c r="E292" s="70"/>
      <c r="L292" s="140"/>
      <c r="N292" s="141"/>
      <c r="U292" s="70"/>
      <c r="X292" s="70"/>
    </row>
    <row r="293">
      <c r="B293" s="140"/>
      <c r="C293" s="140"/>
      <c r="E293" s="70"/>
      <c r="L293" s="140"/>
      <c r="N293" s="141"/>
      <c r="U293" s="70"/>
      <c r="X293" s="70"/>
    </row>
    <row r="294">
      <c r="B294" s="140"/>
      <c r="C294" s="140"/>
      <c r="E294" s="70"/>
      <c r="L294" s="140"/>
      <c r="N294" s="141"/>
      <c r="U294" s="70"/>
      <c r="X294" s="70"/>
    </row>
    <row r="295">
      <c r="B295" s="140"/>
      <c r="C295" s="140"/>
      <c r="E295" s="70"/>
      <c r="L295" s="140"/>
      <c r="N295" s="141"/>
      <c r="U295" s="70"/>
      <c r="X295" s="70"/>
    </row>
    <row r="296">
      <c r="B296" s="140"/>
      <c r="C296" s="140"/>
      <c r="E296" s="70"/>
      <c r="L296" s="140"/>
      <c r="N296" s="141"/>
      <c r="U296" s="70"/>
      <c r="X296" s="70"/>
    </row>
    <row r="297">
      <c r="B297" s="140"/>
      <c r="C297" s="140"/>
      <c r="E297" s="70"/>
      <c r="L297" s="140"/>
      <c r="N297" s="141"/>
      <c r="U297" s="70"/>
      <c r="X297" s="70"/>
    </row>
    <row r="298">
      <c r="B298" s="140"/>
      <c r="C298" s="140"/>
      <c r="E298" s="70"/>
      <c r="L298" s="140"/>
      <c r="N298" s="141"/>
      <c r="U298" s="70"/>
      <c r="X298" s="70"/>
    </row>
    <row r="299">
      <c r="B299" s="140"/>
      <c r="C299" s="140"/>
      <c r="E299" s="70"/>
      <c r="L299" s="140"/>
      <c r="N299" s="141"/>
      <c r="U299" s="70"/>
      <c r="X299" s="70"/>
    </row>
    <row r="300">
      <c r="B300" s="140"/>
      <c r="C300" s="140"/>
      <c r="E300" s="70"/>
      <c r="L300" s="140"/>
      <c r="N300" s="141"/>
      <c r="U300" s="70"/>
      <c r="X300" s="70"/>
    </row>
    <row r="301">
      <c r="B301" s="140"/>
      <c r="C301" s="140"/>
      <c r="E301" s="70"/>
      <c r="L301" s="140"/>
      <c r="N301" s="141"/>
      <c r="U301" s="70"/>
      <c r="X301" s="70"/>
    </row>
    <row r="302">
      <c r="B302" s="140"/>
      <c r="C302" s="140"/>
      <c r="E302" s="70"/>
      <c r="L302" s="140"/>
      <c r="N302" s="141"/>
      <c r="U302" s="70"/>
      <c r="X302" s="70"/>
    </row>
    <row r="303">
      <c r="B303" s="140"/>
      <c r="C303" s="140"/>
      <c r="E303" s="70"/>
      <c r="L303" s="140"/>
      <c r="N303" s="141"/>
      <c r="U303" s="70"/>
      <c r="X303" s="70"/>
    </row>
    <row r="304">
      <c r="B304" s="140"/>
      <c r="C304" s="140"/>
      <c r="E304" s="70"/>
      <c r="L304" s="140"/>
      <c r="N304" s="141"/>
      <c r="U304" s="70"/>
      <c r="X304" s="70"/>
    </row>
    <row r="305">
      <c r="B305" s="140"/>
      <c r="C305" s="140"/>
      <c r="E305" s="70"/>
      <c r="L305" s="140"/>
      <c r="N305" s="141"/>
      <c r="U305" s="70"/>
      <c r="X305" s="70"/>
    </row>
    <row r="306">
      <c r="B306" s="140"/>
      <c r="C306" s="140"/>
      <c r="E306" s="70"/>
      <c r="L306" s="140"/>
      <c r="N306" s="141"/>
      <c r="U306" s="70"/>
      <c r="X306" s="70"/>
    </row>
    <row r="307">
      <c r="B307" s="140"/>
      <c r="C307" s="140"/>
      <c r="E307" s="70"/>
      <c r="L307" s="140"/>
      <c r="N307" s="141"/>
      <c r="U307" s="70"/>
      <c r="X307" s="70"/>
    </row>
    <row r="308">
      <c r="B308" s="140"/>
      <c r="C308" s="140"/>
      <c r="E308" s="70"/>
      <c r="L308" s="140"/>
      <c r="N308" s="141"/>
      <c r="U308" s="70"/>
      <c r="X308" s="70"/>
    </row>
    <row r="309">
      <c r="B309" s="140"/>
      <c r="C309" s="140"/>
      <c r="E309" s="70"/>
      <c r="L309" s="140"/>
      <c r="N309" s="141"/>
      <c r="U309" s="70"/>
      <c r="X309" s="70"/>
    </row>
    <row r="310">
      <c r="B310" s="140"/>
      <c r="C310" s="140"/>
      <c r="E310" s="70"/>
      <c r="L310" s="140"/>
      <c r="N310" s="141"/>
      <c r="U310" s="70"/>
      <c r="X310" s="70"/>
    </row>
    <row r="311">
      <c r="B311" s="140"/>
      <c r="C311" s="140"/>
      <c r="E311" s="70"/>
      <c r="L311" s="140"/>
      <c r="N311" s="141"/>
      <c r="U311" s="70"/>
      <c r="X311" s="70"/>
    </row>
    <row r="312">
      <c r="B312" s="140"/>
      <c r="C312" s="140"/>
      <c r="E312" s="70"/>
      <c r="L312" s="140"/>
      <c r="N312" s="141"/>
      <c r="U312" s="70"/>
      <c r="X312" s="70"/>
    </row>
    <row r="313">
      <c r="B313" s="140"/>
      <c r="C313" s="140"/>
      <c r="E313" s="70"/>
      <c r="L313" s="140"/>
      <c r="N313" s="141"/>
      <c r="U313" s="70"/>
      <c r="X313" s="70"/>
    </row>
    <row r="314">
      <c r="B314" s="140"/>
      <c r="C314" s="140"/>
      <c r="E314" s="70"/>
      <c r="L314" s="140"/>
      <c r="N314" s="141"/>
      <c r="U314" s="70"/>
      <c r="X314" s="70"/>
    </row>
    <row r="315">
      <c r="B315" s="140"/>
      <c r="C315" s="140"/>
      <c r="E315" s="70"/>
      <c r="L315" s="140"/>
      <c r="N315" s="141"/>
      <c r="U315" s="70"/>
      <c r="X315" s="70"/>
    </row>
    <row r="316">
      <c r="B316" s="140"/>
      <c r="C316" s="140"/>
      <c r="E316" s="70"/>
      <c r="L316" s="140"/>
      <c r="N316" s="141"/>
      <c r="U316" s="70"/>
      <c r="X316" s="70"/>
    </row>
    <row r="317">
      <c r="B317" s="140"/>
      <c r="C317" s="140"/>
      <c r="E317" s="70"/>
      <c r="L317" s="140"/>
      <c r="N317" s="141"/>
      <c r="U317" s="70"/>
      <c r="X317" s="70"/>
    </row>
    <row r="318">
      <c r="B318" s="140"/>
      <c r="C318" s="140"/>
      <c r="E318" s="70"/>
      <c r="L318" s="140"/>
      <c r="N318" s="141"/>
      <c r="U318" s="70"/>
      <c r="X318" s="70"/>
    </row>
    <row r="319">
      <c r="B319" s="140"/>
      <c r="C319" s="140"/>
      <c r="E319" s="70"/>
      <c r="L319" s="140"/>
      <c r="N319" s="141"/>
      <c r="U319" s="70"/>
      <c r="X319" s="70"/>
    </row>
    <row r="320">
      <c r="B320" s="140"/>
      <c r="C320" s="140"/>
      <c r="E320" s="70"/>
      <c r="L320" s="140"/>
      <c r="N320" s="141"/>
      <c r="U320" s="70"/>
      <c r="X320" s="70"/>
    </row>
    <row r="321">
      <c r="B321" s="140"/>
      <c r="C321" s="140"/>
      <c r="E321" s="70"/>
      <c r="L321" s="140"/>
      <c r="N321" s="141"/>
      <c r="U321" s="70"/>
      <c r="X321" s="70"/>
    </row>
    <row r="322">
      <c r="B322" s="140"/>
      <c r="C322" s="140"/>
      <c r="E322" s="70"/>
      <c r="L322" s="140"/>
      <c r="N322" s="141"/>
      <c r="U322" s="70"/>
      <c r="X322" s="70"/>
    </row>
    <row r="323">
      <c r="B323" s="140"/>
      <c r="C323" s="140"/>
      <c r="E323" s="70"/>
      <c r="L323" s="140"/>
      <c r="N323" s="141"/>
      <c r="U323" s="70"/>
      <c r="X323" s="70"/>
    </row>
    <row r="324">
      <c r="B324" s="140"/>
      <c r="C324" s="140"/>
      <c r="E324" s="70"/>
      <c r="L324" s="140"/>
      <c r="N324" s="141"/>
      <c r="U324" s="70"/>
      <c r="X324" s="70"/>
    </row>
    <row r="325">
      <c r="B325" s="140"/>
      <c r="C325" s="140"/>
      <c r="E325" s="70"/>
      <c r="L325" s="140"/>
      <c r="N325" s="141"/>
      <c r="U325" s="70"/>
      <c r="X325" s="70"/>
    </row>
    <row r="326">
      <c r="B326" s="140"/>
      <c r="C326" s="140"/>
      <c r="E326" s="70"/>
      <c r="L326" s="140"/>
      <c r="N326" s="141"/>
      <c r="U326" s="70"/>
      <c r="X326" s="70"/>
    </row>
    <row r="327">
      <c r="B327" s="140"/>
      <c r="C327" s="140"/>
      <c r="E327" s="70"/>
      <c r="L327" s="140"/>
      <c r="N327" s="141"/>
      <c r="U327" s="70"/>
      <c r="X327" s="70"/>
    </row>
    <row r="328">
      <c r="B328" s="140"/>
      <c r="C328" s="140"/>
      <c r="E328" s="70"/>
      <c r="L328" s="140"/>
      <c r="N328" s="141"/>
      <c r="U328" s="70"/>
      <c r="X328" s="70"/>
    </row>
    <row r="329">
      <c r="B329" s="140"/>
      <c r="C329" s="140"/>
      <c r="E329" s="70"/>
      <c r="L329" s="140"/>
      <c r="N329" s="141"/>
      <c r="U329" s="70"/>
      <c r="X329" s="70"/>
    </row>
    <row r="330">
      <c r="B330" s="140"/>
      <c r="C330" s="140"/>
      <c r="E330" s="70"/>
      <c r="L330" s="140"/>
      <c r="N330" s="141"/>
      <c r="U330" s="70"/>
      <c r="X330" s="70"/>
    </row>
    <row r="331">
      <c r="B331" s="140"/>
      <c r="C331" s="140"/>
      <c r="E331" s="70"/>
      <c r="L331" s="140"/>
      <c r="N331" s="141"/>
      <c r="U331" s="70"/>
      <c r="X331" s="70"/>
    </row>
    <row r="332">
      <c r="B332" s="140"/>
      <c r="C332" s="140"/>
      <c r="E332" s="70"/>
      <c r="L332" s="140"/>
      <c r="N332" s="141"/>
      <c r="U332" s="70"/>
      <c r="X332" s="70"/>
    </row>
    <row r="333">
      <c r="B333" s="140"/>
      <c r="C333" s="140"/>
      <c r="E333" s="70"/>
      <c r="L333" s="140"/>
      <c r="N333" s="141"/>
      <c r="U333" s="70"/>
      <c r="X333" s="70"/>
    </row>
    <row r="334">
      <c r="B334" s="140"/>
      <c r="C334" s="140"/>
      <c r="E334" s="70"/>
      <c r="L334" s="140"/>
      <c r="N334" s="141"/>
      <c r="U334" s="70"/>
      <c r="X334" s="70"/>
    </row>
    <row r="335">
      <c r="B335" s="140"/>
      <c r="C335" s="140"/>
      <c r="E335" s="70"/>
      <c r="L335" s="140"/>
      <c r="N335" s="141"/>
      <c r="U335" s="70"/>
      <c r="X335" s="70"/>
    </row>
    <row r="336">
      <c r="B336" s="140"/>
      <c r="C336" s="140"/>
      <c r="E336" s="70"/>
      <c r="L336" s="140"/>
      <c r="N336" s="141"/>
      <c r="U336" s="70"/>
      <c r="X336" s="70"/>
    </row>
    <row r="337">
      <c r="B337" s="140"/>
      <c r="C337" s="140"/>
      <c r="E337" s="70"/>
      <c r="L337" s="140"/>
      <c r="N337" s="141"/>
      <c r="U337" s="70"/>
      <c r="X337" s="70"/>
    </row>
    <row r="338">
      <c r="B338" s="140"/>
      <c r="C338" s="140"/>
      <c r="E338" s="70"/>
      <c r="L338" s="140"/>
      <c r="N338" s="141"/>
      <c r="U338" s="70"/>
      <c r="X338" s="70"/>
    </row>
    <row r="339">
      <c r="B339" s="140"/>
      <c r="C339" s="140"/>
      <c r="E339" s="70"/>
      <c r="L339" s="140"/>
      <c r="N339" s="141"/>
      <c r="U339" s="70"/>
      <c r="X339" s="70"/>
    </row>
    <row r="340">
      <c r="B340" s="140"/>
      <c r="C340" s="140"/>
      <c r="E340" s="70"/>
      <c r="L340" s="140"/>
      <c r="N340" s="141"/>
      <c r="U340" s="70"/>
      <c r="X340" s="70"/>
    </row>
    <row r="341">
      <c r="B341" s="140"/>
      <c r="C341" s="140"/>
      <c r="E341" s="70"/>
      <c r="L341" s="140"/>
      <c r="N341" s="141"/>
      <c r="U341" s="70"/>
      <c r="X341" s="70"/>
    </row>
    <row r="342">
      <c r="B342" s="140"/>
      <c r="C342" s="140"/>
      <c r="E342" s="70"/>
      <c r="L342" s="140"/>
      <c r="N342" s="141"/>
      <c r="U342" s="70"/>
      <c r="X342" s="70"/>
    </row>
    <row r="343">
      <c r="B343" s="140"/>
      <c r="C343" s="140"/>
      <c r="E343" s="70"/>
      <c r="L343" s="140"/>
      <c r="N343" s="141"/>
      <c r="U343" s="70"/>
      <c r="X343" s="70"/>
    </row>
    <row r="344">
      <c r="B344" s="140"/>
      <c r="C344" s="140"/>
      <c r="E344" s="70"/>
      <c r="L344" s="140"/>
      <c r="N344" s="141"/>
      <c r="U344" s="70"/>
      <c r="X344" s="70"/>
    </row>
    <row r="345">
      <c r="B345" s="140"/>
      <c r="C345" s="140"/>
      <c r="E345" s="70"/>
      <c r="L345" s="140"/>
      <c r="N345" s="141"/>
      <c r="U345" s="70"/>
      <c r="X345" s="70"/>
    </row>
    <row r="346">
      <c r="B346" s="140"/>
      <c r="C346" s="140"/>
      <c r="E346" s="70"/>
      <c r="L346" s="140"/>
      <c r="N346" s="141"/>
      <c r="U346" s="70"/>
      <c r="X346" s="70"/>
    </row>
    <row r="347">
      <c r="B347" s="140"/>
      <c r="C347" s="140"/>
      <c r="E347" s="70"/>
      <c r="L347" s="140"/>
      <c r="N347" s="141"/>
      <c r="U347" s="70"/>
      <c r="X347" s="70"/>
    </row>
    <row r="348">
      <c r="B348" s="140"/>
      <c r="C348" s="140"/>
      <c r="E348" s="70"/>
      <c r="L348" s="140"/>
      <c r="N348" s="141"/>
      <c r="U348" s="70"/>
      <c r="X348" s="70"/>
    </row>
    <row r="349">
      <c r="B349" s="140"/>
      <c r="C349" s="140"/>
      <c r="E349" s="70"/>
      <c r="L349" s="140"/>
      <c r="N349" s="141"/>
      <c r="U349" s="70"/>
      <c r="X349" s="70"/>
    </row>
    <row r="350">
      <c r="B350" s="140"/>
      <c r="C350" s="140"/>
      <c r="E350" s="70"/>
      <c r="L350" s="140"/>
      <c r="N350" s="141"/>
      <c r="U350" s="70"/>
      <c r="X350" s="70"/>
    </row>
    <row r="351">
      <c r="B351" s="140"/>
      <c r="C351" s="140"/>
      <c r="E351" s="70"/>
      <c r="L351" s="140"/>
      <c r="N351" s="141"/>
      <c r="U351" s="70"/>
      <c r="X351" s="70"/>
    </row>
    <row r="352">
      <c r="B352" s="140"/>
      <c r="C352" s="140"/>
      <c r="E352" s="70"/>
      <c r="L352" s="140"/>
      <c r="N352" s="141"/>
      <c r="U352" s="70"/>
      <c r="X352" s="70"/>
    </row>
    <row r="353">
      <c r="B353" s="140"/>
      <c r="C353" s="140"/>
      <c r="E353" s="70"/>
      <c r="L353" s="140"/>
      <c r="N353" s="141"/>
      <c r="U353" s="70"/>
      <c r="X353" s="70"/>
    </row>
    <row r="354">
      <c r="B354" s="140"/>
      <c r="C354" s="140"/>
      <c r="E354" s="70"/>
      <c r="L354" s="140"/>
      <c r="N354" s="141"/>
      <c r="U354" s="70"/>
      <c r="X354" s="70"/>
    </row>
    <row r="355">
      <c r="B355" s="140"/>
      <c r="C355" s="140"/>
      <c r="E355" s="70"/>
      <c r="L355" s="140"/>
      <c r="N355" s="141"/>
      <c r="U355" s="70"/>
      <c r="X355" s="70"/>
    </row>
    <row r="356">
      <c r="B356" s="140"/>
      <c r="C356" s="140"/>
      <c r="E356" s="70"/>
      <c r="L356" s="140"/>
      <c r="N356" s="141"/>
      <c r="U356" s="70"/>
      <c r="X356" s="70"/>
    </row>
    <row r="357">
      <c r="B357" s="140"/>
      <c r="C357" s="140"/>
      <c r="E357" s="70"/>
      <c r="L357" s="140"/>
      <c r="N357" s="141"/>
      <c r="U357" s="70"/>
      <c r="X357" s="70"/>
    </row>
    <row r="358">
      <c r="B358" s="140"/>
      <c r="C358" s="140"/>
      <c r="E358" s="70"/>
      <c r="L358" s="140"/>
      <c r="N358" s="141"/>
      <c r="U358" s="70"/>
      <c r="X358" s="70"/>
    </row>
    <row r="359">
      <c r="B359" s="140"/>
      <c r="C359" s="140"/>
      <c r="E359" s="70"/>
      <c r="L359" s="140"/>
      <c r="N359" s="141"/>
      <c r="U359" s="70"/>
      <c r="X359" s="70"/>
    </row>
    <row r="360">
      <c r="B360" s="140"/>
      <c r="C360" s="140"/>
      <c r="E360" s="70"/>
      <c r="L360" s="140"/>
      <c r="N360" s="141"/>
      <c r="U360" s="70"/>
      <c r="X360" s="70"/>
    </row>
    <row r="361">
      <c r="B361" s="140"/>
      <c r="C361" s="140"/>
      <c r="E361" s="70"/>
      <c r="L361" s="140"/>
      <c r="N361" s="141"/>
      <c r="U361" s="70"/>
      <c r="X361" s="70"/>
    </row>
    <row r="362">
      <c r="B362" s="140"/>
      <c r="C362" s="140"/>
      <c r="E362" s="70"/>
      <c r="L362" s="140"/>
      <c r="N362" s="141"/>
      <c r="U362" s="70"/>
      <c r="X362" s="70"/>
    </row>
    <row r="363">
      <c r="B363" s="140"/>
      <c r="C363" s="140"/>
      <c r="E363" s="70"/>
      <c r="L363" s="140"/>
      <c r="N363" s="141"/>
      <c r="U363" s="70"/>
      <c r="X363" s="70"/>
    </row>
    <row r="364">
      <c r="B364" s="140"/>
      <c r="C364" s="140"/>
      <c r="E364" s="70"/>
      <c r="L364" s="140"/>
      <c r="N364" s="141"/>
      <c r="U364" s="70"/>
      <c r="X364" s="70"/>
    </row>
    <row r="365">
      <c r="B365" s="140"/>
      <c r="C365" s="140"/>
      <c r="E365" s="70"/>
      <c r="L365" s="140"/>
      <c r="N365" s="141"/>
      <c r="U365" s="70"/>
      <c r="X365" s="70"/>
    </row>
    <row r="366">
      <c r="B366" s="140"/>
      <c r="C366" s="140"/>
      <c r="E366" s="70"/>
      <c r="L366" s="140"/>
      <c r="N366" s="141"/>
      <c r="U366" s="70"/>
      <c r="X366" s="70"/>
    </row>
    <row r="367">
      <c r="B367" s="140"/>
      <c r="C367" s="140"/>
      <c r="E367" s="70"/>
      <c r="L367" s="140"/>
      <c r="N367" s="141"/>
      <c r="U367" s="70"/>
      <c r="X367" s="70"/>
    </row>
    <row r="368">
      <c r="B368" s="140"/>
      <c r="C368" s="140"/>
      <c r="E368" s="70"/>
      <c r="L368" s="140"/>
      <c r="N368" s="141"/>
      <c r="U368" s="70"/>
      <c r="X368" s="70"/>
    </row>
    <row r="369">
      <c r="B369" s="140"/>
      <c r="C369" s="140"/>
      <c r="E369" s="70"/>
      <c r="L369" s="140"/>
      <c r="N369" s="141"/>
      <c r="U369" s="70"/>
      <c r="X369" s="70"/>
    </row>
    <row r="370">
      <c r="B370" s="140"/>
      <c r="C370" s="140"/>
      <c r="E370" s="70"/>
      <c r="L370" s="140"/>
      <c r="N370" s="141"/>
      <c r="U370" s="70"/>
      <c r="X370" s="70"/>
    </row>
    <row r="371">
      <c r="B371" s="140"/>
      <c r="C371" s="140"/>
      <c r="E371" s="70"/>
      <c r="L371" s="140"/>
      <c r="N371" s="141"/>
      <c r="U371" s="70"/>
      <c r="X371" s="70"/>
    </row>
    <row r="372">
      <c r="B372" s="140"/>
      <c r="C372" s="140"/>
      <c r="E372" s="70"/>
      <c r="L372" s="140"/>
      <c r="N372" s="141"/>
      <c r="U372" s="70"/>
      <c r="X372" s="70"/>
    </row>
    <row r="373">
      <c r="B373" s="140"/>
      <c r="C373" s="140"/>
      <c r="E373" s="70"/>
      <c r="L373" s="140"/>
      <c r="N373" s="141"/>
      <c r="U373" s="70"/>
      <c r="X373" s="70"/>
    </row>
    <row r="374">
      <c r="B374" s="140"/>
      <c r="C374" s="140"/>
      <c r="E374" s="70"/>
      <c r="L374" s="140"/>
      <c r="N374" s="141"/>
      <c r="U374" s="70"/>
      <c r="X374" s="70"/>
    </row>
    <row r="375">
      <c r="B375" s="140"/>
      <c r="C375" s="140"/>
      <c r="E375" s="70"/>
      <c r="L375" s="140"/>
      <c r="N375" s="141"/>
      <c r="U375" s="70"/>
      <c r="X375" s="70"/>
    </row>
    <row r="376">
      <c r="B376" s="140"/>
      <c r="C376" s="140"/>
      <c r="E376" s="70"/>
      <c r="L376" s="140"/>
      <c r="N376" s="141"/>
      <c r="U376" s="70"/>
      <c r="X376" s="70"/>
    </row>
    <row r="377">
      <c r="B377" s="140"/>
      <c r="C377" s="140"/>
      <c r="E377" s="70"/>
      <c r="L377" s="140"/>
      <c r="N377" s="141"/>
      <c r="U377" s="70"/>
      <c r="X377" s="70"/>
    </row>
    <row r="378">
      <c r="B378" s="140"/>
      <c r="C378" s="140"/>
      <c r="E378" s="70"/>
      <c r="L378" s="140"/>
      <c r="N378" s="141"/>
      <c r="U378" s="70"/>
      <c r="X378" s="70"/>
    </row>
    <row r="379">
      <c r="B379" s="140"/>
      <c r="C379" s="140"/>
      <c r="E379" s="70"/>
      <c r="L379" s="140"/>
      <c r="N379" s="141"/>
      <c r="U379" s="70"/>
      <c r="X379" s="70"/>
    </row>
    <row r="380">
      <c r="B380" s="140"/>
      <c r="C380" s="140"/>
      <c r="E380" s="70"/>
      <c r="L380" s="140"/>
      <c r="N380" s="141"/>
      <c r="U380" s="70"/>
      <c r="X380" s="70"/>
    </row>
    <row r="381">
      <c r="B381" s="140"/>
      <c r="C381" s="140"/>
      <c r="E381" s="70"/>
      <c r="L381" s="140"/>
      <c r="N381" s="141"/>
      <c r="U381" s="70"/>
      <c r="X381" s="70"/>
    </row>
    <row r="382">
      <c r="B382" s="140"/>
      <c r="C382" s="140"/>
      <c r="E382" s="70"/>
      <c r="L382" s="140"/>
      <c r="N382" s="141"/>
      <c r="U382" s="70"/>
      <c r="X382" s="70"/>
    </row>
    <row r="383">
      <c r="B383" s="140"/>
      <c r="C383" s="140"/>
      <c r="E383" s="70"/>
      <c r="L383" s="140"/>
      <c r="N383" s="141"/>
      <c r="U383" s="70"/>
      <c r="X383" s="70"/>
    </row>
    <row r="384">
      <c r="B384" s="140"/>
      <c r="C384" s="140"/>
      <c r="E384" s="70"/>
      <c r="L384" s="140"/>
      <c r="N384" s="141"/>
      <c r="U384" s="70"/>
      <c r="X384" s="70"/>
    </row>
    <row r="385">
      <c r="B385" s="140"/>
      <c r="C385" s="140"/>
      <c r="E385" s="70"/>
      <c r="L385" s="140"/>
      <c r="N385" s="141"/>
      <c r="U385" s="70"/>
      <c r="X385" s="70"/>
    </row>
    <row r="386">
      <c r="B386" s="140"/>
      <c r="C386" s="140"/>
      <c r="E386" s="70"/>
      <c r="L386" s="140"/>
      <c r="N386" s="141"/>
      <c r="U386" s="70"/>
      <c r="X386" s="70"/>
    </row>
    <row r="387">
      <c r="B387" s="140"/>
      <c r="C387" s="140"/>
      <c r="E387" s="70"/>
      <c r="L387" s="140"/>
      <c r="N387" s="141"/>
      <c r="U387" s="70"/>
      <c r="X387" s="70"/>
    </row>
    <row r="388">
      <c r="B388" s="140"/>
      <c r="C388" s="140"/>
      <c r="E388" s="70"/>
      <c r="L388" s="140"/>
      <c r="N388" s="141"/>
      <c r="U388" s="70"/>
      <c r="X388" s="70"/>
    </row>
    <row r="389">
      <c r="B389" s="140"/>
      <c r="C389" s="140"/>
      <c r="E389" s="70"/>
      <c r="L389" s="140"/>
      <c r="N389" s="141"/>
      <c r="U389" s="70"/>
      <c r="X389" s="70"/>
    </row>
    <row r="390">
      <c r="B390" s="140"/>
      <c r="C390" s="140"/>
      <c r="E390" s="70"/>
      <c r="L390" s="140"/>
      <c r="N390" s="141"/>
      <c r="U390" s="70"/>
      <c r="X390" s="70"/>
    </row>
    <row r="391">
      <c r="B391" s="140"/>
      <c r="C391" s="140"/>
      <c r="E391" s="70"/>
      <c r="L391" s="140"/>
      <c r="N391" s="141"/>
      <c r="U391" s="70"/>
      <c r="X391" s="70"/>
    </row>
    <row r="392">
      <c r="B392" s="140"/>
      <c r="C392" s="140"/>
      <c r="E392" s="70"/>
      <c r="L392" s="140"/>
      <c r="N392" s="141"/>
      <c r="U392" s="70"/>
      <c r="X392" s="70"/>
    </row>
    <row r="393">
      <c r="B393" s="140"/>
      <c r="C393" s="140"/>
      <c r="E393" s="70"/>
      <c r="L393" s="140"/>
      <c r="N393" s="141"/>
      <c r="U393" s="70"/>
      <c r="X393" s="70"/>
    </row>
    <row r="394">
      <c r="B394" s="140"/>
      <c r="C394" s="140"/>
      <c r="E394" s="70"/>
      <c r="L394" s="140"/>
      <c r="N394" s="141"/>
      <c r="U394" s="70"/>
      <c r="X394" s="70"/>
    </row>
    <row r="395">
      <c r="B395" s="140"/>
      <c r="C395" s="140"/>
      <c r="E395" s="70"/>
      <c r="L395" s="140"/>
      <c r="N395" s="141"/>
      <c r="U395" s="70"/>
      <c r="X395" s="70"/>
    </row>
    <row r="396">
      <c r="B396" s="140"/>
      <c r="C396" s="140"/>
      <c r="E396" s="70"/>
      <c r="L396" s="140"/>
      <c r="N396" s="141"/>
      <c r="U396" s="70"/>
      <c r="X396" s="70"/>
    </row>
    <row r="397">
      <c r="B397" s="140"/>
      <c r="C397" s="140"/>
      <c r="E397" s="70"/>
      <c r="L397" s="140"/>
      <c r="N397" s="141"/>
      <c r="U397" s="70"/>
      <c r="X397" s="70"/>
    </row>
    <row r="398">
      <c r="B398" s="140"/>
      <c r="C398" s="140"/>
      <c r="E398" s="70"/>
      <c r="L398" s="140"/>
      <c r="N398" s="141"/>
      <c r="U398" s="70"/>
      <c r="X398" s="70"/>
    </row>
    <row r="399">
      <c r="B399" s="140"/>
      <c r="C399" s="140"/>
      <c r="E399" s="70"/>
      <c r="L399" s="140"/>
      <c r="N399" s="141"/>
      <c r="U399" s="70"/>
      <c r="X399" s="70"/>
    </row>
    <row r="400">
      <c r="B400" s="140"/>
      <c r="C400" s="140"/>
      <c r="E400" s="70"/>
      <c r="L400" s="140"/>
      <c r="N400" s="141"/>
      <c r="U400" s="70"/>
      <c r="X400" s="70"/>
    </row>
    <row r="401">
      <c r="B401" s="140"/>
      <c r="C401" s="140"/>
      <c r="E401" s="70"/>
      <c r="L401" s="140"/>
      <c r="N401" s="141"/>
      <c r="U401" s="70"/>
      <c r="X401" s="70"/>
    </row>
    <row r="402">
      <c r="B402" s="140"/>
      <c r="C402" s="140"/>
      <c r="E402" s="70"/>
      <c r="L402" s="140"/>
      <c r="N402" s="141"/>
      <c r="U402" s="70"/>
      <c r="X402" s="70"/>
    </row>
    <row r="403">
      <c r="B403" s="140"/>
      <c r="C403" s="140"/>
      <c r="E403" s="70"/>
      <c r="L403" s="140"/>
      <c r="N403" s="141"/>
      <c r="U403" s="70"/>
      <c r="X403" s="70"/>
    </row>
    <row r="404">
      <c r="B404" s="140"/>
      <c r="C404" s="140"/>
      <c r="E404" s="70"/>
      <c r="L404" s="140"/>
      <c r="N404" s="141"/>
      <c r="U404" s="70"/>
      <c r="X404" s="70"/>
    </row>
    <row r="405">
      <c r="B405" s="140"/>
      <c r="C405" s="140"/>
      <c r="E405" s="70"/>
      <c r="L405" s="140"/>
      <c r="N405" s="141"/>
      <c r="U405" s="70"/>
      <c r="X405" s="70"/>
    </row>
    <row r="406">
      <c r="B406" s="140"/>
      <c r="C406" s="140"/>
      <c r="E406" s="70"/>
      <c r="L406" s="140"/>
      <c r="N406" s="141"/>
      <c r="U406" s="70"/>
      <c r="X406" s="70"/>
    </row>
    <row r="407">
      <c r="B407" s="140"/>
      <c r="C407" s="140"/>
      <c r="E407" s="70"/>
      <c r="L407" s="140"/>
      <c r="N407" s="141"/>
      <c r="U407" s="70"/>
      <c r="X407" s="70"/>
    </row>
    <row r="408">
      <c r="B408" s="140"/>
      <c r="C408" s="140"/>
      <c r="E408" s="70"/>
      <c r="L408" s="140"/>
      <c r="N408" s="141"/>
      <c r="U408" s="70"/>
      <c r="X408" s="70"/>
    </row>
    <row r="409">
      <c r="B409" s="140"/>
      <c r="C409" s="140"/>
      <c r="E409" s="70"/>
      <c r="L409" s="140"/>
      <c r="N409" s="141"/>
      <c r="U409" s="70"/>
      <c r="X409" s="70"/>
    </row>
    <row r="410">
      <c r="B410" s="140"/>
      <c r="C410" s="140"/>
      <c r="E410" s="70"/>
      <c r="L410" s="140"/>
      <c r="N410" s="141"/>
      <c r="U410" s="70"/>
      <c r="X410" s="70"/>
    </row>
    <row r="411">
      <c r="B411" s="140"/>
      <c r="C411" s="140"/>
      <c r="E411" s="70"/>
      <c r="L411" s="140"/>
      <c r="N411" s="141"/>
      <c r="U411" s="70"/>
      <c r="X411" s="70"/>
    </row>
    <row r="412">
      <c r="B412" s="140"/>
      <c r="C412" s="140"/>
      <c r="E412" s="70"/>
      <c r="L412" s="140"/>
      <c r="N412" s="141"/>
      <c r="U412" s="70"/>
      <c r="X412" s="70"/>
    </row>
    <row r="413">
      <c r="B413" s="140"/>
      <c r="C413" s="140"/>
      <c r="E413" s="70"/>
      <c r="L413" s="140"/>
      <c r="N413" s="141"/>
      <c r="U413" s="70"/>
      <c r="X413" s="70"/>
    </row>
    <row r="414">
      <c r="B414" s="140"/>
      <c r="C414" s="140"/>
      <c r="E414" s="70"/>
      <c r="L414" s="140"/>
      <c r="N414" s="141"/>
      <c r="U414" s="70"/>
      <c r="X414" s="70"/>
    </row>
    <row r="415">
      <c r="B415" s="140"/>
      <c r="C415" s="140"/>
      <c r="E415" s="70"/>
      <c r="L415" s="140"/>
      <c r="N415" s="141"/>
      <c r="U415" s="70"/>
      <c r="X415" s="70"/>
    </row>
    <row r="416">
      <c r="B416" s="140"/>
      <c r="C416" s="140"/>
      <c r="E416" s="70"/>
      <c r="L416" s="140"/>
      <c r="N416" s="141"/>
      <c r="U416" s="70"/>
      <c r="X416" s="70"/>
    </row>
    <row r="417">
      <c r="B417" s="140"/>
      <c r="C417" s="140"/>
      <c r="E417" s="70"/>
      <c r="L417" s="140"/>
      <c r="N417" s="141"/>
      <c r="U417" s="70"/>
      <c r="X417" s="70"/>
    </row>
    <row r="418">
      <c r="B418" s="140"/>
      <c r="C418" s="140"/>
      <c r="E418" s="70"/>
      <c r="L418" s="140"/>
      <c r="N418" s="141"/>
      <c r="U418" s="70"/>
      <c r="X418" s="70"/>
    </row>
    <row r="419">
      <c r="B419" s="140"/>
      <c r="C419" s="140"/>
      <c r="E419" s="70"/>
      <c r="L419" s="140"/>
      <c r="N419" s="141"/>
      <c r="U419" s="70"/>
      <c r="X419" s="70"/>
    </row>
    <row r="420">
      <c r="B420" s="140"/>
      <c r="C420" s="140"/>
      <c r="E420" s="70"/>
      <c r="L420" s="140"/>
      <c r="N420" s="141"/>
      <c r="U420" s="70"/>
      <c r="X420" s="70"/>
    </row>
    <row r="421">
      <c r="B421" s="140"/>
      <c r="C421" s="140"/>
      <c r="E421" s="70"/>
      <c r="L421" s="140"/>
      <c r="N421" s="141"/>
      <c r="U421" s="70"/>
      <c r="X421" s="70"/>
    </row>
    <row r="422">
      <c r="B422" s="140"/>
      <c r="C422" s="140"/>
      <c r="E422" s="70"/>
      <c r="L422" s="140"/>
      <c r="N422" s="141"/>
      <c r="U422" s="70"/>
      <c r="X422" s="70"/>
    </row>
    <row r="423">
      <c r="B423" s="140"/>
      <c r="C423" s="140"/>
      <c r="E423" s="70"/>
      <c r="L423" s="140"/>
      <c r="N423" s="141"/>
      <c r="U423" s="70"/>
      <c r="X423" s="70"/>
    </row>
    <row r="424">
      <c r="B424" s="140"/>
      <c r="C424" s="140"/>
      <c r="E424" s="70"/>
      <c r="L424" s="140"/>
      <c r="N424" s="141"/>
      <c r="U424" s="70"/>
      <c r="X424" s="70"/>
    </row>
    <row r="425">
      <c r="B425" s="140"/>
      <c r="C425" s="140"/>
      <c r="E425" s="70"/>
      <c r="L425" s="140"/>
      <c r="N425" s="141"/>
      <c r="U425" s="70"/>
      <c r="X425" s="70"/>
    </row>
    <row r="426">
      <c r="B426" s="140"/>
      <c r="C426" s="140"/>
      <c r="E426" s="70"/>
      <c r="L426" s="140"/>
      <c r="N426" s="141"/>
      <c r="U426" s="70"/>
      <c r="X426" s="70"/>
    </row>
    <row r="427">
      <c r="B427" s="140"/>
      <c r="C427" s="140"/>
      <c r="E427" s="70"/>
      <c r="L427" s="140"/>
      <c r="N427" s="141"/>
      <c r="U427" s="70"/>
      <c r="X427" s="70"/>
    </row>
    <row r="428">
      <c r="B428" s="140"/>
      <c r="C428" s="140"/>
      <c r="E428" s="70"/>
      <c r="L428" s="140"/>
      <c r="N428" s="141"/>
      <c r="U428" s="70"/>
      <c r="X428" s="70"/>
    </row>
    <row r="429">
      <c r="B429" s="140"/>
      <c r="C429" s="140"/>
      <c r="E429" s="70"/>
      <c r="L429" s="140"/>
      <c r="N429" s="141"/>
      <c r="U429" s="70"/>
      <c r="X429" s="70"/>
    </row>
    <row r="430">
      <c r="B430" s="140"/>
      <c r="C430" s="140"/>
      <c r="E430" s="70"/>
      <c r="L430" s="140"/>
      <c r="N430" s="141"/>
      <c r="U430" s="70"/>
      <c r="X430" s="70"/>
    </row>
    <row r="431">
      <c r="B431" s="140"/>
      <c r="C431" s="140"/>
      <c r="E431" s="70"/>
      <c r="L431" s="140"/>
      <c r="N431" s="141"/>
      <c r="U431" s="70"/>
      <c r="X431" s="70"/>
    </row>
    <row r="432">
      <c r="B432" s="140"/>
      <c r="C432" s="140"/>
      <c r="E432" s="70"/>
      <c r="L432" s="140"/>
      <c r="N432" s="141"/>
      <c r="U432" s="70"/>
      <c r="X432" s="70"/>
    </row>
    <row r="433">
      <c r="B433" s="140"/>
      <c r="C433" s="140"/>
      <c r="E433" s="70"/>
      <c r="L433" s="140"/>
      <c r="N433" s="141"/>
      <c r="U433" s="70"/>
      <c r="X433" s="70"/>
    </row>
    <row r="434">
      <c r="B434" s="140"/>
      <c r="C434" s="140"/>
      <c r="E434" s="70"/>
      <c r="L434" s="140"/>
      <c r="N434" s="141"/>
      <c r="U434" s="70"/>
      <c r="X434" s="70"/>
    </row>
    <row r="435">
      <c r="B435" s="140"/>
      <c r="C435" s="140"/>
      <c r="E435" s="70"/>
      <c r="L435" s="140"/>
      <c r="N435" s="141"/>
      <c r="U435" s="70"/>
      <c r="X435" s="70"/>
    </row>
    <row r="436">
      <c r="B436" s="140"/>
      <c r="C436" s="140"/>
      <c r="E436" s="70"/>
      <c r="L436" s="140"/>
      <c r="N436" s="141"/>
      <c r="U436" s="70"/>
      <c r="X436" s="70"/>
    </row>
    <row r="437">
      <c r="B437" s="140"/>
      <c r="C437" s="140"/>
      <c r="E437" s="70"/>
      <c r="L437" s="140"/>
      <c r="N437" s="141"/>
      <c r="U437" s="70"/>
      <c r="X437" s="70"/>
    </row>
    <row r="438">
      <c r="B438" s="140"/>
      <c r="C438" s="140"/>
      <c r="E438" s="70"/>
      <c r="L438" s="140"/>
      <c r="N438" s="141"/>
      <c r="U438" s="70"/>
      <c r="X438" s="70"/>
    </row>
    <row r="439">
      <c r="B439" s="140"/>
      <c r="C439" s="140"/>
      <c r="E439" s="70"/>
      <c r="L439" s="140"/>
      <c r="N439" s="141"/>
      <c r="U439" s="70"/>
      <c r="X439" s="70"/>
    </row>
    <row r="440">
      <c r="B440" s="140"/>
      <c r="C440" s="140"/>
      <c r="E440" s="70"/>
      <c r="L440" s="140"/>
      <c r="N440" s="141"/>
      <c r="U440" s="70"/>
      <c r="X440" s="70"/>
    </row>
    <row r="441">
      <c r="B441" s="140"/>
      <c r="C441" s="140"/>
      <c r="E441" s="70"/>
      <c r="L441" s="140"/>
      <c r="N441" s="141"/>
      <c r="U441" s="70"/>
      <c r="X441" s="70"/>
    </row>
    <row r="442">
      <c r="B442" s="140"/>
      <c r="C442" s="140"/>
      <c r="E442" s="70"/>
      <c r="L442" s="140"/>
      <c r="N442" s="141"/>
      <c r="U442" s="70"/>
      <c r="X442" s="70"/>
    </row>
    <row r="443">
      <c r="B443" s="140"/>
      <c r="C443" s="140"/>
      <c r="E443" s="70"/>
      <c r="L443" s="140"/>
      <c r="N443" s="141"/>
      <c r="U443" s="70"/>
      <c r="X443" s="70"/>
    </row>
    <row r="444">
      <c r="B444" s="140"/>
      <c r="C444" s="140"/>
      <c r="E444" s="70"/>
      <c r="L444" s="140"/>
      <c r="N444" s="141"/>
      <c r="U444" s="70"/>
      <c r="X444" s="70"/>
    </row>
    <row r="445">
      <c r="B445" s="140"/>
      <c r="C445" s="140"/>
      <c r="E445" s="70"/>
      <c r="L445" s="140"/>
      <c r="N445" s="141"/>
      <c r="U445" s="70"/>
      <c r="X445" s="70"/>
    </row>
    <row r="446">
      <c r="B446" s="140"/>
      <c r="C446" s="140"/>
      <c r="E446" s="70"/>
      <c r="L446" s="140"/>
      <c r="N446" s="141"/>
      <c r="U446" s="70"/>
      <c r="X446" s="70"/>
    </row>
    <row r="447">
      <c r="B447" s="140"/>
      <c r="C447" s="140"/>
      <c r="E447" s="70"/>
      <c r="L447" s="140"/>
      <c r="N447" s="141"/>
      <c r="U447" s="70"/>
      <c r="X447" s="70"/>
    </row>
    <row r="448">
      <c r="B448" s="140"/>
      <c r="C448" s="140"/>
      <c r="E448" s="70"/>
      <c r="L448" s="140"/>
      <c r="N448" s="141"/>
      <c r="U448" s="70"/>
      <c r="X448" s="70"/>
    </row>
    <row r="449">
      <c r="B449" s="140"/>
      <c r="C449" s="140"/>
      <c r="E449" s="70"/>
      <c r="L449" s="140"/>
      <c r="N449" s="141"/>
      <c r="U449" s="70"/>
      <c r="X449" s="70"/>
    </row>
    <row r="450">
      <c r="B450" s="140"/>
      <c r="C450" s="140"/>
      <c r="E450" s="70"/>
      <c r="L450" s="140"/>
      <c r="N450" s="141"/>
      <c r="U450" s="70"/>
      <c r="X450" s="70"/>
    </row>
    <row r="451">
      <c r="B451" s="140"/>
      <c r="C451" s="140"/>
      <c r="E451" s="70"/>
      <c r="L451" s="140"/>
      <c r="N451" s="141"/>
      <c r="U451" s="70"/>
      <c r="X451" s="70"/>
    </row>
    <row r="452">
      <c r="B452" s="140"/>
      <c r="C452" s="140"/>
      <c r="E452" s="70"/>
      <c r="L452" s="140"/>
      <c r="N452" s="141"/>
      <c r="U452" s="70"/>
      <c r="X452" s="70"/>
    </row>
    <row r="453">
      <c r="B453" s="140"/>
      <c r="C453" s="140"/>
      <c r="E453" s="70"/>
      <c r="L453" s="140"/>
      <c r="N453" s="141"/>
      <c r="U453" s="70"/>
      <c r="X453" s="70"/>
    </row>
    <row r="454">
      <c r="B454" s="140"/>
      <c r="C454" s="140"/>
      <c r="E454" s="70"/>
      <c r="L454" s="140"/>
      <c r="N454" s="141"/>
      <c r="U454" s="70"/>
      <c r="X454" s="70"/>
    </row>
    <row r="455">
      <c r="B455" s="140"/>
      <c r="C455" s="140"/>
      <c r="E455" s="70"/>
      <c r="L455" s="140"/>
      <c r="N455" s="141"/>
      <c r="U455" s="70"/>
      <c r="X455" s="70"/>
    </row>
    <row r="456">
      <c r="B456" s="140"/>
      <c r="C456" s="140"/>
      <c r="E456" s="70"/>
      <c r="L456" s="140"/>
      <c r="N456" s="141"/>
      <c r="U456" s="70"/>
      <c r="X456" s="70"/>
    </row>
    <row r="457">
      <c r="B457" s="140"/>
      <c r="C457" s="140"/>
      <c r="E457" s="70"/>
      <c r="L457" s="140"/>
      <c r="N457" s="141"/>
      <c r="U457" s="70"/>
      <c r="X457" s="70"/>
    </row>
    <row r="458">
      <c r="B458" s="140"/>
      <c r="C458" s="140"/>
      <c r="E458" s="70"/>
      <c r="L458" s="140"/>
      <c r="N458" s="141"/>
      <c r="U458" s="70"/>
      <c r="X458" s="70"/>
    </row>
    <row r="459">
      <c r="B459" s="140"/>
      <c r="C459" s="140"/>
      <c r="E459" s="70"/>
      <c r="L459" s="140"/>
      <c r="N459" s="141"/>
      <c r="U459" s="70"/>
      <c r="X459" s="70"/>
    </row>
    <row r="460">
      <c r="B460" s="140"/>
      <c r="C460" s="140"/>
      <c r="E460" s="70"/>
      <c r="L460" s="140"/>
      <c r="N460" s="141"/>
      <c r="U460" s="70"/>
      <c r="X460" s="70"/>
    </row>
    <row r="461">
      <c r="B461" s="140"/>
      <c r="C461" s="140"/>
      <c r="E461" s="70"/>
      <c r="L461" s="140"/>
      <c r="N461" s="141"/>
      <c r="U461" s="70"/>
      <c r="X461" s="70"/>
    </row>
    <row r="462">
      <c r="B462" s="140"/>
      <c r="C462" s="140"/>
      <c r="E462" s="70"/>
      <c r="L462" s="140"/>
      <c r="N462" s="141"/>
      <c r="U462" s="70"/>
      <c r="X462" s="70"/>
    </row>
    <row r="463">
      <c r="B463" s="140"/>
      <c r="C463" s="140"/>
      <c r="E463" s="70"/>
      <c r="L463" s="140"/>
      <c r="N463" s="141"/>
      <c r="U463" s="70"/>
      <c r="X463" s="70"/>
    </row>
    <row r="464">
      <c r="B464" s="140"/>
      <c r="C464" s="140"/>
      <c r="E464" s="70"/>
      <c r="L464" s="140"/>
      <c r="N464" s="141"/>
      <c r="U464" s="70"/>
      <c r="X464" s="70"/>
    </row>
    <row r="465">
      <c r="B465" s="140"/>
      <c r="C465" s="140"/>
      <c r="E465" s="70"/>
      <c r="L465" s="140"/>
      <c r="N465" s="141"/>
      <c r="U465" s="70"/>
      <c r="X465" s="70"/>
    </row>
    <row r="466">
      <c r="B466" s="140"/>
      <c r="C466" s="140"/>
      <c r="E466" s="70"/>
      <c r="L466" s="140"/>
      <c r="N466" s="141"/>
      <c r="U466" s="70"/>
      <c r="X466" s="70"/>
    </row>
    <row r="467">
      <c r="B467" s="140"/>
      <c r="C467" s="140"/>
      <c r="E467" s="70"/>
      <c r="L467" s="140"/>
      <c r="N467" s="141"/>
      <c r="U467" s="70"/>
      <c r="X467" s="70"/>
    </row>
    <row r="468">
      <c r="B468" s="140"/>
      <c r="C468" s="140"/>
      <c r="E468" s="70"/>
      <c r="L468" s="140"/>
      <c r="N468" s="141"/>
      <c r="U468" s="70"/>
      <c r="X468" s="70"/>
    </row>
    <row r="469">
      <c r="B469" s="140"/>
      <c r="C469" s="140"/>
      <c r="E469" s="70"/>
      <c r="L469" s="140"/>
      <c r="N469" s="141"/>
      <c r="U469" s="70"/>
      <c r="X469" s="70"/>
    </row>
    <row r="470">
      <c r="B470" s="140"/>
      <c r="C470" s="140"/>
      <c r="E470" s="70"/>
      <c r="L470" s="140"/>
      <c r="N470" s="141"/>
      <c r="U470" s="70"/>
      <c r="X470" s="70"/>
    </row>
    <row r="471">
      <c r="B471" s="140"/>
      <c r="C471" s="140"/>
      <c r="E471" s="70"/>
      <c r="L471" s="140"/>
      <c r="N471" s="141"/>
      <c r="U471" s="70"/>
      <c r="X471" s="70"/>
    </row>
    <row r="472">
      <c r="B472" s="140"/>
      <c r="C472" s="140"/>
      <c r="E472" s="70"/>
      <c r="L472" s="140"/>
      <c r="N472" s="141"/>
      <c r="U472" s="70"/>
      <c r="X472" s="70"/>
    </row>
    <row r="473">
      <c r="B473" s="140"/>
      <c r="C473" s="140"/>
      <c r="E473" s="70"/>
      <c r="L473" s="140"/>
      <c r="N473" s="141"/>
      <c r="U473" s="70"/>
      <c r="X473" s="70"/>
    </row>
    <row r="474">
      <c r="B474" s="140"/>
      <c r="C474" s="140"/>
      <c r="E474" s="70"/>
      <c r="L474" s="140"/>
      <c r="N474" s="141"/>
      <c r="U474" s="70"/>
      <c r="X474" s="70"/>
    </row>
    <row r="475">
      <c r="B475" s="140"/>
      <c r="C475" s="140"/>
      <c r="E475" s="70"/>
      <c r="L475" s="140"/>
      <c r="N475" s="141"/>
      <c r="U475" s="70"/>
      <c r="X475" s="70"/>
    </row>
    <row r="476">
      <c r="B476" s="140"/>
      <c r="C476" s="140"/>
      <c r="E476" s="70"/>
      <c r="L476" s="140"/>
      <c r="N476" s="141"/>
      <c r="U476" s="70"/>
      <c r="X476" s="70"/>
    </row>
    <row r="477">
      <c r="B477" s="140"/>
      <c r="C477" s="140"/>
      <c r="E477" s="70"/>
      <c r="L477" s="140"/>
      <c r="N477" s="141"/>
      <c r="U477" s="70"/>
      <c r="X477" s="70"/>
    </row>
    <row r="478">
      <c r="B478" s="140"/>
      <c r="C478" s="140"/>
      <c r="E478" s="70"/>
      <c r="L478" s="140"/>
      <c r="N478" s="141"/>
      <c r="U478" s="70"/>
      <c r="X478" s="70"/>
    </row>
    <row r="479">
      <c r="B479" s="140"/>
      <c r="C479" s="140"/>
      <c r="E479" s="70"/>
      <c r="L479" s="140"/>
      <c r="N479" s="141"/>
      <c r="U479" s="70"/>
      <c r="X479" s="70"/>
    </row>
    <row r="480">
      <c r="B480" s="140"/>
      <c r="C480" s="140"/>
      <c r="E480" s="70"/>
      <c r="L480" s="140"/>
      <c r="N480" s="141"/>
      <c r="U480" s="70"/>
      <c r="X480" s="70"/>
    </row>
    <row r="481">
      <c r="B481" s="140"/>
      <c r="C481" s="140"/>
      <c r="E481" s="70"/>
      <c r="L481" s="140"/>
      <c r="N481" s="141"/>
      <c r="U481" s="70"/>
      <c r="X481" s="70"/>
    </row>
    <row r="482">
      <c r="B482" s="140"/>
      <c r="C482" s="140"/>
      <c r="E482" s="70"/>
      <c r="L482" s="140"/>
      <c r="N482" s="141"/>
      <c r="U482" s="70"/>
      <c r="X482" s="70"/>
    </row>
    <row r="483">
      <c r="B483" s="140"/>
      <c r="C483" s="140"/>
      <c r="E483" s="70"/>
      <c r="L483" s="140"/>
      <c r="N483" s="141"/>
      <c r="U483" s="70"/>
      <c r="X483" s="70"/>
    </row>
    <row r="484">
      <c r="B484" s="140"/>
      <c r="C484" s="140"/>
      <c r="E484" s="70"/>
      <c r="L484" s="140"/>
      <c r="N484" s="141"/>
      <c r="U484" s="70"/>
      <c r="X484" s="70"/>
    </row>
    <row r="485">
      <c r="B485" s="140"/>
      <c r="C485" s="140"/>
      <c r="E485" s="70"/>
      <c r="L485" s="140"/>
      <c r="N485" s="141"/>
      <c r="U485" s="70"/>
      <c r="X485" s="70"/>
    </row>
    <row r="486">
      <c r="B486" s="140"/>
      <c r="C486" s="140"/>
      <c r="E486" s="70"/>
      <c r="L486" s="140"/>
      <c r="N486" s="141"/>
      <c r="U486" s="70"/>
      <c r="X486" s="70"/>
    </row>
    <row r="487">
      <c r="B487" s="140"/>
      <c r="C487" s="140"/>
      <c r="E487" s="70"/>
      <c r="L487" s="140"/>
      <c r="N487" s="141"/>
      <c r="U487" s="70"/>
      <c r="X487" s="70"/>
    </row>
    <row r="488">
      <c r="B488" s="140"/>
      <c r="C488" s="140"/>
      <c r="E488" s="70"/>
      <c r="L488" s="140"/>
      <c r="N488" s="141"/>
      <c r="U488" s="70"/>
      <c r="X488" s="70"/>
    </row>
    <row r="489">
      <c r="B489" s="140"/>
      <c r="C489" s="140"/>
      <c r="E489" s="70"/>
      <c r="L489" s="140"/>
      <c r="N489" s="141"/>
      <c r="U489" s="70"/>
      <c r="X489" s="70"/>
    </row>
    <row r="490">
      <c r="B490" s="140"/>
      <c r="C490" s="140"/>
      <c r="E490" s="70"/>
      <c r="L490" s="140"/>
      <c r="N490" s="141"/>
      <c r="U490" s="70"/>
      <c r="X490" s="70"/>
    </row>
    <row r="491">
      <c r="B491" s="140"/>
      <c r="C491" s="140"/>
      <c r="E491" s="70"/>
      <c r="L491" s="140"/>
      <c r="N491" s="141"/>
      <c r="U491" s="70"/>
      <c r="X491" s="70"/>
    </row>
    <row r="492">
      <c r="B492" s="140"/>
      <c r="C492" s="140"/>
      <c r="E492" s="70"/>
      <c r="L492" s="140"/>
      <c r="N492" s="141"/>
      <c r="U492" s="70"/>
      <c r="X492" s="70"/>
    </row>
    <row r="493">
      <c r="B493" s="140"/>
      <c r="C493" s="140"/>
      <c r="E493" s="70"/>
      <c r="L493" s="140"/>
      <c r="N493" s="141"/>
      <c r="U493" s="70"/>
      <c r="X493" s="70"/>
    </row>
    <row r="494">
      <c r="B494" s="140"/>
      <c r="C494" s="140"/>
      <c r="E494" s="70"/>
      <c r="L494" s="140"/>
      <c r="N494" s="141"/>
      <c r="U494" s="70"/>
      <c r="X494" s="70"/>
    </row>
    <row r="495">
      <c r="B495" s="140"/>
      <c r="C495" s="140"/>
      <c r="E495" s="70"/>
      <c r="L495" s="140"/>
      <c r="N495" s="141"/>
      <c r="U495" s="70"/>
      <c r="X495" s="70"/>
    </row>
    <row r="496">
      <c r="B496" s="140"/>
      <c r="C496" s="140"/>
      <c r="E496" s="70"/>
      <c r="L496" s="140"/>
      <c r="N496" s="141"/>
      <c r="U496" s="70"/>
      <c r="X496" s="70"/>
    </row>
    <row r="497">
      <c r="B497" s="140"/>
      <c r="C497" s="140"/>
      <c r="E497" s="70"/>
      <c r="L497" s="140"/>
      <c r="N497" s="141"/>
      <c r="U497" s="70"/>
      <c r="X497" s="70"/>
    </row>
    <row r="498">
      <c r="B498" s="140"/>
      <c r="C498" s="140"/>
      <c r="E498" s="70"/>
      <c r="L498" s="140"/>
      <c r="N498" s="141"/>
      <c r="U498" s="70"/>
      <c r="X498" s="70"/>
    </row>
    <row r="499">
      <c r="B499" s="140"/>
      <c r="C499" s="140"/>
      <c r="E499" s="70"/>
      <c r="L499" s="140"/>
      <c r="N499" s="141"/>
      <c r="U499" s="70"/>
      <c r="X499" s="70"/>
    </row>
    <row r="500">
      <c r="B500" s="140"/>
      <c r="C500" s="140"/>
      <c r="E500" s="70"/>
      <c r="L500" s="140"/>
      <c r="N500" s="141"/>
      <c r="U500" s="70"/>
      <c r="X500" s="70"/>
    </row>
    <row r="501">
      <c r="B501" s="140"/>
      <c r="C501" s="140"/>
      <c r="E501" s="70"/>
      <c r="L501" s="140"/>
      <c r="N501" s="141"/>
      <c r="U501" s="70"/>
      <c r="X501" s="70"/>
    </row>
    <row r="502">
      <c r="B502" s="140"/>
      <c r="C502" s="140"/>
      <c r="E502" s="70"/>
      <c r="L502" s="140"/>
      <c r="N502" s="141"/>
      <c r="U502" s="70"/>
      <c r="X502" s="70"/>
    </row>
    <row r="503">
      <c r="B503" s="140"/>
      <c r="C503" s="140"/>
      <c r="E503" s="70"/>
      <c r="L503" s="140"/>
      <c r="N503" s="141"/>
      <c r="U503" s="70"/>
      <c r="X503" s="70"/>
    </row>
    <row r="504">
      <c r="B504" s="140"/>
      <c r="C504" s="140"/>
      <c r="E504" s="70"/>
      <c r="L504" s="140"/>
      <c r="N504" s="141"/>
      <c r="U504" s="70"/>
      <c r="X504" s="70"/>
    </row>
    <row r="505">
      <c r="B505" s="140"/>
      <c r="C505" s="140"/>
      <c r="E505" s="70"/>
      <c r="L505" s="140"/>
      <c r="N505" s="141"/>
      <c r="U505" s="70"/>
      <c r="X505" s="70"/>
    </row>
    <row r="506">
      <c r="B506" s="140"/>
      <c r="C506" s="140"/>
      <c r="E506" s="70"/>
      <c r="L506" s="140"/>
      <c r="N506" s="141"/>
      <c r="U506" s="70"/>
      <c r="X506" s="70"/>
    </row>
    <row r="507">
      <c r="B507" s="140"/>
      <c r="C507" s="140"/>
      <c r="E507" s="70"/>
      <c r="L507" s="140"/>
      <c r="N507" s="141"/>
      <c r="U507" s="70"/>
      <c r="X507" s="70"/>
    </row>
    <row r="508">
      <c r="B508" s="140"/>
      <c r="C508" s="140"/>
      <c r="E508" s="70"/>
      <c r="L508" s="140"/>
      <c r="N508" s="141"/>
      <c r="U508" s="70"/>
      <c r="X508" s="70"/>
    </row>
    <row r="509">
      <c r="B509" s="140"/>
      <c r="C509" s="140"/>
      <c r="E509" s="70"/>
      <c r="L509" s="140"/>
      <c r="N509" s="141"/>
      <c r="U509" s="70"/>
      <c r="X509" s="70"/>
    </row>
    <row r="510">
      <c r="B510" s="140"/>
      <c r="C510" s="140"/>
      <c r="E510" s="70"/>
      <c r="L510" s="140"/>
      <c r="N510" s="141"/>
      <c r="U510" s="70"/>
      <c r="X510" s="70"/>
    </row>
    <row r="511">
      <c r="B511" s="140"/>
      <c r="C511" s="140"/>
      <c r="E511" s="70"/>
      <c r="L511" s="140"/>
      <c r="N511" s="141"/>
      <c r="U511" s="70"/>
      <c r="X511" s="70"/>
    </row>
    <row r="512">
      <c r="B512" s="140"/>
      <c r="C512" s="140"/>
      <c r="E512" s="70"/>
      <c r="L512" s="140"/>
      <c r="N512" s="141"/>
      <c r="U512" s="70"/>
      <c r="X512" s="70"/>
    </row>
    <row r="513">
      <c r="B513" s="140"/>
      <c r="C513" s="140"/>
      <c r="E513" s="70"/>
      <c r="L513" s="140"/>
      <c r="N513" s="141"/>
      <c r="U513" s="70"/>
      <c r="X513" s="70"/>
    </row>
    <row r="514">
      <c r="B514" s="140"/>
      <c r="C514" s="140"/>
      <c r="E514" s="70"/>
      <c r="L514" s="140"/>
      <c r="N514" s="141"/>
      <c r="U514" s="70"/>
      <c r="X514" s="70"/>
    </row>
    <row r="515">
      <c r="B515" s="140"/>
      <c r="C515" s="140"/>
      <c r="E515" s="70"/>
      <c r="L515" s="140"/>
      <c r="N515" s="141"/>
      <c r="U515" s="70"/>
      <c r="X515" s="70"/>
    </row>
    <row r="516">
      <c r="B516" s="140"/>
      <c r="C516" s="140"/>
      <c r="E516" s="70"/>
      <c r="L516" s="140"/>
      <c r="N516" s="141"/>
      <c r="U516" s="70"/>
      <c r="X516" s="70"/>
    </row>
    <row r="517">
      <c r="B517" s="140"/>
      <c r="C517" s="140"/>
      <c r="E517" s="70"/>
      <c r="L517" s="140"/>
      <c r="N517" s="141"/>
      <c r="U517" s="70"/>
      <c r="X517" s="70"/>
    </row>
    <row r="518">
      <c r="B518" s="140"/>
      <c r="C518" s="140"/>
      <c r="E518" s="70"/>
      <c r="L518" s="140"/>
      <c r="N518" s="141"/>
      <c r="U518" s="70"/>
      <c r="X518" s="70"/>
    </row>
    <row r="519">
      <c r="B519" s="140"/>
      <c r="C519" s="140"/>
      <c r="E519" s="70"/>
      <c r="L519" s="140"/>
      <c r="N519" s="141"/>
      <c r="U519" s="70"/>
      <c r="X519" s="70"/>
    </row>
    <row r="520">
      <c r="B520" s="140"/>
      <c r="C520" s="140"/>
      <c r="E520" s="70"/>
      <c r="L520" s="140"/>
      <c r="N520" s="141"/>
      <c r="U520" s="70"/>
      <c r="X520" s="70"/>
    </row>
    <row r="521">
      <c r="B521" s="140"/>
      <c r="C521" s="140"/>
      <c r="E521" s="70"/>
      <c r="L521" s="140"/>
      <c r="N521" s="141"/>
      <c r="U521" s="70"/>
      <c r="X521" s="70"/>
    </row>
    <row r="522">
      <c r="B522" s="140"/>
      <c r="C522" s="140"/>
      <c r="E522" s="70"/>
      <c r="L522" s="140"/>
      <c r="N522" s="141"/>
      <c r="U522" s="70"/>
      <c r="X522" s="70"/>
    </row>
    <row r="523">
      <c r="B523" s="140"/>
      <c r="C523" s="140"/>
      <c r="E523" s="70"/>
      <c r="L523" s="140"/>
      <c r="N523" s="141"/>
      <c r="U523" s="70"/>
      <c r="X523" s="70"/>
    </row>
    <row r="524">
      <c r="B524" s="140"/>
      <c r="C524" s="140"/>
      <c r="E524" s="70"/>
      <c r="L524" s="140"/>
      <c r="N524" s="141"/>
      <c r="U524" s="70"/>
      <c r="X524" s="70"/>
    </row>
    <row r="525">
      <c r="B525" s="140"/>
      <c r="C525" s="140"/>
      <c r="E525" s="70"/>
      <c r="L525" s="140"/>
      <c r="N525" s="141"/>
      <c r="U525" s="70"/>
      <c r="X525" s="70"/>
    </row>
    <row r="526">
      <c r="B526" s="140"/>
      <c r="C526" s="140"/>
      <c r="E526" s="70"/>
      <c r="L526" s="140"/>
      <c r="N526" s="141"/>
      <c r="U526" s="70"/>
      <c r="X526" s="70"/>
    </row>
    <row r="527">
      <c r="B527" s="140"/>
      <c r="C527" s="140"/>
      <c r="E527" s="70"/>
      <c r="L527" s="140"/>
      <c r="N527" s="141"/>
      <c r="U527" s="70"/>
      <c r="X527" s="70"/>
    </row>
    <row r="528">
      <c r="B528" s="140"/>
      <c r="C528" s="140"/>
      <c r="E528" s="70"/>
      <c r="L528" s="140"/>
      <c r="N528" s="141"/>
      <c r="U528" s="70"/>
      <c r="X528" s="70"/>
    </row>
    <row r="529">
      <c r="B529" s="140"/>
      <c r="C529" s="140"/>
      <c r="E529" s="70"/>
      <c r="L529" s="140"/>
      <c r="N529" s="141"/>
      <c r="U529" s="70"/>
      <c r="X529" s="70"/>
    </row>
    <row r="530">
      <c r="B530" s="140"/>
      <c r="C530" s="140"/>
      <c r="E530" s="70"/>
      <c r="L530" s="140"/>
      <c r="N530" s="141"/>
      <c r="U530" s="70"/>
      <c r="X530" s="70"/>
    </row>
    <row r="531">
      <c r="B531" s="140"/>
      <c r="C531" s="140"/>
      <c r="E531" s="70"/>
      <c r="L531" s="140"/>
      <c r="N531" s="141"/>
      <c r="U531" s="70"/>
      <c r="X531" s="70"/>
    </row>
    <row r="532">
      <c r="B532" s="140"/>
      <c r="C532" s="140"/>
      <c r="E532" s="70"/>
      <c r="L532" s="140"/>
      <c r="N532" s="141"/>
      <c r="U532" s="70"/>
      <c r="X532" s="70"/>
    </row>
    <row r="533">
      <c r="B533" s="140"/>
      <c r="C533" s="140"/>
      <c r="E533" s="70"/>
      <c r="L533" s="140"/>
      <c r="N533" s="141"/>
      <c r="U533" s="70"/>
      <c r="X533" s="70"/>
    </row>
    <row r="534">
      <c r="B534" s="140"/>
      <c r="C534" s="140"/>
      <c r="E534" s="70"/>
      <c r="L534" s="140"/>
      <c r="N534" s="141"/>
      <c r="U534" s="70"/>
      <c r="X534" s="70"/>
    </row>
    <row r="535">
      <c r="B535" s="140"/>
      <c r="C535" s="140"/>
      <c r="E535" s="70"/>
      <c r="L535" s="140"/>
      <c r="N535" s="141"/>
      <c r="U535" s="70"/>
      <c r="X535" s="70"/>
    </row>
    <row r="536">
      <c r="B536" s="140"/>
      <c r="C536" s="140"/>
      <c r="E536" s="70"/>
      <c r="L536" s="140"/>
      <c r="N536" s="141"/>
      <c r="U536" s="70"/>
      <c r="X536" s="70"/>
    </row>
    <row r="537">
      <c r="B537" s="140"/>
      <c r="C537" s="140"/>
      <c r="E537" s="70"/>
      <c r="L537" s="140"/>
      <c r="N537" s="141"/>
      <c r="U537" s="70"/>
      <c r="X537" s="70"/>
    </row>
    <row r="538">
      <c r="B538" s="140"/>
      <c r="C538" s="140"/>
      <c r="E538" s="70"/>
      <c r="L538" s="140"/>
      <c r="N538" s="141"/>
      <c r="U538" s="70"/>
      <c r="X538" s="70"/>
    </row>
    <row r="539">
      <c r="B539" s="140"/>
      <c r="C539" s="140"/>
      <c r="E539" s="70"/>
      <c r="L539" s="140"/>
      <c r="N539" s="141"/>
      <c r="U539" s="70"/>
      <c r="X539" s="70"/>
    </row>
    <row r="540">
      <c r="B540" s="140"/>
      <c r="C540" s="140"/>
      <c r="E540" s="70"/>
      <c r="L540" s="140"/>
      <c r="N540" s="141"/>
      <c r="U540" s="70"/>
      <c r="X540" s="70"/>
    </row>
    <row r="541">
      <c r="B541" s="140"/>
      <c r="C541" s="140"/>
      <c r="E541" s="70"/>
      <c r="L541" s="140"/>
      <c r="N541" s="141"/>
      <c r="U541" s="70"/>
      <c r="X541" s="70"/>
    </row>
    <row r="542">
      <c r="B542" s="140"/>
      <c r="C542" s="140"/>
      <c r="E542" s="70"/>
      <c r="L542" s="140"/>
      <c r="N542" s="141"/>
      <c r="U542" s="70"/>
      <c r="X542" s="70"/>
    </row>
    <row r="543">
      <c r="B543" s="140"/>
      <c r="C543" s="140"/>
      <c r="E543" s="70"/>
      <c r="L543" s="140"/>
      <c r="N543" s="141"/>
      <c r="U543" s="70"/>
      <c r="X543" s="70"/>
    </row>
    <row r="544">
      <c r="B544" s="140"/>
      <c r="C544" s="140"/>
      <c r="E544" s="70"/>
      <c r="L544" s="140"/>
      <c r="N544" s="141"/>
      <c r="U544" s="70"/>
      <c r="X544" s="70"/>
    </row>
    <row r="545">
      <c r="B545" s="140"/>
      <c r="C545" s="140"/>
      <c r="E545" s="70"/>
      <c r="L545" s="140"/>
      <c r="N545" s="141"/>
      <c r="U545" s="70"/>
      <c r="X545" s="70"/>
    </row>
    <row r="546">
      <c r="B546" s="140"/>
      <c r="C546" s="140"/>
      <c r="E546" s="70"/>
      <c r="L546" s="140"/>
      <c r="N546" s="141"/>
      <c r="U546" s="70"/>
      <c r="X546" s="70"/>
    </row>
    <row r="547">
      <c r="B547" s="140"/>
      <c r="C547" s="140"/>
      <c r="E547" s="70"/>
      <c r="L547" s="140"/>
      <c r="N547" s="141"/>
      <c r="U547" s="70"/>
      <c r="X547" s="70"/>
    </row>
    <row r="548">
      <c r="B548" s="140"/>
      <c r="C548" s="140"/>
      <c r="E548" s="70"/>
      <c r="L548" s="140"/>
      <c r="N548" s="141"/>
      <c r="U548" s="70"/>
      <c r="X548" s="70"/>
    </row>
    <row r="549">
      <c r="B549" s="140"/>
      <c r="C549" s="140"/>
      <c r="E549" s="70"/>
      <c r="L549" s="140"/>
      <c r="N549" s="141"/>
      <c r="U549" s="70"/>
      <c r="X549" s="70"/>
    </row>
    <row r="550">
      <c r="B550" s="140"/>
      <c r="C550" s="140"/>
      <c r="E550" s="70"/>
      <c r="L550" s="140"/>
      <c r="N550" s="141"/>
      <c r="U550" s="70"/>
      <c r="X550" s="70"/>
    </row>
    <row r="551">
      <c r="B551" s="140"/>
      <c r="C551" s="140"/>
      <c r="E551" s="70"/>
      <c r="L551" s="140"/>
      <c r="N551" s="141"/>
      <c r="U551" s="70"/>
      <c r="X551" s="70"/>
    </row>
    <row r="552">
      <c r="B552" s="140"/>
      <c r="C552" s="140"/>
      <c r="E552" s="70"/>
      <c r="L552" s="140"/>
      <c r="N552" s="141"/>
      <c r="U552" s="70"/>
      <c r="X552" s="70"/>
    </row>
    <row r="553">
      <c r="B553" s="140"/>
      <c r="C553" s="140"/>
      <c r="E553" s="70"/>
      <c r="L553" s="140"/>
      <c r="N553" s="141"/>
      <c r="U553" s="70"/>
      <c r="X553" s="70"/>
    </row>
    <row r="554">
      <c r="B554" s="140"/>
      <c r="C554" s="140"/>
      <c r="E554" s="70"/>
      <c r="L554" s="140"/>
      <c r="N554" s="141"/>
      <c r="U554" s="70"/>
      <c r="X554" s="70"/>
    </row>
    <row r="555">
      <c r="B555" s="140"/>
      <c r="C555" s="140"/>
      <c r="E555" s="70"/>
      <c r="L555" s="140"/>
      <c r="N555" s="141"/>
      <c r="U555" s="70"/>
      <c r="X555" s="70"/>
    </row>
    <row r="556">
      <c r="B556" s="140"/>
      <c r="C556" s="140"/>
      <c r="E556" s="70"/>
      <c r="L556" s="140"/>
      <c r="N556" s="141"/>
      <c r="U556" s="70"/>
      <c r="X556" s="70"/>
    </row>
    <row r="557">
      <c r="B557" s="140"/>
      <c r="C557" s="140"/>
      <c r="E557" s="70"/>
      <c r="L557" s="140"/>
      <c r="N557" s="141"/>
      <c r="U557" s="70"/>
      <c r="X557" s="70"/>
    </row>
    <row r="558">
      <c r="B558" s="140"/>
      <c r="C558" s="140"/>
      <c r="E558" s="70"/>
      <c r="L558" s="140"/>
      <c r="N558" s="141"/>
      <c r="U558" s="70"/>
      <c r="X558" s="70"/>
    </row>
    <row r="559">
      <c r="B559" s="140"/>
      <c r="C559" s="140"/>
      <c r="E559" s="70"/>
      <c r="L559" s="140"/>
      <c r="N559" s="141"/>
      <c r="U559" s="70"/>
      <c r="X559" s="70"/>
    </row>
    <row r="560">
      <c r="B560" s="140"/>
      <c r="C560" s="140"/>
      <c r="E560" s="70"/>
      <c r="L560" s="140"/>
      <c r="N560" s="141"/>
      <c r="U560" s="70"/>
      <c r="X560" s="70"/>
    </row>
    <row r="561">
      <c r="B561" s="140"/>
      <c r="C561" s="140"/>
      <c r="E561" s="70"/>
      <c r="L561" s="140"/>
      <c r="N561" s="141"/>
      <c r="U561" s="70"/>
      <c r="X561" s="70"/>
    </row>
    <row r="562">
      <c r="B562" s="140"/>
      <c r="C562" s="140"/>
      <c r="E562" s="70"/>
      <c r="L562" s="140"/>
      <c r="N562" s="141"/>
      <c r="U562" s="70"/>
      <c r="X562" s="70"/>
    </row>
    <row r="563">
      <c r="B563" s="140"/>
      <c r="C563" s="140"/>
      <c r="E563" s="70"/>
      <c r="L563" s="140"/>
      <c r="N563" s="141"/>
      <c r="U563" s="70"/>
      <c r="X563" s="70"/>
    </row>
    <row r="564">
      <c r="B564" s="140"/>
      <c r="C564" s="140"/>
      <c r="E564" s="70"/>
      <c r="L564" s="140"/>
      <c r="N564" s="141"/>
      <c r="U564" s="70"/>
      <c r="X564" s="70"/>
    </row>
    <row r="565">
      <c r="B565" s="140"/>
      <c r="C565" s="140"/>
      <c r="E565" s="70"/>
      <c r="L565" s="140"/>
      <c r="N565" s="141"/>
      <c r="U565" s="70"/>
      <c r="X565" s="70"/>
    </row>
    <row r="566">
      <c r="B566" s="140"/>
      <c r="C566" s="140"/>
      <c r="E566" s="70"/>
      <c r="L566" s="140"/>
      <c r="N566" s="141"/>
      <c r="U566" s="70"/>
      <c r="X566" s="70"/>
    </row>
    <row r="567">
      <c r="B567" s="140"/>
      <c r="C567" s="140"/>
      <c r="E567" s="70"/>
      <c r="L567" s="140"/>
      <c r="N567" s="141"/>
      <c r="U567" s="70"/>
      <c r="X567" s="70"/>
    </row>
    <row r="568">
      <c r="B568" s="140"/>
      <c r="C568" s="140"/>
      <c r="E568" s="70"/>
      <c r="L568" s="140"/>
      <c r="N568" s="141"/>
      <c r="U568" s="70"/>
      <c r="X568" s="70"/>
    </row>
    <row r="569">
      <c r="B569" s="140"/>
      <c r="C569" s="140"/>
      <c r="E569" s="70"/>
      <c r="L569" s="140"/>
      <c r="N569" s="141"/>
      <c r="U569" s="70"/>
      <c r="X569" s="70"/>
    </row>
    <row r="570">
      <c r="B570" s="140"/>
      <c r="C570" s="140"/>
      <c r="E570" s="70"/>
      <c r="L570" s="140"/>
      <c r="N570" s="141"/>
      <c r="U570" s="70"/>
      <c r="X570" s="70"/>
    </row>
    <row r="571">
      <c r="B571" s="140"/>
      <c r="C571" s="140"/>
      <c r="E571" s="70"/>
      <c r="L571" s="140"/>
      <c r="N571" s="141"/>
      <c r="U571" s="70"/>
      <c r="X571" s="70"/>
    </row>
    <row r="572">
      <c r="B572" s="140"/>
      <c r="C572" s="140"/>
      <c r="E572" s="70"/>
      <c r="L572" s="140"/>
      <c r="N572" s="141"/>
      <c r="U572" s="70"/>
      <c r="X572" s="70"/>
    </row>
    <row r="573">
      <c r="B573" s="140"/>
      <c r="C573" s="140"/>
      <c r="E573" s="70"/>
      <c r="L573" s="140"/>
      <c r="N573" s="141"/>
      <c r="U573" s="70"/>
      <c r="X573" s="70"/>
    </row>
    <row r="574">
      <c r="B574" s="140"/>
      <c r="C574" s="140"/>
      <c r="E574" s="70"/>
      <c r="L574" s="140"/>
      <c r="N574" s="141"/>
      <c r="U574" s="70"/>
      <c r="X574" s="70"/>
    </row>
    <row r="575">
      <c r="B575" s="140"/>
      <c r="C575" s="140"/>
      <c r="E575" s="70"/>
      <c r="L575" s="140"/>
      <c r="N575" s="141"/>
      <c r="U575" s="70"/>
      <c r="X575" s="70"/>
    </row>
    <row r="576">
      <c r="B576" s="140"/>
      <c r="C576" s="140"/>
      <c r="E576" s="70"/>
      <c r="L576" s="140"/>
      <c r="N576" s="141"/>
      <c r="U576" s="70"/>
      <c r="X576" s="70"/>
    </row>
    <row r="577">
      <c r="B577" s="140"/>
      <c r="C577" s="140"/>
      <c r="E577" s="70"/>
      <c r="L577" s="140"/>
      <c r="N577" s="141"/>
      <c r="U577" s="70"/>
      <c r="X577" s="70"/>
    </row>
    <row r="578">
      <c r="B578" s="140"/>
      <c r="C578" s="140"/>
      <c r="E578" s="70"/>
      <c r="L578" s="140"/>
      <c r="N578" s="141"/>
      <c r="U578" s="70"/>
      <c r="X578" s="70"/>
    </row>
    <row r="579">
      <c r="B579" s="140"/>
      <c r="C579" s="140"/>
      <c r="E579" s="70"/>
      <c r="L579" s="140"/>
      <c r="N579" s="141"/>
      <c r="U579" s="70"/>
      <c r="X579" s="70"/>
    </row>
    <row r="580">
      <c r="B580" s="140"/>
      <c r="C580" s="140"/>
      <c r="E580" s="70"/>
      <c r="L580" s="140"/>
      <c r="N580" s="141"/>
      <c r="U580" s="70"/>
      <c r="X580" s="70"/>
    </row>
    <row r="581">
      <c r="B581" s="140"/>
      <c r="C581" s="140"/>
      <c r="E581" s="70"/>
      <c r="L581" s="140"/>
      <c r="N581" s="141"/>
      <c r="U581" s="70"/>
      <c r="X581" s="70"/>
    </row>
    <row r="582">
      <c r="B582" s="140"/>
      <c r="C582" s="140"/>
      <c r="E582" s="70"/>
      <c r="L582" s="140"/>
      <c r="N582" s="141"/>
      <c r="U582" s="70"/>
      <c r="X582" s="70"/>
    </row>
    <row r="583">
      <c r="B583" s="140"/>
      <c r="C583" s="140"/>
      <c r="E583" s="70"/>
      <c r="L583" s="140"/>
      <c r="N583" s="141"/>
      <c r="U583" s="70"/>
      <c r="X583" s="70"/>
    </row>
    <row r="584">
      <c r="B584" s="140"/>
      <c r="C584" s="140"/>
      <c r="E584" s="70"/>
      <c r="L584" s="140"/>
      <c r="N584" s="141"/>
      <c r="U584" s="70"/>
      <c r="X584" s="70"/>
    </row>
    <row r="585">
      <c r="B585" s="140"/>
      <c r="C585" s="140"/>
      <c r="E585" s="70"/>
      <c r="L585" s="140"/>
      <c r="N585" s="141"/>
      <c r="U585" s="70"/>
      <c r="X585" s="70"/>
    </row>
    <row r="586">
      <c r="B586" s="140"/>
      <c r="C586" s="140"/>
      <c r="E586" s="70"/>
      <c r="L586" s="140"/>
      <c r="N586" s="141"/>
      <c r="U586" s="70"/>
      <c r="X586" s="70"/>
    </row>
    <row r="587">
      <c r="B587" s="140"/>
      <c r="C587" s="140"/>
      <c r="E587" s="70"/>
      <c r="L587" s="140"/>
      <c r="N587" s="141"/>
      <c r="U587" s="70"/>
      <c r="X587" s="70"/>
    </row>
    <row r="588">
      <c r="B588" s="140"/>
      <c r="C588" s="140"/>
      <c r="E588" s="70"/>
      <c r="L588" s="140"/>
      <c r="N588" s="141"/>
      <c r="U588" s="70"/>
      <c r="X588" s="70"/>
    </row>
    <row r="589">
      <c r="B589" s="140"/>
      <c r="C589" s="140"/>
      <c r="E589" s="70"/>
      <c r="L589" s="140"/>
      <c r="N589" s="141"/>
      <c r="U589" s="70"/>
      <c r="X589" s="70"/>
    </row>
    <row r="590">
      <c r="B590" s="140"/>
      <c r="C590" s="140"/>
      <c r="E590" s="70"/>
      <c r="L590" s="140"/>
      <c r="N590" s="141"/>
      <c r="U590" s="70"/>
      <c r="X590" s="70"/>
    </row>
    <row r="591">
      <c r="B591" s="140"/>
      <c r="C591" s="140"/>
      <c r="E591" s="70"/>
      <c r="L591" s="140"/>
      <c r="N591" s="141"/>
      <c r="U591" s="70"/>
      <c r="X591" s="70"/>
    </row>
    <row r="592">
      <c r="B592" s="140"/>
      <c r="C592" s="140"/>
      <c r="E592" s="70"/>
      <c r="L592" s="140"/>
      <c r="N592" s="141"/>
      <c r="U592" s="70"/>
      <c r="X592" s="70"/>
    </row>
    <row r="593">
      <c r="B593" s="140"/>
      <c r="C593" s="140"/>
      <c r="E593" s="70"/>
      <c r="L593" s="140"/>
      <c r="N593" s="141"/>
      <c r="U593" s="70"/>
      <c r="X593" s="70"/>
    </row>
    <row r="594">
      <c r="B594" s="140"/>
      <c r="C594" s="140"/>
      <c r="E594" s="70"/>
      <c r="L594" s="140"/>
      <c r="N594" s="141"/>
      <c r="U594" s="70"/>
      <c r="X594" s="70"/>
    </row>
    <row r="595">
      <c r="B595" s="140"/>
      <c r="C595" s="140"/>
      <c r="E595" s="70"/>
      <c r="L595" s="140"/>
      <c r="N595" s="141"/>
      <c r="U595" s="70"/>
      <c r="X595" s="70"/>
    </row>
    <row r="596">
      <c r="B596" s="140"/>
      <c r="C596" s="140"/>
      <c r="E596" s="70"/>
      <c r="L596" s="140"/>
      <c r="N596" s="141"/>
      <c r="U596" s="70"/>
      <c r="X596" s="70"/>
    </row>
    <row r="597">
      <c r="B597" s="140"/>
      <c r="C597" s="140"/>
      <c r="E597" s="70"/>
      <c r="L597" s="140"/>
      <c r="N597" s="141"/>
      <c r="U597" s="70"/>
      <c r="X597" s="70"/>
    </row>
    <row r="598">
      <c r="B598" s="140"/>
      <c r="C598" s="140"/>
      <c r="E598" s="70"/>
      <c r="L598" s="140"/>
      <c r="N598" s="141"/>
      <c r="U598" s="70"/>
      <c r="X598" s="70"/>
    </row>
    <row r="599">
      <c r="B599" s="140"/>
      <c r="C599" s="140"/>
      <c r="E599" s="70"/>
      <c r="L599" s="140"/>
      <c r="N599" s="141"/>
      <c r="U599" s="70"/>
      <c r="X599" s="70"/>
    </row>
    <row r="600">
      <c r="B600" s="140"/>
      <c r="C600" s="140"/>
      <c r="E600" s="70"/>
      <c r="L600" s="140"/>
      <c r="N600" s="141"/>
      <c r="U600" s="70"/>
      <c r="X600" s="70"/>
    </row>
    <row r="601">
      <c r="B601" s="140"/>
      <c r="C601" s="140"/>
      <c r="E601" s="70"/>
      <c r="L601" s="140"/>
      <c r="N601" s="141"/>
      <c r="U601" s="70"/>
      <c r="X601" s="70"/>
    </row>
    <row r="602">
      <c r="B602" s="140"/>
      <c r="C602" s="140"/>
      <c r="E602" s="70"/>
      <c r="L602" s="140"/>
      <c r="N602" s="141"/>
      <c r="U602" s="70"/>
      <c r="X602" s="70"/>
    </row>
    <row r="603">
      <c r="B603" s="140"/>
      <c r="C603" s="140"/>
      <c r="E603" s="70"/>
      <c r="L603" s="140"/>
      <c r="N603" s="141"/>
      <c r="U603" s="70"/>
      <c r="X603" s="70"/>
    </row>
    <row r="604">
      <c r="B604" s="140"/>
      <c r="C604" s="140"/>
      <c r="E604" s="70"/>
      <c r="L604" s="140"/>
      <c r="N604" s="141"/>
      <c r="U604" s="70"/>
      <c r="X604" s="70"/>
    </row>
    <row r="605">
      <c r="B605" s="140"/>
      <c r="C605" s="140"/>
      <c r="E605" s="70"/>
      <c r="L605" s="140"/>
      <c r="N605" s="141"/>
      <c r="U605" s="70"/>
      <c r="X605" s="70"/>
    </row>
    <row r="606">
      <c r="B606" s="140"/>
      <c r="C606" s="140"/>
      <c r="E606" s="70"/>
      <c r="L606" s="140"/>
      <c r="N606" s="141"/>
      <c r="U606" s="70"/>
      <c r="X606" s="70"/>
    </row>
    <row r="607">
      <c r="B607" s="140"/>
      <c r="C607" s="140"/>
      <c r="E607" s="70"/>
      <c r="L607" s="140"/>
      <c r="N607" s="141"/>
      <c r="U607" s="70"/>
      <c r="X607" s="70"/>
    </row>
    <row r="608">
      <c r="B608" s="140"/>
      <c r="C608" s="140"/>
      <c r="E608" s="70"/>
      <c r="L608" s="140"/>
      <c r="N608" s="141"/>
      <c r="U608" s="70"/>
      <c r="X608" s="70"/>
    </row>
    <row r="609">
      <c r="B609" s="140"/>
      <c r="C609" s="140"/>
      <c r="E609" s="70"/>
      <c r="L609" s="140"/>
      <c r="N609" s="141"/>
      <c r="U609" s="70"/>
      <c r="X609" s="70"/>
    </row>
    <row r="610">
      <c r="B610" s="140"/>
      <c r="C610" s="140"/>
      <c r="E610" s="70"/>
      <c r="L610" s="140"/>
      <c r="N610" s="141"/>
      <c r="U610" s="70"/>
      <c r="X610" s="70"/>
    </row>
    <row r="611">
      <c r="B611" s="140"/>
      <c r="C611" s="140"/>
      <c r="E611" s="70"/>
      <c r="L611" s="140"/>
      <c r="N611" s="141"/>
      <c r="U611" s="70"/>
      <c r="X611" s="70"/>
    </row>
    <row r="612">
      <c r="B612" s="140"/>
      <c r="C612" s="140"/>
      <c r="E612" s="70"/>
      <c r="L612" s="140"/>
      <c r="N612" s="141"/>
      <c r="U612" s="70"/>
      <c r="X612" s="70"/>
    </row>
    <row r="613">
      <c r="B613" s="140"/>
      <c r="C613" s="140"/>
      <c r="E613" s="70"/>
      <c r="L613" s="140"/>
      <c r="N613" s="141"/>
      <c r="U613" s="70"/>
      <c r="X613" s="70"/>
    </row>
    <row r="614">
      <c r="B614" s="140"/>
      <c r="C614" s="140"/>
      <c r="E614" s="70"/>
      <c r="L614" s="140"/>
      <c r="N614" s="141"/>
      <c r="U614" s="70"/>
      <c r="X614" s="70"/>
    </row>
    <row r="615">
      <c r="B615" s="140"/>
      <c r="C615" s="140"/>
      <c r="E615" s="70"/>
      <c r="L615" s="140"/>
      <c r="N615" s="141"/>
      <c r="U615" s="70"/>
      <c r="X615" s="70"/>
    </row>
    <row r="616">
      <c r="B616" s="140"/>
      <c r="C616" s="140"/>
      <c r="E616" s="70"/>
      <c r="L616" s="140"/>
      <c r="N616" s="141"/>
      <c r="U616" s="70"/>
      <c r="X616" s="70"/>
    </row>
    <row r="617">
      <c r="B617" s="140"/>
      <c r="C617" s="140"/>
      <c r="E617" s="70"/>
      <c r="L617" s="140"/>
      <c r="N617" s="141"/>
      <c r="U617" s="70"/>
      <c r="X617" s="70"/>
    </row>
    <row r="618">
      <c r="B618" s="140"/>
      <c r="C618" s="140"/>
      <c r="E618" s="70"/>
      <c r="L618" s="140"/>
      <c r="N618" s="141"/>
      <c r="U618" s="70"/>
      <c r="X618" s="70"/>
    </row>
    <row r="619">
      <c r="B619" s="140"/>
      <c r="C619" s="140"/>
      <c r="E619" s="70"/>
      <c r="L619" s="140"/>
      <c r="N619" s="141"/>
      <c r="U619" s="70"/>
      <c r="X619" s="70"/>
    </row>
    <row r="620">
      <c r="B620" s="140"/>
      <c r="C620" s="140"/>
      <c r="E620" s="70"/>
      <c r="L620" s="140"/>
      <c r="N620" s="141"/>
      <c r="U620" s="70"/>
      <c r="X620" s="70"/>
    </row>
    <row r="621">
      <c r="B621" s="140"/>
      <c r="C621" s="140"/>
      <c r="E621" s="70"/>
      <c r="L621" s="140"/>
      <c r="N621" s="141"/>
      <c r="U621" s="70"/>
      <c r="X621" s="70"/>
    </row>
    <row r="622">
      <c r="B622" s="140"/>
      <c r="C622" s="140"/>
      <c r="E622" s="70"/>
      <c r="L622" s="140"/>
      <c r="N622" s="141"/>
      <c r="U622" s="70"/>
      <c r="X622" s="70"/>
    </row>
    <row r="623">
      <c r="B623" s="140"/>
      <c r="C623" s="140"/>
      <c r="E623" s="70"/>
      <c r="L623" s="140"/>
      <c r="N623" s="141"/>
      <c r="U623" s="70"/>
      <c r="X623" s="70"/>
    </row>
    <row r="624">
      <c r="B624" s="140"/>
      <c r="C624" s="140"/>
      <c r="E624" s="70"/>
      <c r="L624" s="140"/>
      <c r="N624" s="141"/>
      <c r="U624" s="70"/>
      <c r="X624" s="70"/>
    </row>
    <row r="625">
      <c r="B625" s="140"/>
      <c r="C625" s="140"/>
      <c r="E625" s="70"/>
      <c r="L625" s="140"/>
      <c r="N625" s="141"/>
      <c r="U625" s="70"/>
      <c r="X625" s="70"/>
    </row>
    <row r="626">
      <c r="B626" s="140"/>
      <c r="C626" s="140"/>
      <c r="E626" s="70"/>
      <c r="L626" s="140"/>
      <c r="N626" s="141"/>
      <c r="U626" s="70"/>
      <c r="X626" s="70"/>
    </row>
    <row r="627">
      <c r="B627" s="140"/>
      <c r="C627" s="140"/>
      <c r="E627" s="70"/>
      <c r="L627" s="140"/>
      <c r="N627" s="141"/>
      <c r="U627" s="70"/>
      <c r="X627" s="70"/>
    </row>
    <row r="628">
      <c r="B628" s="140"/>
      <c r="C628" s="140"/>
      <c r="E628" s="70"/>
      <c r="L628" s="140"/>
      <c r="N628" s="141"/>
      <c r="U628" s="70"/>
      <c r="X628" s="70"/>
    </row>
    <row r="629">
      <c r="B629" s="140"/>
      <c r="C629" s="140"/>
      <c r="E629" s="70"/>
      <c r="L629" s="140"/>
      <c r="N629" s="141"/>
      <c r="U629" s="70"/>
      <c r="X629" s="70"/>
    </row>
    <row r="630">
      <c r="B630" s="140"/>
      <c r="C630" s="140"/>
      <c r="E630" s="70"/>
      <c r="L630" s="140"/>
      <c r="N630" s="141"/>
      <c r="U630" s="70"/>
      <c r="X630" s="70"/>
    </row>
    <row r="631">
      <c r="B631" s="140"/>
      <c r="C631" s="140"/>
      <c r="E631" s="70"/>
      <c r="L631" s="140"/>
      <c r="N631" s="141"/>
      <c r="U631" s="70"/>
      <c r="X631" s="70"/>
    </row>
    <row r="632">
      <c r="B632" s="140"/>
      <c r="C632" s="140"/>
      <c r="E632" s="70"/>
      <c r="L632" s="140"/>
      <c r="N632" s="141"/>
      <c r="U632" s="70"/>
      <c r="X632" s="70"/>
    </row>
    <row r="633">
      <c r="B633" s="140"/>
      <c r="C633" s="140"/>
      <c r="E633" s="70"/>
      <c r="L633" s="140"/>
      <c r="N633" s="141"/>
      <c r="U633" s="70"/>
      <c r="X633" s="70"/>
    </row>
    <row r="634">
      <c r="B634" s="140"/>
      <c r="C634" s="140"/>
      <c r="E634" s="70"/>
      <c r="L634" s="140"/>
      <c r="N634" s="141"/>
      <c r="U634" s="70"/>
      <c r="X634" s="70"/>
    </row>
    <row r="635">
      <c r="B635" s="140"/>
      <c r="C635" s="140"/>
      <c r="E635" s="70"/>
      <c r="L635" s="140"/>
      <c r="N635" s="141"/>
      <c r="U635" s="70"/>
      <c r="X635" s="70"/>
    </row>
    <row r="636">
      <c r="B636" s="140"/>
      <c r="C636" s="140"/>
      <c r="E636" s="70"/>
      <c r="L636" s="140"/>
      <c r="N636" s="141"/>
      <c r="U636" s="70"/>
      <c r="X636" s="70"/>
    </row>
    <row r="637">
      <c r="B637" s="140"/>
      <c r="C637" s="140"/>
      <c r="E637" s="70"/>
      <c r="L637" s="140"/>
      <c r="N637" s="141"/>
      <c r="U637" s="70"/>
      <c r="X637" s="70"/>
    </row>
    <row r="638">
      <c r="B638" s="140"/>
      <c r="C638" s="140"/>
      <c r="E638" s="70"/>
      <c r="L638" s="140"/>
      <c r="N638" s="141"/>
      <c r="U638" s="70"/>
      <c r="X638" s="70"/>
    </row>
    <row r="639">
      <c r="B639" s="140"/>
      <c r="C639" s="140"/>
      <c r="E639" s="70"/>
      <c r="L639" s="140"/>
      <c r="N639" s="141"/>
      <c r="U639" s="70"/>
      <c r="X639" s="70"/>
    </row>
    <row r="640">
      <c r="B640" s="140"/>
      <c r="C640" s="140"/>
      <c r="E640" s="70"/>
      <c r="L640" s="140"/>
      <c r="N640" s="141"/>
      <c r="U640" s="70"/>
      <c r="X640" s="70"/>
    </row>
    <row r="641">
      <c r="B641" s="140"/>
      <c r="C641" s="140"/>
      <c r="E641" s="70"/>
      <c r="L641" s="140"/>
      <c r="N641" s="141"/>
      <c r="U641" s="70"/>
      <c r="X641" s="70"/>
    </row>
    <row r="642">
      <c r="B642" s="140"/>
      <c r="C642" s="140"/>
      <c r="E642" s="70"/>
      <c r="L642" s="140"/>
      <c r="N642" s="141"/>
      <c r="U642" s="70"/>
      <c r="X642" s="70"/>
    </row>
    <row r="643">
      <c r="B643" s="140"/>
      <c r="C643" s="140"/>
      <c r="E643" s="70"/>
      <c r="L643" s="140"/>
      <c r="N643" s="141"/>
      <c r="U643" s="70"/>
      <c r="X643" s="70"/>
    </row>
    <row r="644">
      <c r="B644" s="140"/>
      <c r="C644" s="140"/>
      <c r="E644" s="70"/>
      <c r="L644" s="140"/>
      <c r="N644" s="141"/>
      <c r="U644" s="70"/>
      <c r="X644" s="70"/>
    </row>
    <row r="645">
      <c r="B645" s="140"/>
      <c r="C645" s="140"/>
      <c r="E645" s="70"/>
      <c r="L645" s="140"/>
      <c r="N645" s="141"/>
      <c r="U645" s="70"/>
      <c r="X645" s="70"/>
    </row>
    <row r="646">
      <c r="B646" s="140"/>
      <c r="C646" s="140"/>
      <c r="E646" s="70"/>
      <c r="L646" s="140"/>
      <c r="N646" s="141"/>
      <c r="U646" s="70"/>
      <c r="X646" s="70"/>
    </row>
    <row r="647">
      <c r="B647" s="140"/>
      <c r="C647" s="140"/>
      <c r="E647" s="70"/>
      <c r="L647" s="140"/>
      <c r="N647" s="141"/>
      <c r="U647" s="70"/>
      <c r="X647" s="70"/>
    </row>
    <row r="648">
      <c r="B648" s="140"/>
      <c r="C648" s="140"/>
      <c r="E648" s="70"/>
      <c r="L648" s="140"/>
      <c r="N648" s="141"/>
      <c r="U648" s="70"/>
      <c r="X648" s="70"/>
    </row>
    <row r="649">
      <c r="B649" s="140"/>
      <c r="C649" s="140"/>
      <c r="E649" s="70"/>
      <c r="L649" s="140"/>
      <c r="N649" s="141"/>
      <c r="U649" s="70"/>
      <c r="X649" s="70"/>
    </row>
    <row r="650">
      <c r="B650" s="140"/>
      <c r="C650" s="140"/>
      <c r="E650" s="70"/>
      <c r="L650" s="140"/>
      <c r="N650" s="141"/>
      <c r="U650" s="70"/>
      <c r="X650" s="70"/>
    </row>
    <row r="651">
      <c r="B651" s="140"/>
      <c r="C651" s="140"/>
      <c r="E651" s="70"/>
      <c r="L651" s="140"/>
      <c r="N651" s="141"/>
      <c r="U651" s="70"/>
      <c r="X651" s="70"/>
    </row>
    <row r="652">
      <c r="B652" s="140"/>
      <c r="C652" s="140"/>
      <c r="E652" s="70"/>
      <c r="L652" s="140"/>
      <c r="N652" s="141"/>
      <c r="U652" s="70"/>
      <c r="X652" s="70"/>
    </row>
    <row r="653">
      <c r="B653" s="140"/>
      <c r="C653" s="140"/>
      <c r="E653" s="70"/>
      <c r="L653" s="140"/>
      <c r="N653" s="141"/>
      <c r="U653" s="70"/>
      <c r="X653" s="70"/>
    </row>
    <row r="654">
      <c r="B654" s="140"/>
      <c r="C654" s="140"/>
      <c r="E654" s="70"/>
      <c r="L654" s="140"/>
      <c r="N654" s="141"/>
      <c r="U654" s="70"/>
      <c r="X654" s="70"/>
    </row>
    <row r="655">
      <c r="B655" s="140"/>
      <c r="C655" s="140"/>
      <c r="E655" s="70"/>
      <c r="L655" s="140"/>
      <c r="N655" s="141"/>
      <c r="U655" s="70"/>
      <c r="X655" s="70"/>
    </row>
    <row r="656">
      <c r="B656" s="140"/>
      <c r="C656" s="140"/>
      <c r="E656" s="70"/>
      <c r="L656" s="140"/>
      <c r="N656" s="141"/>
      <c r="U656" s="70"/>
      <c r="X656" s="70"/>
    </row>
    <row r="657">
      <c r="B657" s="140"/>
      <c r="C657" s="140"/>
      <c r="E657" s="70"/>
      <c r="L657" s="140"/>
      <c r="N657" s="141"/>
      <c r="U657" s="70"/>
      <c r="X657" s="70"/>
    </row>
    <row r="658">
      <c r="B658" s="140"/>
      <c r="C658" s="140"/>
      <c r="E658" s="70"/>
      <c r="L658" s="140"/>
      <c r="N658" s="141"/>
      <c r="U658" s="70"/>
      <c r="X658" s="70"/>
    </row>
    <row r="659">
      <c r="B659" s="140"/>
      <c r="C659" s="140"/>
      <c r="E659" s="70"/>
      <c r="L659" s="140"/>
      <c r="N659" s="141"/>
      <c r="U659" s="70"/>
      <c r="X659" s="70"/>
    </row>
    <row r="660">
      <c r="B660" s="140"/>
      <c r="C660" s="140"/>
      <c r="E660" s="70"/>
      <c r="L660" s="140"/>
      <c r="N660" s="141"/>
      <c r="U660" s="70"/>
      <c r="X660" s="70"/>
    </row>
    <row r="661">
      <c r="B661" s="140"/>
      <c r="C661" s="140"/>
      <c r="E661" s="70"/>
      <c r="L661" s="140"/>
      <c r="N661" s="141"/>
      <c r="U661" s="70"/>
      <c r="X661" s="70"/>
    </row>
    <row r="662">
      <c r="B662" s="140"/>
      <c r="C662" s="140"/>
      <c r="E662" s="70"/>
      <c r="L662" s="140"/>
      <c r="N662" s="141"/>
      <c r="U662" s="70"/>
      <c r="X662" s="70"/>
    </row>
    <row r="663">
      <c r="B663" s="140"/>
      <c r="C663" s="140"/>
      <c r="E663" s="70"/>
      <c r="L663" s="140"/>
      <c r="N663" s="141"/>
      <c r="U663" s="70"/>
      <c r="X663" s="70"/>
    </row>
    <row r="664">
      <c r="B664" s="140"/>
      <c r="C664" s="140"/>
      <c r="E664" s="70"/>
      <c r="L664" s="140"/>
      <c r="N664" s="141"/>
      <c r="U664" s="70"/>
      <c r="X664" s="70"/>
    </row>
    <row r="665">
      <c r="B665" s="140"/>
      <c r="C665" s="140"/>
      <c r="E665" s="70"/>
      <c r="L665" s="140"/>
      <c r="N665" s="141"/>
      <c r="U665" s="70"/>
      <c r="X665" s="70"/>
    </row>
    <row r="666">
      <c r="B666" s="140"/>
      <c r="C666" s="140"/>
      <c r="E666" s="70"/>
      <c r="L666" s="140"/>
      <c r="N666" s="141"/>
      <c r="U666" s="70"/>
      <c r="X666" s="70"/>
    </row>
    <row r="667">
      <c r="B667" s="140"/>
      <c r="C667" s="140"/>
      <c r="E667" s="70"/>
      <c r="L667" s="140"/>
      <c r="N667" s="141"/>
      <c r="U667" s="70"/>
      <c r="X667" s="70"/>
    </row>
    <row r="668">
      <c r="B668" s="140"/>
      <c r="C668" s="140"/>
      <c r="E668" s="70"/>
      <c r="L668" s="140"/>
      <c r="N668" s="141"/>
      <c r="U668" s="70"/>
      <c r="X668" s="70"/>
    </row>
    <row r="669">
      <c r="B669" s="140"/>
      <c r="C669" s="140"/>
      <c r="E669" s="70"/>
      <c r="L669" s="140"/>
      <c r="N669" s="141"/>
      <c r="U669" s="70"/>
      <c r="X669" s="70"/>
    </row>
    <row r="670">
      <c r="B670" s="140"/>
      <c r="C670" s="140"/>
      <c r="E670" s="70"/>
      <c r="L670" s="140"/>
      <c r="N670" s="141"/>
      <c r="U670" s="70"/>
      <c r="X670" s="70"/>
    </row>
    <row r="671">
      <c r="B671" s="140"/>
      <c r="C671" s="140"/>
      <c r="E671" s="70"/>
      <c r="L671" s="140"/>
      <c r="N671" s="141"/>
      <c r="U671" s="70"/>
      <c r="X671" s="70"/>
    </row>
    <row r="672">
      <c r="B672" s="140"/>
      <c r="C672" s="140"/>
      <c r="E672" s="70"/>
      <c r="L672" s="140"/>
      <c r="N672" s="141"/>
      <c r="U672" s="70"/>
      <c r="X672" s="70"/>
    </row>
    <row r="673">
      <c r="B673" s="140"/>
      <c r="C673" s="140"/>
      <c r="E673" s="70"/>
      <c r="L673" s="140"/>
      <c r="N673" s="141"/>
      <c r="U673" s="70"/>
      <c r="X673" s="70"/>
    </row>
    <row r="674">
      <c r="B674" s="140"/>
      <c r="C674" s="140"/>
      <c r="E674" s="70"/>
      <c r="L674" s="140"/>
      <c r="N674" s="141"/>
      <c r="U674" s="70"/>
      <c r="X674" s="70"/>
    </row>
    <row r="675">
      <c r="B675" s="140"/>
      <c r="C675" s="140"/>
      <c r="E675" s="70"/>
      <c r="L675" s="140"/>
      <c r="N675" s="141"/>
      <c r="U675" s="70"/>
      <c r="X675" s="70"/>
    </row>
    <row r="676">
      <c r="B676" s="140"/>
      <c r="C676" s="140"/>
      <c r="E676" s="70"/>
      <c r="L676" s="140"/>
      <c r="N676" s="141"/>
      <c r="U676" s="70"/>
      <c r="X676" s="70"/>
    </row>
    <row r="677">
      <c r="B677" s="140"/>
      <c r="C677" s="140"/>
      <c r="E677" s="70"/>
      <c r="L677" s="140"/>
      <c r="N677" s="141"/>
      <c r="U677" s="70"/>
      <c r="X677" s="70"/>
    </row>
    <row r="678">
      <c r="B678" s="140"/>
      <c r="C678" s="140"/>
      <c r="E678" s="70"/>
      <c r="L678" s="140"/>
      <c r="N678" s="141"/>
      <c r="U678" s="70"/>
      <c r="X678" s="70"/>
    </row>
    <row r="679">
      <c r="B679" s="140"/>
      <c r="C679" s="140"/>
      <c r="E679" s="70"/>
      <c r="L679" s="140"/>
      <c r="N679" s="141"/>
      <c r="U679" s="70"/>
      <c r="X679" s="70"/>
    </row>
    <row r="680">
      <c r="B680" s="140"/>
      <c r="C680" s="140"/>
      <c r="E680" s="70"/>
      <c r="L680" s="140"/>
      <c r="N680" s="141"/>
      <c r="U680" s="70"/>
      <c r="X680" s="70"/>
    </row>
    <row r="681">
      <c r="B681" s="140"/>
      <c r="C681" s="140"/>
      <c r="E681" s="70"/>
      <c r="L681" s="140"/>
      <c r="N681" s="141"/>
      <c r="U681" s="70"/>
      <c r="X681" s="70"/>
    </row>
    <row r="682">
      <c r="B682" s="140"/>
      <c r="C682" s="140"/>
      <c r="E682" s="70"/>
      <c r="L682" s="140"/>
      <c r="N682" s="141"/>
      <c r="U682" s="70"/>
      <c r="X682" s="70"/>
    </row>
    <row r="683">
      <c r="B683" s="140"/>
      <c r="C683" s="140"/>
      <c r="E683" s="70"/>
      <c r="L683" s="140"/>
      <c r="N683" s="141"/>
      <c r="U683" s="70"/>
      <c r="X683" s="70"/>
    </row>
    <row r="684">
      <c r="B684" s="140"/>
      <c r="C684" s="140"/>
      <c r="E684" s="70"/>
      <c r="L684" s="140"/>
      <c r="N684" s="141"/>
      <c r="U684" s="70"/>
      <c r="X684" s="70"/>
    </row>
    <row r="685">
      <c r="B685" s="140"/>
      <c r="C685" s="140"/>
      <c r="E685" s="70"/>
      <c r="L685" s="140"/>
      <c r="N685" s="141"/>
      <c r="U685" s="70"/>
      <c r="X685" s="70"/>
    </row>
    <row r="686">
      <c r="B686" s="140"/>
      <c r="C686" s="140"/>
      <c r="E686" s="70"/>
      <c r="L686" s="140"/>
      <c r="N686" s="141"/>
      <c r="U686" s="70"/>
      <c r="X686" s="70"/>
    </row>
    <row r="687">
      <c r="B687" s="140"/>
      <c r="C687" s="140"/>
      <c r="E687" s="70"/>
      <c r="L687" s="140"/>
      <c r="N687" s="141"/>
      <c r="U687" s="70"/>
      <c r="X687" s="70"/>
    </row>
    <row r="688">
      <c r="B688" s="140"/>
      <c r="C688" s="140"/>
      <c r="E688" s="70"/>
      <c r="L688" s="140"/>
      <c r="N688" s="141"/>
      <c r="U688" s="70"/>
      <c r="X688" s="70"/>
    </row>
    <row r="689">
      <c r="B689" s="140"/>
      <c r="C689" s="140"/>
      <c r="E689" s="70"/>
      <c r="L689" s="140"/>
      <c r="N689" s="141"/>
      <c r="U689" s="70"/>
      <c r="X689" s="70"/>
    </row>
    <row r="690">
      <c r="B690" s="140"/>
      <c r="C690" s="140"/>
      <c r="E690" s="70"/>
      <c r="L690" s="140"/>
      <c r="N690" s="141"/>
      <c r="U690" s="70"/>
      <c r="X690" s="70"/>
    </row>
    <row r="691">
      <c r="B691" s="140"/>
      <c r="C691" s="140"/>
      <c r="E691" s="70"/>
      <c r="L691" s="140"/>
      <c r="N691" s="141"/>
      <c r="U691" s="70"/>
      <c r="X691" s="70"/>
    </row>
    <row r="692">
      <c r="B692" s="140"/>
      <c r="C692" s="140"/>
      <c r="E692" s="70"/>
      <c r="L692" s="140"/>
      <c r="N692" s="141"/>
      <c r="U692" s="70"/>
      <c r="X692" s="70"/>
    </row>
    <row r="693">
      <c r="B693" s="140"/>
      <c r="C693" s="140"/>
      <c r="E693" s="70"/>
      <c r="L693" s="140"/>
      <c r="N693" s="141"/>
      <c r="U693" s="70"/>
      <c r="X693" s="70"/>
    </row>
    <row r="694">
      <c r="B694" s="140"/>
      <c r="C694" s="140"/>
      <c r="E694" s="70"/>
      <c r="L694" s="140"/>
      <c r="N694" s="141"/>
      <c r="U694" s="70"/>
      <c r="X694" s="70"/>
    </row>
    <row r="695">
      <c r="B695" s="140"/>
      <c r="C695" s="140"/>
      <c r="E695" s="70"/>
      <c r="L695" s="140"/>
      <c r="N695" s="141"/>
      <c r="U695" s="70"/>
      <c r="X695" s="70"/>
    </row>
    <row r="696">
      <c r="B696" s="140"/>
      <c r="C696" s="140"/>
      <c r="E696" s="70"/>
      <c r="L696" s="140"/>
      <c r="N696" s="141"/>
      <c r="U696" s="70"/>
      <c r="X696" s="70"/>
    </row>
    <row r="697">
      <c r="B697" s="140"/>
      <c r="C697" s="140"/>
      <c r="E697" s="70"/>
      <c r="L697" s="140"/>
      <c r="N697" s="141"/>
      <c r="U697" s="70"/>
      <c r="X697" s="70"/>
    </row>
    <row r="698">
      <c r="B698" s="140"/>
      <c r="C698" s="140"/>
      <c r="E698" s="70"/>
      <c r="L698" s="140"/>
      <c r="N698" s="141"/>
      <c r="U698" s="70"/>
      <c r="X698" s="70"/>
    </row>
    <row r="699">
      <c r="B699" s="140"/>
      <c r="C699" s="140"/>
      <c r="E699" s="70"/>
      <c r="L699" s="140"/>
      <c r="N699" s="141"/>
      <c r="U699" s="70"/>
      <c r="X699" s="70"/>
    </row>
    <row r="700">
      <c r="B700" s="140"/>
      <c r="C700" s="140"/>
      <c r="E700" s="70"/>
      <c r="L700" s="140"/>
      <c r="N700" s="141"/>
      <c r="U700" s="70"/>
      <c r="X700" s="70"/>
    </row>
    <row r="701">
      <c r="B701" s="140"/>
      <c r="C701" s="140"/>
      <c r="E701" s="70"/>
      <c r="L701" s="140"/>
      <c r="N701" s="141"/>
      <c r="U701" s="70"/>
      <c r="X701" s="70"/>
    </row>
    <row r="702">
      <c r="B702" s="140"/>
      <c r="C702" s="140"/>
      <c r="E702" s="70"/>
      <c r="L702" s="140"/>
      <c r="N702" s="141"/>
      <c r="U702" s="70"/>
      <c r="X702" s="70"/>
    </row>
    <row r="703">
      <c r="B703" s="140"/>
      <c r="C703" s="140"/>
      <c r="E703" s="70"/>
      <c r="L703" s="140"/>
      <c r="N703" s="141"/>
      <c r="U703" s="70"/>
      <c r="X703" s="70"/>
    </row>
    <row r="704">
      <c r="B704" s="140"/>
      <c r="C704" s="140"/>
      <c r="E704" s="70"/>
      <c r="L704" s="140"/>
      <c r="N704" s="141"/>
      <c r="U704" s="70"/>
      <c r="X704" s="70"/>
    </row>
    <row r="705">
      <c r="B705" s="140"/>
      <c r="C705" s="140"/>
      <c r="E705" s="70"/>
      <c r="L705" s="140"/>
      <c r="N705" s="141"/>
      <c r="U705" s="70"/>
      <c r="X705" s="70"/>
    </row>
    <row r="706">
      <c r="B706" s="140"/>
      <c r="C706" s="140"/>
      <c r="E706" s="70"/>
      <c r="L706" s="140"/>
      <c r="N706" s="141"/>
      <c r="U706" s="70"/>
      <c r="X706" s="70"/>
    </row>
    <row r="707">
      <c r="B707" s="140"/>
      <c r="C707" s="140"/>
      <c r="E707" s="70"/>
      <c r="L707" s="140"/>
      <c r="N707" s="141"/>
      <c r="U707" s="70"/>
      <c r="X707" s="70"/>
    </row>
    <row r="708">
      <c r="B708" s="140"/>
      <c r="C708" s="140"/>
      <c r="E708" s="70"/>
      <c r="L708" s="140"/>
      <c r="N708" s="141"/>
      <c r="U708" s="70"/>
      <c r="X708" s="70"/>
    </row>
    <row r="709">
      <c r="B709" s="140"/>
      <c r="C709" s="140"/>
      <c r="E709" s="70"/>
      <c r="L709" s="140"/>
      <c r="N709" s="141"/>
      <c r="U709" s="70"/>
      <c r="X709" s="70"/>
    </row>
    <row r="710">
      <c r="B710" s="140"/>
      <c r="C710" s="140"/>
      <c r="E710" s="70"/>
      <c r="L710" s="140"/>
      <c r="N710" s="141"/>
      <c r="U710" s="70"/>
      <c r="X710" s="70"/>
    </row>
    <row r="711">
      <c r="B711" s="140"/>
      <c r="C711" s="140"/>
      <c r="E711" s="70"/>
      <c r="L711" s="140"/>
      <c r="N711" s="141"/>
      <c r="U711" s="70"/>
      <c r="X711" s="70"/>
    </row>
    <row r="712">
      <c r="B712" s="140"/>
      <c r="C712" s="140"/>
      <c r="E712" s="70"/>
      <c r="L712" s="140"/>
      <c r="N712" s="141"/>
      <c r="U712" s="70"/>
      <c r="X712" s="70"/>
    </row>
    <row r="713">
      <c r="B713" s="140"/>
      <c r="C713" s="140"/>
      <c r="E713" s="70"/>
      <c r="L713" s="140"/>
      <c r="N713" s="141"/>
      <c r="U713" s="70"/>
      <c r="X713" s="70"/>
    </row>
    <row r="714">
      <c r="B714" s="140"/>
      <c r="C714" s="140"/>
      <c r="E714" s="70"/>
      <c r="L714" s="140"/>
      <c r="N714" s="141"/>
      <c r="U714" s="70"/>
      <c r="X714" s="70"/>
    </row>
    <row r="715">
      <c r="B715" s="140"/>
      <c r="C715" s="140"/>
      <c r="E715" s="70"/>
      <c r="L715" s="140"/>
      <c r="N715" s="141"/>
      <c r="U715" s="70"/>
      <c r="X715" s="70"/>
    </row>
    <row r="716">
      <c r="B716" s="140"/>
      <c r="C716" s="140"/>
      <c r="E716" s="70"/>
      <c r="L716" s="140"/>
      <c r="N716" s="141"/>
      <c r="U716" s="70"/>
      <c r="X716" s="70"/>
    </row>
    <row r="717">
      <c r="B717" s="140"/>
      <c r="C717" s="140"/>
      <c r="E717" s="70"/>
      <c r="L717" s="140"/>
      <c r="N717" s="141"/>
      <c r="U717" s="70"/>
      <c r="X717" s="70"/>
    </row>
    <row r="718">
      <c r="B718" s="140"/>
      <c r="C718" s="140"/>
      <c r="E718" s="70"/>
      <c r="L718" s="140"/>
      <c r="N718" s="141"/>
      <c r="U718" s="70"/>
      <c r="X718" s="70"/>
    </row>
    <row r="719">
      <c r="B719" s="140"/>
      <c r="C719" s="140"/>
      <c r="E719" s="70"/>
      <c r="L719" s="140"/>
      <c r="N719" s="141"/>
      <c r="U719" s="70"/>
      <c r="X719" s="70"/>
    </row>
    <row r="720">
      <c r="B720" s="140"/>
      <c r="C720" s="140"/>
      <c r="E720" s="70"/>
      <c r="L720" s="140"/>
      <c r="N720" s="141"/>
      <c r="U720" s="70"/>
      <c r="X720" s="70"/>
    </row>
    <row r="721">
      <c r="B721" s="140"/>
      <c r="C721" s="140"/>
      <c r="E721" s="70"/>
      <c r="L721" s="140"/>
      <c r="N721" s="141"/>
      <c r="U721" s="70"/>
      <c r="X721" s="70"/>
    </row>
    <row r="722">
      <c r="B722" s="140"/>
      <c r="C722" s="140"/>
      <c r="E722" s="70"/>
      <c r="L722" s="140"/>
      <c r="N722" s="141"/>
      <c r="U722" s="70"/>
      <c r="X722" s="70"/>
    </row>
    <row r="723">
      <c r="B723" s="140"/>
      <c r="C723" s="140"/>
      <c r="E723" s="70"/>
      <c r="L723" s="140"/>
      <c r="N723" s="141"/>
      <c r="U723" s="70"/>
      <c r="X723" s="70"/>
    </row>
    <row r="724">
      <c r="B724" s="140"/>
      <c r="C724" s="140"/>
      <c r="E724" s="70"/>
      <c r="L724" s="140"/>
      <c r="N724" s="141"/>
      <c r="U724" s="70"/>
      <c r="X724" s="70"/>
    </row>
    <row r="725">
      <c r="B725" s="140"/>
      <c r="C725" s="140"/>
      <c r="E725" s="70"/>
      <c r="L725" s="140"/>
      <c r="N725" s="141"/>
      <c r="U725" s="70"/>
      <c r="X725" s="70"/>
    </row>
    <row r="726">
      <c r="B726" s="140"/>
      <c r="C726" s="140"/>
      <c r="E726" s="70"/>
      <c r="L726" s="140"/>
      <c r="N726" s="141"/>
      <c r="U726" s="70"/>
      <c r="X726" s="70"/>
    </row>
    <row r="727">
      <c r="B727" s="140"/>
      <c r="C727" s="140"/>
      <c r="E727" s="70"/>
      <c r="L727" s="140"/>
      <c r="N727" s="141"/>
      <c r="U727" s="70"/>
      <c r="X727" s="70"/>
    </row>
    <row r="728">
      <c r="B728" s="140"/>
      <c r="C728" s="140"/>
      <c r="E728" s="70"/>
      <c r="L728" s="140"/>
      <c r="N728" s="141"/>
      <c r="U728" s="70"/>
      <c r="X728" s="70"/>
    </row>
    <row r="729">
      <c r="B729" s="140"/>
      <c r="C729" s="140"/>
      <c r="E729" s="70"/>
      <c r="L729" s="140"/>
      <c r="N729" s="141"/>
      <c r="U729" s="70"/>
      <c r="X729" s="70"/>
    </row>
    <row r="730">
      <c r="B730" s="140"/>
      <c r="C730" s="140"/>
      <c r="E730" s="70"/>
      <c r="L730" s="140"/>
      <c r="N730" s="141"/>
      <c r="U730" s="70"/>
      <c r="X730" s="70"/>
    </row>
    <row r="731">
      <c r="B731" s="140"/>
      <c r="C731" s="140"/>
      <c r="E731" s="70"/>
      <c r="L731" s="140"/>
      <c r="N731" s="141"/>
      <c r="U731" s="70"/>
      <c r="X731" s="70"/>
    </row>
    <row r="732">
      <c r="B732" s="140"/>
      <c r="C732" s="140"/>
      <c r="E732" s="70"/>
      <c r="L732" s="140"/>
      <c r="N732" s="141"/>
      <c r="U732" s="70"/>
      <c r="X732" s="70"/>
    </row>
    <row r="733">
      <c r="B733" s="140"/>
      <c r="C733" s="140"/>
      <c r="E733" s="70"/>
      <c r="L733" s="140"/>
      <c r="N733" s="141"/>
      <c r="U733" s="70"/>
      <c r="X733" s="70"/>
    </row>
    <row r="734">
      <c r="B734" s="140"/>
      <c r="C734" s="140"/>
      <c r="E734" s="70"/>
      <c r="L734" s="140"/>
      <c r="N734" s="141"/>
      <c r="U734" s="70"/>
      <c r="X734" s="70"/>
    </row>
    <row r="735">
      <c r="B735" s="140"/>
      <c r="C735" s="140"/>
      <c r="E735" s="70"/>
      <c r="L735" s="140"/>
      <c r="N735" s="141"/>
      <c r="U735" s="70"/>
      <c r="X735" s="70"/>
    </row>
    <row r="736">
      <c r="B736" s="140"/>
      <c r="C736" s="140"/>
      <c r="E736" s="70"/>
      <c r="L736" s="140"/>
      <c r="N736" s="141"/>
      <c r="U736" s="70"/>
      <c r="X736" s="70"/>
    </row>
    <row r="737">
      <c r="B737" s="140"/>
      <c r="C737" s="140"/>
      <c r="E737" s="70"/>
      <c r="L737" s="140"/>
      <c r="N737" s="141"/>
      <c r="U737" s="70"/>
      <c r="X737" s="70"/>
    </row>
    <row r="738">
      <c r="B738" s="140"/>
      <c r="C738" s="140"/>
      <c r="E738" s="70"/>
      <c r="L738" s="140"/>
      <c r="N738" s="141"/>
      <c r="U738" s="70"/>
      <c r="X738" s="70"/>
    </row>
    <row r="739">
      <c r="B739" s="140"/>
      <c r="C739" s="140"/>
      <c r="E739" s="70"/>
      <c r="L739" s="140"/>
      <c r="N739" s="141"/>
      <c r="U739" s="70"/>
      <c r="X739" s="70"/>
    </row>
    <row r="740">
      <c r="B740" s="140"/>
      <c r="C740" s="140"/>
      <c r="E740" s="70"/>
      <c r="L740" s="140"/>
      <c r="N740" s="141"/>
      <c r="U740" s="70"/>
      <c r="X740" s="70"/>
    </row>
    <row r="741">
      <c r="B741" s="140"/>
      <c r="C741" s="140"/>
      <c r="E741" s="70"/>
      <c r="L741" s="140"/>
      <c r="N741" s="141"/>
      <c r="U741" s="70"/>
      <c r="X741" s="70"/>
    </row>
    <row r="742">
      <c r="B742" s="140"/>
      <c r="C742" s="140"/>
      <c r="E742" s="70"/>
      <c r="L742" s="140"/>
      <c r="N742" s="141"/>
      <c r="U742" s="70"/>
      <c r="X742" s="70"/>
    </row>
    <row r="743">
      <c r="B743" s="140"/>
      <c r="C743" s="140"/>
      <c r="E743" s="70"/>
      <c r="L743" s="140"/>
      <c r="N743" s="141"/>
      <c r="U743" s="70"/>
      <c r="X743" s="70"/>
    </row>
    <row r="744">
      <c r="B744" s="140"/>
      <c r="C744" s="140"/>
      <c r="E744" s="70"/>
      <c r="L744" s="140"/>
      <c r="N744" s="141"/>
      <c r="U744" s="70"/>
      <c r="X744" s="70"/>
    </row>
    <row r="745">
      <c r="B745" s="140"/>
      <c r="C745" s="140"/>
      <c r="E745" s="70"/>
      <c r="L745" s="140"/>
      <c r="N745" s="141"/>
      <c r="U745" s="70"/>
      <c r="X745" s="70"/>
    </row>
    <row r="746">
      <c r="B746" s="140"/>
      <c r="C746" s="140"/>
      <c r="E746" s="70"/>
      <c r="L746" s="140"/>
      <c r="N746" s="141"/>
      <c r="U746" s="70"/>
      <c r="X746" s="70"/>
    </row>
    <row r="747">
      <c r="B747" s="140"/>
      <c r="C747" s="140"/>
      <c r="E747" s="70"/>
      <c r="L747" s="140"/>
      <c r="N747" s="141"/>
      <c r="U747" s="70"/>
      <c r="X747" s="70"/>
    </row>
    <row r="748">
      <c r="B748" s="140"/>
      <c r="C748" s="140"/>
      <c r="E748" s="70"/>
      <c r="L748" s="140"/>
      <c r="N748" s="141"/>
      <c r="U748" s="70"/>
      <c r="X748" s="70"/>
    </row>
    <row r="749">
      <c r="B749" s="140"/>
      <c r="C749" s="140"/>
      <c r="E749" s="70"/>
      <c r="L749" s="140"/>
      <c r="N749" s="141"/>
      <c r="U749" s="70"/>
      <c r="X749" s="70"/>
    </row>
    <row r="750">
      <c r="B750" s="140"/>
      <c r="C750" s="140"/>
      <c r="E750" s="70"/>
      <c r="L750" s="140"/>
      <c r="N750" s="141"/>
      <c r="U750" s="70"/>
      <c r="X750" s="70"/>
    </row>
    <row r="751">
      <c r="B751" s="140"/>
      <c r="C751" s="140"/>
      <c r="E751" s="70"/>
      <c r="L751" s="140"/>
      <c r="N751" s="141"/>
      <c r="U751" s="70"/>
      <c r="X751" s="70"/>
    </row>
    <row r="752">
      <c r="B752" s="140"/>
      <c r="C752" s="140"/>
      <c r="E752" s="70"/>
      <c r="L752" s="140"/>
      <c r="N752" s="141"/>
      <c r="U752" s="70"/>
      <c r="X752" s="70"/>
    </row>
    <row r="753">
      <c r="B753" s="140"/>
      <c r="C753" s="140"/>
      <c r="E753" s="70"/>
      <c r="L753" s="140"/>
      <c r="N753" s="141"/>
      <c r="U753" s="70"/>
      <c r="X753" s="70"/>
    </row>
    <row r="754">
      <c r="B754" s="140"/>
      <c r="C754" s="140"/>
      <c r="E754" s="70"/>
      <c r="L754" s="140"/>
      <c r="N754" s="141"/>
      <c r="U754" s="70"/>
      <c r="X754" s="70"/>
    </row>
    <row r="755">
      <c r="B755" s="140"/>
      <c r="C755" s="140"/>
      <c r="E755" s="70"/>
      <c r="L755" s="140"/>
      <c r="N755" s="141"/>
      <c r="U755" s="70"/>
      <c r="X755" s="70"/>
    </row>
    <row r="756">
      <c r="B756" s="140"/>
      <c r="C756" s="140"/>
      <c r="E756" s="70"/>
      <c r="L756" s="140"/>
      <c r="N756" s="141"/>
      <c r="U756" s="70"/>
      <c r="X756" s="70"/>
    </row>
    <row r="757">
      <c r="B757" s="140"/>
      <c r="C757" s="140"/>
      <c r="E757" s="70"/>
      <c r="L757" s="140"/>
      <c r="N757" s="141"/>
      <c r="U757" s="70"/>
      <c r="X757" s="70"/>
    </row>
    <row r="758">
      <c r="B758" s="140"/>
      <c r="C758" s="140"/>
      <c r="E758" s="70"/>
      <c r="L758" s="140"/>
      <c r="N758" s="141"/>
      <c r="U758" s="70"/>
      <c r="X758" s="70"/>
    </row>
    <row r="759">
      <c r="B759" s="140"/>
      <c r="C759" s="140"/>
      <c r="E759" s="70"/>
      <c r="L759" s="140"/>
      <c r="N759" s="141"/>
      <c r="U759" s="70"/>
      <c r="X759" s="70"/>
    </row>
    <row r="760">
      <c r="B760" s="140"/>
      <c r="C760" s="140"/>
      <c r="E760" s="70"/>
      <c r="L760" s="140"/>
      <c r="N760" s="141"/>
      <c r="U760" s="70"/>
      <c r="X760" s="70"/>
    </row>
    <row r="761">
      <c r="B761" s="140"/>
      <c r="C761" s="140"/>
      <c r="E761" s="70"/>
      <c r="L761" s="140"/>
      <c r="N761" s="141"/>
      <c r="U761" s="70"/>
      <c r="X761" s="70"/>
    </row>
    <row r="762">
      <c r="B762" s="140"/>
      <c r="C762" s="140"/>
      <c r="E762" s="70"/>
      <c r="L762" s="140"/>
      <c r="N762" s="141"/>
      <c r="U762" s="70"/>
      <c r="X762" s="70"/>
    </row>
    <row r="763">
      <c r="B763" s="140"/>
      <c r="C763" s="140"/>
      <c r="E763" s="70"/>
      <c r="L763" s="140"/>
      <c r="N763" s="141"/>
      <c r="U763" s="70"/>
      <c r="X763" s="70"/>
    </row>
    <row r="764">
      <c r="B764" s="140"/>
      <c r="C764" s="140"/>
      <c r="E764" s="70"/>
      <c r="L764" s="140"/>
      <c r="N764" s="141"/>
      <c r="U764" s="70"/>
      <c r="X764" s="70"/>
    </row>
    <row r="765">
      <c r="B765" s="140"/>
      <c r="C765" s="140"/>
      <c r="E765" s="70"/>
      <c r="L765" s="140"/>
      <c r="N765" s="141"/>
      <c r="U765" s="70"/>
      <c r="X765" s="70"/>
    </row>
    <row r="766">
      <c r="B766" s="140"/>
      <c r="C766" s="140"/>
      <c r="E766" s="70"/>
      <c r="L766" s="140"/>
      <c r="N766" s="141"/>
      <c r="U766" s="70"/>
      <c r="X766" s="70"/>
    </row>
    <row r="767">
      <c r="B767" s="140"/>
      <c r="C767" s="140"/>
      <c r="E767" s="70"/>
      <c r="L767" s="140"/>
      <c r="N767" s="141"/>
      <c r="U767" s="70"/>
      <c r="X767" s="70"/>
    </row>
    <row r="768">
      <c r="B768" s="140"/>
      <c r="C768" s="140"/>
      <c r="E768" s="70"/>
      <c r="L768" s="140"/>
      <c r="N768" s="141"/>
      <c r="U768" s="70"/>
      <c r="X768" s="70"/>
    </row>
    <row r="769">
      <c r="B769" s="140"/>
      <c r="C769" s="140"/>
      <c r="E769" s="70"/>
      <c r="L769" s="140"/>
      <c r="N769" s="141"/>
      <c r="U769" s="70"/>
      <c r="X769" s="70"/>
    </row>
    <row r="770">
      <c r="B770" s="140"/>
      <c r="C770" s="140"/>
      <c r="E770" s="70"/>
      <c r="L770" s="140"/>
      <c r="N770" s="141"/>
      <c r="U770" s="70"/>
      <c r="X770" s="70"/>
    </row>
    <row r="771">
      <c r="B771" s="140"/>
      <c r="C771" s="140"/>
      <c r="E771" s="70"/>
      <c r="L771" s="140"/>
      <c r="N771" s="141"/>
      <c r="U771" s="70"/>
      <c r="X771" s="70"/>
    </row>
    <row r="772">
      <c r="B772" s="140"/>
      <c r="C772" s="140"/>
      <c r="E772" s="70"/>
      <c r="L772" s="140"/>
      <c r="N772" s="141"/>
      <c r="U772" s="70"/>
      <c r="X772" s="70"/>
    </row>
    <row r="773">
      <c r="B773" s="140"/>
      <c r="C773" s="140"/>
      <c r="E773" s="70"/>
      <c r="L773" s="140"/>
      <c r="N773" s="141"/>
      <c r="U773" s="70"/>
      <c r="X773" s="70"/>
    </row>
    <row r="774">
      <c r="B774" s="140"/>
      <c r="C774" s="140"/>
      <c r="E774" s="70"/>
      <c r="L774" s="140"/>
      <c r="N774" s="141"/>
      <c r="U774" s="70"/>
      <c r="X774" s="70"/>
    </row>
    <row r="775">
      <c r="B775" s="140"/>
      <c r="C775" s="140"/>
      <c r="E775" s="70"/>
      <c r="L775" s="140"/>
      <c r="N775" s="141"/>
      <c r="U775" s="70"/>
      <c r="X775" s="70"/>
    </row>
    <row r="776">
      <c r="B776" s="140"/>
      <c r="C776" s="140"/>
      <c r="E776" s="70"/>
      <c r="L776" s="140"/>
      <c r="N776" s="141"/>
      <c r="U776" s="70"/>
      <c r="X776" s="70"/>
    </row>
    <row r="777">
      <c r="B777" s="140"/>
      <c r="C777" s="140"/>
      <c r="E777" s="70"/>
      <c r="L777" s="140"/>
      <c r="N777" s="141"/>
      <c r="U777" s="70"/>
      <c r="X777" s="70"/>
    </row>
    <row r="778">
      <c r="B778" s="140"/>
      <c r="C778" s="140"/>
      <c r="E778" s="70"/>
      <c r="L778" s="140"/>
      <c r="N778" s="141"/>
      <c r="U778" s="70"/>
      <c r="X778" s="70"/>
    </row>
    <row r="779">
      <c r="B779" s="140"/>
      <c r="C779" s="140"/>
      <c r="E779" s="70"/>
      <c r="L779" s="140"/>
      <c r="N779" s="141"/>
      <c r="U779" s="70"/>
      <c r="X779" s="70"/>
    </row>
    <row r="780">
      <c r="B780" s="140"/>
      <c r="C780" s="140"/>
      <c r="E780" s="70"/>
      <c r="L780" s="140"/>
      <c r="N780" s="141"/>
      <c r="U780" s="70"/>
      <c r="X780" s="70"/>
    </row>
    <row r="781">
      <c r="B781" s="140"/>
      <c r="C781" s="140"/>
      <c r="E781" s="70"/>
      <c r="L781" s="140"/>
      <c r="N781" s="141"/>
      <c r="U781" s="70"/>
      <c r="X781" s="70"/>
    </row>
    <row r="782">
      <c r="B782" s="140"/>
      <c r="C782" s="140"/>
      <c r="E782" s="70"/>
      <c r="L782" s="140"/>
      <c r="N782" s="141"/>
      <c r="U782" s="70"/>
      <c r="X782" s="70"/>
    </row>
    <row r="783">
      <c r="B783" s="140"/>
      <c r="C783" s="140"/>
      <c r="E783" s="70"/>
      <c r="L783" s="140"/>
      <c r="N783" s="141"/>
      <c r="U783" s="70"/>
      <c r="X783" s="70"/>
    </row>
    <row r="784">
      <c r="B784" s="140"/>
      <c r="C784" s="140"/>
      <c r="E784" s="70"/>
      <c r="L784" s="140"/>
      <c r="N784" s="141"/>
      <c r="U784" s="70"/>
      <c r="X784" s="70"/>
    </row>
    <row r="785">
      <c r="B785" s="140"/>
      <c r="C785" s="140"/>
      <c r="E785" s="70"/>
      <c r="L785" s="140"/>
      <c r="N785" s="141"/>
      <c r="U785" s="70"/>
      <c r="X785" s="70"/>
    </row>
    <row r="786">
      <c r="B786" s="140"/>
      <c r="C786" s="140"/>
      <c r="E786" s="70"/>
      <c r="L786" s="140"/>
      <c r="N786" s="141"/>
      <c r="U786" s="70"/>
      <c r="X786" s="70"/>
    </row>
    <row r="787">
      <c r="B787" s="140"/>
      <c r="C787" s="140"/>
      <c r="E787" s="70"/>
      <c r="L787" s="140"/>
      <c r="N787" s="141"/>
      <c r="U787" s="70"/>
      <c r="X787" s="70"/>
    </row>
    <row r="788">
      <c r="B788" s="140"/>
      <c r="C788" s="140"/>
      <c r="E788" s="70"/>
      <c r="L788" s="140"/>
      <c r="N788" s="141"/>
      <c r="U788" s="70"/>
      <c r="X788" s="70"/>
    </row>
    <row r="789">
      <c r="B789" s="140"/>
      <c r="C789" s="140"/>
      <c r="E789" s="70"/>
      <c r="L789" s="140"/>
      <c r="N789" s="141"/>
      <c r="U789" s="70"/>
      <c r="X789" s="70"/>
    </row>
    <row r="790">
      <c r="B790" s="140"/>
      <c r="C790" s="140"/>
      <c r="E790" s="70"/>
      <c r="L790" s="140"/>
      <c r="N790" s="141"/>
      <c r="U790" s="70"/>
      <c r="X790" s="70"/>
    </row>
    <row r="791">
      <c r="B791" s="140"/>
      <c r="C791" s="140"/>
      <c r="E791" s="70"/>
      <c r="L791" s="140"/>
      <c r="N791" s="141"/>
      <c r="U791" s="70"/>
      <c r="X791" s="70"/>
    </row>
    <row r="792">
      <c r="B792" s="140"/>
      <c r="C792" s="140"/>
      <c r="E792" s="70"/>
      <c r="L792" s="140"/>
      <c r="N792" s="141"/>
      <c r="U792" s="70"/>
      <c r="X792" s="70"/>
    </row>
    <row r="793">
      <c r="B793" s="140"/>
      <c r="C793" s="140"/>
      <c r="E793" s="70"/>
      <c r="L793" s="140"/>
      <c r="N793" s="141"/>
      <c r="U793" s="70"/>
      <c r="X793" s="70"/>
    </row>
    <row r="794">
      <c r="B794" s="140"/>
      <c r="C794" s="140"/>
      <c r="E794" s="70"/>
      <c r="L794" s="140"/>
      <c r="N794" s="141"/>
      <c r="U794" s="70"/>
      <c r="X794" s="70"/>
    </row>
    <row r="795">
      <c r="B795" s="140"/>
      <c r="C795" s="140"/>
      <c r="E795" s="70"/>
      <c r="L795" s="140"/>
      <c r="N795" s="141"/>
      <c r="U795" s="70"/>
      <c r="X795" s="70"/>
    </row>
    <row r="796">
      <c r="B796" s="140"/>
      <c r="C796" s="140"/>
      <c r="E796" s="70"/>
      <c r="L796" s="140"/>
      <c r="N796" s="141"/>
      <c r="U796" s="70"/>
      <c r="X796" s="70"/>
    </row>
    <row r="797">
      <c r="B797" s="140"/>
      <c r="C797" s="140"/>
      <c r="E797" s="70"/>
      <c r="L797" s="140"/>
      <c r="N797" s="141"/>
      <c r="U797" s="70"/>
      <c r="X797" s="70"/>
    </row>
    <row r="798">
      <c r="B798" s="140"/>
      <c r="C798" s="140"/>
      <c r="E798" s="70"/>
      <c r="L798" s="140"/>
      <c r="N798" s="141"/>
      <c r="U798" s="70"/>
      <c r="X798" s="70"/>
    </row>
    <row r="799">
      <c r="B799" s="140"/>
      <c r="C799" s="140"/>
      <c r="E799" s="70"/>
      <c r="L799" s="140"/>
      <c r="N799" s="141"/>
      <c r="U799" s="70"/>
      <c r="X799" s="70"/>
    </row>
    <row r="800">
      <c r="B800" s="140"/>
      <c r="C800" s="140"/>
      <c r="E800" s="70"/>
      <c r="L800" s="140"/>
      <c r="N800" s="141"/>
      <c r="U800" s="70"/>
      <c r="X800" s="70"/>
    </row>
    <row r="801">
      <c r="B801" s="140"/>
      <c r="C801" s="140"/>
      <c r="E801" s="70"/>
      <c r="L801" s="140"/>
      <c r="N801" s="141"/>
      <c r="U801" s="70"/>
      <c r="X801" s="70"/>
    </row>
    <row r="802">
      <c r="B802" s="140"/>
      <c r="C802" s="140"/>
      <c r="E802" s="70"/>
      <c r="L802" s="140"/>
      <c r="N802" s="141"/>
      <c r="U802" s="70"/>
      <c r="X802" s="70"/>
    </row>
    <row r="803">
      <c r="B803" s="140"/>
      <c r="C803" s="140"/>
      <c r="E803" s="70"/>
      <c r="L803" s="140"/>
      <c r="N803" s="141"/>
      <c r="U803" s="70"/>
      <c r="X803" s="70"/>
    </row>
    <row r="804">
      <c r="B804" s="140"/>
      <c r="C804" s="140"/>
      <c r="E804" s="70"/>
      <c r="L804" s="140"/>
      <c r="N804" s="141"/>
      <c r="U804" s="70"/>
      <c r="X804" s="70"/>
    </row>
    <row r="805">
      <c r="B805" s="140"/>
      <c r="C805" s="140"/>
      <c r="E805" s="70"/>
      <c r="L805" s="140"/>
      <c r="N805" s="141"/>
      <c r="U805" s="70"/>
      <c r="X805" s="70"/>
    </row>
    <row r="806">
      <c r="B806" s="140"/>
      <c r="C806" s="140"/>
      <c r="E806" s="70"/>
      <c r="L806" s="140"/>
      <c r="N806" s="141"/>
      <c r="U806" s="70"/>
      <c r="X806" s="70"/>
    </row>
    <row r="807">
      <c r="B807" s="140"/>
      <c r="C807" s="140"/>
      <c r="E807" s="70"/>
      <c r="L807" s="140"/>
      <c r="N807" s="141"/>
      <c r="U807" s="70"/>
      <c r="X807" s="70"/>
    </row>
    <row r="808">
      <c r="B808" s="140"/>
      <c r="C808" s="140"/>
      <c r="E808" s="70"/>
      <c r="L808" s="140"/>
      <c r="N808" s="141"/>
      <c r="U808" s="70"/>
      <c r="X808" s="70"/>
    </row>
    <row r="809">
      <c r="B809" s="140"/>
      <c r="C809" s="140"/>
      <c r="E809" s="70"/>
      <c r="L809" s="140"/>
      <c r="N809" s="141"/>
      <c r="U809" s="70"/>
      <c r="X809" s="70"/>
    </row>
    <row r="810">
      <c r="B810" s="140"/>
      <c r="C810" s="140"/>
      <c r="E810" s="70"/>
      <c r="L810" s="140"/>
      <c r="N810" s="141"/>
      <c r="U810" s="70"/>
      <c r="X810" s="70"/>
    </row>
    <row r="811">
      <c r="B811" s="140"/>
      <c r="C811" s="140"/>
      <c r="E811" s="70"/>
      <c r="L811" s="140"/>
      <c r="N811" s="141"/>
      <c r="U811" s="70"/>
      <c r="X811" s="70"/>
    </row>
    <row r="812">
      <c r="B812" s="140"/>
      <c r="C812" s="140"/>
      <c r="E812" s="70"/>
      <c r="L812" s="140"/>
      <c r="N812" s="141"/>
      <c r="U812" s="70"/>
      <c r="X812" s="70"/>
    </row>
    <row r="813">
      <c r="B813" s="140"/>
      <c r="C813" s="140"/>
      <c r="E813" s="70"/>
      <c r="L813" s="140"/>
      <c r="N813" s="141"/>
      <c r="U813" s="70"/>
      <c r="X813" s="70"/>
    </row>
    <row r="814">
      <c r="B814" s="140"/>
      <c r="C814" s="140"/>
      <c r="E814" s="70"/>
      <c r="L814" s="140"/>
      <c r="N814" s="141"/>
      <c r="U814" s="70"/>
      <c r="X814" s="70"/>
    </row>
    <row r="815">
      <c r="B815" s="140"/>
      <c r="C815" s="140"/>
      <c r="E815" s="70"/>
      <c r="L815" s="140"/>
      <c r="N815" s="141"/>
      <c r="U815" s="70"/>
      <c r="X815" s="70"/>
    </row>
    <row r="816">
      <c r="B816" s="140"/>
      <c r="C816" s="140"/>
      <c r="E816" s="70"/>
      <c r="L816" s="140"/>
      <c r="N816" s="141"/>
      <c r="U816" s="70"/>
      <c r="X816" s="70"/>
    </row>
    <row r="817">
      <c r="B817" s="140"/>
      <c r="C817" s="140"/>
      <c r="E817" s="70"/>
      <c r="L817" s="140"/>
      <c r="N817" s="141"/>
      <c r="U817" s="70"/>
      <c r="X817" s="70"/>
    </row>
    <row r="818">
      <c r="B818" s="140"/>
      <c r="C818" s="140"/>
      <c r="E818" s="70"/>
      <c r="L818" s="140"/>
      <c r="N818" s="141"/>
      <c r="U818" s="70"/>
      <c r="X818" s="70"/>
    </row>
    <row r="819">
      <c r="B819" s="140"/>
      <c r="C819" s="140"/>
      <c r="E819" s="70"/>
      <c r="L819" s="140"/>
      <c r="N819" s="141"/>
      <c r="U819" s="70"/>
      <c r="X819" s="70"/>
    </row>
    <row r="820">
      <c r="B820" s="140"/>
      <c r="C820" s="140"/>
      <c r="E820" s="70"/>
      <c r="L820" s="140"/>
      <c r="N820" s="141"/>
      <c r="U820" s="70"/>
      <c r="X820" s="70"/>
    </row>
    <row r="821">
      <c r="B821" s="140"/>
      <c r="C821" s="140"/>
      <c r="E821" s="70"/>
      <c r="L821" s="140"/>
      <c r="N821" s="141"/>
      <c r="U821" s="70"/>
      <c r="X821" s="70"/>
    </row>
    <row r="822">
      <c r="B822" s="140"/>
      <c r="C822" s="140"/>
      <c r="E822" s="70"/>
      <c r="L822" s="140"/>
      <c r="N822" s="141"/>
      <c r="U822" s="70"/>
      <c r="X822" s="70"/>
    </row>
    <row r="823">
      <c r="B823" s="140"/>
      <c r="C823" s="140"/>
      <c r="E823" s="70"/>
      <c r="L823" s="140"/>
      <c r="N823" s="141"/>
      <c r="U823" s="70"/>
      <c r="X823" s="70"/>
    </row>
    <row r="824">
      <c r="B824" s="140"/>
      <c r="C824" s="140"/>
      <c r="E824" s="70"/>
      <c r="L824" s="140"/>
      <c r="N824" s="141"/>
      <c r="U824" s="70"/>
      <c r="X824" s="70"/>
    </row>
    <row r="825">
      <c r="B825" s="140"/>
      <c r="C825" s="140"/>
      <c r="E825" s="70"/>
      <c r="L825" s="140"/>
      <c r="N825" s="141"/>
      <c r="U825" s="70"/>
      <c r="X825" s="70"/>
    </row>
    <row r="826">
      <c r="B826" s="140"/>
      <c r="C826" s="140"/>
      <c r="E826" s="70"/>
      <c r="L826" s="140"/>
      <c r="N826" s="141"/>
      <c r="U826" s="70"/>
      <c r="X826" s="70"/>
    </row>
    <row r="827">
      <c r="B827" s="140"/>
      <c r="C827" s="140"/>
      <c r="E827" s="70"/>
      <c r="L827" s="140"/>
      <c r="N827" s="141"/>
      <c r="U827" s="70"/>
      <c r="X827" s="70"/>
    </row>
    <row r="828">
      <c r="B828" s="140"/>
      <c r="C828" s="140"/>
      <c r="E828" s="70"/>
      <c r="L828" s="140"/>
      <c r="N828" s="141"/>
      <c r="U828" s="70"/>
      <c r="X828" s="70"/>
    </row>
    <row r="829">
      <c r="B829" s="140"/>
      <c r="C829" s="140"/>
      <c r="E829" s="70"/>
      <c r="L829" s="140"/>
      <c r="N829" s="141"/>
      <c r="U829" s="70"/>
      <c r="X829" s="70"/>
    </row>
    <row r="830">
      <c r="B830" s="140"/>
      <c r="C830" s="140"/>
      <c r="E830" s="70"/>
      <c r="L830" s="140"/>
      <c r="N830" s="141"/>
      <c r="U830" s="70"/>
      <c r="X830" s="70"/>
    </row>
    <row r="831">
      <c r="B831" s="140"/>
      <c r="C831" s="140"/>
      <c r="E831" s="70"/>
      <c r="L831" s="140"/>
      <c r="N831" s="141"/>
      <c r="U831" s="70"/>
      <c r="X831" s="70"/>
    </row>
    <row r="832">
      <c r="B832" s="140"/>
      <c r="C832" s="140"/>
      <c r="E832" s="70"/>
      <c r="L832" s="140"/>
      <c r="N832" s="141"/>
      <c r="U832" s="70"/>
      <c r="X832" s="70"/>
    </row>
    <row r="833">
      <c r="B833" s="140"/>
      <c r="C833" s="140"/>
      <c r="E833" s="70"/>
      <c r="L833" s="140"/>
      <c r="N833" s="141"/>
      <c r="U833" s="70"/>
      <c r="X833" s="70"/>
    </row>
    <row r="834">
      <c r="B834" s="140"/>
      <c r="C834" s="140"/>
      <c r="E834" s="70"/>
      <c r="L834" s="140"/>
      <c r="N834" s="141"/>
      <c r="U834" s="70"/>
      <c r="X834" s="70"/>
    </row>
    <row r="835">
      <c r="B835" s="140"/>
      <c r="C835" s="140"/>
      <c r="E835" s="70"/>
      <c r="L835" s="140"/>
      <c r="N835" s="141"/>
      <c r="U835" s="70"/>
      <c r="X835" s="70"/>
    </row>
    <row r="836">
      <c r="B836" s="140"/>
      <c r="C836" s="140"/>
      <c r="E836" s="70"/>
      <c r="L836" s="140"/>
      <c r="N836" s="141"/>
      <c r="U836" s="70"/>
      <c r="X836" s="70"/>
    </row>
    <row r="837">
      <c r="B837" s="140"/>
      <c r="C837" s="140"/>
      <c r="E837" s="70"/>
      <c r="L837" s="140"/>
      <c r="N837" s="141"/>
      <c r="U837" s="70"/>
      <c r="X837" s="70"/>
    </row>
    <row r="838">
      <c r="B838" s="140"/>
      <c r="C838" s="140"/>
      <c r="E838" s="70"/>
      <c r="L838" s="140"/>
      <c r="N838" s="141"/>
      <c r="U838" s="70"/>
      <c r="X838" s="70"/>
    </row>
    <row r="839">
      <c r="B839" s="140"/>
      <c r="C839" s="140"/>
      <c r="E839" s="70"/>
      <c r="L839" s="140"/>
      <c r="N839" s="141"/>
      <c r="U839" s="70"/>
      <c r="X839" s="70"/>
    </row>
    <row r="840">
      <c r="B840" s="140"/>
      <c r="C840" s="140"/>
      <c r="E840" s="70"/>
      <c r="L840" s="140"/>
      <c r="N840" s="141"/>
      <c r="U840" s="70"/>
      <c r="X840" s="70"/>
    </row>
    <row r="841">
      <c r="B841" s="140"/>
      <c r="C841" s="140"/>
      <c r="E841" s="70"/>
      <c r="L841" s="140"/>
      <c r="N841" s="141"/>
      <c r="U841" s="70"/>
      <c r="X841" s="70"/>
    </row>
    <row r="842">
      <c r="B842" s="140"/>
      <c r="C842" s="140"/>
      <c r="E842" s="70"/>
      <c r="L842" s="140"/>
      <c r="N842" s="141"/>
      <c r="U842" s="70"/>
      <c r="X842" s="70"/>
    </row>
    <row r="843">
      <c r="B843" s="140"/>
      <c r="C843" s="140"/>
      <c r="E843" s="70"/>
      <c r="L843" s="140"/>
      <c r="N843" s="141"/>
      <c r="U843" s="70"/>
      <c r="X843" s="70"/>
    </row>
    <row r="844">
      <c r="B844" s="140"/>
      <c r="C844" s="140"/>
      <c r="E844" s="70"/>
      <c r="L844" s="140"/>
      <c r="N844" s="141"/>
      <c r="U844" s="70"/>
      <c r="X844" s="70"/>
    </row>
    <row r="845">
      <c r="B845" s="140"/>
      <c r="C845" s="140"/>
      <c r="E845" s="70"/>
      <c r="L845" s="140"/>
      <c r="N845" s="141"/>
      <c r="U845" s="70"/>
      <c r="X845" s="70"/>
    </row>
    <row r="846">
      <c r="B846" s="140"/>
      <c r="C846" s="140"/>
      <c r="E846" s="70"/>
      <c r="L846" s="140"/>
      <c r="N846" s="141"/>
      <c r="U846" s="70"/>
      <c r="X846" s="70"/>
    </row>
    <row r="847">
      <c r="B847" s="140"/>
      <c r="C847" s="140"/>
      <c r="E847" s="70"/>
      <c r="L847" s="140"/>
      <c r="N847" s="141"/>
      <c r="U847" s="70"/>
      <c r="X847" s="70"/>
    </row>
    <row r="848">
      <c r="B848" s="140"/>
      <c r="C848" s="140"/>
      <c r="E848" s="70"/>
      <c r="L848" s="140"/>
      <c r="N848" s="141"/>
      <c r="U848" s="70"/>
      <c r="X848" s="70"/>
    </row>
    <row r="849">
      <c r="B849" s="140"/>
      <c r="C849" s="140"/>
      <c r="E849" s="70"/>
      <c r="L849" s="140"/>
      <c r="N849" s="141"/>
      <c r="U849" s="70"/>
      <c r="X849" s="70"/>
    </row>
    <row r="850">
      <c r="B850" s="140"/>
      <c r="C850" s="140"/>
      <c r="E850" s="70"/>
      <c r="L850" s="140"/>
      <c r="N850" s="141"/>
      <c r="U850" s="70"/>
      <c r="X850" s="70"/>
    </row>
    <row r="851">
      <c r="B851" s="140"/>
      <c r="C851" s="140"/>
      <c r="E851" s="70"/>
      <c r="L851" s="140"/>
      <c r="N851" s="141"/>
      <c r="U851" s="70"/>
      <c r="X851" s="70"/>
    </row>
    <row r="852">
      <c r="B852" s="140"/>
      <c r="C852" s="140"/>
      <c r="E852" s="70"/>
      <c r="L852" s="140"/>
      <c r="N852" s="141"/>
      <c r="U852" s="70"/>
      <c r="X852" s="70"/>
    </row>
    <row r="853">
      <c r="B853" s="140"/>
      <c r="C853" s="140"/>
      <c r="E853" s="70"/>
      <c r="L853" s="140"/>
      <c r="N853" s="141"/>
      <c r="U853" s="70"/>
      <c r="X853" s="70"/>
    </row>
    <row r="854">
      <c r="B854" s="140"/>
      <c r="C854" s="140"/>
      <c r="E854" s="70"/>
      <c r="L854" s="140"/>
      <c r="N854" s="141"/>
      <c r="U854" s="70"/>
      <c r="X854" s="70"/>
    </row>
    <row r="855">
      <c r="B855" s="140"/>
      <c r="C855" s="140"/>
      <c r="E855" s="70"/>
      <c r="L855" s="140"/>
      <c r="N855" s="141"/>
      <c r="U855" s="70"/>
      <c r="X855" s="70"/>
    </row>
    <row r="856">
      <c r="B856" s="140"/>
      <c r="C856" s="140"/>
      <c r="E856" s="70"/>
      <c r="L856" s="140"/>
      <c r="N856" s="141"/>
      <c r="U856" s="70"/>
      <c r="X856" s="70"/>
    </row>
    <row r="857">
      <c r="B857" s="140"/>
      <c r="C857" s="140"/>
      <c r="E857" s="70"/>
      <c r="L857" s="140"/>
      <c r="N857" s="141"/>
      <c r="U857" s="70"/>
      <c r="X857" s="70"/>
    </row>
    <row r="858">
      <c r="B858" s="140"/>
      <c r="C858" s="140"/>
      <c r="E858" s="70"/>
      <c r="L858" s="140"/>
      <c r="N858" s="141"/>
      <c r="U858" s="70"/>
      <c r="X858" s="70"/>
    </row>
    <row r="859">
      <c r="B859" s="140"/>
      <c r="C859" s="140"/>
      <c r="E859" s="70"/>
      <c r="L859" s="140"/>
      <c r="N859" s="141"/>
      <c r="U859" s="70"/>
      <c r="X859" s="70"/>
    </row>
    <row r="860">
      <c r="B860" s="140"/>
      <c r="C860" s="140"/>
      <c r="E860" s="70"/>
      <c r="L860" s="140"/>
      <c r="N860" s="141"/>
      <c r="U860" s="70"/>
      <c r="X860" s="70"/>
    </row>
    <row r="861">
      <c r="B861" s="140"/>
      <c r="C861" s="140"/>
      <c r="E861" s="70"/>
      <c r="L861" s="140"/>
      <c r="N861" s="141"/>
      <c r="U861" s="70"/>
      <c r="X861" s="70"/>
    </row>
    <row r="862">
      <c r="B862" s="140"/>
      <c r="C862" s="140"/>
      <c r="E862" s="70"/>
      <c r="L862" s="140"/>
      <c r="N862" s="141"/>
      <c r="U862" s="70"/>
      <c r="X862" s="70"/>
    </row>
    <row r="863">
      <c r="B863" s="140"/>
      <c r="C863" s="140"/>
      <c r="E863" s="70"/>
      <c r="L863" s="140"/>
      <c r="N863" s="141"/>
      <c r="U863" s="70"/>
      <c r="X863" s="70"/>
    </row>
    <row r="864">
      <c r="B864" s="140"/>
      <c r="C864" s="140"/>
      <c r="E864" s="70"/>
      <c r="L864" s="140"/>
      <c r="N864" s="141"/>
      <c r="U864" s="70"/>
      <c r="X864" s="70"/>
    </row>
    <row r="865">
      <c r="B865" s="140"/>
      <c r="C865" s="140"/>
      <c r="E865" s="70"/>
      <c r="L865" s="140"/>
      <c r="N865" s="141"/>
      <c r="U865" s="70"/>
      <c r="X865" s="70"/>
    </row>
    <row r="866">
      <c r="B866" s="140"/>
      <c r="C866" s="140"/>
      <c r="E866" s="70"/>
      <c r="L866" s="140"/>
      <c r="N866" s="141"/>
      <c r="U866" s="70"/>
      <c r="X866" s="70"/>
    </row>
    <row r="867">
      <c r="B867" s="140"/>
      <c r="C867" s="140"/>
      <c r="E867" s="70"/>
      <c r="L867" s="140"/>
      <c r="N867" s="141"/>
      <c r="U867" s="70"/>
      <c r="X867" s="70"/>
    </row>
    <row r="868">
      <c r="B868" s="140"/>
      <c r="C868" s="140"/>
      <c r="E868" s="70"/>
      <c r="L868" s="140"/>
      <c r="N868" s="141"/>
      <c r="U868" s="70"/>
      <c r="X868" s="70"/>
    </row>
    <row r="869">
      <c r="B869" s="140"/>
      <c r="C869" s="140"/>
      <c r="E869" s="70"/>
      <c r="L869" s="140"/>
      <c r="N869" s="141"/>
      <c r="U869" s="70"/>
      <c r="X869" s="70"/>
    </row>
    <row r="870">
      <c r="B870" s="140"/>
      <c r="C870" s="140"/>
      <c r="E870" s="70"/>
      <c r="L870" s="140"/>
      <c r="N870" s="141"/>
      <c r="U870" s="70"/>
      <c r="X870" s="70"/>
    </row>
    <row r="871">
      <c r="B871" s="140"/>
      <c r="C871" s="140"/>
      <c r="E871" s="70"/>
      <c r="L871" s="140"/>
      <c r="N871" s="141"/>
      <c r="U871" s="70"/>
      <c r="X871" s="70"/>
    </row>
    <row r="872">
      <c r="B872" s="140"/>
      <c r="C872" s="140"/>
      <c r="E872" s="70"/>
      <c r="L872" s="140"/>
      <c r="N872" s="141"/>
      <c r="U872" s="70"/>
      <c r="X872" s="70"/>
    </row>
    <row r="873">
      <c r="B873" s="140"/>
      <c r="C873" s="140"/>
      <c r="E873" s="70"/>
      <c r="L873" s="140"/>
      <c r="N873" s="141"/>
      <c r="U873" s="70"/>
      <c r="X873" s="70"/>
    </row>
    <row r="874">
      <c r="B874" s="140"/>
      <c r="C874" s="140"/>
      <c r="E874" s="70"/>
      <c r="L874" s="140"/>
      <c r="N874" s="141"/>
      <c r="U874" s="70"/>
      <c r="X874" s="70"/>
    </row>
    <row r="875">
      <c r="B875" s="140"/>
      <c r="C875" s="140"/>
      <c r="E875" s="70"/>
      <c r="L875" s="140"/>
      <c r="N875" s="141"/>
      <c r="U875" s="70"/>
      <c r="X875" s="70"/>
    </row>
    <row r="876">
      <c r="B876" s="140"/>
      <c r="C876" s="140"/>
      <c r="E876" s="70"/>
      <c r="L876" s="140"/>
      <c r="N876" s="141"/>
      <c r="U876" s="70"/>
      <c r="X876" s="70"/>
    </row>
    <row r="877">
      <c r="B877" s="140"/>
      <c r="C877" s="140"/>
      <c r="E877" s="70"/>
      <c r="L877" s="140"/>
      <c r="N877" s="141"/>
      <c r="U877" s="70"/>
      <c r="X877" s="70"/>
    </row>
    <row r="878">
      <c r="B878" s="140"/>
      <c r="C878" s="140"/>
      <c r="E878" s="70"/>
      <c r="L878" s="140"/>
      <c r="N878" s="141"/>
      <c r="U878" s="70"/>
      <c r="X878" s="70"/>
    </row>
    <row r="879">
      <c r="B879" s="140"/>
      <c r="C879" s="140"/>
      <c r="E879" s="70"/>
      <c r="L879" s="140"/>
      <c r="N879" s="141"/>
      <c r="U879" s="70"/>
      <c r="X879" s="70"/>
    </row>
    <row r="880">
      <c r="B880" s="140"/>
      <c r="C880" s="140"/>
      <c r="E880" s="70"/>
      <c r="L880" s="140"/>
      <c r="N880" s="141"/>
      <c r="U880" s="70"/>
      <c r="X880" s="70"/>
    </row>
    <row r="881">
      <c r="B881" s="140"/>
      <c r="C881" s="140"/>
      <c r="E881" s="70"/>
      <c r="L881" s="140"/>
      <c r="N881" s="141"/>
      <c r="U881" s="70"/>
      <c r="X881" s="70"/>
    </row>
    <row r="882">
      <c r="B882" s="140"/>
      <c r="C882" s="140"/>
      <c r="E882" s="70"/>
      <c r="L882" s="140"/>
      <c r="N882" s="141"/>
      <c r="U882" s="70"/>
      <c r="X882" s="70"/>
    </row>
    <row r="883">
      <c r="B883" s="140"/>
      <c r="C883" s="140"/>
      <c r="E883" s="70"/>
      <c r="L883" s="140"/>
      <c r="N883" s="141"/>
      <c r="U883" s="70"/>
      <c r="X883" s="70"/>
    </row>
    <row r="884">
      <c r="B884" s="140"/>
      <c r="C884" s="140"/>
      <c r="E884" s="70"/>
      <c r="L884" s="140"/>
      <c r="N884" s="141"/>
      <c r="U884" s="70"/>
      <c r="X884" s="70"/>
    </row>
    <row r="885">
      <c r="B885" s="140"/>
      <c r="C885" s="140"/>
      <c r="E885" s="70"/>
      <c r="L885" s="140"/>
      <c r="N885" s="141"/>
      <c r="U885" s="70"/>
      <c r="X885" s="70"/>
    </row>
    <row r="886">
      <c r="B886" s="140"/>
      <c r="C886" s="140"/>
      <c r="E886" s="70"/>
      <c r="L886" s="140"/>
      <c r="N886" s="141"/>
      <c r="U886" s="70"/>
      <c r="X886" s="70"/>
    </row>
    <row r="887">
      <c r="B887" s="140"/>
      <c r="C887" s="140"/>
      <c r="E887" s="70"/>
      <c r="L887" s="140"/>
      <c r="N887" s="141"/>
      <c r="U887" s="70"/>
      <c r="X887" s="70"/>
    </row>
    <row r="888">
      <c r="B888" s="140"/>
      <c r="C888" s="140"/>
      <c r="E888" s="70"/>
      <c r="L888" s="140"/>
      <c r="N888" s="141"/>
      <c r="U888" s="70"/>
      <c r="X888" s="70"/>
    </row>
    <row r="889">
      <c r="B889" s="140"/>
      <c r="C889" s="140"/>
      <c r="E889" s="70"/>
      <c r="L889" s="140"/>
      <c r="N889" s="141"/>
      <c r="U889" s="70"/>
      <c r="X889" s="70"/>
    </row>
    <row r="890">
      <c r="B890" s="140"/>
      <c r="C890" s="140"/>
      <c r="E890" s="70"/>
      <c r="L890" s="140"/>
      <c r="N890" s="141"/>
      <c r="U890" s="70"/>
      <c r="X890" s="70"/>
    </row>
    <row r="891">
      <c r="B891" s="140"/>
      <c r="C891" s="140"/>
      <c r="E891" s="70"/>
      <c r="L891" s="140"/>
      <c r="N891" s="141"/>
      <c r="U891" s="70"/>
      <c r="X891" s="70"/>
    </row>
    <row r="892">
      <c r="B892" s="140"/>
      <c r="C892" s="140"/>
      <c r="E892" s="70"/>
      <c r="L892" s="140"/>
      <c r="N892" s="141"/>
      <c r="U892" s="70"/>
      <c r="X892" s="70"/>
    </row>
    <row r="893">
      <c r="B893" s="140"/>
      <c r="C893" s="140"/>
      <c r="E893" s="70"/>
      <c r="L893" s="140"/>
      <c r="N893" s="141"/>
      <c r="U893" s="70"/>
      <c r="X893" s="70"/>
    </row>
    <row r="894">
      <c r="B894" s="140"/>
      <c r="C894" s="140"/>
      <c r="E894" s="70"/>
      <c r="L894" s="140"/>
      <c r="N894" s="141"/>
      <c r="U894" s="70"/>
      <c r="X894" s="70"/>
    </row>
    <row r="895">
      <c r="B895" s="140"/>
      <c r="C895" s="140"/>
      <c r="E895" s="70"/>
      <c r="L895" s="140"/>
      <c r="N895" s="141"/>
      <c r="U895" s="70"/>
      <c r="X895" s="70"/>
    </row>
    <row r="896">
      <c r="B896" s="140"/>
      <c r="C896" s="140"/>
      <c r="E896" s="70"/>
      <c r="L896" s="140"/>
      <c r="N896" s="141"/>
      <c r="U896" s="70"/>
      <c r="X896" s="70"/>
    </row>
    <row r="897">
      <c r="B897" s="140"/>
      <c r="C897" s="140"/>
      <c r="E897" s="70"/>
      <c r="L897" s="140"/>
      <c r="N897" s="141"/>
      <c r="U897" s="70"/>
      <c r="X897" s="70"/>
    </row>
    <row r="898">
      <c r="B898" s="140"/>
      <c r="C898" s="140"/>
      <c r="E898" s="70"/>
      <c r="L898" s="140"/>
      <c r="N898" s="141"/>
      <c r="U898" s="70"/>
      <c r="X898" s="70"/>
    </row>
    <row r="899">
      <c r="B899" s="140"/>
      <c r="C899" s="140"/>
      <c r="E899" s="70"/>
      <c r="L899" s="140"/>
      <c r="N899" s="141"/>
      <c r="U899" s="70"/>
      <c r="X899" s="70"/>
    </row>
    <row r="900">
      <c r="B900" s="140"/>
      <c r="C900" s="140"/>
      <c r="E900" s="70"/>
      <c r="L900" s="140"/>
      <c r="N900" s="141"/>
      <c r="U900" s="70"/>
      <c r="X900" s="70"/>
    </row>
    <row r="901">
      <c r="B901" s="140"/>
      <c r="C901" s="140"/>
      <c r="E901" s="70"/>
      <c r="L901" s="140"/>
      <c r="N901" s="141"/>
      <c r="U901" s="70"/>
      <c r="X901" s="70"/>
    </row>
    <row r="902">
      <c r="B902" s="140"/>
      <c r="C902" s="140"/>
      <c r="E902" s="70"/>
      <c r="L902" s="140"/>
      <c r="N902" s="141"/>
      <c r="U902" s="70"/>
      <c r="X902" s="70"/>
    </row>
    <row r="903">
      <c r="B903" s="140"/>
      <c r="C903" s="140"/>
      <c r="E903" s="70"/>
      <c r="L903" s="140"/>
      <c r="N903" s="141"/>
      <c r="U903" s="70"/>
      <c r="X903" s="70"/>
    </row>
    <row r="904">
      <c r="B904" s="140"/>
      <c r="C904" s="140"/>
      <c r="E904" s="70"/>
      <c r="L904" s="140"/>
      <c r="N904" s="141"/>
      <c r="U904" s="70"/>
      <c r="X904" s="70"/>
    </row>
    <row r="905">
      <c r="B905" s="140"/>
      <c r="C905" s="140"/>
      <c r="E905" s="70"/>
      <c r="L905" s="140"/>
      <c r="N905" s="141"/>
      <c r="U905" s="70"/>
      <c r="X905" s="70"/>
    </row>
    <row r="906">
      <c r="B906" s="140"/>
      <c r="C906" s="140"/>
      <c r="E906" s="70"/>
      <c r="L906" s="140"/>
      <c r="N906" s="141"/>
      <c r="U906" s="70"/>
      <c r="X906" s="70"/>
    </row>
    <row r="907">
      <c r="B907" s="140"/>
      <c r="C907" s="140"/>
      <c r="E907" s="70"/>
      <c r="L907" s="140"/>
      <c r="N907" s="141"/>
      <c r="U907" s="70"/>
      <c r="X907" s="70"/>
    </row>
    <row r="908">
      <c r="B908" s="140"/>
      <c r="C908" s="140"/>
      <c r="E908" s="70"/>
      <c r="L908" s="140"/>
      <c r="N908" s="141"/>
      <c r="U908" s="70"/>
      <c r="X908" s="70"/>
    </row>
    <row r="909">
      <c r="B909" s="140"/>
      <c r="C909" s="140"/>
      <c r="E909" s="70"/>
      <c r="L909" s="140"/>
      <c r="N909" s="141"/>
      <c r="U909" s="70"/>
      <c r="X909" s="70"/>
    </row>
    <row r="910">
      <c r="B910" s="140"/>
      <c r="C910" s="140"/>
      <c r="E910" s="70"/>
      <c r="L910" s="140"/>
      <c r="N910" s="141"/>
      <c r="U910" s="70"/>
      <c r="X910" s="70"/>
    </row>
    <row r="911">
      <c r="B911" s="140"/>
      <c r="C911" s="140"/>
      <c r="E911" s="70"/>
      <c r="L911" s="140"/>
      <c r="N911" s="141"/>
      <c r="U911" s="70"/>
      <c r="X911" s="70"/>
    </row>
    <row r="912">
      <c r="B912" s="140"/>
      <c r="C912" s="140"/>
      <c r="E912" s="70"/>
      <c r="L912" s="140"/>
      <c r="N912" s="141"/>
      <c r="U912" s="70"/>
      <c r="X912" s="70"/>
    </row>
    <row r="913">
      <c r="B913" s="140"/>
      <c r="C913" s="140"/>
      <c r="E913" s="70"/>
      <c r="L913" s="140"/>
      <c r="N913" s="141"/>
      <c r="U913" s="70"/>
      <c r="X913" s="70"/>
    </row>
    <row r="914">
      <c r="B914" s="140"/>
      <c r="C914" s="140"/>
      <c r="E914" s="70"/>
      <c r="L914" s="140"/>
      <c r="N914" s="141"/>
      <c r="U914" s="70"/>
      <c r="X914" s="70"/>
    </row>
    <row r="915">
      <c r="B915" s="140"/>
      <c r="C915" s="140"/>
      <c r="E915" s="70"/>
      <c r="L915" s="140"/>
      <c r="N915" s="141"/>
      <c r="U915" s="70"/>
      <c r="X915" s="70"/>
    </row>
    <row r="916">
      <c r="B916" s="140"/>
      <c r="C916" s="140"/>
      <c r="E916" s="70"/>
      <c r="L916" s="140"/>
      <c r="N916" s="141"/>
      <c r="U916" s="70"/>
      <c r="X916" s="70"/>
    </row>
    <row r="917">
      <c r="B917" s="140"/>
      <c r="C917" s="140"/>
      <c r="E917" s="70"/>
      <c r="L917" s="140"/>
      <c r="N917" s="141"/>
      <c r="U917" s="70"/>
      <c r="X917" s="70"/>
    </row>
    <row r="918">
      <c r="B918" s="140"/>
      <c r="C918" s="140"/>
      <c r="E918" s="70"/>
      <c r="L918" s="140"/>
      <c r="N918" s="141"/>
      <c r="U918" s="70"/>
      <c r="X918" s="70"/>
    </row>
    <row r="919">
      <c r="B919" s="140"/>
      <c r="C919" s="140"/>
      <c r="E919" s="70"/>
      <c r="L919" s="140"/>
      <c r="N919" s="141"/>
      <c r="U919" s="70"/>
      <c r="X919" s="70"/>
    </row>
    <row r="920">
      <c r="B920" s="140"/>
      <c r="C920" s="140"/>
      <c r="E920" s="70"/>
      <c r="L920" s="140"/>
      <c r="N920" s="141"/>
      <c r="U920" s="70"/>
      <c r="X920" s="70"/>
    </row>
    <row r="921">
      <c r="B921" s="140"/>
      <c r="C921" s="140"/>
      <c r="E921" s="70"/>
      <c r="L921" s="140"/>
      <c r="N921" s="141"/>
      <c r="U921" s="70"/>
      <c r="X921" s="70"/>
    </row>
    <row r="922">
      <c r="B922" s="140"/>
      <c r="C922" s="140"/>
      <c r="E922" s="70"/>
      <c r="L922" s="140"/>
      <c r="N922" s="141"/>
      <c r="U922" s="70"/>
      <c r="X922" s="70"/>
    </row>
    <row r="923">
      <c r="B923" s="140"/>
      <c r="C923" s="140"/>
      <c r="E923" s="70"/>
      <c r="L923" s="140"/>
      <c r="N923" s="141"/>
      <c r="U923" s="70"/>
      <c r="X923" s="70"/>
    </row>
    <row r="924">
      <c r="B924" s="140"/>
      <c r="C924" s="140"/>
      <c r="E924" s="70"/>
      <c r="L924" s="140"/>
      <c r="N924" s="141"/>
      <c r="U924" s="70"/>
      <c r="X924" s="70"/>
    </row>
    <row r="925">
      <c r="B925" s="140"/>
      <c r="C925" s="140"/>
      <c r="E925" s="70"/>
      <c r="L925" s="140"/>
      <c r="N925" s="141"/>
      <c r="U925" s="70"/>
      <c r="X925" s="70"/>
    </row>
    <row r="926">
      <c r="B926" s="140"/>
      <c r="C926" s="140"/>
      <c r="E926" s="70"/>
      <c r="L926" s="140"/>
      <c r="N926" s="141"/>
      <c r="U926" s="70"/>
      <c r="X926" s="70"/>
    </row>
    <row r="927">
      <c r="B927" s="140"/>
      <c r="C927" s="140"/>
      <c r="E927" s="70"/>
      <c r="L927" s="140"/>
      <c r="N927" s="141"/>
      <c r="U927" s="70"/>
      <c r="X927" s="70"/>
    </row>
    <row r="928">
      <c r="B928" s="140"/>
      <c r="C928" s="140"/>
      <c r="E928" s="70"/>
      <c r="L928" s="140"/>
      <c r="N928" s="141"/>
      <c r="U928" s="70"/>
      <c r="X928" s="70"/>
    </row>
    <row r="929">
      <c r="B929" s="140"/>
      <c r="C929" s="140"/>
      <c r="E929" s="70"/>
      <c r="L929" s="140"/>
      <c r="N929" s="141"/>
      <c r="U929" s="70"/>
      <c r="X929" s="70"/>
    </row>
    <row r="930">
      <c r="B930" s="140"/>
      <c r="C930" s="140"/>
      <c r="E930" s="70"/>
      <c r="L930" s="140"/>
      <c r="N930" s="141"/>
      <c r="U930" s="70"/>
      <c r="X930" s="70"/>
    </row>
    <row r="931">
      <c r="B931" s="140"/>
      <c r="C931" s="140"/>
      <c r="E931" s="70"/>
      <c r="L931" s="140"/>
      <c r="N931" s="141"/>
      <c r="U931" s="70"/>
      <c r="X931" s="70"/>
    </row>
    <row r="932">
      <c r="B932" s="140"/>
      <c r="C932" s="140"/>
      <c r="E932" s="70"/>
      <c r="L932" s="140"/>
      <c r="N932" s="141"/>
      <c r="U932" s="70"/>
      <c r="X932" s="70"/>
    </row>
    <row r="933">
      <c r="B933" s="140"/>
      <c r="C933" s="140"/>
      <c r="E933" s="70"/>
      <c r="L933" s="140"/>
      <c r="N933" s="141"/>
      <c r="U933" s="70"/>
      <c r="X933" s="70"/>
    </row>
    <row r="934">
      <c r="B934" s="140"/>
      <c r="C934" s="140"/>
      <c r="E934" s="70"/>
      <c r="L934" s="140"/>
      <c r="N934" s="141"/>
      <c r="U934" s="70"/>
      <c r="X934" s="70"/>
    </row>
    <row r="935">
      <c r="B935" s="140"/>
      <c r="C935" s="140"/>
      <c r="E935" s="70"/>
      <c r="L935" s="140"/>
      <c r="N935" s="141"/>
      <c r="U935" s="70"/>
      <c r="X935" s="70"/>
    </row>
    <row r="936">
      <c r="B936" s="140"/>
      <c r="C936" s="140"/>
      <c r="E936" s="70"/>
      <c r="L936" s="140"/>
      <c r="N936" s="141"/>
      <c r="U936" s="70"/>
      <c r="X936" s="70"/>
    </row>
    <row r="937">
      <c r="B937" s="140"/>
      <c r="C937" s="140"/>
      <c r="E937" s="70"/>
      <c r="L937" s="140"/>
      <c r="N937" s="141"/>
      <c r="U937" s="70"/>
      <c r="X937" s="70"/>
    </row>
    <row r="938">
      <c r="B938" s="140"/>
      <c r="C938" s="140"/>
      <c r="E938" s="70"/>
      <c r="L938" s="140"/>
      <c r="N938" s="141"/>
      <c r="U938" s="70"/>
      <c r="X938" s="70"/>
    </row>
    <row r="939">
      <c r="B939" s="140"/>
      <c r="C939" s="140"/>
      <c r="E939" s="70"/>
      <c r="L939" s="140"/>
      <c r="N939" s="141"/>
      <c r="U939" s="70"/>
      <c r="X939" s="70"/>
    </row>
    <row r="940">
      <c r="B940" s="140"/>
      <c r="C940" s="140"/>
      <c r="E940" s="70"/>
      <c r="L940" s="140"/>
      <c r="N940" s="141"/>
      <c r="U940" s="70"/>
      <c r="X940" s="70"/>
    </row>
    <row r="941">
      <c r="B941" s="140"/>
      <c r="C941" s="140"/>
      <c r="E941" s="70"/>
      <c r="L941" s="140"/>
      <c r="N941" s="141"/>
      <c r="U941" s="70"/>
      <c r="X941" s="70"/>
    </row>
    <row r="942">
      <c r="B942" s="140"/>
      <c r="C942" s="140"/>
      <c r="E942" s="70"/>
      <c r="L942" s="140"/>
      <c r="N942" s="141"/>
      <c r="U942" s="70"/>
      <c r="X942" s="70"/>
    </row>
    <row r="943">
      <c r="B943" s="140"/>
      <c r="C943" s="140"/>
      <c r="E943" s="70"/>
      <c r="L943" s="140"/>
      <c r="N943" s="141"/>
      <c r="U943" s="70"/>
      <c r="X943" s="70"/>
    </row>
    <row r="944">
      <c r="B944" s="140"/>
      <c r="C944" s="140"/>
      <c r="E944" s="70"/>
      <c r="L944" s="140"/>
      <c r="N944" s="141"/>
      <c r="U944" s="70"/>
      <c r="X944" s="70"/>
    </row>
    <row r="945">
      <c r="B945" s="140"/>
      <c r="C945" s="140"/>
      <c r="E945" s="70"/>
      <c r="L945" s="140"/>
      <c r="N945" s="141"/>
      <c r="U945" s="70"/>
      <c r="X945" s="70"/>
    </row>
    <row r="946">
      <c r="B946" s="140"/>
      <c r="C946" s="140"/>
      <c r="E946" s="70"/>
      <c r="L946" s="140"/>
      <c r="N946" s="141"/>
      <c r="U946" s="70"/>
      <c r="X946" s="70"/>
    </row>
    <row r="947">
      <c r="B947" s="140"/>
      <c r="C947" s="140"/>
      <c r="E947" s="70"/>
      <c r="L947" s="140"/>
      <c r="N947" s="141"/>
      <c r="U947" s="70"/>
      <c r="X947" s="70"/>
    </row>
    <row r="948">
      <c r="B948" s="140"/>
      <c r="C948" s="140"/>
      <c r="E948" s="70"/>
      <c r="L948" s="140"/>
      <c r="N948" s="141"/>
      <c r="U948" s="70"/>
      <c r="X948" s="70"/>
    </row>
    <row r="949">
      <c r="B949" s="140"/>
      <c r="C949" s="140"/>
      <c r="E949" s="70"/>
      <c r="L949" s="140"/>
      <c r="N949" s="141"/>
      <c r="U949" s="70"/>
      <c r="X949" s="70"/>
    </row>
    <row r="950">
      <c r="B950" s="140"/>
      <c r="C950" s="140"/>
      <c r="E950" s="70"/>
      <c r="L950" s="140"/>
      <c r="N950" s="141"/>
      <c r="U950" s="70"/>
      <c r="X950" s="70"/>
    </row>
    <row r="951">
      <c r="B951" s="140"/>
      <c r="C951" s="140"/>
      <c r="E951" s="70"/>
      <c r="L951" s="140"/>
      <c r="N951" s="141"/>
      <c r="U951" s="70"/>
      <c r="X951" s="70"/>
    </row>
    <row r="952">
      <c r="B952" s="140"/>
      <c r="C952" s="140"/>
      <c r="E952" s="70"/>
      <c r="L952" s="140"/>
      <c r="N952" s="141"/>
      <c r="U952" s="70"/>
      <c r="X952" s="70"/>
    </row>
    <row r="953">
      <c r="B953" s="140"/>
      <c r="C953" s="140"/>
      <c r="E953" s="70"/>
      <c r="L953" s="140"/>
      <c r="N953" s="141"/>
      <c r="U953" s="70"/>
      <c r="X953" s="70"/>
    </row>
    <row r="954">
      <c r="B954" s="140"/>
      <c r="C954" s="140"/>
      <c r="E954" s="70"/>
      <c r="L954" s="140"/>
      <c r="N954" s="141"/>
      <c r="U954" s="70"/>
      <c r="X954" s="70"/>
    </row>
    <row r="955">
      <c r="B955" s="140"/>
      <c r="C955" s="140"/>
      <c r="E955" s="70"/>
      <c r="L955" s="140"/>
      <c r="N955" s="141"/>
      <c r="U955" s="70"/>
      <c r="X955" s="7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72626"/>
    <outlinePr summaryBelow="0" summaryRight="0"/>
  </sheetPr>
  <sheetViews>
    <sheetView workbookViewId="0"/>
  </sheetViews>
  <sheetFormatPr customHeight="1" defaultColWidth="12.63" defaultRowHeight="15.75"/>
  <cols>
    <col hidden="1" min="4" max="4" width="12.63"/>
    <col hidden="1" min="6" max="8" width="12.63"/>
    <col hidden="1" min="11" max="11" width="12.63"/>
    <col customWidth="1" hidden="1" min="17" max="17" width="23.5"/>
    <col hidden="1" min="18" max="18" width="12.63"/>
  </cols>
  <sheetData>
    <row r="1">
      <c r="A1" s="93" t="s">
        <v>385</v>
      </c>
      <c r="B1" s="149" t="s">
        <v>386</v>
      </c>
      <c r="C1" s="94" t="s">
        <v>426</v>
      </c>
      <c r="D1" s="93" t="s">
        <v>427</v>
      </c>
      <c r="E1" s="149" t="s">
        <v>389</v>
      </c>
      <c r="F1" s="96" t="s">
        <v>390</v>
      </c>
      <c r="G1" s="97" t="s">
        <v>391</v>
      </c>
      <c r="H1" s="97" t="s">
        <v>392</v>
      </c>
      <c r="I1" s="150" t="s">
        <v>428</v>
      </c>
      <c r="J1" s="97" t="s">
        <v>394</v>
      </c>
      <c r="K1" s="99" t="s">
        <v>395</v>
      </c>
      <c r="L1" s="94" t="s">
        <v>396</v>
      </c>
      <c r="M1" s="95" t="s">
        <v>397</v>
      </c>
      <c r="N1" s="151" t="s">
        <v>398</v>
      </c>
      <c r="O1" s="101" t="s">
        <v>399</v>
      </c>
      <c r="P1" s="102" t="s">
        <v>400</v>
      </c>
      <c r="Q1" s="103" t="s">
        <v>401</v>
      </c>
      <c r="R1" s="103" t="s">
        <v>402</v>
      </c>
      <c r="S1" s="104" t="s">
        <v>403</v>
      </c>
      <c r="T1" s="104" t="s">
        <v>404</v>
      </c>
      <c r="U1" s="106" t="s">
        <v>429</v>
      </c>
      <c r="V1" s="152" t="s">
        <v>406</v>
      </c>
      <c r="W1" s="106" t="s">
        <v>407</v>
      </c>
      <c r="X1" s="106" t="s">
        <v>430</v>
      </c>
      <c r="Y1" s="12" t="s">
        <v>409</v>
      </c>
      <c r="Z1" s="12" t="s">
        <v>410</v>
      </c>
      <c r="AA1" s="153" t="s">
        <v>431</v>
      </c>
      <c r="AB1" s="153" t="s">
        <v>412</v>
      </c>
      <c r="AC1" s="12" t="s">
        <v>413</v>
      </c>
      <c r="AD1" s="12" t="s">
        <v>414</v>
      </c>
      <c r="AE1" s="12" t="s">
        <v>415</v>
      </c>
      <c r="AF1" s="12" t="s">
        <v>416</v>
      </c>
      <c r="AG1" s="12" t="s">
        <v>417</v>
      </c>
      <c r="AH1" s="12" t="s">
        <v>418</v>
      </c>
    </row>
    <row r="2">
      <c r="A2" s="154">
        <v>46381.0</v>
      </c>
      <c r="B2" s="155">
        <f>PNL!B3</f>
        <v>3138.33667</v>
      </c>
      <c r="C2" s="155">
        <f>PNL!C3</f>
        <v>2450024.58</v>
      </c>
      <c r="D2" s="156">
        <f>PNL!D3</f>
        <v>903820</v>
      </c>
      <c r="E2" s="157">
        <f>PNL!E3</f>
        <v>0.3675754565</v>
      </c>
      <c r="F2" s="158">
        <f>PNL!F3</f>
        <v>2352023.597</v>
      </c>
      <c r="G2" s="155">
        <f>PNL!G3</f>
        <v>98000.9832</v>
      </c>
      <c r="H2" s="155">
        <f>PNL!H3</f>
        <v>2352023.597</v>
      </c>
      <c r="I2" s="159">
        <f>PNL!I3</f>
        <v>38.8031161</v>
      </c>
      <c r="J2" s="155">
        <f>PNL!J3</f>
        <v>886776.81</v>
      </c>
      <c r="K2" s="159">
        <f>PNL!K3</f>
        <v>0</v>
      </c>
      <c r="L2" s="155">
        <f>PNL!L3</f>
        <v>319000.9832</v>
      </c>
      <c r="M2" s="156">
        <f>PNL!M3</f>
        <v>324379.74</v>
      </c>
      <c r="N2" s="155">
        <f>PNL!N3</f>
        <v>335048.03</v>
      </c>
      <c r="O2" s="159">
        <f>PNL!O3</f>
        <v>70.82763608</v>
      </c>
      <c r="P2" s="159">
        <f>PNL!P3</f>
        <v>4.732590415</v>
      </c>
      <c r="Q2" s="155">
        <f>PNL!Q3</f>
        <v>747.4367651</v>
      </c>
      <c r="R2" s="155">
        <f>PNL!R3</f>
        <v>851.586164</v>
      </c>
      <c r="S2" s="155">
        <f>PNL!S3</f>
        <v>1263</v>
      </c>
      <c r="T2" s="155">
        <f>PNL!T3</f>
        <v>158</v>
      </c>
      <c r="U2" s="157">
        <f>PNL!U3</f>
        <v>0.1237348659</v>
      </c>
      <c r="V2" s="155">
        <f>PNL!V3</f>
        <v>0</v>
      </c>
      <c r="W2" s="155">
        <f>PNL!W3</f>
        <v>1105</v>
      </c>
      <c r="X2" s="157">
        <f>PNL!X3</f>
        <v>0.8762651341</v>
      </c>
      <c r="Y2" s="156">
        <f>PNL!Y3</f>
        <v>786</v>
      </c>
      <c r="Z2" s="156">
        <f>PNL!Z3</f>
        <v>318</v>
      </c>
      <c r="AA2" s="158">
        <f>PNL!AA3</f>
        <v>1</v>
      </c>
      <c r="AB2" s="156">
        <f>PNL!AB3</f>
        <v>1</v>
      </c>
      <c r="AC2" s="156" t="str">
        <f>PNL!AC3</f>
        <v/>
      </c>
      <c r="AD2" s="156">
        <f>PNL!AD3</f>
        <v>2447525.58</v>
      </c>
      <c r="AE2" s="155">
        <f>PNL!AE3</f>
        <v>2499</v>
      </c>
      <c r="AF2" s="156" t="str">
        <f>PNL!AF3</f>
        <v/>
      </c>
      <c r="AG2" s="156" t="str">
        <f>PNL!AG3</f>
        <v/>
      </c>
      <c r="AH2" s="156" t="str">
        <f>PNL!AH3</f>
        <v/>
      </c>
    </row>
    <row r="3">
      <c r="A3" s="154">
        <v>46048.0</v>
      </c>
      <c r="B3" s="140">
        <f>PNL!B45</f>
        <v>3391.055099</v>
      </c>
      <c r="C3" s="140">
        <f>PNL!C45</f>
        <v>1782178.53</v>
      </c>
      <c r="D3" s="6">
        <f>PNL!D45</f>
        <v>652055</v>
      </c>
      <c r="E3" s="70">
        <f>PNL!E45</f>
        <v>0.3627280935</v>
      </c>
      <c r="F3" s="123">
        <f>PNL!F45</f>
        <v>1710891.389</v>
      </c>
      <c r="G3" s="140">
        <f>PNL!G45</f>
        <v>71287.1412</v>
      </c>
      <c r="H3" s="140">
        <f>PNL!H45</f>
        <v>1710891.389</v>
      </c>
      <c r="I3" s="160">
        <f>PNL!I45</f>
        <v>39.30176093</v>
      </c>
      <c r="J3" s="140">
        <f>PNL!J45</f>
        <v>625880.35</v>
      </c>
      <c r="K3" s="160">
        <f>PNL!K45</f>
        <v>0</v>
      </c>
      <c r="L3" s="140">
        <f>PNL!L45</f>
        <v>225887.1412</v>
      </c>
      <c r="M3" s="6">
        <f>PNL!M45</f>
        <v>223300.828</v>
      </c>
      <c r="N3" s="140">
        <f>PNL!N45</f>
        <v>280942.352</v>
      </c>
      <c r="O3" s="160">
        <f>PNL!O45</f>
        <v>67.96506502</v>
      </c>
      <c r="P3" s="160">
        <f>PNL!P45</f>
        <v>4.784096159</v>
      </c>
      <c r="Q3" s="140">
        <f>PNL!Q45</f>
        <v>741.2725588</v>
      </c>
      <c r="R3" s="140">
        <f>PNL!R45</f>
        <v>868.3417489</v>
      </c>
      <c r="S3" s="140">
        <f>PNL!S45</f>
        <v>903</v>
      </c>
      <c r="T3" s="140">
        <f>PNL!T45</f>
        <v>130</v>
      </c>
      <c r="U3" s="70">
        <f>PNL!U45</f>
        <v>0.1433502283</v>
      </c>
      <c r="V3" s="140">
        <f>PNL!V45</f>
        <v>1</v>
      </c>
      <c r="W3" s="140">
        <f>PNL!W45</f>
        <v>773</v>
      </c>
      <c r="X3" s="70">
        <f>PNL!X45</f>
        <v>0.8566497717</v>
      </c>
      <c r="Y3" s="6">
        <f>PNL!Y45</f>
        <v>517</v>
      </c>
      <c r="Z3" s="6">
        <f>PNL!Z45</f>
        <v>255</v>
      </c>
      <c r="AA3" s="123">
        <f>PNL!AA45</f>
        <v>0</v>
      </c>
      <c r="AB3" s="6">
        <f>PNL!AB45</f>
        <v>0</v>
      </c>
      <c r="AC3" s="6" t="str">
        <f>PNL!AC45</f>
        <v/>
      </c>
      <c r="AD3" s="6">
        <f>PNL!AD45</f>
        <v>1773480.53</v>
      </c>
      <c r="AE3" s="140">
        <f>PNL!AE45</f>
        <v>8698</v>
      </c>
      <c r="AF3" s="6" t="str">
        <f>PNL!AF45</f>
        <v/>
      </c>
      <c r="AG3" s="6" t="str">
        <f>PNL!AG45</f>
        <v/>
      </c>
      <c r="AH3" s="6" t="str">
        <f>PNL!AH45</f>
        <v/>
      </c>
    </row>
    <row r="4">
      <c r="A4" s="161">
        <v>46079.0</v>
      </c>
      <c r="B4" s="140">
        <f>PNL!B88</f>
        <v>3217.684689</v>
      </c>
      <c r="C4" s="140">
        <f>PNL!C88</f>
        <v>1484939.1</v>
      </c>
      <c r="D4" s="6">
        <f>PNL!D88</f>
        <v>480630</v>
      </c>
      <c r="E4" s="70">
        <f>PNL!E88</f>
        <v>0.3264944659</v>
      </c>
      <c r="F4" s="123">
        <f>PNL!F88</f>
        <v>1425541.536</v>
      </c>
      <c r="G4" s="140">
        <f>PNL!G88</f>
        <v>59397.564</v>
      </c>
      <c r="H4" s="140">
        <f>PNL!H88</f>
        <v>1425541.536</v>
      </c>
      <c r="I4" s="160">
        <f>PNL!I88</f>
        <v>34.90137507</v>
      </c>
      <c r="J4" s="140">
        <f>PNL!J88</f>
        <v>486490.99</v>
      </c>
      <c r="K4" s="160">
        <f>PNL!K88</f>
        <v>0</v>
      </c>
      <c r="L4" s="140">
        <f>PNL!L88</f>
        <v>177197.564</v>
      </c>
      <c r="M4" s="6">
        <f>PNL!M88</f>
        <v>167867.05</v>
      </c>
      <c r="N4" s="140">
        <f>PNL!N88</f>
        <v>349951.06</v>
      </c>
      <c r="O4" s="160">
        <f>PNL!O88</f>
        <v>79.03512957</v>
      </c>
      <c r="P4" s="160">
        <f>PNL!P88</f>
        <v>4.837616029</v>
      </c>
      <c r="Q4" s="140">
        <f>PNL!Q88</f>
        <v>733.69433</v>
      </c>
      <c r="R4" s="140">
        <f>PNL!R88</f>
        <v>869.2265175</v>
      </c>
      <c r="S4" s="140">
        <f>PNL!S88</f>
        <v>698</v>
      </c>
      <c r="T4" s="140">
        <f>PNL!T88</f>
        <v>109</v>
      </c>
      <c r="U4" s="70">
        <f>PNL!U88</f>
        <v>0.1516504792</v>
      </c>
      <c r="V4" s="140">
        <f>PNL!V88</f>
        <v>0</v>
      </c>
      <c r="W4" s="140">
        <f>PNL!W88</f>
        <v>589</v>
      </c>
      <c r="X4" s="70">
        <f>PNL!X88</f>
        <v>0.8483495208</v>
      </c>
      <c r="Y4" s="6">
        <f>PNL!Y88</f>
        <v>464</v>
      </c>
      <c r="Z4" s="6">
        <f>PNL!Z88</f>
        <v>125</v>
      </c>
      <c r="AA4" s="162">
        <f>PNL!AA88</f>
        <v>0</v>
      </c>
      <c r="AB4" s="163">
        <f>PNL!AB88</f>
        <v>0</v>
      </c>
      <c r="AC4" s="6" t="str">
        <f>PNL!AC88</f>
        <v/>
      </c>
      <c r="AD4" s="6">
        <f>PNL!AD88</f>
        <v>1463043.6</v>
      </c>
      <c r="AE4" s="140">
        <f>PNL!AE88</f>
        <v>21895.5</v>
      </c>
      <c r="AF4" s="6" t="str">
        <f>PNL!AF88</f>
        <v/>
      </c>
      <c r="AG4" s="6" t="str">
        <f>PNL!AG88</f>
        <v/>
      </c>
      <c r="AH4" s="6" t="str">
        <f>PNL!AH88</f>
        <v/>
      </c>
    </row>
    <row r="5">
      <c r="A5" s="154">
        <v>46107.0</v>
      </c>
      <c r="B5" s="140">
        <f>PNL!B131</f>
        <v>4191.178778</v>
      </c>
      <c r="C5" s="140">
        <f>PNL!C131</f>
        <v>2468604.3</v>
      </c>
      <c r="D5" s="6">
        <f>PNL!D133</f>
        <v>18690</v>
      </c>
      <c r="E5" s="70">
        <f>PNL!E131</f>
        <v>0.3057080908</v>
      </c>
      <c r="F5" s="123">
        <f>PNL!F133</f>
        <v>66773.376</v>
      </c>
      <c r="G5" s="123">
        <f>PNL!G133</f>
        <v>2782.224</v>
      </c>
      <c r="H5" s="123">
        <f>PNL!H133</f>
        <v>50865.6</v>
      </c>
      <c r="I5" s="160">
        <f>PNL!I133</f>
        <v>33.30082696</v>
      </c>
      <c r="J5" s="140">
        <f>PNL!J131</f>
        <v>772325.09</v>
      </c>
      <c r="K5" s="6" t="str">
        <f>PNL!K133</f>
        <v/>
      </c>
      <c r="L5" s="140">
        <f>PNL!L131</f>
        <v>309944.172</v>
      </c>
      <c r="M5" s="6">
        <f>PNL!M131</f>
        <v>274123.71</v>
      </c>
      <c r="N5" s="140">
        <f>PNL!N131</f>
        <v>762980.5</v>
      </c>
      <c r="O5" s="160">
        <f>PNL!O131</f>
        <v>71.73827693</v>
      </c>
      <c r="P5" s="160">
        <f>PNL!P131</f>
        <v>4.905248679</v>
      </c>
      <c r="Q5" s="140">
        <f>PNL!Q133</f>
        <v>747.1803226</v>
      </c>
      <c r="R5" s="123">
        <f>PNL!R133</f>
        <v>965.1079167</v>
      </c>
      <c r="S5" s="140">
        <f>PNL!S131</f>
        <v>1240</v>
      </c>
      <c r="T5" s="140">
        <f>PNL!T131</f>
        <v>184</v>
      </c>
      <c r="U5" s="70">
        <f>PNL!U131</f>
        <v>0.1468263015</v>
      </c>
      <c r="V5" s="140">
        <f>PNL!V131</f>
        <v>10</v>
      </c>
      <c r="W5" s="140">
        <f>PNL!W131</f>
        <v>1056</v>
      </c>
      <c r="X5" s="70" t="str">
        <f>PNL!X131</f>
        <v/>
      </c>
      <c r="Y5" s="6">
        <f>PNL!Y131</f>
        <v>748</v>
      </c>
      <c r="Z5" s="6">
        <f>PNL!Z131</f>
        <v>267</v>
      </c>
      <c r="AA5" s="123">
        <f>PNL!AA131</f>
        <v>31</v>
      </c>
      <c r="AB5" s="6">
        <f>PNL!AB131</f>
        <v>1</v>
      </c>
      <c r="AC5" s="6" t="str">
        <f>PNL!AC131</f>
        <v/>
      </c>
      <c r="AD5" s="6">
        <f>PNL!AD131</f>
        <v>2306445.2</v>
      </c>
      <c r="AE5" s="140">
        <f>PNL!AE131</f>
        <v>162159.1</v>
      </c>
    </row>
    <row r="6">
      <c r="A6" s="164">
        <v>46138.0</v>
      </c>
      <c r="B6" s="140">
        <f>PNL!B174</f>
        <v>1430.768964</v>
      </c>
      <c r="C6" s="140">
        <f>PNL!C174</f>
        <v>842722.92</v>
      </c>
      <c r="E6" s="70">
        <f>PNL!E174</f>
        <v>0.1187678309</v>
      </c>
      <c r="I6" s="160">
        <f>PNL!I174</f>
        <v>0</v>
      </c>
      <c r="J6" s="140">
        <f>PNL!J174</f>
        <v>0</v>
      </c>
      <c r="L6" s="140">
        <f>PNL!L174</f>
        <v>132308.9168</v>
      </c>
      <c r="M6" s="6">
        <f>PNL!M174</f>
        <v>77428.73</v>
      </c>
      <c r="N6" s="140">
        <f>PNL!N174</f>
        <v>509204.19</v>
      </c>
      <c r="O6" s="160" t="str">
        <f>PNL!O174</f>
        <v>#DIV/0!</v>
      </c>
      <c r="P6" s="160" t="str">
        <f>PNL!P174</f>
        <v>#DIV/0!</v>
      </c>
      <c r="Q6" s="140" t="str">
        <f>PNL!Q174</f>
        <v>#DIV/0!</v>
      </c>
      <c r="R6" s="140" t="str">
        <f>PNL!R174</f>
        <v>#DIV/0!</v>
      </c>
      <c r="S6" s="140">
        <f>PNL!S174</f>
        <v>542</v>
      </c>
      <c r="T6" s="140">
        <f>PNL!T174</f>
        <v>49</v>
      </c>
      <c r="U6" s="70" t="str">
        <f>PNL!U174</f>
        <v/>
      </c>
      <c r="V6" s="140">
        <f>PNL!V174</f>
        <v>115</v>
      </c>
      <c r="W6" s="140">
        <f>PNL!W174</f>
        <v>493</v>
      </c>
      <c r="X6" s="70" t="str">
        <f>PNL!X174</f>
        <v/>
      </c>
      <c r="Y6" s="6">
        <f>PNL!Y174</f>
        <v>255</v>
      </c>
      <c r="Z6" s="6">
        <f>PNL!Z174</f>
        <v>34</v>
      </c>
      <c r="AA6" s="123">
        <f>PNL!AA174</f>
        <v>89</v>
      </c>
      <c r="AB6" s="6">
        <f>PNL!AB174</f>
        <v>0</v>
      </c>
      <c r="AC6" s="6" t="str">
        <f>PNL!AC174</f>
        <v/>
      </c>
      <c r="AD6" s="6">
        <f>PNL!AD174</f>
        <v>659985</v>
      </c>
      <c r="AE6" s="140">
        <f>PNL!AE174</f>
        <v>182737.92</v>
      </c>
      <c r="AF6" s="6" t="str">
        <f>PNL!AF174</f>
        <v/>
      </c>
      <c r="AG6" s="6" t="str">
        <f>PNL!AG174</f>
        <v/>
      </c>
      <c r="AH6" s="6" t="str">
        <f>PNL!AH174</f>
        <v/>
      </c>
    </row>
    <row r="7">
      <c r="N7" s="165"/>
      <c r="U7" s="166"/>
      <c r="V7" s="166"/>
      <c r="AA7" s="166"/>
      <c r="AB7" s="166"/>
    </row>
    <row r="8">
      <c r="N8" s="165"/>
      <c r="U8" s="166"/>
      <c r="V8" s="166"/>
      <c r="AA8" s="166"/>
      <c r="AB8" s="166"/>
    </row>
    <row r="9">
      <c r="N9" s="165"/>
      <c r="U9" s="166"/>
      <c r="V9" s="166"/>
      <c r="AA9" s="166"/>
      <c r="AB9" s="166"/>
    </row>
    <row r="10">
      <c r="N10" s="165"/>
      <c r="U10" s="166"/>
      <c r="V10" s="166"/>
      <c r="AA10" s="166"/>
      <c r="AB10" s="166"/>
    </row>
    <row r="11">
      <c r="N11" s="165"/>
      <c r="U11" s="166"/>
      <c r="V11" s="166"/>
      <c r="AA11" s="166"/>
      <c r="AB11" s="166"/>
    </row>
    <row r="12">
      <c r="N12" s="165"/>
      <c r="U12" s="166"/>
      <c r="V12" s="166"/>
      <c r="AA12" s="166"/>
      <c r="AB12" s="166"/>
    </row>
    <row r="13">
      <c r="N13" s="165"/>
      <c r="U13" s="166"/>
      <c r="V13" s="166"/>
      <c r="AA13" s="166"/>
      <c r="AB13" s="166"/>
    </row>
    <row r="14">
      <c r="N14" s="165"/>
      <c r="U14" s="166"/>
      <c r="V14" s="166"/>
      <c r="AA14" s="166"/>
      <c r="AB14" s="166"/>
    </row>
    <row r="15">
      <c r="N15" s="165"/>
      <c r="U15" s="166"/>
      <c r="V15" s="166"/>
      <c r="AA15" s="166"/>
      <c r="AB15" s="166"/>
    </row>
    <row r="16">
      <c r="N16" s="165"/>
      <c r="U16" s="166"/>
      <c r="V16" s="166"/>
      <c r="AA16" s="166"/>
      <c r="AB16" s="166"/>
    </row>
    <row r="17">
      <c r="N17" s="165"/>
      <c r="S17" s="163"/>
      <c r="U17" s="166"/>
      <c r="V17" s="166"/>
      <c r="AA17" s="166"/>
      <c r="AB17" s="166"/>
    </row>
    <row r="18">
      <c r="N18" s="165"/>
      <c r="U18" s="166"/>
      <c r="V18" s="166"/>
      <c r="AA18" s="166"/>
      <c r="AB18" s="166"/>
    </row>
    <row r="19">
      <c r="N19" s="165"/>
      <c r="U19" s="166"/>
      <c r="V19" s="166"/>
      <c r="AA19" s="166"/>
      <c r="AB19" s="166"/>
    </row>
    <row r="20">
      <c r="N20" s="165"/>
      <c r="U20" s="166"/>
      <c r="V20" s="166"/>
      <c r="AA20" s="166"/>
      <c r="AB20" s="166"/>
    </row>
    <row r="21">
      <c r="N21" s="165"/>
      <c r="U21" s="166"/>
      <c r="V21" s="166"/>
      <c r="AA21" s="166"/>
      <c r="AB21" s="166"/>
    </row>
    <row r="22">
      <c r="N22" s="165"/>
      <c r="U22" s="166"/>
      <c r="V22" s="166"/>
      <c r="AA22" s="166"/>
      <c r="AB22" s="166"/>
    </row>
    <row r="23">
      <c r="N23" s="165"/>
      <c r="U23" s="166"/>
      <c r="V23" s="166"/>
      <c r="AA23" s="166"/>
      <c r="AB23" s="166"/>
    </row>
    <row r="24">
      <c r="N24" s="165"/>
      <c r="U24" s="166"/>
      <c r="V24" s="166"/>
      <c r="AA24" s="166"/>
      <c r="AB24" s="166"/>
    </row>
    <row r="25">
      <c r="N25" s="165"/>
      <c r="U25" s="166"/>
      <c r="V25" s="166"/>
      <c r="AA25" s="166"/>
      <c r="AB25" s="166"/>
    </row>
    <row r="26">
      <c r="N26" s="165"/>
      <c r="U26" s="166"/>
      <c r="V26" s="166"/>
      <c r="AA26" s="166"/>
      <c r="AB26" s="166"/>
    </row>
    <row r="27">
      <c r="N27" s="165"/>
      <c r="U27" s="166"/>
      <c r="V27" s="166"/>
      <c r="AA27" s="166"/>
      <c r="AB27" s="166"/>
    </row>
    <row r="28">
      <c r="N28" s="165"/>
      <c r="U28" s="166"/>
      <c r="V28" s="166"/>
      <c r="AA28" s="166"/>
      <c r="AB28" s="166"/>
    </row>
    <row r="29">
      <c r="N29" s="165"/>
      <c r="U29" s="166"/>
      <c r="V29" s="166"/>
      <c r="AA29" s="166"/>
      <c r="AB29" s="166"/>
    </row>
    <row r="30">
      <c r="N30" s="165"/>
      <c r="U30" s="166"/>
      <c r="V30" s="166"/>
      <c r="AA30" s="166"/>
      <c r="AB30" s="166"/>
    </row>
    <row r="31">
      <c r="N31" s="165"/>
      <c r="U31" s="166"/>
      <c r="V31" s="166"/>
      <c r="AA31" s="166"/>
      <c r="AB31" s="166"/>
    </row>
    <row r="32">
      <c r="N32" s="165"/>
      <c r="U32" s="166"/>
      <c r="V32" s="166"/>
      <c r="AA32" s="166"/>
      <c r="AB32" s="166"/>
    </row>
    <row r="33">
      <c r="N33" s="165"/>
      <c r="U33" s="166"/>
      <c r="V33" s="166"/>
      <c r="AA33" s="166"/>
      <c r="AB33" s="166"/>
    </row>
    <row r="34">
      <c r="N34" s="165"/>
      <c r="U34" s="166"/>
      <c r="V34" s="166"/>
      <c r="AA34" s="166"/>
      <c r="AB34" s="166"/>
    </row>
    <row r="35">
      <c r="N35" s="165"/>
      <c r="U35" s="166"/>
      <c r="V35" s="166"/>
      <c r="AA35" s="166"/>
      <c r="AB35" s="166"/>
    </row>
    <row r="36">
      <c r="N36" s="165"/>
      <c r="U36" s="166"/>
      <c r="V36" s="166"/>
      <c r="AA36" s="166"/>
      <c r="AB36" s="166"/>
    </row>
    <row r="37">
      <c r="N37" s="165"/>
      <c r="U37" s="166"/>
      <c r="V37" s="166"/>
      <c r="AA37" s="166"/>
      <c r="AB37" s="166"/>
    </row>
    <row r="38">
      <c r="N38" s="165"/>
      <c r="U38" s="166"/>
      <c r="V38" s="166"/>
      <c r="AA38" s="166"/>
      <c r="AB38" s="166"/>
    </row>
    <row r="39">
      <c r="N39" s="165"/>
      <c r="U39" s="166"/>
      <c r="V39" s="166"/>
      <c r="AA39" s="166"/>
      <c r="AB39" s="166"/>
    </row>
    <row r="40">
      <c r="N40" s="165"/>
      <c r="U40" s="166"/>
      <c r="V40" s="166"/>
      <c r="AA40" s="166"/>
      <c r="AB40" s="166"/>
    </row>
    <row r="41">
      <c r="N41" s="165"/>
      <c r="U41" s="166"/>
      <c r="V41" s="166"/>
      <c r="AA41" s="166"/>
      <c r="AB41" s="166"/>
    </row>
    <row r="42">
      <c r="N42" s="165"/>
      <c r="U42" s="166"/>
      <c r="V42" s="166"/>
      <c r="AA42" s="166"/>
      <c r="AB42" s="166"/>
    </row>
    <row r="43">
      <c r="N43" s="165"/>
      <c r="U43" s="166"/>
      <c r="V43" s="166"/>
      <c r="AA43" s="166"/>
      <c r="AB43" s="166"/>
    </row>
    <row r="44">
      <c r="N44" s="165"/>
      <c r="U44" s="166"/>
      <c r="V44" s="166"/>
      <c r="AA44" s="166"/>
      <c r="AB44" s="166"/>
    </row>
    <row r="45">
      <c r="N45" s="165"/>
      <c r="U45" s="166"/>
      <c r="V45" s="166"/>
      <c r="AA45" s="166"/>
      <c r="AB45" s="166"/>
    </row>
    <row r="46">
      <c r="N46" s="165"/>
      <c r="U46" s="166"/>
      <c r="V46" s="166"/>
      <c r="AA46" s="166"/>
      <c r="AB46" s="166"/>
    </row>
    <row r="47">
      <c r="N47" s="165"/>
      <c r="U47" s="166"/>
      <c r="V47" s="166"/>
      <c r="AA47" s="166"/>
      <c r="AB47" s="166"/>
    </row>
    <row r="48">
      <c r="N48" s="165"/>
      <c r="U48" s="166"/>
      <c r="V48" s="166"/>
      <c r="AA48" s="166"/>
      <c r="AB48" s="166"/>
    </row>
    <row r="49">
      <c r="N49" s="165"/>
      <c r="U49" s="166"/>
      <c r="V49" s="166"/>
      <c r="AA49" s="166"/>
      <c r="AB49" s="166"/>
    </row>
    <row r="50">
      <c r="N50" s="165"/>
      <c r="U50" s="166"/>
      <c r="V50" s="166"/>
      <c r="AA50" s="166"/>
      <c r="AB50" s="166"/>
    </row>
    <row r="51">
      <c r="N51" s="165"/>
      <c r="U51" s="166"/>
      <c r="V51" s="166"/>
      <c r="AA51" s="166"/>
      <c r="AB51" s="166"/>
    </row>
    <row r="52">
      <c r="N52" s="165"/>
      <c r="U52" s="166"/>
      <c r="V52" s="166"/>
      <c r="AA52" s="166"/>
      <c r="AB52" s="166"/>
    </row>
    <row r="53">
      <c r="N53" s="165"/>
      <c r="U53" s="166"/>
      <c r="V53" s="166"/>
      <c r="AA53" s="166"/>
      <c r="AB53" s="166"/>
    </row>
    <row r="54">
      <c r="N54" s="165"/>
      <c r="U54" s="166"/>
      <c r="V54" s="166"/>
      <c r="AA54" s="166"/>
      <c r="AB54" s="166"/>
    </row>
    <row r="55">
      <c r="N55" s="165"/>
      <c r="U55" s="166"/>
      <c r="V55" s="166"/>
      <c r="AA55" s="166"/>
      <c r="AB55" s="166"/>
    </row>
    <row r="56">
      <c r="N56" s="165"/>
      <c r="U56" s="166"/>
      <c r="V56" s="166"/>
      <c r="AA56" s="166"/>
      <c r="AB56" s="166"/>
    </row>
    <row r="57">
      <c r="N57" s="165"/>
      <c r="U57" s="166"/>
      <c r="V57" s="166"/>
      <c r="AA57" s="166"/>
      <c r="AB57" s="166"/>
    </row>
    <row r="58">
      <c r="N58" s="165"/>
      <c r="U58" s="166"/>
      <c r="V58" s="166"/>
      <c r="AA58" s="166"/>
      <c r="AB58" s="166"/>
    </row>
    <row r="59">
      <c r="N59" s="165"/>
      <c r="U59" s="166"/>
      <c r="V59" s="166"/>
      <c r="AA59" s="166"/>
      <c r="AB59" s="166"/>
    </row>
    <row r="60">
      <c r="N60" s="165"/>
      <c r="U60" s="166"/>
      <c r="V60" s="166"/>
      <c r="AA60" s="166"/>
      <c r="AB60" s="166"/>
    </row>
    <row r="61">
      <c r="N61" s="165"/>
      <c r="U61" s="166"/>
      <c r="V61" s="166"/>
      <c r="AA61" s="166"/>
      <c r="AB61" s="166"/>
    </row>
    <row r="62">
      <c r="N62" s="165"/>
      <c r="U62" s="166"/>
      <c r="V62" s="166"/>
      <c r="AA62" s="166"/>
      <c r="AB62" s="166"/>
    </row>
    <row r="63">
      <c r="N63" s="165"/>
      <c r="U63" s="166"/>
      <c r="V63" s="166"/>
      <c r="AA63" s="166"/>
      <c r="AB63" s="166"/>
    </row>
    <row r="64">
      <c r="N64" s="165"/>
      <c r="U64" s="166"/>
      <c r="V64" s="166"/>
      <c r="AA64" s="166"/>
      <c r="AB64" s="166"/>
    </row>
    <row r="65">
      <c r="N65" s="165"/>
      <c r="U65" s="166"/>
      <c r="V65" s="166"/>
      <c r="AA65" s="166"/>
      <c r="AB65" s="166"/>
    </row>
    <row r="66">
      <c r="N66" s="165"/>
      <c r="U66" s="166"/>
      <c r="V66" s="166"/>
      <c r="AA66" s="166"/>
      <c r="AB66" s="166"/>
    </row>
    <row r="67">
      <c r="N67" s="165"/>
      <c r="U67" s="166"/>
      <c r="V67" s="166"/>
      <c r="AA67" s="166"/>
      <c r="AB67" s="166"/>
    </row>
    <row r="68">
      <c r="N68" s="165"/>
      <c r="U68" s="166"/>
      <c r="V68" s="166"/>
      <c r="AA68" s="166"/>
      <c r="AB68" s="166"/>
    </row>
    <row r="69">
      <c r="N69" s="165"/>
      <c r="U69" s="166"/>
      <c r="V69" s="166"/>
      <c r="AA69" s="166"/>
      <c r="AB69" s="166"/>
    </row>
    <row r="70">
      <c r="N70" s="165"/>
      <c r="U70" s="166"/>
      <c r="V70" s="166"/>
      <c r="AA70" s="166"/>
      <c r="AB70" s="166"/>
    </row>
    <row r="71">
      <c r="N71" s="165"/>
      <c r="U71" s="166"/>
      <c r="V71" s="166"/>
      <c r="AA71" s="166"/>
      <c r="AB71" s="166"/>
    </row>
    <row r="72">
      <c r="N72" s="165"/>
      <c r="U72" s="166"/>
      <c r="V72" s="166"/>
      <c r="AA72" s="166"/>
      <c r="AB72" s="166"/>
    </row>
    <row r="73">
      <c r="N73" s="165"/>
      <c r="U73" s="166"/>
      <c r="V73" s="166"/>
      <c r="AA73" s="166"/>
      <c r="AB73" s="166"/>
    </row>
    <row r="74">
      <c r="N74" s="165"/>
      <c r="U74" s="166"/>
      <c r="V74" s="166"/>
      <c r="AA74" s="166"/>
      <c r="AB74" s="166"/>
    </row>
    <row r="75">
      <c r="N75" s="165"/>
      <c r="U75" s="166"/>
      <c r="V75" s="166"/>
      <c r="AA75" s="166"/>
      <c r="AB75" s="166"/>
    </row>
    <row r="76">
      <c r="N76" s="165"/>
      <c r="U76" s="166"/>
      <c r="V76" s="166"/>
      <c r="AA76" s="166"/>
      <c r="AB76" s="166"/>
    </row>
    <row r="77">
      <c r="N77" s="165"/>
      <c r="U77" s="166"/>
      <c r="V77" s="166"/>
      <c r="AA77" s="166"/>
      <c r="AB77" s="166"/>
    </row>
    <row r="78">
      <c r="N78" s="165"/>
      <c r="U78" s="166"/>
      <c r="V78" s="166"/>
      <c r="AA78" s="166"/>
      <c r="AB78" s="166"/>
    </row>
    <row r="79">
      <c r="N79" s="165"/>
      <c r="U79" s="166"/>
      <c r="V79" s="166"/>
      <c r="AA79" s="166"/>
      <c r="AB79" s="166"/>
    </row>
    <row r="80">
      <c r="N80" s="165"/>
      <c r="U80" s="166"/>
      <c r="V80" s="166"/>
      <c r="AA80" s="166"/>
      <c r="AB80" s="166"/>
    </row>
    <row r="81">
      <c r="N81" s="165"/>
      <c r="U81" s="166"/>
      <c r="V81" s="166"/>
      <c r="AA81" s="166"/>
      <c r="AB81" s="166"/>
    </row>
    <row r="82">
      <c r="N82" s="165"/>
      <c r="U82" s="166"/>
      <c r="V82" s="166"/>
      <c r="AA82" s="166"/>
      <c r="AB82" s="166"/>
    </row>
    <row r="83">
      <c r="N83" s="165"/>
      <c r="U83" s="166"/>
      <c r="V83" s="166"/>
      <c r="AA83" s="166"/>
      <c r="AB83" s="166"/>
    </row>
    <row r="84">
      <c r="N84" s="165"/>
      <c r="U84" s="166"/>
      <c r="V84" s="166"/>
      <c r="AA84" s="166"/>
      <c r="AB84" s="166"/>
    </row>
    <row r="85">
      <c r="N85" s="165"/>
      <c r="U85" s="166"/>
      <c r="V85" s="166"/>
      <c r="AA85" s="166"/>
      <c r="AB85" s="166"/>
    </row>
    <row r="86">
      <c r="N86" s="165"/>
      <c r="U86" s="166"/>
      <c r="V86" s="166"/>
      <c r="AA86" s="166"/>
      <c r="AB86" s="166"/>
    </row>
    <row r="87">
      <c r="N87" s="165"/>
      <c r="U87" s="166"/>
      <c r="V87" s="166"/>
      <c r="AA87" s="166"/>
      <c r="AB87" s="166"/>
    </row>
    <row r="88">
      <c r="N88" s="165"/>
      <c r="U88" s="166"/>
      <c r="V88" s="166"/>
      <c r="AA88" s="166"/>
      <c r="AB88" s="166"/>
    </row>
    <row r="89">
      <c r="N89" s="165"/>
      <c r="U89" s="166"/>
      <c r="V89" s="166"/>
      <c r="AA89" s="166"/>
      <c r="AB89" s="166"/>
    </row>
    <row r="90">
      <c r="N90" s="165"/>
      <c r="U90" s="166"/>
      <c r="V90" s="166"/>
      <c r="AA90" s="166"/>
      <c r="AB90" s="166"/>
    </row>
    <row r="91">
      <c r="N91" s="165"/>
      <c r="U91" s="166"/>
      <c r="V91" s="166"/>
      <c r="AA91" s="166"/>
      <c r="AB91" s="166"/>
    </row>
    <row r="92">
      <c r="N92" s="165"/>
      <c r="U92" s="166"/>
      <c r="V92" s="166"/>
      <c r="AA92" s="166"/>
      <c r="AB92" s="166"/>
    </row>
    <row r="93">
      <c r="N93" s="165"/>
      <c r="U93" s="166"/>
      <c r="V93" s="166"/>
      <c r="AA93" s="166"/>
      <c r="AB93" s="166"/>
    </row>
    <row r="94">
      <c r="N94" s="165"/>
      <c r="U94" s="166"/>
      <c r="V94" s="166"/>
      <c r="AA94" s="166"/>
      <c r="AB94" s="166"/>
    </row>
    <row r="95">
      <c r="N95" s="165"/>
      <c r="U95" s="166"/>
      <c r="V95" s="166"/>
      <c r="AA95" s="166"/>
      <c r="AB95" s="166"/>
    </row>
    <row r="96">
      <c r="N96" s="165"/>
      <c r="U96" s="166"/>
      <c r="V96" s="166"/>
      <c r="AA96" s="166"/>
      <c r="AB96" s="166"/>
    </row>
    <row r="97">
      <c r="N97" s="165"/>
      <c r="U97" s="166"/>
      <c r="V97" s="166"/>
      <c r="AA97" s="166"/>
      <c r="AB97" s="166"/>
    </row>
    <row r="98">
      <c r="N98" s="165"/>
      <c r="U98" s="166"/>
      <c r="V98" s="166"/>
      <c r="AA98" s="166"/>
      <c r="AB98" s="166"/>
    </row>
    <row r="99">
      <c r="N99" s="165"/>
      <c r="U99" s="166"/>
      <c r="V99" s="166"/>
      <c r="AA99" s="166"/>
      <c r="AB99" s="166"/>
    </row>
    <row r="100">
      <c r="N100" s="165"/>
      <c r="U100" s="166"/>
      <c r="V100" s="166"/>
      <c r="AA100" s="166"/>
      <c r="AB100" s="166"/>
    </row>
    <row r="101">
      <c r="N101" s="165"/>
      <c r="U101" s="166"/>
      <c r="V101" s="166"/>
      <c r="AA101" s="166"/>
      <c r="AB101" s="166"/>
    </row>
    <row r="102">
      <c r="N102" s="165"/>
      <c r="U102" s="166"/>
      <c r="V102" s="166"/>
      <c r="AA102" s="166"/>
      <c r="AB102" s="166"/>
    </row>
    <row r="103">
      <c r="N103" s="165"/>
      <c r="U103" s="166"/>
      <c r="V103" s="166"/>
      <c r="AA103" s="166"/>
      <c r="AB103" s="166"/>
    </row>
    <row r="104">
      <c r="N104" s="165"/>
      <c r="U104" s="166"/>
      <c r="V104" s="166"/>
      <c r="AA104" s="166"/>
      <c r="AB104" s="166"/>
    </row>
    <row r="105">
      <c r="N105" s="165"/>
      <c r="U105" s="166"/>
      <c r="V105" s="166"/>
      <c r="AA105" s="166"/>
      <c r="AB105" s="166"/>
    </row>
    <row r="106">
      <c r="N106" s="165"/>
      <c r="U106" s="166"/>
      <c r="V106" s="166"/>
      <c r="AA106" s="166"/>
      <c r="AB106" s="166"/>
    </row>
    <row r="107">
      <c r="N107" s="165"/>
      <c r="U107" s="166"/>
      <c r="V107" s="166"/>
      <c r="AA107" s="166"/>
      <c r="AB107" s="166"/>
    </row>
    <row r="108">
      <c r="N108" s="165"/>
      <c r="U108" s="166"/>
      <c r="V108" s="166"/>
      <c r="AA108" s="166"/>
      <c r="AB108" s="166"/>
    </row>
    <row r="109">
      <c r="N109" s="165"/>
      <c r="U109" s="166"/>
      <c r="V109" s="166"/>
      <c r="AA109" s="166"/>
      <c r="AB109" s="166"/>
    </row>
    <row r="110">
      <c r="N110" s="165"/>
      <c r="U110" s="166"/>
      <c r="V110" s="166"/>
      <c r="AA110" s="166"/>
      <c r="AB110" s="166"/>
    </row>
    <row r="111">
      <c r="N111" s="165"/>
      <c r="U111" s="166"/>
      <c r="V111" s="166"/>
      <c r="AA111" s="166"/>
      <c r="AB111" s="166"/>
    </row>
    <row r="112">
      <c r="N112" s="165"/>
      <c r="U112" s="166"/>
      <c r="V112" s="166"/>
      <c r="AA112" s="166"/>
      <c r="AB112" s="166"/>
    </row>
    <row r="113">
      <c r="N113" s="165"/>
      <c r="U113" s="166"/>
      <c r="V113" s="166"/>
      <c r="AA113" s="166"/>
      <c r="AB113" s="166"/>
    </row>
    <row r="114">
      <c r="N114" s="165"/>
      <c r="U114" s="166"/>
      <c r="V114" s="166"/>
      <c r="AA114" s="166"/>
      <c r="AB114" s="166"/>
    </row>
    <row r="115">
      <c r="N115" s="165"/>
      <c r="U115" s="166"/>
      <c r="V115" s="166"/>
      <c r="AA115" s="166"/>
      <c r="AB115" s="166"/>
    </row>
    <row r="116">
      <c r="N116" s="165"/>
      <c r="U116" s="166"/>
      <c r="V116" s="166"/>
      <c r="AA116" s="166"/>
      <c r="AB116" s="166"/>
    </row>
    <row r="117">
      <c r="N117" s="165"/>
      <c r="U117" s="166"/>
      <c r="V117" s="166"/>
      <c r="AA117" s="166"/>
      <c r="AB117" s="166"/>
    </row>
    <row r="118">
      <c r="N118" s="165"/>
      <c r="U118" s="166"/>
      <c r="V118" s="166"/>
      <c r="AA118" s="166"/>
      <c r="AB118" s="166"/>
    </row>
    <row r="119">
      <c r="N119" s="165"/>
      <c r="U119" s="166"/>
      <c r="V119" s="166"/>
      <c r="AA119" s="166"/>
      <c r="AB119" s="166"/>
    </row>
    <row r="120">
      <c r="N120" s="165"/>
      <c r="U120" s="166"/>
      <c r="V120" s="166"/>
      <c r="AA120" s="166"/>
      <c r="AB120" s="166"/>
    </row>
    <row r="121">
      <c r="N121" s="165"/>
      <c r="U121" s="166"/>
      <c r="V121" s="166"/>
      <c r="AA121" s="166"/>
      <c r="AB121" s="166"/>
    </row>
    <row r="122">
      <c r="N122" s="165"/>
      <c r="U122" s="166"/>
      <c r="V122" s="166"/>
      <c r="AA122" s="166"/>
      <c r="AB122" s="166"/>
    </row>
    <row r="123">
      <c r="N123" s="165"/>
      <c r="U123" s="166"/>
      <c r="V123" s="166"/>
      <c r="AA123" s="166"/>
      <c r="AB123" s="166"/>
    </row>
    <row r="124">
      <c r="N124" s="165"/>
      <c r="U124" s="166"/>
      <c r="V124" s="166"/>
      <c r="AA124" s="166"/>
      <c r="AB124" s="166"/>
    </row>
    <row r="125">
      <c r="N125" s="165"/>
      <c r="U125" s="166"/>
      <c r="V125" s="166"/>
      <c r="AA125" s="166"/>
      <c r="AB125" s="166"/>
    </row>
    <row r="126">
      <c r="N126" s="165"/>
      <c r="U126" s="166"/>
      <c r="V126" s="166"/>
      <c r="AA126" s="166"/>
      <c r="AB126" s="166"/>
    </row>
    <row r="127">
      <c r="N127" s="165"/>
      <c r="U127" s="166"/>
      <c r="V127" s="166"/>
      <c r="AA127" s="166"/>
      <c r="AB127" s="166"/>
    </row>
    <row r="128">
      <c r="N128" s="165"/>
      <c r="U128" s="166"/>
      <c r="V128" s="166"/>
      <c r="AA128" s="166"/>
      <c r="AB128" s="166"/>
    </row>
    <row r="129">
      <c r="N129" s="165"/>
      <c r="U129" s="166"/>
      <c r="V129" s="166"/>
      <c r="AA129" s="166"/>
      <c r="AB129" s="166"/>
    </row>
    <row r="130">
      <c r="N130" s="165"/>
      <c r="U130" s="166"/>
      <c r="V130" s="166"/>
      <c r="AA130" s="166"/>
      <c r="AB130" s="166"/>
    </row>
    <row r="131">
      <c r="N131" s="165"/>
      <c r="U131" s="166"/>
      <c r="V131" s="166"/>
      <c r="AA131" s="166"/>
      <c r="AB131" s="166"/>
    </row>
    <row r="132">
      <c r="N132" s="165"/>
      <c r="U132" s="166"/>
      <c r="V132" s="166"/>
      <c r="AA132" s="166"/>
      <c r="AB132" s="166"/>
    </row>
    <row r="133">
      <c r="N133" s="165"/>
      <c r="U133" s="166"/>
      <c r="V133" s="166"/>
      <c r="AA133" s="166"/>
      <c r="AB133" s="166"/>
    </row>
    <row r="134">
      <c r="N134" s="165"/>
      <c r="U134" s="166"/>
      <c r="V134" s="166"/>
      <c r="AA134" s="166"/>
      <c r="AB134" s="166"/>
    </row>
    <row r="135">
      <c r="N135" s="165"/>
      <c r="U135" s="166"/>
      <c r="V135" s="166"/>
      <c r="AA135" s="166"/>
      <c r="AB135" s="166"/>
    </row>
    <row r="136">
      <c r="N136" s="165"/>
      <c r="U136" s="166"/>
      <c r="V136" s="166"/>
      <c r="AA136" s="166"/>
      <c r="AB136" s="166"/>
    </row>
    <row r="137">
      <c r="N137" s="165"/>
      <c r="U137" s="166"/>
      <c r="V137" s="166"/>
      <c r="AA137" s="166"/>
      <c r="AB137" s="166"/>
    </row>
    <row r="138">
      <c r="N138" s="165"/>
      <c r="U138" s="166"/>
      <c r="V138" s="166"/>
      <c r="AA138" s="166"/>
      <c r="AB138" s="166"/>
    </row>
    <row r="139">
      <c r="N139" s="165"/>
      <c r="U139" s="166"/>
      <c r="V139" s="166"/>
      <c r="AA139" s="166"/>
      <c r="AB139" s="166"/>
    </row>
    <row r="140">
      <c r="N140" s="165"/>
      <c r="U140" s="166"/>
      <c r="V140" s="166"/>
      <c r="AA140" s="166"/>
      <c r="AB140" s="166"/>
    </row>
    <row r="141">
      <c r="N141" s="165"/>
      <c r="U141" s="166"/>
      <c r="V141" s="166"/>
      <c r="AA141" s="166"/>
      <c r="AB141" s="166"/>
    </row>
    <row r="142">
      <c r="N142" s="165"/>
      <c r="U142" s="166"/>
      <c r="V142" s="166"/>
      <c r="AA142" s="166"/>
      <c r="AB142" s="166"/>
    </row>
    <row r="143">
      <c r="N143" s="165"/>
      <c r="U143" s="166"/>
      <c r="V143" s="166"/>
      <c r="AA143" s="166"/>
      <c r="AB143" s="166"/>
    </row>
    <row r="144">
      <c r="N144" s="165"/>
      <c r="U144" s="166"/>
      <c r="V144" s="166"/>
      <c r="AA144" s="166"/>
      <c r="AB144" s="166"/>
    </row>
    <row r="145">
      <c r="N145" s="165"/>
      <c r="U145" s="166"/>
      <c r="V145" s="166"/>
      <c r="AA145" s="166"/>
      <c r="AB145" s="166"/>
    </row>
    <row r="146">
      <c r="N146" s="165"/>
      <c r="U146" s="166"/>
      <c r="V146" s="166"/>
      <c r="AA146" s="166"/>
      <c r="AB146" s="166"/>
    </row>
    <row r="147">
      <c r="N147" s="165"/>
      <c r="U147" s="166"/>
      <c r="V147" s="166"/>
      <c r="AA147" s="166"/>
      <c r="AB147" s="166"/>
    </row>
    <row r="148">
      <c r="N148" s="165"/>
      <c r="U148" s="166"/>
      <c r="V148" s="166"/>
      <c r="AA148" s="166"/>
      <c r="AB148" s="166"/>
    </row>
    <row r="149">
      <c r="N149" s="165"/>
      <c r="U149" s="166"/>
      <c r="V149" s="166"/>
      <c r="AA149" s="166"/>
      <c r="AB149" s="166"/>
    </row>
    <row r="150">
      <c r="N150" s="165"/>
      <c r="U150" s="166"/>
      <c r="V150" s="166"/>
      <c r="AA150" s="166"/>
      <c r="AB150" s="166"/>
    </row>
    <row r="151">
      <c r="N151" s="165"/>
      <c r="U151" s="166"/>
      <c r="V151" s="166"/>
      <c r="AA151" s="166"/>
      <c r="AB151" s="166"/>
    </row>
    <row r="152">
      <c r="N152" s="165"/>
      <c r="U152" s="166"/>
      <c r="V152" s="166"/>
      <c r="AA152" s="166"/>
      <c r="AB152" s="166"/>
    </row>
    <row r="153">
      <c r="N153" s="165"/>
      <c r="U153" s="166"/>
      <c r="V153" s="166"/>
      <c r="AA153" s="166"/>
      <c r="AB153" s="166"/>
    </row>
    <row r="154">
      <c r="N154" s="165"/>
      <c r="U154" s="166"/>
      <c r="V154" s="166"/>
      <c r="AA154" s="166"/>
      <c r="AB154" s="166"/>
    </row>
    <row r="155">
      <c r="N155" s="165"/>
      <c r="U155" s="166"/>
      <c r="V155" s="166"/>
      <c r="AA155" s="166"/>
      <c r="AB155" s="166"/>
    </row>
    <row r="156">
      <c r="N156" s="165"/>
      <c r="U156" s="166"/>
      <c r="V156" s="166"/>
      <c r="AA156" s="166"/>
      <c r="AB156" s="166"/>
    </row>
    <row r="157">
      <c r="N157" s="165"/>
      <c r="U157" s="166"/>
      <c r="V157" s="166"/>
      <c r="AA157" s="166"/>
      <c r="AB157" s="166"/>
    </row>
    <row r="158">
      <c r="N158" s="165"/>
      <c r="U158" s="166"/>
      <c r="V158" s="166"/>
      <c r="AA158" s="166"/>
      <c r="AB158" s="166"/>
    </row>
    <row r="159">
      <c r="N159" s="165"/>
      <c r="U159" s="166"/>
      <c r="V159" s="166"/>
      <c r="AA159" s="166"/>
      <c r="AB159" s="166"/>
    </row>
    <row r="160">
      <c r="N160" s="165"/>
      <c r="U160" s="166"/>
      <c r="V160" s="166"/>
      <c r="AA160" s="166"/>
      <c r="AB160" s="166"/>
    </row>
    <row r="161">
      <c r="N161" s="165"/>
      <c r="U161" s="166"/>
      <c r="V161" s="166"/>
      <c r="AA161" s="166"/>
      <c r="AB161" s="166"/>
    </row>
    <row r="162">
      <c r="N162" s="165"/>
      <c r="U162" s="166"/>
      <c r="V162" s="166"/>
      <c r="AA162" s="166"/>
      <c r="AB162" s="166"/>
    </row>
    <row r="163">
      <c r="N163" s="165"/>
      <c r="U163" s="166"/>
      <c r="V163" s="166"/>
      <c r="AA163" s="166"/>
      <c r="AB163" s="166"/>
    </row>
    <row r="164">
      <c r="N164" s="165"/>
      <c r="U164" s="166"/>
      <c r="V164" s="166"/>
      <c r="AA164" s="166"/>
      <c r="AB164" s="166"/>
    </row>
    <row r="165">
      <c r="N165" s="165"/>
      <c r="U165" s="166"/>
      <c r="V165" s="166"/>
      <c r="AA165" s="166"/>
      <c r="AB165" s="166"/>
    </row>
    <row r="166">
      <c r="N166" s="165"/>
      <c r="U166" s="166"/>
      <c r="V166" s="166"/>
      <c r="AA166" s="166"/>
      <c r="AB166" s="166"/>
    </row>
    <row r="167">
      <c r="N167" s="165"/>
      <c r="U167" s="166"/>
      <c r="V167" s="166"/>
      <c r="AA167" s="166"/>
      <c r="AB167" s="166"/>
    </row>
    <row r="168">
      <c r="N168" s="165"/>
      <c r="U168" s="166"/>
      <c r="V168" s="166"/>
      <c r="AA168" s="166"/>
      <c r="AB168" s="166"/>
    </row>
    <row r="169">
      <c r="N169" s="165"/>
      <c r="U169" s="166"/>
      <c r="V169" s="166"/>
      <c r="AA169" s="166"/>
      <c r="AB169" s="166"/>
    </row>
    <row r="170">
      <c r="N170" s="165"/>
      <c r="U170" s="166"/>
      <c r="V170" s="166"/>
      <c r="AA170" s="166"/>
      <c r="AB170" s="166"/>
    </row>
    <row r="171">
      <c r="N171" s="165"/>
      <c r="U171" s="166"/>
      <c r="V171" s="166"/>
      <c r="AA171" s="166"/>
      <c r="AB171" s="166"/>
    </row>
    <row r="172">
      <c r="N172" s="165"/>
      <c r="U172" s="166"/>
      <c r="V172" s="166"/>
      <c r="AA172" s="166"/>
      <c r="AB172" s="166"/>
    </row>
    <row r="173">
      <c r="N173" s="165"/>
      <c r="U173" s="166"/>
      <c r="V173" s="166"/>
      <c r="AA173" s="166"/>
      <c r="AB173" s="166"/>
    </row>
    <row r="174">
      <c r="N174" s="165"/>
      <c r="U174" s="166"/>
      <c r="V174" s="166"/>
      <c r="AA174" s="166"/>
      <c r="AB174" s="166"/>
    </row>
    <row r="175">
      <c r="N175" s="165"/>
      <c r="U175" s="166"/>
      <c r="V175" s="166"/>
      <c r="AA175" s="166"/>
      <c r="AB175" s="166"/>
    </row>
    <row r="176">
      <c r="N176" s="165"/>
      <c r="U176" s="166"/>
      <c r="V176" s="166"/>
      <c r="AA176" s="166"/>
      <c r="AB176" s="166"/>
    </row>
    <row r="177">
      <c r="N177" s="165"/>
      <c r="U177" s="166"/>
      <c r="V177" s="166"/>
      <c r="AA177" s="166"/>
      <c r="AB177" s="166"/>
    </row>
    <row r="178">
      <c r="N178" s="165"/>
      <c r="U178" s="166"/>
      <c r="V178" s="166"/>
      <c r="AA178" s="166"/>
      <c r="AB178" s="166"/>
    </row>
    <row r="179">
      <c r="N179" s="165"/>
      <c r="U179" s="166"/>
      <c r="V179" s="166"/>
      <c r="AA179" s="166"/>
      <c r="AB179" s="166"/>
    </row>
    <row r="180">
      <c r="N180" s="165"/>
      <c r="U180" s="166"/>
      <c r="V180" s="166"/>
      <c r="AA180" s="166"/>
      <c r="AB180" s="166"/>
    </row>
    <row r="181">
      <c r="N181" s="165"/>
      <c r="U181" s="166"/>
      <c r="V181" s="166"/>
      <c r="AA181" s="166"/>
      <c r="AB181" s="166"/>
    </row>
    <row r="182">
      <c r="N182" s="165"/>
      <c r="U182" s="166"/>
      <c r="V182" s="166"/>
      <c r="AA182" s="166"/>
      <c r="AB182" s="166"/>
    </row>
    <row r="183">
      <c r="N183" s="165"/>
      <c r="U183" s="166"/>
      <c r="V183" s="166"/>
      <c r="AA183" s="166"/>
      <c r="AB183" s="166"/>
    </row>
    <row r="184">
      <c r="N184" s="165"/>
      <c r="U184" s="166"/>
      <c r="V184" s="166"/>
      <c r="AA184" s="166"/>
      <c r="AB184" s="166"/>
    </row>
    <row r="185">
      <c r="N185" s="165"/>
      <c r="U185" s="166"/>
      <c r="V185" s="166"/>
      <c r="AA185" s="166"/>
      <c r="AB185" s="166"/>
    </row>
    <row r="186">
      <c r="N186" s="165"/>
      <c r="U186" s="166"/>
      <c r="V186" s="166"/>
      <c r="AA186" s="166"/>
      <c r="AB186" s="166"/>
    </row>
    <row r="187">
      <c r="N187" s="165"/>
      <c r="U187" s="166"/>
      <c r="V187" s="166"/>
      <c r="AA187" s="166"/>
      <c r="AB187" s="166"/>
    </row>
    <row r="188">
      <c r="N188" s="165"/>
      <c r="U188" s="166"/>
      <c r="V188" s="166"/>
      <c r="AA188" s="166"/>
      <c r="AB188" s="166"/>
    </row>
    <row r="189">
      <c r="N189" s="165"/>
      <c r="U189" s="166"/>
      <c r="V189" s="166"/>
      <c r="AA189" s="166"/>
      <c r="AB189" s="166"/>
    </row>
    <row r="190">
      <c r="N190" s="165"/>
      <c r="U190" s="166"/>
      <c r="V190" s="166"/>
      <c r="AA190" s="166"/>
      <c r="AB190" s="166"/>
    </row>
    <row r="191">
      <c r="N191" s="165"/>
      <c r="U191" s="166"/>
      <c r="V191" s="166"/>
      <c r="AA191" s="166"/>
      <c r="AB191" s="166"/>
    </row>
    <row r="192">
      <c r="N192" s="165"/>
      <c r="U192" s="166"/>
      <c r="V192" s="166"/>
      <c r="AA192" s="166"/>
      <c r="AB192" s="166"/>
    </row>
    <row r="193">
      <c r="N193" s="165"/>
      <c r="U193" s="166"/>
      <c r="V193" s="166"/>
      <c r="AA193" s="166"/>
      <c r="AB193" s="166"/>
    </row>
    <row r="194">
      <c r="N194" s="165"/>
      <c r="U194" s="166"/>
      <c r="V194" s="166"/>
      <c r="AA194" s="166"/>
      <c r="AB194" s="166"/>
    </row>
    <row r="195">
      <c r="N195" s="165"/>
      <c r="U195" s="166"/>
      <c r="V195" s="166"/>
      <c r="AA195" s="166"/>
      <c r="AB195" s="166"/>
    </row>
    <row r="196">
      <c r="N196" s="165"/>
      <c r="U196" s="166"/>
      <c r="V196" s="166"/>
      <c r="AA196" s="166"/>
      <c r="AB196" s="166"/>
    </row>
    <row r="197">
      <c r="N197" s="165"/>
      <c r="U197" s="166"/>
      <c r="V197" s="166"/>
      <c r="AA197" s="166"/>
      <c r="AB197" s="166"/>
    </row>
    <row r="198">
      <c r="N198" s="165"/>
      <c r="U198" s="166"/>
      <c r="V198" s="166"/>
      <c r="AA198" s="166"/>
      <c r="AB198" s="166"/>
    </row>
    <row r="199">
      <c r="N199" s="165"/>
      <c r="U199" s="166"/>
      <c r="V199" s="166"/>
      <c r="AA199" s="166"/>
      <c r="AB199" s="166"/>
    </row>
    <row r="200">
      <c r="N200" s="165"/>
      <c r="U200" s="166"/>
      <c r="V200" s="166"/>
      <c r="AA200" s="166"/>
      <c r="AB200" s="166"/>
    </row>
    <row r="201">
      <c r="N201" s="165"/>
      <c r="U201" s="166"/>
      <c r="V201" s="166"/>
      <c r="AA201" s="166"/>
      <c r="AB201" s="166"/>
    </row>
    <row r="202">
      <c r="N202" s="165"/>
      <c r="U202" s="166"/>
      <c r="V202" s="166"/>
      <c r="AA202" s="166"/>
      <c r="AB202" s="166"/>
    </row>
    <row r="203">
      <c r="N203" s="165"/>
      <c r="U203" s="166"/>
      <c r="V203" s="166"/>
      <c r="AA203" s="166"/>
      <c r="AB203" s="166"/>
    </row>
    <row r="204">
      <c r="N204" s="165"/>
      <c r="U204" s="166"/>
      <c r="V204" s="166"/>
      <c r="AA204" s="166"/>
      <c r="AB204" s="166"/>
    </row>
    <row r="205">
      <c r="N205" s="165"/>
      <c r="U205" s="166"/>
      <c r="V205" s="166"/>
      <c r="AA205" s="166"/>
      <c r="AB205" s="166"/>
    </row>
    <row r="206">
      <c r="N206" s="165"/>
      <c r="U206" s="166"/>
      <c r="V206" s="166"/>
      <c r="AA206" s="166"/>
      <c r="AB206" s="166"/>
    </row>
    <row r="207">
      <c r="N207" s="165"/>
      <c r="U207" s="166"/>
      <c r="V207" s="166"/>
      <c r="AA207" s="166"/>
      <c r="AB207" s="166"/>
    </row>
    <row r="208">
      <c r="N208" s="165"/>
      <c r="U208" s="166"/>
      <c r="V208" s="166"/>
      <c r="AA208" s="166"/>
      <c r="AB208" s="166"/>
    </row>
    <row r="209">
      <c r="N209" s="165"/>
      <c r="U209" s="166"/>
      <c r="V209" s="166"/>
      <c r="AA209" s="166"/>
      <c r="AB209" s="166"/>
    </row>
    <row r="210">
      <c r="N210" s="165"/>
      <c r="U210" s="166"/>
      <c r="V210" s="166"/>
      <c r="AA210" s="166"/>
      <c r="AB210" s="166"/>
    </row>
    <row r="211">
      <c r="N211" s="165"/>
      <c r="U211" s="166"/>
      <c r="V211" s="166"/>
      <c r="AA211" s="166"/>
      <c r="AB211" s="166"/>
    </row>
    <row r="212">
      <c r="N212" s="165"/>
      <c r="U212" s="166"/>
      <c r="V212" s="166"/>
      <c r="AA212" s="166"/>
      <c r="AB212" s="166"/>
    </row>
    <row r="213">
      <c r="N213" s="165"/>
      <c r="U213" s="166"/>
      <c r="V213" s="166"/>
      <c r="AA213" s="166"/>
      <c r="AB213" s="166"/>
    </row>
    <row r="214">
      <c r="N214" s="165"/>
      <c r="U214" s="166"/>
      <c r="V214" s="166"/>
      <c r="AA214" s="166"/>
      <c r="AB214" s="166"/>
    </row>
    <row r="215">
      <c r="N215" s="165"/>
      <c r="U215" s="166"/>
      <c r="V215" s="166"/>
      <c r="AA215" s="166"/>
      <c r="AB215" s="166"/>
    </row>
    <row r="216">
      <c r="N216" s="165"/>
      <c r="U216" s="166"/>
      <c r="V216" s="166"/>
      <c r="AA216" s="166"/>
      <c r="AB216" s="166"/>
    </row>
    <row r="217">
      <c r="N217" s="165"/>
      <c r="U217" s="166"/>
      <c r="V217" s="166"/>
      <c r="AA217" s="166"/>
      <c r="AB217" s="166"/>
    </row>
    <row r="218">
      <c r="N218" s="165"/>
      <c r="U218" s="166"/>
      <c r="V218" s="166"/>
      <c r="AA218" s="166"/>
      <c r="AB218" s="166"/>
    </row>
    <row r="219">
      <c r="N219" s="165"/>
      <c r="U219" s="166"/>
      <c r="V219" s="166"/>
      <c r="AA219" s="166"/>
      <c r="AB219" s="166"/>
    </row>
    <row r="220">
      <c r="N220" s="165"/>
      <c r="U220" s="166"/>
      <c r="V220" s="166"/>
      <c r="AA220" s="166"/>
      <c r="AB220" s="166"/>
    </row>
    <row r="221">
      <c r="N221" s="165"/>
      <c r="U221" s="166"/>
      <c r="V221" s="166"/>
      <c r="AA221" s="166"/>
      <c r="AB221" s="166"/>
    </row>
    <row r="222">
      <c r="N222" s="165"/>
      <c r="U222" s="166"/>
      <c r="V222" s="166"/>
      <c r="AA222" s="166"/>
      <c r="AB222" s="166"/>
    </row>
    <row r="223">
      <c r="N223" s="165"/>
      <c r="U223" s="166"/>
      <c r="V223" s="166"/>
      <c r="AA223" s="166"/>
      <c r="AB223" s="166"/>
    </row>
    <row r="224">
      <c r="N224" s="165"/>
      <c r="U224" s="166"/>
      <c r="V224" s="166"/>
      <c r="AA224" s="166"/>
      <c r="AB224" s="166"/>
    </row>
    <row r="225">
      <c r="N225" s="165"/>
      <c r="U225" s="166"/>
      <c r="V225" s="166"/>
      <c r="AA225" s="166"/>
      <c r="AB225" s="166"/>
    </row>
    <row r="226">
      <c r="N226" s="165"/>
      <c r="U226" s="166"/>
      <c r="V226" s="166"/>
      <c r="AA226" s="166"/>
      <c r="AB226" s="166"/>
    </row>
    <row r="227">
      <c r="N227" s="165"/>
      <c r="U227" s="166"/>
      <c r="V227" s="166"/>
      <c r="AA227" s="166"/>
      <c r="AB227" s="166"/>
    </row>
    <row r="228">
      <c r="N228" s="165"/>
      <c r="U228" s="166"/>
      <c r="V228" s="166"/>
      <c r="AA228" s="166"/>
      <c r="AB228" s="166"/>
    </row>
    <row r="229">
      <c r="N229" s="165"/>
      <c r="U229" s="166"/>
      <c r="V229" s="166"/>
      <c r="AA229" s="166"/>
      <c r="AB229" s="166"/>
    </row>
    <row r="230">
      <c r="N230" s="165"/>
      <c r="U230" s="166"/>
      <c r="V230" s="166"/>
      <c r="AA230" s="166"/>
      <c r="AB230" s="166"/>
    </row>
    <row r="231">
      <c r="N231" s="165"/>
      <c r="U231" s="166"/>
      <c r="V231" s="166"/>
      <c r="AA231" s="166"/>
      <c r="AB231" s="166"/>
    </row>
    <row r="232">
      <c r="N232" s="165"/>
      <c r="U232" s="166"/>
      <c r="V232" s="166"/>
      <c r="AA232" s="166"/>
      <c r="AB232" s="166"/>
    </row>
    <row r="233">
      <c r="N233" s="165"/>
      <c r="U233" s="166"/>
      <c r="V233" s="166"/>
      <c r="AA233" s="166"/>
      <c r="AB233" s="166"/>
    </row>
    <row r="234">
      <c r="N234" s="165"/>
      <c r="U234" s="166"/>
      <c r="V234" s="166"/>
      <c r="AA234" s="166"/>
      <c r="AB234" s="166"/>
    </row>
    <row r="235">
      <c r="N235" s="165"/>
      <c r="U235" s="166"/>
      <c r="V235" s="166"/>
      <c r="AA235" s="166"/>
      <c r="AB235" s="166"/>
    </row>
    <row r="236">
      <c r="N236" s="165"/>
      <c r="U236" s="166"/>
      <c r="V236" s="166"/>
      <c r="AA236" s="166"/>
      <c r="AB236" s="166"/>
    </row>
    <row r="237">
      <c r="N237" s="165"/>
      <c r="U237" s="166"/>
      <c r="V237" s="166"/>
      <c r="AA237" s="166"/>
      <c r="AB237" s="166"/>
    </row>
    <row r="238">
      <c r="N238" s="165"/>
      <c r="U238" s="166"/>
      <c r="V238" s="166"/>
      <c r="AA238" s="166"/>
      <c r="AB238" s="166"/>
    </row>
    <row r="239">
      <c r="N239" s="165"/>
      <c r="U239" s="166"/>
      <c r="V239" s="166"/>
      <c r="AA239" s="166"/>
      <c r="AB239" s="166"/>
    </row>
    <row r="240">
      <c r="N240" s="165"/>
      <c r="U240" s="166"/>
      <c r="V240" s="166"/>
      <c r="AA240" s="166"/>
      <c r="AB240" s="166"/>
    </row>
    <row r="241">
      <c r="N241" s="165"/>
      <c r="U241" s="166"/>
      <c r="V241" s="166"/>
      <c r="AA241" s="166"/>
      <c r="AB241" s="166"/>
    </row>
    <row r="242">
      <c r="N242" s="165"/>
      <c r="U242" s="166"/>
      <c r="V242" s="166"/>
      <c r="AA242" s="166"/>
      <c r="AB242" s="166"/>
    </row>
    <row r="243">
      <c r="N243" s="165"/>
      <c r="U243" s="166"/>
      <c r="V243" s="166"/>
      <c r="AA243" s="166"/>
      <c r="AB243" s="166"/>
    </row>
    <row r="244">
      <c r="N244" s="165"/>
      <c r="U244" s="166"/>
      <c r="V244" s="166"/>
      <c r="AA244" s="166"/>
      <c r="AB244" s="166"/>
    </row>
    <row r="245">
      <c r="N245" s="165"/>
      <c r="U245" s="166"/>
      <c r="V245" s="166"/>
      <c r="AA245" s="166"/>
      <c r="AB245" s="166"/>
    </row>
    <row r="246">
      <c r="N246" s="165"/>
      <c r="U246" s="166"/>
      <c r="V246" s="166"/>
      <c r="AA246" s="166"/>
      <c r="AB246" s="166"/>
    </row>
    <row r="247">
      <c r="N247" s="165"/>
      <c r="U247" s="166"/>
      <c r="V247" s="166"/>
      <c r="AA247" s="166"/>
      <c r="AB247" s="166"/>
    </row>
    <row r="248">
      <c r="N248" s="165"/>
      <c r="U248" s="166"/>
      <c r="V248" s="166"/>
      <c r="AA248" s="166"/>
      <c r="AB248" s="166"/>
    </row>
    <row r="249">
      <c r="N249" s="165"/>
      <c r="U249" s="166"/>
      <c r="V249" s="166"/>
      <c r="AA249" s="166"/>
      <c r="AB249" s="166"/>
    </row>
    <row r="250">
      <c r="N250" s="165"/>
      <c r="U250" s="166"/>
      <c r="V250" s="166"/>
      <c r="AA250" s="166"/>
      <c r="AB250" s="166"/>
    </row>
    <row r="251">
      <c r="N251" s="165"/>
      <c r="U251" s="166"/>
      <c r="V251" s="166"/>
      <c r="AA251" s="166"/>
      <c r="AB251" s="166"/>
    </row>
    <row r="252">
      <c r="N252" s="165"/>
      <c r="U252" s="166"/>
      <c r="V252" s="166"/>
      <c r="AA252" s="166"/>
      <c r="AB252" s="166"/>
    </row>
    <row r="253">
      <c r="N253" s="165"/>
      <c r="U253" s="166"/>
      <c r="V253" s="166"/>
      <c r="AA253" s="166"/>
      <c r="AB253" s="166"/>
    </row>
    <row r="254">
      <c r="N254" s="165"/>
      <c r="U254" s="166"/>
      <c r="V254" s="166"/>
      <c r="AA254" s="166"/>
      <c r="AB254" s="166"/>
    </row>
    <row r="255">
      <c r="N255" s="165"/>
      <c r="U255" s="166"/>
      <c r="V255" s="166"/>
      <c r="AA255" s="166"/>
      <c r="AB255" s="166"/>
    </row>
    <row r="256">
      <c r="N256" s="165"/>
      <c r="U256" s="166"/>
      <c r="V256" s="166"/>
      <c r="AA256" s="166"/>
      <c r="AB256" s="166"/>
    </row>
    <row r="257">
      <c r="N257" s="165"/>
      <c r="U257" s="166"/>
      <c r="V257" s="166"/>
      <c r="AA257" s="166"/>
      <c r="AB257" s="166"/>
    </row>
    <row r="258">
      <c r="N258" s="165"/>
      <c r="U258" s="166"/>
      <c r="V258" s="166"/>
      <c r="AA258" s="166"/>
      <c r="AB258" s="166"/>
    </row>
    <row r="259">
      <c r="N259" s="165"/>
      <c r="U259" s="166"/>
      <c r="V259" s="166"/>
      <c r="AA259" s="166"/>
      <c r="AB259" s="166"/>
    </row>
    <row r="260">
      <c r="N260" s="165"/>
      <c r="U260" s="166"/>
      <c r="V260" s="166"/>
      <c r="AA260" s="166"/>
      <c r="AB260" s="166"/>
    </row>
    <row r="261">
      <c r="N261" s="165"/>
      <c r="U261" s="166"/>
      <c r="V261" s="166"/>
      <c r="AA261" s="166"/>
      <c r="AB261" s="166"/>
    </row>
    <row r="262">
      <c r="N262" s="165"/>
      <c r="U262" s="166"/>
      <c r="V262" s="166"/>
      <c r="AA262" s="166"/>
      <c r="AB262" s="166"/>
    </row>
    <row r="263">
      <c r="N263" s="165"/>
      <c r="U263" s="166"/>
      <c r="V263" s="166"/>
      <c r="AA263" s="166"/>
      <c r="AB263" s="166"/>
    </row>
    <row r="264">
      <c r="N264" s="165"/>
      <c r="U264" s="166"/>
      <c r="V264" s="166"/>
      <c r="AA264" s="166"/>
      <c r="AB264" s="166"/>
    </row>
    <row r="265">
      <c r="N265" s="165"/>
      <c r="U265" s="166"/>
      <c r="V265" s="166"/>
      <c r="AA265" s="166"/>
      <c r="AB265" s="166"/>
    </row>
    <row r="266">
      <c r="N266" s="165"/>
      <c r="U266" s="166"/>
      <c r="V266" s="166"/>
      <c r="AA266" s="166"/>
      <c r="AB266" s="166"/>
    </row>
    <row r="267">
      <c r="N267" s="165"/>
      <c r="U267" s="166"/>
      <c r="V267" s="166"/>
      <c r="AA267" s="166"/>
      <c r="AB267" s="166"/>
    </row>
    <row r="268">
      <c r="N268" s="165"/>
      <c r="U268" s="166"/>
      <c r="V268" s="166"/>
      <c r="AA268" s="166"/>
      <c r="AB268" s="166"/>
    </row>
    <row r="269">
      <c r="N269" s="165"/>
      <c r="U269" s="166"/>
      <c r="V269" s="166"/>
      <c r="AA269" s="166"/>
      <c r="AB269" s="166"/>
    </row>
    <row r="270">
      <c r="N270" s="165"/>
      <c r="U270" s="166"/>
      <c r="V270" s="166"/>
      <c r="AA270" s="166"/>
      <c r="AB270" s="166"/>
    </row>
    <row r="271">
      <c r="N271" s="165"/>
      <c r="U271" s="166"/>
      <c r="V271" s="166"/>
      <c r="AA271" s="166"/>
      <c r="AB271" s="166"/>
    </row>
    <row r="272">
      <c r="N272" s="165"/>
      <c r="U272" s="166"/>
      <c r="V272" s="166"/>
      <c r="AA272" s="166"/>
      <c r="AB272" s="166"/>
    </row>
    <row r="273">
      <c r="N273" s="165"/>
      <c r="U273" s="166"/>
      <c r="V273" s="166"/>
      <c r="AA273" s="166"/>
      <c r="AB273" s="166"/>
    </row>
    <row r="274">
      <c r="N274" s="165"/>
      <c r="U274" s="166"/>
      <c r="V274" s="166"/>
      <c r="AA274" s="166"/>
      <c r="AB274" s="166"/>
    </row>
    <row r="275">
      <c r="N275" s="165"/>
      <c r="U275" s="166"/>
      <c r="V275" s="166"/>
      <c r="AA275" s="166"/>
      <c r="AB275" s="166"/>
    </row>
    <row r="276">
      <c r="N276" s="165"/>
      <c r="U276" s="166"/>
      <c r="V276" s="166"/>
      <c r="AA276" s="166"/>
      <c r="AB276" s="166"/>
    </row>
    <row r="277">
      <c r="N277" s="165"/>
      <c r="U277" s="166"/>
      <c r="V277" s="166"/>
      <c r="AA277" s="166"/>
      <c r="AB277" s="166"/>
    </row>
    <row r="278">
      <c r="N278" s="165"/>
      <c r="U278" s="166"/>
      <c r="V278" s="166"/>
      <c r="AA278" s="166"/>
      <c r="AB278" s="166"/>
    </row>
    <row r="279">
      <c r="N279" s="165"/>
      <c r="U279" s="166"/>
      <c r="V279" s="166"/>
      <c r="AA279" s="166"/>
      <c r="AB279" s="166"/>
    </row>
    <row r="280">
      <c r="N280" s="165"/>
      <c r="U280" s="166"/>
      <c r="V280" s="166"/>
      <c r="AA280" s="166"/>
      <c r="AB280" s="166"/>
    </row>
    <row r="281">
      <c r="N281" s="165"/>
      <c r="U281" s="166"/>
      <c r="V281" s="166"/>
      <c r="AA281" s="166"/>
      <c r="AB281" s="166"/>
    </row>
    <row r="282">
      <c r="N282" s="165"/>
      <c r="U282" s="166"/>
      <c r="V282" s="166"/>
      <c r="AA282" s="166"/>
      <c r="AB282" s="166"/>
    </row>
    <row r="283">
      <c r="N283" s="165"/>
      <c r="U283" s="166"/>
      <c r="V283" s="166"/>
      <c r="AA283" s="166"/>
      <c r="AB283" s="166"/>
    </row>
    <row r="284">
      <c r="N284" s="165"/>
      <c r="U284" s="166"/>
      <c r="V284" s="166"/>
      <c r="AA284" s="166"/>
      <c r="AB284" s="166"/>
    </row>
    <row r="285">
      <c r="N285" s="165"/>
      <c r="U285" s="166"/>
      <c r="V285" s="166"/>
      <c r="AA285" s="166"/>
      <c r="AB285" s="166"/>
    </row>
    <row r="286">
      <c r="N286" s="165"/>
      <c r="U286" s="166"/>
      <c r="V286" s="166"/>
      <c r="AA286" s="166"/>
      <c r="AB286" s="166"/>
    </row>
    <row r="287">
      <c r="N287" s="165"/>
      <c r="U287" s="166"/>
      <c r="V287" s="166"/>
      <c r="AA287" s="166"/>
      <c r="AB287" s="166"/>
    </row>
    <row r="288">
      <c r="N288" s="165"/>
      <c r="U288" s="166"/>
      <c r="V288" s="166"/>
      <c r="AA288" s="166"/>
      <c r="AB288" s="166"/>
    </row>
    <row r="289">
      <c r="N289" s="165"/>
      <c r="U289" s="166"/>
      <c r="V289" s="166"/>
      <c r="AA289" s="166"/>
      <c r="AB289" s="166"/>
    </row>
    <row r="290">
      <c r="N290" s="165"/>
      <c r="U290" s="166"/>
      <c r="V290" s="166"/>
      <c r="AA290" s="166"/>
      <c r="AB290" s="166"/>
    </row>
    <row r="291">
      <c r="N291" s="165"/>
      <c r="U291" s="166"/>
      <c r="V291" s="166"/>
      <c r="AA291" s="166"/>
      <c r="AB291" s="166"/>
    </row>
    <row r="292">
      <c r="N292" s="165"/>
      <c r="U292" s="166"/>
      <c r="V292" s="166"/>
      <c r="AA292" s="166"/>
      <c r="AB292" s="166"/>
    </row>
    <row r="293">
      <c r="N293" s="165"/>
      <c r="U293" s="166"/>
      <c r="V293" s="166"/>
      <c r="AA293" s="166"/>
      <c r="AB293" s="166"/>
    </row>
    <row r="294">
      <c r="N294" s="165"/>
      <c r="U294" s="166"/>
      <c r="V294" s="166"/>
      <c r="AA294" s="166"/>
      <c r="AB294" s="166"/>
    </row>
    <row r="295">
      <c r="N295" s="165"/>
      <c r="U295" s="166"/>
      <c r="V295" s="166"/>
      <c r="AA295" s="166"/>
      <c r="AB295" s="166"/>
    </row>
    <row r="296">
      <c r="N296" s="165"/>
      <c r="U296" s="166"/>
      <c r="V296" s="166"/>
      <c r="AA296" s="166"/>
      <c r="AB296" s="166"/>
    </row>
    <row r="297">
      <c r="N297" s="165"/>
      <c r="U297" s="166"/>
      <c r="V297" s="166"/>
      <c r="AA297" s="166"/>
      <c r="AB297" s="166"/>
    </row>
    <row r="298">
      <c r="N298" s="165"/>
      <c r="U298" s="166"/>
      <c r="V298" s="166"/>
      <c r="AA298" s="166"/>
      <c r="AB298" s="166"/>
    </row>
    <row r="299">
      <c r="N299" s="165"/>
      <c r="U299" s="166"/>
      <c r="V299" s="166"/>
      <c r="AA299" s="166"/>
      <c r="AB299" s="166"/>
    </row>
    <row r="300">
      <c r="N300" s="165"/>
      <c r="U300" s="166"/>
      <c r="V300" s="166"/>
      <c r="AA300" s="166"/>
      <c r="AB300" s="166"/>
    </row>
    <row r="301">
      <c r="N301" s="165"/>
      <c r="U301" s="166"/>
      <c r="V301" s="166"/>
      <c r="AA301" s="166"/>
      <c r="AB301" s="166"/>
    </row>
    <row r="302">
      <c r="N302" s="165"/>
      <c r="U302" s="166"/>
      <c r="V302" s="166"/>
      <c r="AA302" s="166"/>
      <c r="AB302" s="166"/>
    </row>
    <row r="303">
      <c r="N303" s="165"/>
      <c r="U303" s="166"/>
      <c r="V303" s="166"/>
      <c r="AA303" s="166"/>
      <c r="AB303" s="166"/>
    </row>
    <row r="304">
      <c r="N304" s="165"/>
      <c r="U304" s="166"/>
      <c r="V304" s="166"/>
      <c r="AA304" s="166"/>
      <c r="AB304" s="166"/>
    </row>
    <row r="305">
      <c r="N305" s="165"/>
      <c r="U305" s="166"/>
      <c r="V305" s="166"/>
      <c r="AA305" s="166"/>
      <c r="AB305" s="166"/>
    </row>
    <row r="306">
      <c r="N306" s="165"/>
      <c r="U306" s="166"/>
      <c r="V306" s="166"/>
      <c r="AA306" s="166"/>
      <c r="AB306" s="166"/>
    </row>
    <row r="307">
      <c r="N307" s="165"/>
      <c r="U307" s="166"/>
      <c r="V307" s="166"/>
      <c r="AA307" s="166"/>
      <c r="AB307" s="166"/>
    </row>
    <row r="308">
      <c r="N308" s="165"/>
      <c r="U308" s="166"/>
      <c r="V308" s="166"/>
      <c r="AA308" s="166"/>
      <c r="AB308" s="166"/>
    </row>
    <row r="309">
      <c r="N309" s="165"/>
      <c r="U309" s="166"/>
      <c r="V309" s="166"/>
      <c r="AA309" s="166"/>
      <c r="AB309" s="166"/>
    </row>
    <row r="310">
      <c r="N310" s="165"/>
      <c r="U310" s="166"/>
      <c r="V310" s="166"/>
      <c r="AA310" s="166"/>
      <c r="AB310" s="166"/>
    </row>
    <row r="311">
      <c r="N311" s="165"/>
      <c r="U311" s="166"/>
      <c r="V311" s="166"/>
      <c r="AA311" s="166"/>
      <c r="AB311" s="166"/>
    </row>
    <row r="312">
      <c r="N312" s="165"/>
      <c r="U312" s="166"/>
      <c r="V312" s="166"/>
      <c r="AA312" s="166"/>
      <c r="AB312" s="166"/>
    </row>
    <row r="313">
      <c r="N313" s="165"/>
      <c r="U313" s="166"/>
      <c r="V313" s="166"/>
      <c r="AA313" s="166"/>
      <c r="AB313" s="166"/>
    </row>
    <row r="314">
      <c r="N314" s="165"/>
      <c r="U314" s="166"/>
      <c r="V314" s="166"/>
      <c r="AA314" s="166"/>
      <c r="AB314" s="166"/>
    </row>
    <row r="315">
      <c r="N315" s="165"/>
      <c r="U315" s="166"/>
      <c r="V315" s="166"/>
      <c r="AA315" s="166"/>
      <c r="AB315" s="166"/>
    </row>
    <row r="316">
      <c r="N316" s="165"/>
      <c r="U316" s="166"/>
      <c r="V316" s="166"/>
      <c r="AA316" s="166"/>
      <c r="AB316" s="166"/>
    </row>
    <row r="317">
      <c r="N317" s="165"/>
      <c r="U317" s="166"/>
      <c r="V317" s="166"/>
      <c r="AA317" s="166"/>
      <c r="AB317" s="166"/>
    </row>
    <row r="318">
      <c r="N318" s="165"/>
      <c r="U318" s="166"/>
      <c r="V318" s="166"/>
      <c r="AA318" s="166"/>
      <c r="AB318" s="166"/>
    </row>
    <row r="319">
      <c r="N319" s="165"/>
      <c r="U319" s="166"/>
      <c r="V319" s="166"/>
      <c r="AA319" s="166"/>
      <c r="AB319" s="166"/>
    </row>
    <row r="320">
      <c r="N320" s="165"/>
      <c r="U320" s="166"/>
      <c r="V320" s="166"/>
      <c r="AA320" s="166"/>
      <c r="AB320" s="166"/>
    </row>
    <row r="321">
      <c r="N321" s="165"/>
      <c r="U321" s="166"/>
      <c r="V321" s="166"/>
      <c r="AA321" s="166"/>
      <c r="AB321" s="166"/>
    </row>
    <row r="322">
      <c r="N322" s="165"/>
      <c r="U322" s="166"/>
      <c r="V322" s="166"/>
      <c r="AA322" s="166"/>
      <c r="AB322" s="166"/>
    </row>
    <row r="323">
      <c r="N323" s="165"/>
      <c r="U323" s="166"/>
      <c r="V323" s="166"/>
      <c r="AA323" s="166"/>
      <c r="AB323" s="166"/>
    </row>
    <row r="324">
      <c r="N324" s="165"/>
      <c r="U324" s="166"/>
      <c r="V324" s="166"/>
      <c r="AA324" s="166"/>
      <c r="AB324" s="166"/>
    </row>
    <row r="325">
      <c r="N325" s="165"/>
      <c r="U325" s="166"/>
      <c r="V325" s="166"/>
      <c r="AA325" s="166"/>
      <c r="AB325" s="166"/>
    </row>
    <row r="326">
      <c r="N326" s="165"/>
      <c r="U326" s="166"/>
      <c r="V326" s="166"/>
      <c r="AA326" s="166"/>
      <c r="AB326" s="166"/>
    </row>
    <row r="327">
      <c r="N327" s="165"/>
      <c r="U327" s="166"/>
      <c r="V327" s="166"/>
      <c r="AA327" s="166"/>
      <c r="AB327" s="166"/>
    </row>
    <row r="328">
      <c r="N328" s="165"/>
      <c r="U328" s="166"/>
      <c r="V328" s="166"/>
      <c r="AA328" s="166"/>
      <c r="AB328" s="166"/>
    </row>
    <row r="329">
      <c r="N329" s="165"/>
      <c r="U329" s="166"/>
      <c r="V329" s="166"/>
      <c r="AA329" s="166"/>
      <c r="AB329" s="166"/>
    </row>
    <row r="330">
      <c r="N330" s="165"/>
      <c r="U330" s="166"/>
      <c r="V330" s="166"/>
      <c r="AA330" s="166"/>
      <c r="AB330" s="166"/>
    </row>
    <row r="331">
      <c r="N331" s="165"/>
      <c r="U331" s="166"/>
      <c r="V331" s="166"/>
      <c r="AA331" s="166"/>
      <c r="AB331" s="166"/>
    </row>
    <row r="332">
      <c r="N332" s="165"/>
      <c r="U332" s="166"/>
      <c r="V332" s="166"/>
      <c r="AA332" s="166"/>
      <c r="AB332" s="166"/>
    </row>
    <row r="333">
      <c r="N333" s="165"/>
      <c r="U333" s="166"/>
      <c r="V333" s="166"/>
      <c r="AA333" s="166"/>
      <c r="AB333" s="166"/>
    </row>
    <row r="334">
      <c r="N334" s="165"/>
      <c r="U334" s="166"/>
      <c r="V334" s="166"/>
      <c r="AA334" s="166"/>
      <c r="AB334" s="166"/>
    </row>
    <row r="335">
      <c r="N335" s="165"/>
      <c r="U335" s="166"/>
      <c r="V335" s="166"/>
      <c r="AA335" s="166"/>
      <c r="AB335" s="166"/>
    </row>
    <row r="336">
      <c r="N336" s="165"/>
      <c r="U336" s="166"/>
      <c r="V336" s="166"/>
      <c r="AA336" s="166"/>
      <c r="AB336" s="166"/>
    </row>
    <row r="337">
      <c r="N337" s="165"/>
      <c r="U337" s="166"/>
      <c r="V337" s="166"/>
      <c r="AA337" s="166"/>
      <c r="AB337" s="166"/>
    </row>
    <row r="338">
      <c r="N338" s="165"/>
      <c r="U338" s="166"/>
      <c r="V338" s="166"/>
      <c r="AA338" s="166"/>
      <c r="AB338" s="166"/>
    </row>
    <row r="339">
      <c r="N339" s="165"/>
      <c r="U339" s="166"/>
      <c r="V339" s="166"/>
      <c r="AA339" s="166"/>
      <c r="AB339" s="166"/>
    </row>
    <row r="340">
      <c r="N340" s="165"/>
      <c r="U340" s="166"/>
      <c r="V340" s="166"/>
      <c r="AA340" s="166"/>
      <c r="AB340" s="166"/>
    </row>
    <row r="341">
      <c r="N341" s="165"/>
      <c r="U341" s="166"/>
      <c r="V341" s="166"/>
      <c r="AA341" s="166"/>
      <c r="AB341" s="166"/>
    </row>
    <row r="342">
      <c r="N342" s="165"/>
      <c r="U342" s="166"/>
      <c r="V342" s="166"/>
      <c r="AA342" s="166"/>
      <c r="AB342" s="166"/>
    </row>
    <row r="343">
      <c r="N343" s="165"/>
      <c r="U343" s="166"/>
      <c r="V343" s="166"/>
      <c r="AA343" s="166"/>
      <c r="AB343" s="166"/>
    </row>
    <row r="344">
      <c r="N344" s="165"/>
      <c r="U344" s="166"/>
      <c r="V344" s="166"/>
      <c r="AA344" s="166"/>
      <c r="AB344" s="166"/>
    </row>
    <row r="345">
      <c r="N345" s="165"/>
      <c r="U345" s="166"/>
      <c r="V345" s="166"/>
      <c r="AA345" s="166"/>
      <c r="AB345" s="166"/>
    </row>
    <row r="346">
      <c r="N346" s="165"/>
      <c r="U346" s="166"/>
      <c r="V346" s="166"/>
      <c r="AA346" s="166"/>
      <c r="AB346" s="166"/>
    </row>
    <row r="347">
      <c r="N347" s="165"/>
      <c r="U347" s="166"/>
      <c r="V347" s="166"/>
      <c r="AA347" s="166"/>
      <c r="AB347" s="166"/>
    </row>
    <row r="348">
      <c r="N348" s="165"/>
      <c r="U348" s="166"/>
      <c r="V348" s="166"/>
      <c r="AA348" s="166"/>
      <c r="AB348" s="166"/>
    </row>
    <row r="349">
      <c r="N349" s="165"/>
      <c r="U349" s="166"/>
      <c r="V349" s="166"/>
      <c r="AA349" s="166"/>
      <c r="AB349" s="166"/>
    </row>
    <row r="350">
      <c r="N350" s="165"/>
      <c r="U350" s="166"/>
      <c r="V350" s="166"/>
      <c r="AA350" s="166"/>
      <c r="AB350" s="166"/>
    </row>
    <row r="351">
      <c r="N351" s="165"/>
      <c r="U351" s="166"/>
      <c r="V351" s="166"/>
      <c r="AA351" s="166"/>
      <c r="AB351" s="166"/>
    </row>
    <row r="352">
      <c r="N352" s="165"/>
      <c r="U352" s="166"/>
      <c r="V352" s="166"/>
      <c r="AA352" s="166"/>
      <c r="AB352" s="166"/>
    </row>
    <row r="353">
      <c r="N353" s="165"/>
      <c r="U353" s="166"/>
      <c r="V353" s="166"/>
      <c r="AA353" s="166"/>
      <c r="AB353" s="166"/>
    </row>
    <row r="354">
      <c r="N354" s="165"/>
      <c r="U354" s="166"/>
      <c r="V354" s="166"/>
      <c r="AA354" s="166"/>
      <c r="AB354" s="166"/>
    </row>
    <row r="355">
      <c r="N355" s="165"/>
      <c r="U355" s="166"/>
      <c r="V355" s="166"/>
      <c r="AA355" s="166"/>
      <c r="AB355" s="166"/>
    </row>
    <row r="356">
      <c r="N356" s="165"/>
      <c r="U356" s="166"/>
      <c r="V356" s="166"/>
      <c r="AA356" s="166"/>
      <c r="AB356" s="166"/>
    </row>
    <row r="357">
      <c r="N357" s="165"/>
      <c r="U357" s="166"/>
      <c r="V357" s="166"/>
      <c r="AA357" s="166"/>
      <c r="AB357" s="166"/>
    </row>
    <row r="358">
      <c r="N358" s="165"/>
      <c r="U358" s="166"/>
      <c r="V358" s="166"/>
      <c r="AA358" s="166"/>
      <c r="AB358" s="166"/>
    </row>
    <row r="359">
      <c r="N359" s="165"/>
      <c r="U359" s="166"/>
      <c r="V359" s="166"/>
      <c r="AA359" s="166"/>
      <c r="AB359" s="166"/>
    </row>
    <row r="360">
      <c r="N360" s="165"/>
      <c r="U360" s="166"/>
      <c r="V360" s="166"/>
      <c r="AA360" s="166"/>
      <c r="AB360" s="166"/>
    </row>
    <row r="361">
      <c r="N361" s="165"/>
      <c r="U361" s="166"/>
      <c r="V361" s="166"/>
      <c r="AA361" s="166"/>
      <c r="AB361" s="166"/>
    </row>
    <row r="362">
      <c r="N362" s="165"/>
      <c r="U362" s="166"/>
      <c r="V362" s="166"/>
      <c r="AA362" s="166"/>
      <c r="AB362" s="166"/>
    </row>
    <row r="363">
      <c r="N363" s="165"/>
      <c r="U363" s="166"/>
      <c r="V363" s="166"/>
      <c r="AA363" s="166"/>
      <c r="AB363" s="166"/>
    </row>
    <row r="364">
      <c r="N364" s="165"/>
      <c r="U364" s="166"/>
      <c r="V364" s="166"/>
      <c r="AA364" s="166"/>
      <c r="AB364" s="166"/>
    </row>
    <row r="365">
      <c r="N365" s="165"/>
      <c r="U365" s="166"/>
      <c r="V365" s="166"/>
      <c r="AA365" s="166"/>
      <c r="AB365" s="166"/>
    </row>
    <row r="366">
      <c r="N366" s="165"/>
      <c r="U366" s="166"/>
      <c r="V366" s="166"/>
      <c r="AA366" s="166"/>
      <c r="AB366" s="166"/>
    </row>
    <row r="367">
      <c r="N367" s="165"/>
      <c r="U367" s="166"/>
      <c r="V367" s="166"/>
      <c r="AA367" s="166"/>
      <c r="AB367" s="166"/>
    </row>
    <row r="368">
      <c r="N368" s="165"/>
      <c r="U368" s="166"/>
      <c r="V368" s="166"/>
      <c r="AA368" s="166"/>
      <c r="AB368" s="166"/>
    </row>
    <row r="369">
      <c r="N369" s="165"/>
      <c r="U369" s="166"/>
      <c r="V369" s="166"/>
      <c r="AA369" s="166"/>
      <c r="AB369" s="166"/>
    </row>
    <row r="370">
      <c r="N370" s="165"/>
      <c r="U370" s="166"/>
      <c r="V370" s="166"/>
      <c r="AA370" s="166"/>
      <c r="AB370" s="166"/>
    </row>
    <row r="371">
      <c r="N371" s="165"/>
      <c r="U371" s="166"/>
      <c r="V371" s="166"/>
      <c r="AA371" s="166"/>
      <c r="AB371" s="166"/>
    </row>
    <row r="372">
      <c r="N372" s="165"/>
      <c r="U372" s="166"/>
      <c r="V372" s="166"/>
      <c r="AA372" s="166"/>
      <c r="AB372" s="166"/>
    </row>
    <row r="373">
      <c r="N373" s="165"/>
      <c r="U373" s="166"/>
      <c r="V373" s="166"/>
      <c r="AA373" s="166"/>
      <c r="AB373" s="166"/>
    </row>
    <row r="374">
      <c r="N374" s="165"/>
      <c r="U374" s="166"/>
      <c r="V374" s="166"/>
      <c r="AA374" s="166"/>
      <c r="AB374" s="166"/>
    </row>
    <row r="375">
      <c r="N375" s="165"/>
      <c r="U375" s="166"/>
      <c r="V375" s="166"/>
      <c r="AA375" s="166"/>
      <c r="AB375" s="166"/>
    </row>
    <row r="376">
      <c r="N376" s="165"/>
      <c r="U376" s="166"/>
      <c r="V376" s="166"/>
      <c r="AA376" s="166"/>
      <c r="AB376" s="166"/>
    </row>
    <row r="377">
      <c r="N377" s="165"/>
      <c r="U377" s="166"/>
      <c r="V377" s="166"/>
      <c r="AA377" s="166"/>
      <c r="AB377" s="166"/>
    </row>
    <row r="378">
      <c r="N378" s="165"/>
      <c r="U378" s="166"/>
      <c r="V378" s="166"/>
      <c r="AA378" s="166"/>
      <c r="AB378" s="166"/>
    </row>
    <row r="379">
      <c r="N379" s="165"/>
      <c r="U379" s="166"/>
      <c r="V379" s="166"/>
      <c r="AA379" s="166"/>
      <c r="AB379" s="166"/>
    </row>
    <row r="380">
      <c r="N380" s="165"/>
      <c r="U380" s="166"/>
      <c r="V380" s="166"/>
      <c r="AA380" s="166"/>
      <c r="AB380" s="166"/>
    </row>
    <row r="381">
      <c r="N381" s="165"/>
      <c r="U381" s="166"/>
      <c r="V381" s="166"/>
      <c r="AA381" s="166"/>
      <c r="AB381" s="166"/>
    </row>
    <row r="382">
      <c r="N382" s="165"/>
      <c r="U382" s="166"/>
      <c r="V382" s="166"/>
      <c r="AA382" s="166"/>
      <c r="AB382" s="166"/>
    </row>
    <row r="383">
      <c r="N383" s="165"/>
      <c r="U383" s="166"/>
      <c r="V383" s="166"/>
      <c r="AA383" s="166"/>
      <c r="AB383" s="166"/>
    </row>
    <row r="384">
      <c r="N384" s="165"/>
      <c r="U384" s="166"/>
      <c r="V384" s="166"/>
      <c r="AA384" s="166"/>
      <c r="AB384" s="166"/>
    </row>
    <row r="385">
      <c r="N385" s="165"/>
      <c r="U385" s="166"/>
      <c r="V385" s="166"/>
      <c r="AA385" s="166"/>
      <c r="AB385" s="166"/>
    </row>
    <row r="386">
      <c r="N386" s="165"/>
      <c r="U386" s="166"/>
      <c r="V386" s="166"/>
      <c r="AA386" s="166"/>
      <c r="AB386" s="166"/>
    </row>
    <row r="387">
      <c r="N387" s="165"/>
      <c r="U387" s="166"/>
      <c r="V387" s="166"/>
      <c r="AA387" s="166"/>
      <c r="AB387" s="166"/>
    </row>
    <row r="388">
      <c r="N388" s="165"/>
      <c r="U388" s="166"/>
      <c r="V388" s="166"/>
      <c r="AA388" s="166"/>
      <c r="AB388" s="166"/>
    </row>
    <row r="389">
      <c r="N389" s="165"/>
      <c r="U389" s="166"/>
      <c r="V389" s="166"/>
      <c r="AA389" s="166"/>
      <c r="AB389" s="166"/>
    </row>
    <row r="390">
      <c r="N390" s="165"/>
      <c r="U390" s="166"/>
      <c r="V390" s="166"/>
      <c r="AA390" s="166"/>
      <c r="AB390" s="166"/>
    </row>
    <row r="391">
      <c r="N391" s="165"/>
      <c r="U391" s="166"/>
      <c r="V391" s="166"/>
      <c r="AA391" s="166"/>
      <c r="AB391" s="166"/>
    </row>
    <row r="392">
      <c r="N392" s="165"/>
      <c r="U392" s="166"/>
      <c r="V392" s="166"/>
      <c r="AA392" s="166"/>
      <c r="AB392" s="166"/>
    </row>
    <row r="393">
      <c r="N393" s="165"/>
      <c r="U393" s="166"/>
      <c r="V393" s="166"/>
      <c r="AA393" s="166"/>
      <c r="AB393" s="166"/>
    </row>
    <row r="394">
      <c r="N394" s="165"/>
      <c r="U394" s="166"/>
      <c r="V394" s="166"/>
      <c r="AA394" s="166"/>
      <c r="AB394" s="166"/>
    </row>
    <row r="395">
      <c r="N395" s="165"/>
      <c r="U395" s="166"/>
      <c r="V395" s="166"/>
      <c r="AA395" s="166"/>
      <c r="AB395" s="166"/>
    </row>
    <row r="396">
      <c r="N396" s="165"/>
      <c r="U396" s="166"/>
      <c r="V396" s="166"/>
      <c r="AA396" s="166"/>
      <c r="AB396" s="166"/>
    </row>
    <row r="397">
      <c r="N397" s="165"/>
      <c r="U397" s="166"/>
      <c r="V397" s="166"/>
      <c r="AA397" s="166"/>
      <c r="AB397" s="166"/>
    </row>
    <row r="398">
      <c r="N398" s="165"/>
      <c r="U398" s="166"/>
      <c r="V398" s="166"/>
      <c r="AA398" s="166"/>
      <c r="AB398" s="166"/>
    </row>
    <row r="399">
      <c r="N399" s="165"/>
      <c r="U399" s="166"/>
      <c r="V399" s="166"/>
      <c r="AA399" s="166"/>
      <c r="AB399" s="166"/>
    </row>
    <row r="400">
      <c r="N400" s="165"/>
      <c r="U400" s="166"/>
      <c r="V400" s="166"/>
      <c r="AA400" s="166"/>
      <c r="AB400" s="166"/>
    </row>
    <row r="401">
      <c r="N401" s="165"/>
      <c r="U401" s="166"/>
      <c r="V401" s="166"/>
      <c r="AA401" s="166"/>
      <c r="AB401" s="166"/>
    </row>
    <row r="402">
      <c r="N402" s="165"/>
      <c r="U402" s="166"/>
      <c r="V402" s="166"/>
      <c r="AA402" s="166"/>
      <c r="AB402" s="166"/>
    </row>
    <row r="403">
      <c r="N403" s="165"/>
      <c r="U403" s="166"/>
      <c r="V403" s="166"/>
      <c r="AA403" s="166"/>
      <c r="AB403" s="166"/>
    </row>
    <row r="404">
      <c r="N404" s="165"/>
      <c r="U404" s="166"/>
      <c r="V404" s="166"/>
      <c r="AA404" s="166"/>
      <c r="AB404" s="166"/>
    </row>
    <row r="405">
      <c r="N405" s="165"/>
      <c r="U405" s="166"/>
      <c r="V405" s="166"/>
      <c r="AA405" s="166"/>
      <c r="AB405" s="166"/>
    </row>
    <row r="406">
      <c r="N406" s="165"/>
      <c r="U406" s="166"/>
      <c r="V406" s="166"/>
      <c r="AA406" s="166"/>
      <c r="AB406" s="166"/>
    </row>
    <row r="407">
      <c r="N407" s="165"/>
      <c r="U407" s="166"/>
      <c r="V407" s="166"/>
      <c r="AA407" s="166"/>
      <c r="AB407" s="166"/>
    </row>
    <row r="408">
      <c r="N408" s="165"/>
      <c r="U408" s="166"/>
      <c r="V408" s="166"/>
      <c r="AA408" s="166"/>
      <c r="AB408" s="166"/>
    </row>
    <row r="409">
      <c r="N409" s="165"/>
      <c r="U409" s="166"/>
      <c r="V409" s="166"/>
      <c r="AA409" s="166"/>
      <c r="AB409" s="166"/>
    </row>
    <row r="410">
      <c r="N410" s="165"/>
      <c r="U410" s="166"/>
      <c r="V410" s="166"/>
      <c r="AA410" s="166"/>
      <c r="AB410" s="166"/>
    </row>
    <row r="411">
      <c r="N411" s="165"/>
      <c r="U411" s="166"/>
      <c r="V411" s="166"/>
      <c r="AA411" s="166"/>
      <c r="AB411" s="166"/>
    </row>
    <row r="412">
      <c r="N412" s="165"/>
      <c r="U412" s="166"/>
      <c r="V412" s="166"/>
      <c r="AA412" s="166"/>
      <c r="AB412" s="166"/>
    </row>
    <row r="413">
      <c r="N413" s="165"/>
      <c r="U413" s="166"/>
      <c r="V413" s="166"/>
      <c r="AA413" s="166"/>
      <c r="AB413" s="166"/>
    </row>
    <row r="414">
      <c r="N414" s="165"/>
      <c r="U414" s="166"/>
      <c r="V414" s="166"/>
      <c r="AA414" s="166"/>
      <c r="AB414" s="166"/>
    </row>
    <row r="415">
      <c r="N415" s="165"/>
      <c r="U415" s="166"/>
      <c r="V415" s="166"/>
      <c r="AA415" s="166"/>
      <c r="AB415" s="166"/>
    </row>
    <row r="416">
      <c r="N416" s="165"/>
      <c r="U416" s="166"/>
      <c r="V416" s="166"/>
      <c r="AA416" s="166"/>
      <c r="AB416" s="166"/>
    </row>
    <row r="417">
      <c r="N417" s="165"/>
      <c r="U417" s="166"/>
      <c r="V417" s="166"/>
      <c r="AA417" s="166"/>
      <c r="AB417" s="166"/>
    </row>
    <row r="418">
      <c r="N418" s="165"/>
      <c r="U418" s="166"/>
      <c r="V418" s="166"/>
      <c r="AA418" s="166"/>
      <c r="AB418" s="166"/>
    </row>
    <row r="419">
      <c r="N419" s="165"/>
      <c r="U419" s="166"/>
      <c r="V419" s="166"/>
      <c r="AA419" s="166"/>
      <c r="AB419" s="166"/>
    </row>
    <row r="420">
      <c r="N420" s="165"/>
      <c r="U420" s="166"/>
      <c r="V420" s="166"/>
      <c r="AA420" s="166"/>
      <c r="AB420" s="166"/>
    </row>
    <row r="421">
      <c r="N421" s="165"/>
      <c r="U421" s="166"/>
      <c r="V421" s="166"/>
      <c r="AA421" s="166"/>
      <c r="AB421" s="166"/>
    </row>
    <row r="422">
      <c r="N422" s="165"/>
      <c r="U422" s="166"/>
      <c r="V422" s="166"/>
      <c r="AA422" s="166"/>
      <c r="AB422" s="166"/>
    </row>
    <row r="423">
      <c r="N423" s="165"/>
      <c r="U423" s="166"/>
      <c r="V423" s="166"/>
      <c r="AA423" s="166"/>
      <c r="AB423" s="166"/>
    </row>
    <row r="424">
      <c r="N424" s="165"/>
      <c r="U424" s="166"/>
      <c r="V424" s="166"/>
      <c r="AA424" s="166"/>
      <c r="AB424" s="166"/>
    </row>
    <row r="425">
      <c r="N425" s="165"/>
      <c r="U425" s="166"/>
      <c r="V425" s="166"/>
      <c r="AA425" s="166"/>
      <c r="AB425" s="166"/>
    </row>
    <row r="426">
      <c r="N426" s="165"/>
      <c r="U426" s="166"/>
      <c r="V426" s="166"/>
      <c r="AA426" s="166"/>
      <c r="AB426" s="166"/>
    </row>
    <row r="427">
      <c r="N427" s="165"/>
      <c r="U427" s="166"/>
      <c r="V427" s="166"/>
      <c r="AA427" s="166"/>
      <c r="AB427" s="166"/>
    </row>
    <row r="428">
      <c r="N428" s="165"/>
      <c r="U428" s="166"/>
      <c r="V428" s="166"/>
      <c r="AA428" s="166"/>
      <c r="AB428" s="166"/>
    </row>
    <row r="429">
      <c r="N429" s="165"/>
      <c r="U429" s="166"/>
      <c r="V429" s="166"/>
      <c r="AA429" s="166"/>
      <c r="AB429" s="166"/>
    </row>
    <row r="430">
      <c r="N430" s="165"/>
      <c r="U430" s="166"/>
      <c r="V430" s="166"/>
      <c r="AA430" s="166"/>
      <c r="AB430" s="166"/>
    </row>
    <row r="431">
      <c r="N431" s="165"/>
      <c r="U431" s="166"/>
      <c r="V431" s="166"/>
      <c r="AA431" s="166"/>
      <c r="AB431" s="166"/>
    </row>
    <row r="432">
      <c r="N432" s="165"/>
      <c r="U432" s="166"/>
      <c r="V432" s="166"/>
      <c r="AA432" s="166"/>
      <c r="AB432" s="166"/>
    </row>
    <row r="433">
      <c r="N433" s="165"/>
      <c r="U433" s="166"/>
      <c r="V433" s="166"/>
      <c r="AA433" s="166"/>
      <c r="AB433" s="166"/>
    </row>
    <row r="434">
      <c r="N434" s="165"/>
      <c r="U434" s="166"/>
      <c r="V434" s="166"/>
      <c r="AA434" s="166"/>
      <c r="AB434" s="166"/>
    </row>
    <row r="435">
      <c r="N435" s="165"/>
      <c r="U435" s="166"/>
      <c r="V435" s="166"/>
      <c r="AA435" s="166"/>
      <c r="AB435" s="166"/>
    </row>
    <row r="436">
      <c r="N436" s="165"/>
      <c r="U436" s="166"/>
      <c r="V436" s="166"/>
      <c r="AA436" s="166"/>
      <c r="AB436" s="166"/>
    </row>
    <row r="437">
      <c r="N437" s="165"/>
      <c r="U437" s="166"/>
      <c r="V437" s="166"/>
      <c r="AA437" s="166"/>
      <c r="AB437" s="166"/>
    </row>
    <row r="438">
      <c r="N438" s="165"/>
      <c r="U438" s="166"/>
      <c r="V438" s="166"/>
      <c r="AA438" s="166"/>
      <c r="AB438" s="166"/>
    </row>
    <row r="439">
      <c r="N439" s="165"/>
      <c r="U439" s="166"/>
      <c r="V439" s="166"/>
      <c r="AA439" s="166"/>
      <c r="AB439" s="166"/>
    </row>
    <row r="440">
      <c r="N440" s="165"/>
      <c r="U440" s="166"/>
      <c r="V440" s="166"/>
      <c r="AA440" s="166"/>
      <c r="AB440" s="166"/>
    </row>
    <row r="441">
      <c r="N441" s="165"/>
      <c r="U441" s="166"/>
      <c r="V441" s="166"/>
      <c r="AA441" s="166"/>
      <c r="AB441" s="166"/>
    </row>
    <row r="442">
      <c r="N442" s="165"/>
      <c r="U442" s="166"/>
      <c r="V442" s="166"/>
      <c r="AA442" s="166"/>
      <c r="AB442" s="166"/>
    </row>
    <row r="443">
      <c r="N443" s="165"/>
      <c r="U443" s="166"/>
      <c r="V443" s="166"/>
      <c r="AA443" s="166"/>
      <c r="AB443" s="166"/>
    </row>
    <row r="444">
      <c r="N444" s="165"/>
      <c r="U444" s="166"/>
      <c r="V444" s="166"/>
      <c r="AA444" s="166"/>
      <c r="AB444" s="166"/>
    </row>
    <row r="445">
      <c r="N445" s="165"/>
      <c r="U445" s="166"/>
      <c r="V445" s="166"/>
      <c r="AA445" s="166"/>
      <c r="AB445" s="166"/>
    </row>
    <row r="446">
      <c r="N446" s="165"/>
      <c r="U446" s="166"/>
      <c r="V446" s="166"/>
      <c r="AA446" s="166"/>
      <c r="AB446" s="166"/>
    </row>
    <row r="447">
      <c r="N447" s="165"/>
      <c r="U447" s="166"/>
      <c r="V447" s="166"/>
      <c r="AA447" s="166"/>
      <c r="AB447" s="166"/>
    </row>
    <row r="448">
      <c r="N448" s="165"/>
      <c r="U448" s="166"/>
      <c r="V448" s="166"/>
      <c r="AA448" s="166"/>
      <c r="AB448" s="166"/>
    </row>
    <row r="449">
      <c r="N449" s="165"/>
      <c r="U449" s="166"/>
      <c r="V449" s="166"/>
      <c r="AA449" s="166"/>
      <c r="AB449" s="166"/>
    </row>
    <row r="450">
      <c r="N450" s="165"/>
      <c r="U450" s="166"/>
      <c r="V450" s="166"/>
      <c r="AA450" s="166"/>
      <c r="AB450" s="166"/>
    </row>
    <row r="451">
      <c r="N451" s="165"/>
      <c r="U451" s="166"/>
      <c r="V451" s="166"/>
      <c r="AA451" s="166"/>
      <c r="AB451" s="166"/>
    </row>
    <row r="452">
      <c r="N452" s="165"/>
      <c r="U452" s="166"/>
      <c r="V452" s="166"/>
      <c r="AA452" s="166"/>
      <c r="AB452" s="166"/>
    </row>
    <row r="453">
      <c r="N453" s="165"/>
      <c r="U453" s="166"/>
      <c r="V453" s="166"/>
      <c r="AA453" s="166"/>
      <c r="AB453" s="166"/>
    </row>
    <row r="454">
      <c r="N454" s="165"/>
      <c r="U454" s="166"/>
      <c r="V454" s="166"/>
      <c r="AA454" s="166"/>
      <c r="AB454" s="166"/>
    </row>
    <row r="455">
      <c r="N455" s="165"/>
      <c r="U455" s="166"/>
      <c r="V455" s="166"/>
      <c r="AA455" s="166"/>
      <c r="AB455" s="166"/>
    </row>
    <row r="456">
      <c r="N456" s="165"/>
      <c r="U456" s="166"/>
      <c r="V456" s="166"/>
      <c r="AA456" s="166"/>
      <c r="AB456" s="166"/>
    </row>
    <row r="457">
      <c r="N457" s="165"/>
      <c r="U457" s="166"/>
      <c r="V457" s="166"/>
      <c r="AA457" s="166"/>
      <c r="AB457" s="166"/>
    </row>
    <row r="458">
      <c r="N458" s="165"/>
      <c r="U458" s="166"/>
      <c r="V458" s="166"/>
      <c r="AA458" s="166"/>
      <c r="AB458" s="166"/>
    </row>
    <row r="459">
      <c r="N459" s="165"/>
      <c r="U459" s="166"/>
      <c r="V459" s="166"/>
      <c r="AA459" s="166"/>
      <c r="AB459" s="166"/>
    </row>
    <row r="460">
      <c r="N460" s="165"/>
      <c r="U460" s="166"/>
      <c r="V460" s="166"/>
      <c r="AA460" s="166"/>
      <c r="AB460" s="166"/>
    </row>
    <row r="461">
      <c r="N461" s="165"/>
      <c r="U461" s="166"/>
      <c r="V461" s="166"/>
      <c r="AA461" s="166"/>
      <c r="AB461" s="166"/>
    </row>
    <row r="462">
      <c r="N462" s="165"/>
      <c r="U462" s="166"/>
      <c r="V462" s="166"/>
      <c r="AA462" s="166"/>
      <c r="AB462" s="166"/>
    </row>
    <row r="463">
      <c r="N463" s="165"/>
      <c r="U463" s="166"/>
      <c r="V463" s="166"/>
      <c r="AA463" s="166"/>
      <c r="AB463" s="166"/>
    </row>
    <row r="464">
      <c r="N464" s="165"/>
      <c r="U464" s="166"/>
      <c r="V464" s="166"/>
      <c r="AA464" s="166"/>
      <c r="AB464" s="166"/>
    </row>
    <row r="465">
      <c r="N465" s="165"/>
      <c r="U465" s="166"/>
      <c r="V465" s="166"/>
      <c r="AA465" s="166"/>
      <c r="AB465" s="166"/>
    </row>
    <row r="466">
      <c r="N466" s="165"/>
      <c r="U466" s="166"/>
      <c r="V466" s="166"/>
      <c r="AA466" s="166"/>
      <c r="AB466" s="166"/>
    </row>
    <row r="467">
      <c r="N467" s="165"/>
      <c r="U467" s="166"/>
      <c r="V467" s="166"/>
      <c r="AA467" s="166"/>
      <c r="AB467" s="166"/>
    </row>
    <row r="468">
      <c r="N468" s="165"/>
      <c r="U468" s="166"/>
      <c r="V468" s="166"/>
      <c r="AA468" s="166"/>
      <c r="AB468" s="166"/>
    </row>
    <row r="469">
      <c r="N469" s="165"/>
      <c r="U469" s="166"/>
      <c r="V469" s="166"/>
      <c r="AA469" s="166"/>
      <c r="AB469" s="166"/>
    </row>
    <row r="470">
      <c r="N470" s="165"/>
      <c r="U470" s="166"/>
      <c r="V470" s="166"/>
      <c r="AA470" s="166"/>
      <c r="AB470" s="166"/>
    </row>
    <row r="471">
      <c r="N471" s="165"/>
      <c r="U471" s="166"/>
      <c r="V471" s="166"/>
      <c r="AA471" s="166"/>
      <c r="AB471" s="166"/>
    </row>
    <row r="472">
      <c r="N472" s="165"/>
      <c r="U472" s="166"/>
      <c r="V472" s="166"/>
      <c r="AA472" s="166"/>
      <c r="AB472" s="166"/>
    </row>
    <row r="473">
      <c r="N473" s="165"/>
      <c r="U473" s="166"/>
      <c r="V473" s="166"/>
      <c r="AA473" s="166"/>
      <c r="AB473" s="166"/>
    </row>
    <row r="474">
      <c r="N474" s="165"/>
      <c r="U474" s="166"/>
      <c r="V474" s="166"/>
      <c r="AA474" s="166"/>
      <c r="AB474" s="166"/>
    </row>
    <row r="475">
      <c r="N475" s="165"/>
      <c r="U475" s="166"/>
      <c r="V475" s="166"/>
      <c r="AA475" s="166"/>
      <c r="AB475" s="166"/>
    </row>
    <row r="476">
      <c r="N476" s="165"/>
      <c r="U476" s="166"/>
      <c r="V476" s="166"/>
      <c r="AA476" s="166"/>
      <c r="AB476" s="166"/>
    </row>
    <row r="477">
      <c r="N477" s="165"/>
      <c r="U477" s="166"/>
      <c r="V477" s="166"/>
      <c r="AA477" s="166"/>
      <c r="AB477" s="166"/>
    </row>
    <row r="478">
      <c r="N478" s="165"/>
      <c r="U478" s="166"/>
      <c r="V478" s="166"/>
      <c r="AA478" s="166"/>
      <c r="AB478" s="166"/>
    </row>
    <row r="479">
      <c r="N479" s="165"/>
      <c r="U479" s="166"/>
      <c r="V479" s="166"/>
      <c r="AA479" s="166"/>
      <c r="AB479" s="166"/>
    </row>
    <row r="480">
      <c r="N480" s="165"/>
      <c r="U480" s="166"/>
      <c r="V480" s="166"/>
      <c r="AA480" s="166"/>
      <c r="AB480" s="166"/>
    </row>
    <row r="481">
      <c r="N481" s="165"/>
      <c r="U481" s="166"/>
      <c r="V481" s="166"/>
      <c r="AA481" s="166"/>
      <c r="AB481" s="166"/>
    </row>
    <row r="482">
      <c r="N482" s="165"/>
      <c r="U482" s="166"/>
      <c r="V482" s="166"/>
      <c r="AA482" s="166"/>
      <c r="AB482" s="166"/>
    </row>
    <row r="483">
      <c r="N483" s="165"/>
      <c r="U483" s="166"/>
      <c r="V483" s="166"/>
      <c r="AA483" s="166"/>
      <c r="AB483" s="166"/>
    </row>
    <row r="484">
      <c r="N484" s="165"/>
      <c r="U484" s="166"/>
      <c r="V484" s="166"/>
      <c r="AA484" s="166"/>
      <c r="AB484" s="166"/>
    </row>
    <row r="485">
      <c r="N485" s="165"/>
      <c r="U485" s="166"/>
      <c r="V485" s="166"/>
      <c r="AA485" s="166"/>
      <c r="AB485" s="166"/>
    </row>
    <row r="486">
      <c r="N486" s="165"/>
      <c r="U486" s="166"/>
      <c r="V486" s="166"/>
      <c r="AA486" s="166"/>
      <c r="AB486" s="166"/>
    </row>
    <row r="487">
      <c r="N487" s="165"/>
      <c r="U487" s="166"/>
      <c r="V487" s="166"/>
      <c r="AA487" s="166"/>
      <c r="AB487" s="166"/>
    </row>
    <row r="488">
      <c r="N488" s="165"/>
      <c r="U488" s="166"/>
      <c r="V488" s="166"/>
      <c r="AA488" s="166"/>
      <c r="AB488" s="166"/>
    </row>
    <row r="489">
      <c r="N489" s="165"/>
      <c r="U489" s="166"/>
      <c r="V489" s="166"/>
      <c r="AA489" s="166"/>
      <c r="AB489" s="166"/>
    </row>
    <row r="490">
      <c r="N490" s="165"/>
      <c r="U490" s="166"/>
      <c r="V490" s="166"/>
      <c r="AA490" s="166"/>
      <c r="AB490" s="166"/>
    </row>
    <row r="491">
      <c r="N491" s="165"/>
      <c r="U491" s="166"/>
      <c r="V491" s="166"/>
      <c r="AA491" s="166"/>
      <c r="AB491" s="166"/>
    </row>
    <row r="492">
      <c r="N492" s="165"/>
      <c r="U492" s="166"/>
      <c r="V492" s="166"/>
      <c r="AA492" s="166"/>
      <c r="AB492" s="166"/>
    </row>
    <row r="493">
      <c r="N493" s="165"/>
      <c r="U493" s="166"/>
      <c r="V493" s="166"/>
      <c r="AA493" s="166"/>
      <c r="AB493" s="166"/>
    </row>
    <row r="494">
      <c r="N494" s="165"/>
      <c r="U494" s="166"/>
      <c r="V494" s="166"/>
      <c r="AA494" s="166"/>
      <c r="AB494" s="166"/>
    </row>
    <row r="495">
      <c r="N495" s="165"/>
      <c r="U495" s="166"/>
      <c r="V495" s="166"/>
      <c r="AA495" s="166"/>
      <c r="AB495" s="166"/>
    </row>
    <row r="496">
      <c r="N496" s="165"/>
      <c r="U496" s="166"/>
      <c r="V496" s="166"/>
      <c r="AA496" s="166"/>
      <c r="AB496" s="166"/>
    </row>
    <row r="497">
      <c r="N497" s="165"/>
      <c r="U497" s="166"/>
      <c r="V497" s="166"/>
      <c r="AA497" s="166"/>
      <c r="AB497" s="166"/>
    </row>
    <row r="498">
      <c r="N498" s="165"/>
      <c r="U498" s="166"/>
      <c r="V498" s="166"/>
      <c r="AA498" s="166"/>
      <c r="AB498" s="166"/>
    </row>
    <row r="499">
      <c r="N499" s="165"/>
      <c r="U499" s="166"/>
      <c r="V499" s="166"/>
      <c r="AA499" s="166"/>
      <c r="AB499" s="166"/>
    </row>
    <row r="500">
      <c r="N500" s="165"/>
      <c r="U500" s="166"/>
      <c r="V500" s="166"/>
      <c r="AA500" s="166"/>
      <c r="AB500" s="166"/>
    </row>
    <row r="501">
      <c r="N501" s="165"/>
      <c r="U501" s="166"/>
      <c r="V501" s="166"/>
      <c r="AA501" s="166"/>
      <c r="AB501" s="166"/>
    </row>
    <row r="502">
      <c r="N502" s="165"/>
      <c r="U502" s="166"/>
      <c r="V502" s="166"/>
      <c r="AA502" s="166"/>
      <c r="AB502" s="166"/>
    </row>
    <row r="503">
      <c r="N503" s="165"/>
      <c r="U503" s="166"/>
      <c r="V503" s="166"/>
      <c r="AA503" s="166"/>
      <c r="AB503" s="166"/>
    </row>
    <row r="504">
      <c r="N504" s="165"/>
      <c r="U504" s="166"/>
      <c r="V504" s="166"/>
      <c r="AA504" s="166"/>
      <c r="AB504" s="166"/>
    </row>
    <row r="505">
      <c r="N505" s="165"/>
      <c r="U505" s="166"/>
      <c r="V505" s="166"/>
      <c r="AA505" s="166"/>
      <c r="AB505" s="166"/>
    </row>
    <row r="506">
      <c r="N506" s="165"/>
      <c r="U506" s="166"/>
      <c r="V506" s="166"/>
      <c r="AA506" s="166"/>
      <c r="AB506" s="166"/>
    </row>
    <row r="507">
      <c r="N507" s="165"/>
      <c r="U507" s="166"/>
      <c r="V507" s="166"/>
      <c r="AA507" s="166"/>
      <c r="AB507" s="166"/>
    </row>
    <row r="508">
      <c r="N508" s="165"/>
      <c r="U508" s="166"/>
      <c r="V508" s="166"/>
      <c r="AA508" s="166"/>
      <c r="AB508" s="166"/>
    </row>
    <row r="509">
      <c r="N509" s="165"/>
      <c r="U509" s="166"/>
      <c r="V509" s="166"/>
      <c r="AA509" s="166"/>
      <c r="AB509" s="166"/>
    </row>
    <row r="510">
      <c r="N510" s="165"/>
      <c r="U510" s="166"/>
      <c r="V510" s="166"/>
      <c r="AA510" s="166"/>
      <c r="AB510" s="166"/>
    </row>
    <row r="511">
      <c r="N511" s="165"/>
      <c r="U511" s="166"/>
      <c r="V511" s="166"/>
      <c r="AA511" s="166"/>
      <c r="AB511" s="166"/>
    </row>
    <row r="512">
      <c r="N512" s="165"/>
      <c r="U512" s="166"/>
      <c r="V512" s="166"/>
      <c r="AA512" s="166"/>
      <c r="AB512" s="166"/>
    </row>
    <row r="513">
      <c r="N513" s="165"/>
      <c r="U513" s="166"/>
      <c r="V513" s="166"/>
      <c r="AA513" s="166"/>
      <c r="AB513" s="166"/>
    </row>
    <row r="514">
      <c r="N514" s="165"/>
      <c r="U514" s="166"/>
      <c r="V514" s="166"/>
      <c r="AA514" s="166"/>
      <c r="AB514" s="166"/>
    </row>
    <row r="515">
      <c r="N515" s="165"/>
      <c r="U515" s="166"/>
      <c r="V515" s="166"/>
      <c r="AA515" s="166"/>
      <c r="AB515" s="166"/>
    </row>
    <row r="516">
      <c r="N516" s="165"/>
      <c r="U516" s="166"/>
      <c r="V516" s="166"/>
      <c r="AA516" s="166"/>
      <c r="AB516" s="166"/>
    </row>
    <row r="517">
      <c r="N517" s="165"/>
      <c r="U517" s="166"/>
      <c r="V517" s="166"/>
      <c r="AA517" s="166"/>
      <c r="AB517" s="166"/>
    </row>
    <row r="518">
      <c r="N518" s="165"/>
      <c r="U518" s="166"/>
      <c r="V518" s="166"/>
      <c r="AA518" s="166"/>
      <c r="AB518" s="166"/>
    </row>
    <row r="519">
      <c r="N519" s="165"/>
      <c r="U519" s="166"/>
      <c r="V519" s="166"/>
      <c r="AA519" s="166"/>
      <c r="AB519" s="166"/>
    </row>
    <row r="520">
      <c r="N520" s="165"/>
      <c r="U520" s="166"/>
      <c r="V520" s="166"/>
      <c r="AA520" s="166"/>
      <c r="AB520" s="166"/>
    </row>
    <row r="521">
      <c r="N521" s="165"/>
      <c r="U521" s="166"/>
      <c r="V521" s="166"/>
      <c r="AA521" s="166"/>
      <c r="AB521" s="166"/>
    </row>
    <row r="522">
      <c r="N522" s="165"/>
      <c r="U522" s="166"/>
      <c r="V522" s="166"/>
      <c r="AA522" s="166"/>
      <c r="AB522" s="166"/>
    </row>
    <row r="523">
      <c r="N523" s="165"/>
      <c r="U523" s="166"/>
      <c r="V523" s="166"/>
      <c r="AA523" s="166"/>
      <c r="AB523" s="166"/>
    </row>
    <row r="524">
      <c r="N524" s="165"/>
      <c r="U524" s="166"/>
      <c r="V524" s="166"/>
      <c r="AA524" s="166"/>
      <c r="AB524" s="166"/>
    </row>
    <row r="525">
      <c r="N525" s="165"/>
      <c r="U525" s="166"/>
      <c r="V525" s="166"/>
      <c r="AA525" s="166"/>
      <c r="AB525" s="166"/>
    </row>
    <row r="526">
      <c r="N526" s="165"/>
      <c r="U526" s="166"/>
      <c r="V526" s="166"/>
      <c r="AA526" s="166"/>
      <c r="AB526" s="166"/>
    </row>
    <row r="527">
      <c r="N527" s="165"/>
      <c r="U527" s="166"/>
      <c r="V527" s="166"/>
      <c r="AA527" s="166"/>
      <c r="AB527" s="166"/>
    </row>
    <row r="528">
      <c r="N528" s="165"/>
      <c r="U528" s="166"/>
      <c r="V528" s="166"/>
      <c r="AA528" s="166"/>
      <c r="AB528" s="166"/>
    </row>
    <row r="529">
      <c r="N529" s="165"/>
      <c r="U529" s="166"/>
      <c r="V529" s="166"/>
      <c r="AA529" s="166"/>
      <c r="AB529" s="166"/>
    </row>
    <row r="530">
      <c r="N530" s="165"/>
      <c r="U530" s="166"/>
      <c r="V530" s="166"/>
      <c r="AA530" s="166"/>
      <c r="AB530" s="166"/>
    </row>
    <row r="531">
      <c r="N531" s="165"/>
      <c r="U531" s="166"/>
      <c r="V531" s="166"/>
      <c r="AA531" s="166"/>
      <c r="AB531" s="166"/>
    </row>
    <row r="532">
      <c r="N532" s="165"/>
      <c r="U532" s="166"/>
      <c r="V532" s="166"/>
      <c r="AA532" s="166"/>
      <c r="AB532" s="166"/>
    </row>
    <row r="533">
      <c r="N533" s="165"/>
      <c r="U533" s="166"/>
      <c r="V533" s="166"/>
      <c r="AA533" s="166"/>
      <c r="AB533" s="166"/>
    </row>
    <row r="534">
      <c r="N534" s="165"/>
      <c r="U534" s="166"/>
      <c r="V534" s="166"/>
      <c r="AA534" s="166"/>
      <c r="AB534" s="166"/>
    </row>
    <row r="535">
      <c r="N535" s="165"/>
      <c r="U535" s="166"/>
      <c r="V535" s="166"/>
      <c r="AA535" s="166"/>
      <c r="AB535" s="166"/>
    </row>
    <row r="536">
      <c r="N536" s="165"/>
      <c r="U536" s="166"/>
      <c r="V536" s="166"/>
      <c r="AA536" s="166"/>
      <c r="AB536" s="166"/>
    </row>
    <row r="537">
      <c r="N537" s="165"/>
      <c r="U537" s="166"/>
      <c r="V537" s="166"/>
      <c r="AA537" s="166"/>
      <c r="AB537" s="166"/>
    </row>
    <row r="538">
      <c r="N538" s="165"/>
      <c r="U538" s="166"/>
      <c r="V538" s="166"/>
      <c r="AA538" s="166"/>
      <c r="AB538" s="166"/>
    </row>
    <row r="539">
      <c r="N539" s="165"/>
      <c r="U539" s="166"/>
      <c r="V539" s="166"/>
      <c r="AA539" s="166"/>
      <c r="AB539" s="166"/>
    </row>
    <row r="540">
      <c r="N540" s="165"/>
      <c r="U540" s="166"/>
      <c r="V540" s="166"/>
      <c r="AA540" s="166"/>
      <c r="AB540" s="166"/>
    </row>
    <row r="541">
      <c r="N541" s="165"/>
      <c r="U541" s="166"/>
      <c r="V541" s="166"/>
      <c r="AA541" s="166"/>
      <c r="AB541" s="166"/>
    </row>
    <row r="542">
      <c r="N542" s="165"/>
      <c r="U542" s="166"/>
      <c r="V542" s="166"/>
      <c r="AA542" s="166"/>
      <c r="AB542" s="166"/>
    </row>
    <row r="543">
      <c r="N543" s="165"/>
      <c r="U543" s="166"/>
      <c r="V543" s="166"/>
      <c r="AA543" s="166"/>
      <c r="AB543" s="166"/>
    </row>
    <row r="544">
      <c r="N544" s="165"/>
      <c r="U544" s="166"/>
      <c r="V544" s="166"/>
      <c r="AA544" s="166"/>
      <c r="AB544" s="166"/>
    </row>
    <row r="545">
      <c r="N545" s="165"/>
      <c r="U545" s="166"/>
      <c r="V545" s="166"/>
      <c r="AA545" s="166"/>
      <c r="AB545" s="166"/>
    </row>
    <row r="546">
      <c r="N546" s="165"/>
      <c r="U546" s="166"/>
      <c r="V546" s="166"/>
      <c r="AA546" s="166"/>
      <c r="AB546" s="166"/>
    </row>
    <row r="547">
      <c r="N547" s="165"/>
      <c r="U547" s="166"/>
      <c r="V547" s="166"/>
      <c r="AA547" s="166"/>
      <c r="AB547" s="166"/>
    </row>
    <row r="548">
      <c r="N548" s="165"/>
      <c r="U548" s="166"/>
      <c r="V548" s="166"/>
      <c r="AA548" s="166"/>
      <c r="AB548" s="166"/>
    </row>
    <row r="549">
      <c r="N549" s="165"/>
      <c r="U549" s="166"/>
      <c r="V549" s="166"/>
      <c r="AA549" s="166"/>
      <c r="AB549" s="166"/>
    </row>
    <row r="550">
      <c r="N550" s="165"/>
      <c r="U550" s="166"/>
      <c r="V550" s="166"/>
      <c r="AA550" s="166"/>
      <c r="AB550" s="166"/>
    </row>
    <row r="551">
      <c r="N551" s="165"/>
      <c r="U551" s="166"/>
      <c r="V551" s="166"/>
      <c r="AA551" s="166"/>
      <c r="AB551" s="166"/>
    </row>
    <row r="552">
      <c r="N552" s="165"/>
      <c r="U552" s="166"/>
      <c r="V552" s="166"/>
      <c r="AA552" s="166"/>
      <c r="AB552" s="166"/>
    </row>
    <row r="553">
      <c r="N553" s="165"/>
      <c r="U553" s="166"/>
      <c r="V553" s="166"/>
      <c r="AA553" s="166"/>
      <c r="AB553" s="166"/>
    </row>
    <row r="554">
      <c r="N554" s="165"/>
      <c r="U554" s="166"/>
      <c r="V554" s="166"/>
      <c r="AA554" s="166"/>
      <c r="AB554" s="166"/>
    </row>
    <row r="555">
      <c r="N555" s="165"/>
      <c r="U555" s="166"/>
      <c r="V555" s="166"/>
      <c r="AA555" s="166"/>
      <c r="AB555" s="166"/>
    </row>
    <row r="556">
      <c r="N556" s="165"/>
      <c r="U556" s="166"/>
      <c r="V556" s="166"/>
      <c r="AA556" s="166"/>
      <c r="AB556" s="166"/>
    </row>
    <row r="557">
      <c r="N557" s="165"/>
      <c r="U557" s="166"/>
      <c r="V557" s="166"/>
      <c r="AA557" s="166"/>
      <c r="AB557" s="166"/>
    </row>
    <row r="558">
      <c r="N558" s="165"/>
      <c r="U558" s="166"/>
      <c r="V558" s="166"/>
      <c r="AA558" s="166"/>
      <c r="AB558" s="166"/>
    </row>
    <row r="559">
      <c r="N559" s="165"/>
      <c r="U559" s="166"/>
      <c r="V559" s="166"/>
      <c r="AA559" s="166"/>
      <c r="AB559" s="166"/>
    </row>
    <row r="560">
      <c r="N560" s="165"/>
      <c r="U560" s="166"/>
      <c r="V560" s="166"/>
      <c r="AA560" s="166"/>
      <c r="AB560" s="166"/>
    </row>
    <row r="561">
      <c r="N561" s="165"/>
      <c r="U561" s="166"/>
      <c r="V561" s="166"/>
      <c r="AA561" s="166"/>
      <c r="AB561" s="166"/>
    </row>
    <row r="562">
      <c r="N562" s="165"/>
      <c r="U562" s="166"/>
      <c r="V562" s="166"/>
      <c r="AA562" s="166"/>
      <c r="AB562" s="166"/>
    </row>
    <row r="563">
      <c r="N563" s="165"/>
      <c r="U563" s="166"/>
      <c r="V563" s="166"/>
      <c r="AA563" s="166"/>
      <c r="AB563" s="166"/>
    </row>
    <row r="564">
      <c r="N564" s="165"/>
      <c r="U564" s="166"/>
      <c r="V564" s="166"/>
      <c r="AA564" s="166"/>
      <c r="AB564" s="166"/>
    </row>
    <row r="565">
      <c r="N565" s="165"/>
      <c r="U565" s="166"/>
      <c r="V565" s="166"/>
      <c r="AA565" s="166"/>
      <c r="AB565" s="166"/>
    </row>
    <row r="566">
      <c r="N566" s="165"/>
      <c r="U566" s="166"/>
      <c r="V566" s="166"/>
      <c r="AA566" s="166"/>
      <c r="AB566" s="166"/>
    </row>
    <row r="567">
      <c r="N567" s="165"/>
      <c r="U567" s="166"/>
      <c r="V567" s="166"/>
      <c r="AA567" s="166"/>
      <c r="AB567" s="166"/>
    </row>
    <row r="568">
      <c r="N568" s="165"/>
      <c r="U568" s="166"/>
      <c r="V568" s="166"/>
      <c r="AA568" s="166"/>
      <c r="AB568" s="166"/>
    </row>
    <row r="569">
      <c r="N569" s="165"/>
      <c r="U569" s="166"/>
      <c r="V569" s="166"/>
      <c r="AA569" s="166"/>
      <c r="AB569" s="166"/>
    </row>
    <row r="570">
      <c r="N570" s="165"/>
      <c r="U570" s="166"/>
      <c r="V570" s="166"/>
      <c r="AA570" s="166"/>
      <c r="AB570" s="166"/>
    </row>
    <row r="571">
      <c r="N571" s="165"/>
      <c r="U571" s="166"/>
      <c r="V571" s="166"/>
      <c r="AA571" s="166"/>
      <c r="AB571" s="166"/>
    </row>
    <row r="572">
      <c r="N572" s="165"/>
      <c r="U572" s="166"/>
      <c r="V572" s="166"/>
      <c r="AA572" s="166"/>
      <c r="AB572" s="166"/>
    </row>
    <row r="573">
      <c r="N573" s="165"/>
      <c r="U573" s="166"/>
      <c r="V573" s="166"/>
      <c r="AA573" s="166"/>
      <c r="AB573" s="166"/>
    </row>
    <row r="574">
      <c r="N574" s="165"/>
      <c r="U574" s="166"/>
      <c r="V574" s="166"/>
      <c r="AA574" s="166"/>
      <c r="AB574" s="166"/>
    </row>
    <row r="575">
      <c r="N575" s="165"/>
      <c r="U575" s="166"/>
      <c r="V575" s="166"/>
      <c r="AA575" s="166"/>
      <c r="AB575" s="166"/>
    </row>
    <row r="576">
      <c r="N576" s="165"/>
      <c r="U576" s="166"/>
      <c r="V576" s="166"/>
      <c r="AA576" s="166"/>
      <c r="AB576" s="166"/>
    </row>
    <row r="577">
      <c r="N577" s="165"/>
      <c r="U577" s="166"/>
      <c r="V577" s="166"/>
      <c r="AA577" s="166"/>
      <c r="AB577" s="166"/>
    </row>
    <row r="578">
      <c r="N578" s="165"/>
      <c r="U578" s="166"/>
      <c r="V578" s="166"/>
      <c r="AA578" s="166"/>
      <c r="AB578" s="166"/>
    </row>
    <row r="579">
      <c r="N579" s="165"/>
      <c r="U579" s="166"/>
      <c r="V579" s="166"/>
      <c r="AA579" s="166"/>
      <c r="AB579" s="166"/>
    </row>
    <row r="580">
      <c r="N580" s="165"/>
      <c r="U580" s="166"/>
      <c r="V580" s="166"/>
      <c r="AA580" s="166"/>
      <c r="AB580" s="166"/>
    </row>
    <row r="581">
      <c r="N581" s="165"/>
      <c r="U581" s="166"/>
      <c r="V581" s="166"/>
      <c r="AA581" s="166"/>
      <c r="AB581" s="166"/>
    </row>
    <row r="582">
      <c r="N582" s="165"/>
      <c r="U582" s="166"/>
      <c r="V582" s="166"/>
      <c r="AA582" s="166"/>
      <c r="AB582" s="166"/>
    </row>
    <row r="583">
      <c r="N583" s="165"/>
      <c r="U583" s="166"/>
      <c r="V583" s="166"/>
      <c r="AA583" s="166"/>
      <c r="AB583" s="166"/>
    </row>
    <row r="584">
      <c r="N584" s="165"/>
      <c r="U584" s="166"/>
      <c r="V584" s="166"/>
      <c r="AA584" s="166"/>
      <c r="AB584" s="166"/>
    </row>
    <row r="585">
      <c r="N585" s="165"/>
      <c r="U585" s="166"/>
      <c r="V585" s="166"/>
      <c r="AA585" s="166"/>
      <c r="AB585" s="166"/>
    </row>
    <row r="586">
      <c r="N586" s="165"/>
      <c r="U586" s="166"/>
      <c r="V586" s="166"/>
      <c r="AA586" s="166"/>
      <c r="AB586" s="166"/>
    </row>
    <row r="587">
      <c r="N587" s="165"/>
      <c r="U587" s="166"/>
      <c r="V587" s="166"/>
      <c r="AA587" s="166"/>
      <c r="AB587" s="166"/>
    </row>
    <row r="588">
      <c r="N588" s="165"/>
      <c r="U588" s="166"/>
      <c r="V588" s="166"/>
      <c r="AA588" s="166"/>
      <c r="AB588" s="166"/>
    </row>
    <row r="589">
      <c r="N589" s="165"/>
      <c r="U589" s="166"/>
      <c r="V589" s="166"/>
      <c r="AA589" s="166"/>
      <c r="AB589" s="166"/>
    </row>
    <row r="590">
      <c r="N590" s="165"/>
      <c r="U590" s="166"/>
      <c r="V590" s="166"/>
      <c r="AA590" s="166"/>
      <c r="AB590" s="166"/>
    </row>
    <row r="591">
      <c r="N591" s="165"/>
      <c r="U591" s="166"/>
      <c r="V591" s="166"/>
      <c r="AA591" s="166"/>
      <c r="AB591" s="166"/>
    </row>
    <row r="592">
      <c r="N592" s="165"/>
      <c r="U592" s="166"/>
      <c r="V592" s="166"/>
      <c r="AA592" s="166"/>
      <c r="AB592" s="166"/>
    </row>
    <row r="593">
      <c r="N593" s="165"/>
      <c r="U593" s="166"/>
      <c r="V593" s="166"/>
      <c r="AA593" s="166"/>
      <c r="AB593" s="166"/>
    </row>
    <row r="594">
      <c r="N594" s="165"/>
      <c r="U594" s="166"/>
      <c r="V594" s="166"/>
      <c r="AA594" s="166"/>
      <c r="AB594" s="166"/>
    </row>
    <row r="595">
      <c r="N595" s="165"/>
      <c r="U595" s="166"/>
      <c r="V595" s="166"/>
      <c r="AA595" s="166"/>
      <c r="AB595" s="166"/>
    </row>
    <row r="596">
      <c r="N596" s="165"/>
      <c r="U596" s="166"/>
      <c r="V596" s="166"/>
      <c r="AA596" s="166"/>
      <c r="AB596" s="166"/>
    </row>
    <row r="597">
      <c r="N597" s="165"/>
      <c r="U597" s="166"/>
      <c r="V597" s="166"/>
      <c r="AA597" s="166"/>
      <c r="AB597" s="166"/>
    </row>
    <row r="598">
      <c r="N598" s="165"/>
      <c r="U598" s="166"/>
      <c r="V598" s="166"/>
      <c r="AA598" s="166"/>
      <c r="AB598" s="166"/>
    </row>
    <row r="599">
      <c r="N599" s="165"/>
      <c r="U599" s="166"/>
      <c r="V599" s="166"/>
      <c r="AA599" s="166"/>
      <c r="AB599" s="166"/>
    </row>
    <row r="600">
      <c r="N600" s="165"/>
      <c r="U600" s="166"/>
      <c r="V600" s="166"/>
      <c r="AA600" s="166"/>
      <c r="AB600" s="166"/>
    </row>
    <row r="601">
      <c r="N601" s="165"/>
      <c r="U601" s="166"/>
      <c r="V601" s="166"/>
      <c r="AA601" s="166"/>
      <c r="AB601" s="166"/>
    </row>
    <row r="602">
      <c r="N602" s="165"/>
      <c r="U602" s="166"/>
      <c r="V602" s="166"/>
      <c r="AA602" s="166"/>
      <c r="AB602" s="166"/>
    </row>
    <row r="603">
      <c r="N603" s="165"/>
      <c r="U603" s="166"/>
      <c r="V603" s="166"/>
      <c r="AA603" s="166"/>
      <c r="AB603" s="166"/>
    </row>
    <row r="604">
      <c r="N604" s="165"/>
      <c r="U604" s="166"/>
      <c r="V604" s="166"/>
      <c r="AA604" s="166"/>
      <c r="AB604" s="166"/>
    </row>
    <row r="605">
      <c r="N605" s="165"/>
      <c r="U605" s="166"/>
      <c r="V605" s="166"/>
      <c r="AA605" s="166"/>
      <c r="AB605" s="166"/>
    </row>
    <row r="606">
      <c r="N606" s="165"/>
      <c r="U606" s="166"/>
      <c r="V606" s="166"/>
      <c r="AA606" s="166"/>
      <c r="AB606" s="166"/>
    </row>
    <row r="607">
      <c r="N607" s="165"/>
      <c r="U607" s="166"/>
      <c r="V607" s="166"/>
      <c r="AA607" s="166"/>
      <c r="AB607" s="166"/>
    </row>
    <row r="608">
      <c r="N608" s="165"/>
      <c r="U608" s="166"/>
      <c r="V608" s="166"/>
      <c r="AA608" s="166"/>
      <c r="AB608" s="166"/>
    </row>
    <row r="609">
      <c r="N609" s="165"/>
      <c r="U609" s="166"/>
      <c r="V609" s="166"/>
      <c r="AA609" s="166"/>
      <c r="AB609" s="166"/>
    </row>
    <row r="610">
      <c r="N610" s="165"/>
      <c r="U610" s="166"/>
      <c r="V610" s="166"/>
      <c r="AA610" s="166"/>
      <c r="AB610" s="166"/>
    </row>
    <row r="611">
      <c r="N611" s="165"/>
      <c r="U611" s="166"/>
      <c r="V611" s="166"/>
      <c r="AA611" s="166"/>
      <c r="AB611" s="166"/>
    </row>
    <row r="612">
      <c r="N612" s="165"/>
      <c r="U612" s="166"/>
      <c r="V612" s="166"/>
      <c r="AA612" s="166"/>
      <c r="AB612" s="166"/>
    </row>
    <row r="613">
      <c r="N613" s="165"/>
      <c r="U613" s="166"/>
      <c r="V613" s="166"/>
      <c r="AA613" s="166"/>
      <c r="AB613" s="166"/>
    </row>
    <row r="614">
      <c r="N614" s="165"/>
      <c r="U614" s="166"/>
      <c r="V614" s="166"/>
      <c r="AA614" s="166"/>
      <c r="AB614" s="166"/>
    </row>
    <row r="615">
      <c r="N615" s="165"/>
      <c r="U615" s="166"/>
      <c r="V615" s="166"/>
      <c r="AA615" s="166"/>
      <c r="AB615" s="166"/>
    </row>
    <row r="616">
      <c r="N616" s="165"/>
      <c r="U616" s="166"/>
      <c r="V616" s="166"/>
      <c r="AA616" s="166"/>
      <c r="AB616" s="166"/>
    </row>
    <row r="617">
      <c r="N617" s="165"/>
      <c r="U617" s="166"/>
      <c r="V617" s="166"/>
      <c r="AA617" s="166"/>
      <c r="AB617" s="166"/>
    </row>
    <row r="618">
      <c r="N618" s="165"/>
      <c r="U618" s="166"/>
      <c r="V618" s="166"/>
      <c r="AA618" s="166"/>
      <c r="AB618" s="166"/>
    </row>
    <row r="619">
      <c r="N619" s="165"/>
      <c r="U619" s="166"/>
      <c r="V619" s="166"/>
      <c r="AA619" s="166"/>
      <c r="AB619" s="166"/>
    </row>
    <row r="620">
      <c r="N620" s="165"/>
      <c r="U620" s="166"/>
      <c r="V620" s="166"/>
      <c r="AA620" s="166"/>
      <c r="AB620" s="166"/>
    </row>
    <row r="621">
      <c r="N621" s="165"/>
      <c r="U621" s="166"/>
      <c r="V621" s="166"/>
      <c r="AA621" s="166"/>
      <c r="AB621" s="166"/>
    </row>
    <row r="622">
      <c r="N622" s="165"/>
      <c r="U622" s="166"/>
      <c r="V622" s="166"/>
      <c r="AA622" s="166"/>
      <c r="AB622" s="166"/>
    </row>
    <row r="623">
      <c r="N623" s="165"/>
      <c r="U623" s="166"/>
      <c r="V623" s="166"/>
      <c r="AA623" s="166"/>
      <c r="AB623" s="166"/>
    </row>
    <row r="624">
      <c r="N624" s="165"/>
      <c r="U624" s="166"/>
      <c r="V624" s="166"/>
      <c r="AA624" s="166"/>
      <c r="AB624" s="166"/>
    </row>
    <row r="625">
      <c r="N625" s="165"/>
      <c r="U625" s="166"/>
      <c r="V625" s="166"/>
      <c r="AA625" s="166"/>
      <c r="AB625" s="166"/>
    </row>
    <row r="626">
      <c r="N626" s="165"/>
      <c r="U626" s="166"/>
      <c r="V626" s="166"/>
      <c r="AA626" s="166"/>
      <c r="AB626" s="166"/>
    </row>
    <row r="627">
      <c r="N627" s="165"/>
      <c r="U627" s="166"/>
      <c r="V627" s="166"/>
      <c r="AA627" s="166"/>
      <c r="AB627" s="166"/>
    </row>
    <row r="628">
      <c r="N628" s="165"/>
      <c r="U628" s="166"/>
      <c r="V628" s="166"/>
      <c r="AA628" s="166"/>
      <c r="AB628" s="166"/>
    </row>
    <row r="629">
      <c r="N629" s="165"/>
      <c r="U629" s="166"/>
      <c r="V629" s="166"/>
      <c r="AA629" s="166"/>
      <c r="AB629" s="166"/>
    </row>
    <row r="630">
      <c r="N630" s="165"/>
      <c r="U630" s="166"/>
      <c r="V630" s="166"/>
      <c r="AA630" s="166"/>
      <c r="AB630" s="166"/>
    </row>
    <row r="631">
      <c r="N631" s="165"/>
      <c r="U631" s="166"/>
      <c r="V631" s="166"/>
      <c r="AA631" s="166"/>
      <c r="AB631" s="166"/>
    </row>
    <row r="632">
      <c r="N632" s="165"/>
      <c r="U632" s="166"/>
      <c r="V632" s="166"/>
      <c r="AA632" s="166"/>
      <c r="AB632" s="166"/>
    </row>
    <row r="633">
      <c r="N633" s="165"/>
      <c r="U633" s="166"/>
      <c r="V633" s="166"/>
      <c r="AA633" s="166"/>
      <c r="AB633" s="166"/>
    </row>
    <row r="634">
      <c r="N634" s="165"/>
      <c r="U634" s="166"/>
      <c r="V634" s="166"/>
      <c r="AA634" s="166"/>
      <c r="AB634" s="166"/>
    </row>
    <row r="635">
      <c r="N635" s="165"/>
      <c r="U635" s="166"/>
      <c r="V635" s="166"/>
      <c r="AA635" s="166"/>
      <c r="AB635" s="166"/>
    </row>
    <row r="636">
      <c r="N636" s="165"/>
      <c r="U636" s="166"/>
      <c r="V636" s="166"/>
      <c r="AA636" s="166"/>
      <c r="AB636" s="166"/>
    </row>
    <row r="637">
      <c r="N637" s="165"/>
      <c r="U637" s="166"/>
      <c r="V637" s="166"/>
      <c r="AA637" s="166"/>
      <c r="AB637" s="166"/>
    </row>
    <row r="638">
      <c r="N638" s="165"/>
      <c r="U638" s="166"/>
      <c r="V638" s="166"/>
      <c r="AA638" s="166"/>
      <c r="AB638" s="166"/>
    </row>
    <row r="639">
      <c r="N639" s="165"/>
      <c r="U639" s="166"/>
      <c r="V639" s="166"/>
      <c r="AA639" s="166"/>
      <c r="AB639" s="166"/>
    </row>
    <row r="640">
      <c r="N640" s="165"/>
      <c r="U640" s="166"/>
      <c r="V640" s="166"/>
      <c r="AA640" s="166"/>
      <c r="AB640" s="166"/>
    </row>
    <row r="641">
      <c r="N641" s="165"/>
      <c r="U641" s="166"/>
      <c r="V641" s="166"/>
      <c r="AA641" s="166"/>
      <c r="AB641" s="166"/>
    </row>
    <row r="642">
      <c r="N642" s="165"/>
      <c r="U642" s="166"/>
      <c r="V642" s="166"/>
      <c r="AA642" s="166"/>
      <c r="AB642" s="166"/>
    </row>
    <row r="643">
      <c r="N643" s="165"/>
      <c r="U643" s="166"/>
      <c r="V643" s="166"/>
      <c r="AA643" s="166"/>
      <c r="AB643" s="166"/>
    </row>
    <row r="644">
      <c r="N644" s="165"/>
      <c r="U644" s="166"/>
      <c r="V644" s="166"/>
      <c r="AA644" s="166"/>
      <c r="AB644" s="166"/>
    </row>
    <row r="645">
      <c r="N645" s="165"/>
      <c r="U645" s="166"/>
      <c r="V645" s="166"/>
      <c r="AA645" s="166"/>
      <c r="AB645" s="166"/>
    </row>
    <row r="646">
      <c r="N646" s="165"/>
      <c r="U646" s="166"/>
      <c r="V646" s="166"/>
      <c r="AA646" s="166"/>
      <c r="AB646" s="166"/>
    </row>
    <row r="647">
      <c r="N647" s="165"/>
      <c r="U647" s="166"/>
      <c r="V647" s="166"/>
      <c r="AA647" s="166"/>
      <c r="AB647" s="166"/>
    </row>
    <row r="648">
      <c r="N648" s="165"/>
      <c r="U648" s="166"/>
      <c r="V648" s="166"/>
      <c r="AA648" s="166"/>
      <c r="AB648" s="166"/>
    </row>
    <row r="649">
      <c r="N649" s="165"/>
      <c r="U649" s="166"/>
      <c r="V649" s="166"/>
      <c r="AA649" s="166"/>
      <c r="AB649" s="166"/>
    </row>
    <row r="650">
      <c r="N650" s="165"/>
      <c r="U650" s="166"/>
      <c r="V650" s="166"/>
      <c r="AA650" s="166"/>
      <c r="AB650" s="166"/>
    </row>
    <row r="651">
      <c r="N651" s="165"/>
      <c r="U651" s="166"/>
      <c r="V651" s="166"/>
      <c r="AA651" s="166"/>
      <c r="AB651" s="166"/>
    </row>
    <row r="652">
      <c r="N652" s="165"/>
      <c r="U652" s="166"/>
      <c r="V652" s="166"/>
      <c r="AA652" s="166"/>
      <c r="AB652" s="166"/>
    </row>
    <row r="653">
      <c r="N653" s="165"/>
      <c r="U653" s="166"/>
      <c r="V653" s="166"/>
      <c r="AA653" s="166"/>
      <c r="AB653" s="166"/>
    </row>
    <row r="654">
      <c r="N654" s="165"/>
      <c r="U654" s="166"/>
      <c r="V654" s="166"/>
      <c r="AA654" s="166"/>
      <c r="AB654" s="166"/>
    </row>
    <row r="655">
      <c r="N655" s="165"/>
      <c r="U655" s="166"/>
      <c r="V655" s="166"/>
      <c r="AA655" s="166"/>
      <c r="AB655" s="166"/>
    </row>
    <row r="656">
      <c r="N656" s="165"/>
      <c r="U656" s="166"/>
      <c r="V656" s="166"/>
      <c r="AA656" s="166"/>
      <c r="AB656" s="166"/>
    </row>
    <row r="657">
      <c r="N657" s="165"/>
      <c r="U657" s="166"/>
      <c r="V657" s="166"/>
      <c r="AA657" s="166"/>
      <c r="AB657" s="166"/>
    </row>
    <row r="658">
      <c r="N658" s="165"/>
      <c r="U658" s="166"/>
      <c r="V658" s="166"/>
      <c r="AA658" s="166"/>
      <c r="AB658" s="166"/>
    </row>
    <row r="659">
      <c r="N659" s="165"/>
      <c r="U659" s="166"/>
      <c r="V659" s="166"/>
      <c r="AA659" s="166"/>
      <c r="AB659" s="166"/>
    </row>
    <row r="660">
      <c r="N660" s="165"/>
      <c r="U660" s="166"/>
      <c r="V660" s="166"/>
      <c r="AA660" s="166"/>
      <c r="AB660" s="166"/>
    </row>
    <row r="661">
      <c r="N661" s="165"/>
      <c r="U661" s="166"/>
      <c r="V661" s="166"/>
      <c r="AA661" s="166"/>
      <c r="AB661" s="166"/>
    </row>
    <row r="662">
      <c r="N662" s="165"/>
      <c r="U662" s="166"/>
      <c r="V662" s="166"/>
      <c r="AA662" s="166"/>
      <c r="AB662" s="166"/>
    </row>
    <row r="663">
      <c r="N663" s="165"/>
      <c r="U663" s="166"/>
      <c r="V663" s="166"/>
      <c r="AA663" s="166"/>
      <c r="AB663" s="166"/>
    </row>
    <row r="664">
      <c r="N664" s="165"/>
      <c r="U664" s="166"/>
      <c r="V664" s="166"/>
      <c r="AA664" s="166"/>
      <c r="AB664" s="166"/>
    </row>
    <row r="665">
      <c r="N665" s="165"/>
      <c r="U665" s="166"/>
      <c r="V665" s="166"/>
      <c r="AA665" s="166"/>
      <c r="AB665" s="166"/>
    </row>
    <row r="666">
      <c r="N666" s="165"/>
      <c r="U666" s="166"/>
      <c r="V666" s="166"/>
      <c r="AA666" s="166"/>
      <c r="AB666" s="166"/>
    </row>
    <row r="667">
      <c r="N667" s="165"/>
      <c r="U667" s="166"/>
      <c r="V667" s="166"/>
      <c r="AA667" s="166"/>
      <c r="AB667" s="166"/>
    </row>
    <row r="668">
      <c r="N668" s="165"/>
      <c r="U668" s="166"/>
      <c r="V668" s="166"/>
      <c r="AA668" s="166"/>
      <c r="AB668" s="166"/>
    </row>
    <row r="669">
      <c r="N669" s="165"/>
      <c r="U669" s="166"/>
      <c r="V669" s="166"/>
      <c r="AA669" s="166"/>
      <c r="AB669" s="166"/>
    </row>
    <row r="670">
      <c r="N670" s="165"/>
      <c r="U670" s="166"/>
      <c r="V670" s="166"/>
      <c r="AA670" s="166"/>
      <c r="AB670" s="166"/>
    </row>
    <row r="671">
      <c r="N671" s="165"/>
      <c r="U671" s="166"/>
      <c r="V671" s="166"/>
      <c r="AA671" s="166"/>
      <c r="AB671" s="166"/>
    </row>
    <row r="672">
      <c r="N672" s="165"/>
      <c r="U672" s="166"/>
      <c r="V672" s="166"/>
      <c r="AA672" s="166"/>
      <c r="AB672" s="166"/>
    </row>
    <row r="673">
      <c r="N673" s="165"/>
      <c r="U673" s="166"/>
      <c r="V673" s="166"/>
      <c r="AA673" s="166"/>
      <c r="AB673" s="166"/>
    </row>
    <row r="674">
      <c r="N674" s="165"/>
      <c r="U674" s="166"/>
      <c r="V674" s="166"/>
      <c r="AA674" s="166"/>
      <c r="AB674" s="166"/>
    </row>
    <row r="675">
      <c r="N675" s="165"/>
      <c r="U675" s="166"/>
      <c r="V675" s="166"/>
      <c r="AA675" s="166"/>
      <c r="AB675" s="166"/>
    </row>
    <row r="676">
      <c r="N676" s="165"/>
      <c r="U676" s="166"/>
      <c r="V676" s="166"/>
      <c r="AA676" s="166"/>
      <c r="AB676" s="166"/>
    </row>
    <row r="677">
      <c r="N677" s="165"/>
      <c r="U677" s="166"/>
      <c r="V677" s="166"/>
      <c r="AA677" s="166"/>
      <c r="AB677" s="166"/>
    </row>
    <row r="678">
      <c r="N678" s="165"/>
      <c r="U678" s="166"/>
      <c r="V678" s="166"/>
      <c r="AA678" s="166"/>
      <c r="AB678" s="166"/>
    </row>
    <row r="679">
      <c r="N679" s="165"/>
      <c r="U679" s="166"/>
      <c r="V679" s="166"/>
      <c r="AA679" s="166"/>
      <c r="AB679" s="166"/>
    </row>
    <row r="680">
      <c r="N680" s="165"/>
      <c r="U680" s="166"/>
      <c r="V680" s="166"/>
      <c r="AA680" s="166"/>
      <c r="AB680" s="166"/>
    </row>
    <row r="681">
      <c r="N681" s="165"/>
      <c r="U681" s="166"/>
      <c r="V681" s="166"/>
      <c r="AA681" s="166"/>
      <c r="AB681" s="166"/>
    </row>
    <row r="682">
      <c r="N682" s="165"/>
      <c r="U682" s="166"/>
      <c r="V682" s="166"/>
      <c r="AA682" s="166"/>
      <c r="AB682" s="166"/>
    </row>
    <row r="683">
      <c r="N683" s="165"/>
      <c r="U683" s="166"/>
      <c r="V683" s="166"/>
      <c r="AA683" s="166"/>
      <c r="AB683" s="166"/>
    </row>
    <row r="684">
      <c r="N684" s="165"/>
      <c r="U684" s="166"/>
      <c r="V684" s="166"/>
      <c r="AA684" s="166"/>
      <c r="AB684" s="166"/>
    </row>
    <row r="685">
      <c r="N685" s="165"/>
      <c r="U685" s="166"/>
      <c r="V685" s="166"/>
      <c r="AA685" s="166"/>
      <c r="AB685" s="166"/>
    </row>
    <row r="686">
      <c r="N686" s="165"/>
      <c r="U686" s="166"/>
      <c r="V686" s="166"/>
      <c r="AA686" s="166"/>
      <c r="AB686" s="166"/>
    </row>
    <row r="687">
      <c r="N687" s="165"/>
      <c r="U687" s="166"/>
      <c r="V687" s="166"/>
      <c r="AA687" s="166"/>
      <c r="AB687" s="166"/>
    </row>
    <row r="688">
      <c r="N688" s="165"/>
      <c r="U688" s="166"/>
      <c r="V688" s="166"/>
      <c r="AA688" s="166"/>
      <c r="AB688" s="166"/>
    </row>
    <row r="689">
      <c r="N689" s="165"/>
      <c r="U689" s="166"/>
      <c r="V689" s="166"/>
      <c r="AA689" s="166"/>
      <c r="AB689" s="166"/>
    </row>
    <row r="690">
      <c r="N690" s="165"/>
      <c r="U690" s="166"/>
      <c r="V690" s="166"/>
      <c r="AA690" s="166"/>
      <c r="AB690" s="166"/>
    </row>
    <row r="691">
      <c r="N691" s="165"/>
      <c r="U691" s="166"/>
      <c r="V691" s="166"/>
      <c r="AA691" s="166"/>
      <c r="AB691" s="166"/>
    </row>
    <row r="692">
      <c r="N692" s="165"/>
      <c r="U692" s="166"/>
      <c r="V692" s="166"/>
      <c r="AA692" s="166"/>
      <c r="AB692" s="166"/>
    </row>
    <row r="693">
      <c r="N693" s="165"/>
      <c r="U693" s="166"/>
      <c r="V693" s="166"/>
      <c r="AA693" s="166"/>
      <c r="AB693" s="166"/>
    </row>
    <row r="694">
      <c r="N694" s="165"/>
      <c r="U694" s="166"/>
      <c r="V694" s="166"/>
      <c r="AA694" s="166"/>
      <c r="AB694" s="166"/>
    </row>
    <row r="695">
      <c r="N695" s="165"/>
      <c r="U695" s="166"/>
      <c r="V695" s="166"/>
      <c r="AA695" s="166"/>
      <c r="AB695" s="166"/>
    </row>
    <row r="696">
      <c r="N696" s="165"/>
      <c r="U696" s="166"/>
      <c r="V696" s="166"/>
      <c r="AA696" s="166"/>
      <c r="AB696" s="166"/>
    </row>
    <row r="697">
      <c r="N697" s="165"/>
      <c r="U697" s="166"/>
      <c r="V697" s="166"/>
      <c r="AA697" s="166"/>
      <c r="AB697" s="166"/>
    </row>
    <row r="698">
      <c r="N698" s="165"/>
      <c r="U698" s="166"/>
      <c r="V698" s="166"/>
      <c r="AA698" s="166"/>
      <c r="AB698" s="166"/>
    </row>
    <row r="699">
      <c r="N699" s="165"/>
      <c r="U699" s="166"/>
      <c r="V699" s="166"/>
      <c r="AA699" s="166"/>
      <c r="AB699" s="166"/>
    </row>
    <row r="700">
      <c r="N700" s="165"/>
      <c r="U700" s="166"/>
      <c r="V700" s="166"/>
      <c r="AA700" s="166"/>
      <c r="AB700" s="166"/>
    </row>
    <row r="701">
      <c r="N701" s="165"/>
      <c r="U701" s="166"/>
      <c r="V701" s="166"/>
      <c r="AA701" s="166"/>
      <c r="AB701" s="166"/>
    </row>
    <row r="702">
      <c r="N702" s="165"/>
      <c r="U702" s="166"/>
      <c r="V702" s="166"/>
      <c r="AA702" s="166"/>
      <c r="AB702" s="166"/>
    </row>
    <row r="703">
      <c r="N703" s="165"/>
      <c r="U703" s="166"/>
      <c r="V703" s="166"/>
      <c r="AA703" s="166"/>
      <c r="AB703" s="166"/>
    </row>
    <row r="704">
      <c r="N704" s="165"/>
      <c r="U704" s="166"/>
      <c r="V704" s="166"/>
      <c r="AA704" s="166"/>
      <c r="AB704" s="166"/>
    </row>
    <row r="705">
      <c r="N705" s="165"/>
      <c r="U705" s="166"/>
      <c r="V705" s="166"/>
      <c r="AA705" s="166"/>
      <c r="AB705" s="166"/>
    </row>
    <row r="706">
      <c r="N706" s="165"/>
      <c r="U706" s="166"/>
      <c r="V706" s="166"/>
      <c r="AA706" s="166"/>
      <c r="AB706" s="166"/>
    </row>
    <row r="707">
      <c r="N707" s="165"/>
      <c r="U707" s="166"/>
      <c r="V707" s="166"/>
      <c r="AA707" s="166"/>
      <c r="AB707" s="166"/>
    </row>
    <row r="708">
      <c r="N708" s="165"/>
      <c r="U708" s="166"/>
      <c r="V708" s="166"/>
      <c r="AA708" s="166"/>
      <c r="AB708" s="166"/>
    </row>
    <row r="709">
      <c r="N709" s="165"/>
      <c r="U709" s="166"/>
      <c r="V709" s="166"/>
      <c r="AA709" s="166"/>
      <c r="AB709" s="166"/>
    </row>
    <row r="710">
      <c r="N710" s="165"/>
      <c r="U710" s="166"/>
      <c r="V710" s="166"/>
      <c r="AA710" s="166"/>
      <c r="AB710" s="166"/>
    </row>
    <row r="711">
      <c r="N711" s="165"/>
      <c r="U711" s="166"/>
      <c r="V711" s="166"/>
      <c r="AA711" s="166"/>
      <c r="AB711" s="166"/>
    </row>
    <row r="712">
      <c r="N712" s="165"/>
      <c r="U712" s="166"/>
      <c r="V712" s="166"/>
      <c r="AA712" s="166"/>
      <c r="AB712" s="166"/>
    </row>
    <row r="713">
      <c r="N713" s="165"/>
      <c r="U713" s="166"/>
      <c r="V713" s="166"/>
      <c r="AA713" s="166"/>
      <c r="AB713" s="166"/>
    </row>
    <row r="714">
      <c r="N714" s="165"/>
      <c r="U714" s="166"/>
      <c r="V714" s="166"/>
      <c r="AA714" s="166"/>
      <c r="AB714" s="166"/>
    </row>
    <row r="715">
      <c r="N715" s="165"/>
      <c r="U715" s="166"/>
      <c r="V715" s="166"/>
      <c r="AA715" s="166"/>
      <c r="AB715" s="166"/>
    </row>
    <row r="716">
      <c r="N716" s="165"/>
      <c r="U716" s="166"/>
      <c r="V716" s="166"/>
      <c r="AA716" s="166"/>
      <c r="AB716" s="166"/>
    </row>
    <row r="717">
      <c r="N717" s="165"/>
      <c r="U717" s="166"/>
      <c r="V717" s="166"/>
      <c r="AA717" s="166"/>
      <c r="AB717" s="166"/>
    </row>
    <row r="718">
      <c r="N718" s="165"/>
      <c r="U718" s="166"/>
      <c r="V718" s="166"/>
      <c r="AA718" s="166"/>
      <c r="AB718" s="166"/>
    </row>
    <row r="719">
      <c r="N719" s="165"/>
      <c r="U719" s="166"/>
      <c r="V719" s="166"/>
      <c r="AA719" s="166"/>
      <c r="AB719" s="166"/>
    </row>
    <row r="720">
      <c r="N720" s="165"/>
      <c r="U720" s="166"/>
      <c r="V720" s="166"/>
      <c r="AA720" s="166"/>
      <c r="AB720" s="166"/>
    </row>
    <row r="721">
      <c r="N721" s="165"/>
      <c r="U721" s="166"/>
      <c r="V721" s="166"/>
      <c r="AA721" s="166"/>
      <c r="AB721" s="166"/>
    </row>
    <row r="722">
      <c r="N722" s="165"/>
      <c r="U722" s="166"/>
      <c r="V722" s="166"/>
      <c r="AA722" s="166"/>
      <c r="AB722" s="166"/>
    </row>
    <row r="723">
      <c r="N723" s="165"/>
      <c r="U723" s="166"/>
      <c r="V723" s="166"/>
      <c r="AA723" s="166"/>
      <c r="AB723" s="166"/>
    </row>
    <row r="724">
      <c r="N724" s="165"/>
      <c r="U724" s="166"/>
      <c r="V724" s="166"/>
      <c r="AA724" s="166"/>
      <c r="AB724" s="166"/>
    </row>
    <row r="725">
      <c r="N725" s="165"/>
      <c r="U725" s="166"/>
      <c r="V725" s="166"/>
      <c r="AA725" s="166"/>
      <c r="AB725" s="166"/>
    </row>
    <row r="726">
      <c r="N726" s="165"/>
      <c r="U726" s="166"/>
      <c r="V726" s="166"/>
      <c r="AA726" s="166"/>
      <c r="AB726" s="166"/>
    </row>
    <row r="727">
      <c r="N727" s="165"/>
      <c r="U727" s="166"/>
      <c r="V727" s="166"/>
      <c r="AA727" s="166"/>
      <c r="AB727" s="166"/>
    </row>
    <row r="728">
      <c r="N728" s="165"/>
      <c r="U728" s="166"/>
      <c r="V728" s="166"/>
      <c r="AA728" s="166"/>
      <c r="AB728" s="166"/>
    </row>
    <row r="729">
      <c r="N729" s="165"/>
      <c r="U729" s="166"/>
      <c r="V729" s="166"/>
      <c r="AA729" s="166"/>
      <c r="AB729" s="166"/>
    </row>
    <row r="730">
      <c r="N730" s="165"/>
      <c r="U730" s="166"/>
      <c r="V730" s="166"/>
      <c r="AA730" s="166"/>
      <c r="AB730" s="166"/>
    </row>
    <row r="731">
      <c r="N731" s="165"/>
      <c r="U731" s="166"/>
      <c r="V731" s="166"/>
      <c r="AA731" s="166"/>
      <c r="AB731" s="166"/>
    </row>
    <row r="732">
      <c r="N732" s="165"/>
      <c r="U732" s="166"/>
      <c r="V732" s="166"/>
      <c r="AA732" s="166"/>
      <c r="AB732" s="166"/>
    </row>
    <row r="733">
      <c r="N733" s="165"/>
      <c r="U733" s="166"/>
      <c r="V733" s="166"/>
      <c r="AA733" s="166"/>
      <c r="AB733" s="166"/>
    </row>
    <row r="734">
      <c r="N734" s="165"/>
      <c r="U734" s="166"/>
      <c r="V734" s="166"/>
      <c r="AA734" s="166"/>
      <c r="AB734" s="166"/>
    </row>
    <row r="735">
      <c r="N735" s="165"/>
      <c r="U735" s="166"/>
      <c r="V735" s="166"/>
      <c r="AA735" s="166"/>
      <c r="AB735" s="166"/>
    </row>
    <row r="736">
      <c r="N736" s="165"/>
      <c r="U736" s="166"/>
      <c r="V736" s="166"/>
      <c r="AA736" s="166"/>
      <c r="AB736" s="166"/>
    </row>
    <row r="737">
      <c r="N737" s="165"/>
      <c r="U737" s="166"/>
      <c r="V737" s="166"/>
      <c r="AA737" s="166"/>
      <c r="AB737" s="166"/>
    </row>
    <row r="738">
      <c r="N738" s="165"/>
      <c r="U738" s="166"/>
      <c r="V738" s="166"/>
      <c r="AA738" s="166"/>
      <c r="AB738" s="166"/>
    </row>
    <row r="739">
      <c r="N739" s="165"/>
      <c r="U739" s="166"/>
      <c r="V739" s="166"/>
      <c r="AA739" s="166"/>
      <c r="AB739" s="166"/>
    </row>
    <row r="740">
      <c r="N740" s="165"/>
      <c r="U740" s="166"/>
      <c r="V740" s="166"/>
      <c r="AA740" s="166"/>
      <c r="AB740" s="166"/>
    </row>
    <row r="741">
      <c r="N741" s="165"/>
      <c r="U741" s="166"/>
      <c r="V741" s="166"/>
      <c r="AA741" s="166"/>
      <c r="AB741" s="166"/>
    </row>
    <row r="742">
      <c r="N742" s="165"/>
      <c r="U742" s="166"/>
      <c r="V742" s="166"/>
      <c r="AA742" s="166"/>
      <c r="AB742" s="166"/>
    </row>
    <row r="743">
      <c r="N743" s="165"/>
      <c r="U743" s="166"/>
      <c r="V743" s="166"/>
      <c r="AA743" s="166"/>
      <c r="AB743" s="166"/>
    </row>
    <row r="744">
      <c r="N744" s="165"/>
      <c r="U744" s="166"/>
      <c r="V744" s="166"/>
      <c r="AA744" s="166"/>
      <c r="AB744" s="166"/>
    </row>
    <row r="745">
      <c r="N745" s="165"/>
      <c r="U745" s="166"/>
      <c r="V745" s="166"/>
      <c r="AA745" s="166"/>
      <c r="AB745" s="166"/>
    </row>
    <row r="746">
      <c r="N746" s="165"/>
      <c r="U746" s="166"/>
      <c r="V746" s="166"/>
      <c r="AA746" s="166"/>
      <c r="AB746" s="166"/>
    </row>
    <row r="747">
      <c r="N747" s="165"/>
      <c r="U747" s="166"/>
      <c r="V747" s="166"/>
      <c r="AA747" s="166"/>
      <c r="AB747" s="166"/>
    </row>
    <row r="748">
      <c r="N748" s="165"/>
      <c r="U748" s="166"/>
      <c r="V748" s="166"/>
      <c r="AA748" s="166"/>
      <c r="AB748" s="166"/>
    </row>
    <row r="749">
      <c r="N749" s="165"/>
      <c r="U749" s="166"/>
      <c r="V749" s="166"/>
      <c r="AA749" s="166"/>
      <c r="AB749" s="166"/>
    </row>
    <row r="750">
      <c r="N750" s="165"/>
      <c r="U750" s="166"/>
      <c r="V750" s="166"/>
      <c r="AA750" s="166"/>
      <c r="AB750" s="166"/>
    </row>
    <row r="751">
      <c r="N751" s="165"/>
      <c r="U751" s="166"/>
      <c r="V751" s="166"/>
      <c r="AA751" s="166"/>
      <c r="AB751" s="166"/>
    </row>
    <row r="752">
      <c r="N752" s="165"/>
      <c r="U752" s="166"/>
      <c r="V752" s="166"/>
      <c r="AA752" s="166"/>
      <c r="AB752" s="166"/>
    </row>
    <row r="753">
      <c r="N753" s="165"/>
      <c r="U753" s="166"/>
      <c r="V753" s="166"/>
      <c r="AA753" s="166"/>
      <c r="AB753" s="166"/>
    </row>
    <row r="754">
      <c r="N754" s="165"/>
      <c r="U754" s="166"/>
      <c r="V754" s="166"/>
      <c r="AA754" s="166"/>
      <c r="AB754" s="166"/>
    </row>
    <row r="755">
      <c r="N755" s="165"/>
      <c r="U755" s="166"/>
      <c r="V755" s="166"/>
      <c r="AA755" s="166"/>
      <c r="AB755" s="166"/>
    </row>
    <row r="756">
      <c r="N756" s="165"/>
      <c r="U756" s="166"/>
      <c r="V756" s="166"/>
      <c r="AA756" s="166"/>
      <c r="AB756" s="166"/>
    </row>
    <row r="757">
      <c r="N757" s="165"/>
      <c r="U757" s="166"/>
      <c r="V757" s="166"/>
      <c r="AA757" s="166"/>
      <c r="AB757" s="166"/>
    </row>
    <row r="758">
      <c r="N758" s="165"/>
      <c r="U758" s="166"/>
      <c r="V758" s="166"/>
      <c r="AA758" s="166"/>
      <c r="AB758" s="166"/>
    </row>
    <row r="759">
      <c r="N759" s="165"/>
      <c r="U759" s="166"/>
      <c r="V759" s="166"/>
      <c r="AA759" s="166"/>
      <c r="AB759" s="166"/>
    </row>
    <row r="760">
      <c r="N760" s="165"/>
      <c r="U760" s="166"/>
      <c r="V760" s="166"/>
      <c r="AA760" s="166"/>
      <c r="AB760" s="166"/>
    </row>
    <row r="761">
      <c r="N761" s="165"/>
      <c r="U761" s="166"/>
      <c r="V761" s="166"/>
      <c r="AA761" s="166"/>
      <c r="AB761" s="166"/>
    </row>
    <row r="762">
      <c r="N762" s="165"/>
      <c r="U762" s="166"/>
      <c r="V762" s="166"/>
      <c r="AA762" s="166"/>
      <c r="AB762" s="166"/>
    </row>
    <row r="763">
      <c r="N763" s="165"/>
      <c r="U763" s="166"/>
      <c r="V763" s="166"/>
      <c r="AA763" s="166"/>
      <c r="AB763" s="166"/>
    </row>
    <row r="764">
      <c r="N764" s="165"/>
      <c r="U764" s="166"/>
      <c r="V764" s="166"/>
      <c r="AA764" s="166"/>
      <c r="AB764" s="166"/>
    </row>
    <row r="765">
      <c r="N765" s="165"/>
      <c r="U765" s="166"/>
      <c r="V765" s="166"/>
      <c r="AA765" s="166"/>
      <c r="AB765" s="166"/>
    </row>
    <row r="766">
      <c r="N766" s="165"/>
      <c r="U766" s="166"/>
      <c r="V766" s="166"/>
      <c r="AA766" s="166"/>
      <c r="AB766" s="166"/>
    </row>
    <row r="767">
      <c r="N767" s="165"/>
      <c r="U767" s="166"/>
      <c r="V767" s="166"/>
      <c r="AA767" s="166"/>
      <c r="AB767" s="166"/>
    </row>
    <row r="768">
      <c r="N768" s="165"/>
      <c r="U768" s="166"/>
      <c r="V768" s="166"/>
      <c r="AA768" s="166"/>
      <c r="AB768" s="166"/>
    </row>
    <row r="769">
      <c r="N769" s="165"/>
      <c r="U769" s="166"/>
      <c r="V769" s="166"/>
      <c r="AA769" s="166"/>
      <c r="AB769" s="166"/>
    </row>
    <row r="770">
      <c r="N770" s="165"/>
      <c r="U770" s="166"/>
      <c r="V770" s="166"/>
      <c r="AA770" s="166"/>
      <c r="AB770" s="166"/>
    </row>
    <row r="771">
      <c r="N771" s="165"/>
      <c r="U771" s="166"/>
      <c r="V771" s="166"/>
      <c r="AA771" s="166"/>
      <c r="AB771" s="166"/>
    </row>
    <row r="772">
      <c r="N772" s="165"/>
      <c r="U772" s="166"/>
      <c r="V772" s="166"/>
      <c r="AA772" s="166"/>
      <c r="AB772" s="166"/>
    </row>
    <row r="773">
      <c r="N773" s="165"/>
      <c r="U773" s="166"/>
      <c r="V773" s="166"/>
      <c r="AA773" s="166"/>
      <c r="AB773" s="166"/>
    </row>
    <row r="774">
      <c r="N774" s="165"/>
      <c r="U774" s="166"/>
      <c r="V774" s="166"/>
      <c r="AA774" s="166"/>
      <c r="AB774" s="166"/>
    </row>
    <row r="775">
      <c r="N775" s="165"/>
      <c r="U775" s="166"/>
      <c r="V775" s="166"/>
      <c r="AA775" s="166"/>
      <c r="AB775" s="166"/>
    </row>
    <row r="776">
      <c r="N776" s="165"/>
      <c r="U776" s="166"/>
      <c r="V776" s="166"/>
      <c r="AA776" s="166"/>
      <c r="AB776" s="166"/>
    </row>
    <row r="777">
      <c r="N777" s="165"/>
      <c r="U777" s="166"/>
      <c r="V777" s="166"/>
      <c r="AA777" s="166"/>
      <c r="AB777" s="166"/>
    </row>
    <row r="778">
      <c r="N778" s="165"/>
      <c r="U778" s="166"/>
      <c r="V778" s="166"/>
      <c r="AA778" s="166"/>
      <c r="AB778" s="166"/>
    </row>
    <row r="779">
      <c r="N779" s="165"/>
      <c r="U779" s="166"/>
      <c r="V779" s="166"/>
      <c r="AA779" s="166"/>
      <c r="AB779" s="166"/>
    </row>
    <row r="780">
      <c r="N780" s="165"/>
      <c r="U780" s="166"/>
      <c r="V780" s="166"/>
      <c r="AA780" s="166"/>
      <c r="AB780" s="166"/>
    </row>
    <row r="781">
      <c r="N781" s="165"/>
      <c r="U781" s="166"/>
      <c r="V781" s="166"/>
      <c r="AA781" s="166"/>
      <c r="AB781" s="166"/>
    </row>
    <row r="782">
      <c r="N782" s="165"/>
      <c r="U782" s="166"/>
      <c r="V782" s="166"/>
      <c r="AA782" s="166"/>
      <c r="AB782" s="166"/>
    </row>
    <row r="783">
      <c r="N783" s="165"/>
      <c r="U783" s="166"/>
      <c r="V783" s="166"/>
      <c r="AA783" s="166"/>
      <c r="AB783" s="166"/>
    </row>
    <row r="784">
      <c r="N784" s="165"/>
      <c r="U784" s="166"/>
      <c r="V784" s="166"/>
      <c r="AA784" s="166"/>
      <c r="AB784" s="166"/>
    </row>
    <row r="785">
      <c r="N785" s="165"/>
      <c r="U785" s="166"/>
      <c r="V785" s="166"/>
      <c r="AA785" s="166"/>
      <c r="AB785" s="166"/>
    </row>
    <row r="786">
      <c r="N786" s="165"/>
      <c r="U786" s="166"/>
      <c r="V786" s="166"/>
      <c r="AA786" s="166"/>
      <c r="AB786" s="166"/>
    </row>
    <row r="787">
      <c r="N787" s="165"/>
      <c r="U787" s="166"/>
      <c r="V787" s="166"/>
      <c r="AA787" s="166"/>
      <c r="AB787" s="166"/>
    </row>
    <row r="788">
      <c r="N788" s="165"/>
      <c r="U788" s="166"/>
      <c r="V788" s="166"/>
      <c r="AA788" s="166"/>
      <c r="AB788" s="166"/>
    </row>
    <row r="789">
      <c r="N789" s="165"/>
      <c r="U789" s="166"/>
      <c r="V789" s="166"/>
      <c r="AA789" s="166"/>
      <c r="AB789" s="166"/>
    </row>
    <row r="790">
      <c r="N790" s="165"/>
      <c r="U790" s="166"/>
      <c r="V790" s="166"/>
      <c r="AA790" s="166"/>
      <c r="AB790" s="166"/>
    </row>
    <row r="791">
      <c r="N791" s="165"/>
      <c r="U791" s="166"/>
      <c r="V791" s="166"/>
      <c r="AA791" s="166"/>
      <c r="AB791" s="166"/>
    </row>
    <row r="792">
      <c r="N792" s="165"/>
      <c r="U792" s="166"/>
      <c r="V792" s="166"/>
      <c r="AA792" s="166"/>
      <c r="AB792" s="166"/>
    </row>
    <row r="793">
      <c r="N793" s="165"/>
      <c r="U793" s="166"/>
      <c r="V793" s="166"/>
      <c r="AA793" s="166"/>
      <c r="AB793" s="166"/>
    </row>
    <row r="794">
      <c r="N794" s="165"/>
      <c r="U794" s="166"/>
      <c r="V794" s="166"/>
      <c r="AA794" s="166"/>
      <c r="AB794" s="166"/>
    </row>
    <row r="795">
      <c r="N795" s="165"/>
      <c r="U795" s="166"/>
      <c r="V795" s="166"/>
      <c r="AA795" s="166"/>
      <c r="AB795" s="166"/>
    </row>
    <row r="796">
      <c r="N796" s="165"/>
      <c r="U796" s="166"/>
      <c r="V796" s="166"/>
      <c r="AA796" s="166"/>
      <c r="AB796" s="166"/>
    </row>
    <row r="797">
      <c r="N797" s="165"/>
      <c r="U797" s="166"/>
      <c r="V797" s="166"/>
      <c r="AA797" s="166"/>
      <c r="AB797" s="166"/>
    </row>
    <row r="798">
      <c r="N798" s="165"/>
      <c r="U798" s="166"/>
      <c r="V798" s="166"/>
      <c r="AA798" s="166"/>
      <c r="AB798" s="166"/>
    </row>
    <row r="799">
      <c r="N799" s="165"/>
      <c r="U799" s="166"/>
      <c r="V799" s="166"/>
      <c r="AA799" s="166"/>
      <c r="AB799" s="166"/>
    </row>
    <row r="800">
      <c r="N800" s="165"/>
      <c r="U800" s="166"/>
      <c r="V800" s="166"/>
      <c r="AA800" s="166"/>
      <c r="AB800" s="166"/>
    </row>
    <row r="801">
      <c r="N801" s="165"/>
      <c r="U801" s="166"/>
      <c r="V801" s="166"/>
      <c r="AA801" s="166"/>
      <c r="AB801" s="166"/>
    </row>
    <row r="802">
      <c r="N802" s="165"/>
      <c r="U802" s="166"/>
      <c r="V802" s="166"/>
      <c r="AA802" s="166"/>
      <c r="AB802" s="166"/>
    </row>
    <row r="803">
      <c r="N803" s="165"/>
      <c r="U803" s="166"/>
      <c r="V803" s="166"/>
      <c r="AA803" s="166"/>
      <c r="AB803" s="166"/>
    </row>
    <row r="804">
      <c r="N804" s="165"/>
      <c r="U804" s="166"/>
      <c r="V804" s="166"/>
      <c r="AA804" s="166"/>
      <c r="AB804" s="166"/>
    </row>
    <row r="805">
      <c r="N805" s="165"/>
      <c r="U805" s="166"/>
      <c r="V805" s="166"/>
      <c r="AA805" s="166"/>
      <c r="AB805" s="166"/>
    </row>
    <row r="806">
      <c r="N806" s="165"/>
      <c r="U806" s="166"/>
      <c r="V806" s="166"/>
      <c r="AA806" s="166"/>
      <c r="AB806" s="166"/>
    </row>
    <row r="807">
      <c r="N807" s="165"/>
      <c r="U807" s="166"/>
      <c r="V807" s="166"/>
      <c r="AA807" s="166"/>
      <c r="AB807" s="166"/>
    </row>
    <row r="808">
      <c r="N808" s="165"/>
      <c r="U808" s="166"/>
      <c r="V808" s="166"/>
      <c r="AA808" s="166"/>
      <c r="AB808" s="166"/>
    </row>
    <row r="809">
      <c r="N809" s="165"/>
      <c r="U809" s="166"/>
      <c r="V809" s="166"/>
      <c r="AA809" s="166"/>
      <c r="AB809" s="166"/>
    </row>
    <row r="810">
      <c r="N810" s="165"/>
      <c r="U810" s="166"/>
      <c r="V810" s="166"/>
      <c r="AA810" s="166"/>
      <c r="AB810" s="166"/>
    </row>
    <row r="811">
      <c r="N811" s="165"/>
      <c r="U811" s="166"/>
      <c r="V811" s="166"/>
      <c r="AA811" s="166"/>
      <c r="AB811" s="166"/>
    </row>
    <row r="812">
      <c r="N812" s="165"/>
      <c r="U812" s="166"/>
      <c r="V812" s="166"/>
      <c r="AA812" s="166"/>
      <c r="AB812" s="166"/>
    </row>
    <row r="813">
      <c r="N813" s="165"/>
      <c r="U813" s="166"/>
      <c r="V813" s="166"/>
      <c r="AA813" s="166"/>
      <c r="AB813" s="166"/>
    </row>
    <row r="814">
      <c r="N814" s="165"/>
      <c r="U814" s="166"/>
      <c r="V814" s="166"/>
      <c r="AA814" s="166"/>
      <c r="AB814" s="166"/>
    </row>
    <row r="815">
      <c r="N815" s="165"/>
      <c r="U815" s="166"/>
      <c r="V815" s="166"/>
      <c r="AA815" s="166"/>
      <c r="AB815" s="166"/>
    </row>
    <row r="816">
      <c r="N816" s="165"/>
      <c r="U816" s="166"/>
      <c r="V816" s="166"/>
      <c r="AA816" s="166"/>
      <c r="AB816" s="166"/>
    </row>
    <row r="817">
      <c r="N817" s="165"/>
      <c r="U817" s="166"/>
      <c r="V817" s="166"/>
      <c r="AA817" s="166"/>
      <c r="AB817" s="166"/>
    </row>
    <row r="818">
      <c r="N818" s="165"/>
      <c r="U818" s="166"/>
      <c r="V818" s="166"/>
      <c r="AA818" s="166"/>
      <c r="AB818" s="166"/>
    </row>
    <row r="819">
      <c r="N819" s="165"/>
      <c r="U819" s="166"/>
      <c r="V819" s="166"/>
      <c r="AA819" s="166"/>
      <c r="AB819" s="166"/>
    </row>
    <row r="820">
      <c r="N820" s="165"/>
      <c r="U820" s="166"/>
      <c r="V820" s="166"/>
      <c r="AA820" s="166"/>
      <c r="AB820" s="166"/>
    </row>
    <row r="821">
      <c r="N821" s="165"/>
      <c r="U821" s="166"/>
      <c r="V821" s="166"/>
      <c r="AA821" s="166"/>
      <c r="AB821" s="166"/>
    </row>
    <row r="822">
      <c r="N822" s="165"/>
      <c r="U822" s="166"/>
      <c r="V822" s="166"/>
      <c r="AA822" s="166"/>
      <c r="AB822" s="166"/>
    </row>
    <row r="823">
      <c r="N823" s="165"/>
      <c r="U823" s="166"/>
      <c r="V823" s="166"/>
      <c r="AA823" s="166"/>
      <c r="AB823" s="166"/>
    </row>
    <row r="824">
      <c r="N824" s="165"/>
      <c r="U824" s="166"/>
      <c r="V824" s="166"/>
      <c r="AA824" s="166"/>
      <c r="AB824" s="166"/>
    </row>
    <row r="825">
      <c r="N825" s="165"/>
      <c r="U825" s="166"/>
      <c r="V825" s="166"/>
      <c r="AA825" s="166"/>
      <c r="AB825" s="166"/>
    </row>
    <row r="826">
      <c r="N826" s="165"/>
      <c r="U826" s="166"/>
      <c r="V826" s="166"/>
      <c r="AA826" s="166"/>
      <c r="AB826" s="166"/>
    </row>
    <row r="827">
      <c r="N827" s="165"/>
      <c r="U827" s="166"/>
      <c r="V827" s="166"/>
      <c r="AA827" s="166"/>
      <c r="AB827" s="166"/>
    </row>
    <row r="828">
      <c r="N828" s="165"/>
      <c r="U828" s="166"/>
      <c r="V828" s="166"/>
      <c r="AA828" s="166"/>
      <c r="AB828" s="166"/>
    </row>
    <row r="829">
      <c r="N829" s="165"/>
      <c r="U829" s="166"/>
      <c r="V829" s="166"/>
      <c r="AA829" s="166"/>
      <c r="AB829" s="166"/>
    </row>
    <row r="830">
      <c r="N830" s="165"/>
      <c r="U830" s="166"/>
      <c r="V830" s="166"/>
      <c r="AA830" s="166"/>
      <c r="AB830" s="166"/>
    </row>
    <row r="831">
      <c r="N831" s="165"/>
      <c r="U831" s="166"/>
      <c r="V831" s="166"/>
      <c r="AA831" s="166"/>
      <c r="AB831" s="166"/>
    </row>
    <row r="832">
      <c r="N832" s="165"/>
      <c r="U832" s="166"/>
      <c r="V832" s="166"/>
      <c r="AA832" s="166"/>
      <c r="AB832" s="166"/>
    </row>
    <row r="833">
      <c r="N833" s="165"/>
      <c r="U833" s="166"/>
      <c r="V833" s="166"/>
      <c r="AA833" s="166"/>
      <c r="AB833" s="166"/>
    </row>
    <row r="834">
      <c r="N834" s="165"/>
      <c r="U834" s="166"/>
      <c r="V834" s="166"/>
      <c r="AA834" s="166"/>
      <c r="AB834" s="166"/>
    </row>
    <row r="835">
      <c r="N835" s="165"/>
      <c r="U835" s="166"/>
      <c r="V835" s="166"/>
      <c r="AA835" s="166"/>
      <c r="AB835" s="166"/>
    </row>
    <row r="836">
      <c r="N836" s="165"/>
      <c r="U836" s="166"/>
      <c r="V836" s="166"/>
      <c r="AA836" s="166"/>
      <c r="AB836" s="166"/>
    </row>
    <row r="837">
      <c r="N837" s="165"/>
      <c r="U837" s="166"/>
      <c r="V837" s="166"/>
      <c r="AA837" s="166"/>
      <c r="AB837" s="166"/>
    </row>
    <row r="838">
      <c r="N838" s="165"/>
      <c r="U838" s="166"/>
      <c r="V838" s="166"/>
      <c r="AA838" s="166"/>
      <c r="AB838" s="166"/>
    </row>
    <row r="839">
      <c r="N839" s="165"/>
      <c r="U839" s="166"/>
      <c r="V839" s="166"/>
      <c r="AA839" s="166"/>
      <c r="AB839" s="166"/>
    </row>
    <row r="840">
      <c r="N840" s="165"/>
      <c r="U840" s="166"/>
      <c r="V840" s="166"/>
      <c r="AA840" s="166"/>
      <c r="AB840" s="166"/>
    </row>
    <row r="841">
      <c r="N841" s="165"/>
      <c r="U841" s="166"/>
      <c r="V841" s="166"/>
      <c r="AA841" s="166"/>
      <c r="AB841" s="166"/>
    </row>
    <row r="842">
      <c r="N842" s="165"/>
      <c r="U842" s="166"/>
      <c r="V842" s="166"/>
      <c r="AA842" s="166"/>
      <c r="AB842" s="166"/>
    </row>
    <row r="843">
      <c r="N843" s="165"/>
      <c r="U843" s="166"/>
      <c r="V843" s="166"/>
      <c r="AA843" s="166"/>
      <c r="AB843" s="166"/>
    </row>
    <row r="844">
      <c r="N844" s="165"/>
      <c r="U844" s="166"/>
      <c r="V844" s="166"/>
      <c r="AA844" s="166"/>
      <c r="AB844" s="166"/>
    </row>
    <row r="845">
      <c r="N845" s="165"/>
      <c r="U845" s="166"/>
      <c r="V845" s="166"/>
      <c r="AA845" s="166"/>
      <c r="AB845" s="166"/>
    </row>
    <row r="846">
      <c r="N846" s="165"/>
      <c r="U846" s="166"/>
      <c r="V846" s="166"/>
      <c r="AA846" s="166"/>
      <c r="AB846" s="166"/>
    </row>
    <row r="847">
      <c r="N847" s="165"/>
      <c r="U847" s="166"/>
      <c r="V847" s="166"/>
      <c r="AA847" s="166"/>
      <c r="AB847" s="166"/>
    </row>
    <row r="848">
      <c r="N848" s="165"/>
      <c r="U848" s="166"/>
      <c r="V848" s="166"/>
      <c r="AA848" s="166"/>
      <c r="AB848" s="166"/>
    </row>
    <row r="849">
      <c r="N849" s="165"/>
      <c r="U849" s="166"/>
      <c r="V849" s="166"/>
      <c r="AA849" s="166"/>
      <c r="AB849" s="166"/>
    </row>
    <row r="850">
      <c r="N850" s="165"/>
      <c r="U850" s="166"/>
      <c r="V850" s="166"/>
      <c r="AA850" s="166"/>
      <c r="AB850" s="166"/>
    </row>
    <row r="851">
      <c r="N851" s="165"/>
      <c r="U851" s="166"/>
      <c r="V851" s="166"/>
      <c r="AA851" s="166"/>
      <c r="AB851" s="166"/>
    </row>
    <row r="852">
      <c r="N852" s="165"/>
      <c r="U852" s="166"/>
      <c r="V852" s="166"/>
      <c r="AA852" s="166"/>
      <c r="AB852" s="166"/>
    </row>
    <row r="853">
      <c r="N853" s="165"/>
      <c r="U853" s="166"/>
      <c r="V853" s="166"/>
      <c r="AA853" s="166"/>
      <c r="AB853" s="166"/>
    </row>
    <row r="854">
      <c r="N854" s="165"/>
      <c r="U854" s="166"/>
      <c r="V854" s="166"/>
      <c r="AA854" s="166"/>
      <c r="AB854" s="166"/>
    </row>
    <row r="855">
      <c r="N855" s="165"/>
      <c r="U855" s="166"/>
      <c r="V855" s="166"/>
      <c r="AA855" s="166"/>
      <c r="AB855" s="166"/>
    </row>
    <row r="856">
      <c r="N856" s="165"/>
      <c r="U856" s="166"/>
      <c r="V856" s="166"/>
      <c r="AA856" s="166"/>
      <c r="AB856" s="166"/>
    </row>
    <row r="857">
      <c r="N857" s="165"/>
      <c r="U857" s="166"/>
      <c r="V857" s="166"/>
      <c r="AA857" s="166"/>
      <c r="AB857" s="166"/>
    </row>
    <row r="858">
      <c r="N858" s="165"/>
      <c r="U858" s="166"/>
      <c r="V858" s="166"/>
      <c r="AA858" s="166"/>
      <c r="AB858" s="166"/>
    </row>
    <row r="859">
      <c r="N859" s="165"/>
      <c r="U859" s="166"/>
      <c r="V859" s="166"/>
      <c r="AA859" s="166"/>
      <c r="AB859" s="166"/>
    </row>
    <row r="860">
      <c r="N860" s="165"/>
      <c r="U860" s="166"/>
      <c r="V860" s="166"/>
      <c r="AA860" s="166"/>
      <c r="AB860" s="166"/>
    </row>
    <row r="861">
      <c r="N861" s="165"/>
      <c r="U861" s="166"/>
      <c r="V861" s="166"/>
      <c r="AA861" s="166"/>
      <c r="AB861" s="166"/>
    </row>
    <row r="862">
      <c r="N862" s="165"/>
      <c r="U862" s="166"/>
      <c r="V862" s="166"/>
      <c r="AA862" s="166"/>
      <c r="AB862" s="166"/>
    </row>
    <row r="863">
      <c r="N863" s="165"/>
      <c r="U863" s="166"/>
      <c r="V863" s="166"/>
      <c r="AA863" s="166"/>
      <c r="AB863" s="166"/>
    </row>
    <row r="864">
      <c r="N864" s="165"/>
      <c r="U864" s="166"/>
      <c r="V864" s="166"/>
      <c r="AA864" s="166"/>
      <c r="AB864" s="166"/>
    </row>
    <row r="865">
      <c r="N865" s="165"/>
      <c r="U865" s="166"/>
      <c r="V865" s="166"/>
      <c r="AA865" s="166"/>
      <c r="AB865" s="166"/>
    </row>
    <row r="866">
      <c r="N866" s="165"/>
      <c r="U866" s="166"/>
      <c r="V866" s="166"/>
      <c r="AA866" s="166"/>
      <c r="AB866" s="166"/>
    </row>
    <row r="867">
      <c r="N867" s="165"/>
      <c r="U867" s="166"/>
      <c r="V867" s="166"/>
      <c r="AA867" s="166"/>
      <c r="AB867" s="166"/>
    </row>
    <row r="868">
      <c r="N868" s="165"/>
      <c r="U868" s="166"/>
      <c r="V868" s="166"/>
      <c r="AA868" s="166"/>
      <c r="AB868" s="166"/>
    </row>
    <row r="869">
      <c r="N869" s="165"/>
      <c r="U869" s="166"/>
      <c r="V869" s="166"/>
      <c r="AA869" s="166"/>
      <c r="AB869" s="166"/>
    </row>
    <row r="870">
      <c r="N870" s="165"/>
      <c r="U870" s="166"/>
      <c r="V870" s="166"/>
      <c r="AA870" s="166"/>
      <c r="AB870" s="166"/>
    </row>
    <row r="871">
      <c r="N871" s="165"/>
      <c r="U871" s="166"/>
      <c r="V871" s="166"/>
      <c r="AA871" s="166"/>
      <c r="AB871" s="166"/>
    </row>
    <row r="872">
      <c r="N872" s="165"/>
      <c r="U872" s="166"/>
      <c r="V872" s="166"/>
      <c r="AA872" s="166"/>
      <c r="AB872" s="166"/>
    </row>
    <row r="873">
      <c r="N873" s="165"/>
      <c r="U873" s="166"/>
      <c r="V873" s="166"/>
      <c r="AA873" s="166"/>
      <c r="AB873" s="166"/>
    </row>
    <row r="874">
      <c r="N874" s="165"/>
      <c r="U874" s="166"/>
      <c r="V874" s="166"/>
      <c r="AA874" s="166"/>
      <c r="AB874" s="166"/>
    </row>
    <row r="875">
      <c r="N875" s="165"/>
      <c r="U875" s="166"/>
      <c r="V875" s="166"/>
      <c r="AA875" s="166"/>
      <c r="AB875" s="166"/>
    </row>
    <row r="876">
      <c r="N876" s="165"/>
      <c r="U876" s="166"/>
      <c r="V876" s="166"/>
      <c r="AA876" s="166"/>
      <c r="AB876" s="166"/>
    </row>
    <row r="877">
      <c r="N877" s="165"/>
      <c r="U877" s="166"/>
      <c r="V877" s="166"/>
      <c r="AA877" s="166"/>
      <c r="AB877" s="166"/>
    </row>
    <row r="878">
      <c r="N878" s="165"/>
      <c r="U878" s="166"/>
      <c r="V878" s="166"/>
      <c r="AA878" s="166"/>
      <c r="AB878" s="166"/>
    </row>
    <row r="879">
      <c r="N879" s="165"/>
      <c r="U879" s="166"/>
      <c r="V879" s="166"/>
      <c r="AA879" s="166"/>
      <c r="AB879" s="166"/>
    </row>
    <row r="880">
      <c r="N880" s="165"/>
      <c r="U880" s="166"/>
      <c r="V880" s="166"/>
      <c r="AA880" s="166"/>
      <c r="AB880" s="166"/>
    </row>
    <row r="881">
      <c r="N881" s="165"/>
      <c r="U881" s="166"/>
      <c r="V881" s="166"/>
      <c r="AA881" s="166"/>
      <c r="AB881" s="166"/>
    </row>
    <row r="882">
      <c r="N882" s="165"/>
      <c r="U882" s="166"/>
      <c r="V882" s="166"/>
      <c r="AA882" s="166"/>
      <c r="AB882" s="166"/>
    </row>
    <row r="883">
      <c r="N883" s="165"/>
      <c r="U883" s="166"/>
      <c r="V883" s="166"/>
      <c r="AA883" s="166"/>
      <c r="AB883" s="166"/>
    </row>
    <row r="884">
      <c r="N884" s="165"/>
      <c r="U884" s="166"/>
      <c r="V884" s="166"/>
      <c r="AA884" s="166"/>
      <c r="AB884" s="166"/>
    </row>
    <row r="885">
      <c r="N885" s="165"/>
      <c r="U885" s="166"/>
      <c r="V885" s="166"/>
      <c r="AA885" s="166"/>
      <c r="AB885" s="166"/>
    </row>
    <row r="886">
      <c r="N886" s="165"/>
      <c r="U886" s="166"/>
      <c r="V886" s="166"/>
      <c r="AA886" s="166"/>
      <c r="AB886" s="166"/>
    </row>
    <row r="887">
      <c r="N887" s="165"/>
      <c r="U887" s="166"/>
      <c r="V887" s="166"/>
      <c r="AA887" s="166"/>
      <c r="AB887" s="166"/>
    </row>
    <row r="888">
      <c r="N888" s="165"/>
      <c r="U888" s="166"/>
      <c r="V888" s="166"/>
      <c r="AA888" s="166"/>
      <c r="AB888" s="166"/>
    </row>
    <row r="889">
      <c r="N889" s="165"/>
      <c r="U889" s="166"/>
      <c r="V889" s="166"/>
      <c r="AA889" s="166"/>
      <c r="AB889" s="166"/>
    </row>
    <row r="890">
      <c r="N890" s="165"/>
      <c r="U890" s="166"/>
      <c r="V890" s="166"/>
      <c r="AA890" s="166"/>
      <c r="AB890" s="166"/>
    </row>
    <row r="891">
      <c r="N891" s="165"/>
      <c r="U891" s="166"/>
      <c r="V891" s="166"/>
      <c r="AA891" s="166"/>
      <c r="AB891" s="166"/>
    </row>
    <row r="892">
      <c r="N892" s="165"/>
      <c r="U892" s="166"/>
      <c r="V892" s="166"/>
      <c r="AA892" s="166"/>
      <c r="AB892" s="166"/>
    </row>
    <row r="893">
      <c r="N893" s="165"/>
      <c r="U893" s="166"/>
      <c r="V893" s="166"/>
      <c r="AA893" s="166"/>
      <c r="AB893" s="166"/>
    </row>
    <row r="894">
      <c r="N894" s="165"/>
      <c r="U894" s="166"/>
      <c r="V894" s="166"/>
      <c r="AA894" s="166"/>
      <c r="AB894" s="166"/>
    </row>
    <row r="895">
      <c r="N895" s="165"/>
      <c r="U895" s="166"/>
      <c r="V895" s="166"/>
      <c r="AA895" s="166"/>
      <c r="AB895" s="166"/>
    </row>
    <row r="896">
      <c r="N896" s="165"/>
      <c r="U896" s="166"/>
      <c r="V896" s="166"/>
      <c r="AA896" s="166"/>
      <c r="AB896" s="166"/>
    </row>
    <row r="897">
      <c r="N897" s="165"/>
      <c r="U897" s="166"/>
      <c r="V897" s="166"/>
      <c r="AA897" s="166"/>
      <c r="AB897" s="166"/>
    </row>
    <row r="898">
      <c r="N898" s="165"/>
      <c r="U898" s="166"/>
      <c r="V898" s="166"/>
      <c r="AA898" s="166"/>
      <c r="AB898" s="166"/>
    </row>
    <row r="899">
      <c r="N899" s="165"/>
      <c r="U899" s="166"/>
      <c r="V899" s="166"/>
      <c r="AA899" s="166"/>
      <c r="AB899" s="166"/>
    </row>
    <row r="900">
      <c r="N900" s="165"/>
      <c r="U900" s="166"/>
      <c r="V900" s="166"/>
      <c r="AA900" s="166"/>
      <c r="AB900" s="166"/>
    </row>
    <row r="901">
      <c r="N901" s="165"/>
      <c r="U901" s="166"/>
      <c r="V901" s="166"/>
      <c r="AA901" s="166"/>
      <c r="AB901" s="166"/>
    </row>
    <row r="902">
      <c r="N902" s="165"/>
      <c r="U902" s="166"/>
      <c r="V902" s="166"/>
      <c r="AA902" s="166"/>
      <c r="AB902" s="166"/>
    </row>
    <row r="903">
      <c r="N903" s="165"/>
      <c r="U903" s="166"/>
      <c r="V903" s="166"/>
      <c r="AA903" s="166"/>
      <c r="AB903" s="166"/>
    </row>
    <row r="904">
      <c r="N904" s="165"/>
      <c r="U904" s="166"/>
      <c r="V904" s="166"/>
      <c r="AA904" s="166"/>
      <c r="AB904" s="166"/>
    </row>
    <row r="905">
      <c r="N905" s="165"/>
      <c r="U905" s="166"/>
      <c r="V905" s="166"/>
      <c r="AA905" s="166"/>
      <c r="AB905" s="166"/>
    </row>
    <row r="906">
      <c r="N906" s="165"/>
      <c r="U906" s="166"/>
      <c r="V906" s="166"/>
      <c r="AA906" s="166"/>
      <c r="AB906" s="166"/>
    </row>
    <row r="907">
      <c r="N907" s="165"/>
      <c r="U907" s="166"/>
      <c r="V907" s="166"/>
      <c r="AA907" s="166"/>
      <c r="AB907" s="166"/>
    </row>
    <row r="908">
      <c r="N908" s="165"/>
      <c r="U908" s="166"/>
      <c r="V908" s="166"/>
      <c r="AA908" s="166"/>
      <c r="AB908" s="166"/>
    </row>
    <row r="909">
      <c r="N909" s="165"/>
      <c r="U909" s="166"/>
      <c r="V909" s="166"/>
      <c r="AA909" s="166"/>
      <c r="AB909" s="166"/>
    </row>
    <row r="910">
      <c r="N910" s="165"/>
      <c r="U910" s="166"/>
      <c r="V910" s="166"/>
      <c r="AA910" s="166"/>
      <c r="AB910" s="166"/>
    </row>
    <row r="911">
      <c r="N911" s="165"/>
      <c r="U911" s="166"/>
      <c r="V911" s="166"/>
      <c r="AA911" s="166"/>
      <c r="AB911" s="166"/>
    </row>
    <row r="912">
      <c r="N912" s="165"/>
      <c r="U912" s="166"/>
      <c r="V912" s="166"/>
      <c r="AA912" s="166"/>
      <c r="AB912" s="166"/>
    </row>
    <row r="913">
      <c r="N913" s="165"/>
      <c r="U913" s="166"/>
      <c r="V913" s="166"/>
      <c r="AA913" s="166"/>
      <c r="AB913" s="166"/>
    </row>
    <row r="914">
      <c r="N914" s="165"/>
      <c r="U914" s="166"/>
      <c r="V914" s="166"/>
      <c r="AA914" s="166"/>
      <c r="AB914" s="166"/>
    </row>
    <row r="915">
      <c r="N915" s="165"/>
      <c r="U915" s="166"/>
      <c r="V915" s="166"/>
      <c r="AA915" s="166"/>
      <c r="AB915" s="166"/>
    </row>
    <row r="916">
      <c r="N916" s="165"/>
      <c r="U916" s="166"/>
      <c r="V916" s="166"/>
      <c r="AA916" s="166"/>
      <c r="AB916" s="166"/>
    </row>
    <row r="917">
      <c r="N917" s="165"/>
      <c r="U917" s="166"/>
      <c r="V917" s="166"/>
      <c r="AA917" s="166"/>
      <c r="AB917" s="166"/>
    </row>
    <row r="918">
      <c r="N918" s="165"/>
      <c r="U918" s="166"/>
      <c r="V918" s="166"/>
      <c r="AA918" s="166"/>
      <c r="AB918" s="166"/>
    </row>
    <row r="919">
      <c r="N919" s="165"/>
      <c r="U919" s="166"/>
      <c r="V919" s="166"/>
      <c r="AA919" s="166"/>
      <c r="AB919" s="166"/>
    </row>
    <row r="920">
      <c r="N920" s="165"/>
      <c r="U920" s="166"/>
      <c r="V920" s="166"/>
      <c r="AA920" s="166"/>
      <c r="AB920" s="166"/>
    </row>
    <row r="921">
      <c r="N921" s="165"/>
      <c r="U921" s="166"/>
      <c r="V921" s="166"/>
      <c r="AA921" s="166"/>
      <c r="AB921" s="166"/>
    </row>
    <row r="922">
      <c r="N922" s="165"/>
      <c r="U922" s="166"/>
      <c r="V922" s="166"/>
      <c r="AA922" s="166"/>
      <c r="AB922" s="166"/>
    </row>
    <row r="923">
      <c r="N923" s="165"/>
      <c r="U923" s="166"/>
      <c r="V923" s="166"/>
      <c r="AA923" s="166"/>
      <c r="AB923" s="166"/>
    </row>
    <row r="924">
      <c r="N924" s="165"/>
      <c r="U924" s="166"/>
      <c r="V924" s="166"/>
      <c r="AA924" s="166"/>
      <c r="AB924" s="166"/>
    </row>
    <row r="925">
      <c r="N925" s="165"/>
      <c r="U925" s="166"/>
      <c r="V925" s="166"/>
      <c r="AA925" s="166"/>
      <c r="AB925" s="166"/>
    </row>
    <row r="926">
      <c r="N926" s="165"/>
      <c r="U926" s="166"/>
      <c r="V926" s="166"/>
      <c r="AA926" s="166"/>
      <c r="AB926" s="166"/>
    </row>
    <row r="927">
      <c r="N927" s="165"/>
      <c r="U927" s="166"/>
      <c r="V927" s="166"/>
      <c r="AA927" s="166"/>
      <c r="AB927" s="166"/>
    </row>
    <row r="928">
      <c r="N928" s="165"/>
      <c r="U928" s="166"/>
      <c r="V928" s="166"/>
      <c r="AA928" s="166"/>
      <c r="AB928" s="166"/>
    </row>
    <row r="929">
      <c r="N929" s="165"/>
      <c r="U929" s="166"/>
      <c r="V929" s="166"/>
      <c r="AA929" s="166"/>
      <c r="AB929" s="166"/>
    </row>
    <row r="930">
      <c r="N930" s="165"/>
      <c r="U930" s="166"/>
      <c r="V930" s="166"/>
      <c r="AA930" s="166"/>
      <c r="AB930" s="166"/>
    </row>
    <row r="931">
      <c r="N931" s="165"/>
      <c r="U931" s="166"/>
      <c r="V931" s="166"/>
      <c r="AA931" s="166"/>
      <c r="AB931" s="166"/>
    </row>
    <row r="932">
      <c r="N932" s="165"/>
      <c r="U932" s="166"/>
      <c r="V932" s="166"/>
      <c r="AA932" s="166"/>
      <c r="AB932" s="166"/>
    </row>
    <row r="933">
      <c r="N933" s="165"/>
      <c r="U933" s="166"/>
      <c r="V933" s="166"/>
      <c r="AA933" s="166"/>
      <c r="AB933" s="166"/>
    </row>
    <row r="934">
      <c r="N934" s="165"/>
      <c r="U934" s="166"/>
      <c r="V934" s="166"/>
      <c r="AA934" s="166"/>
      <c r="AB934" s="166"/>
    </row>
    <row r="935">
      <c r="N935" s="165"/>
      <c r="U935" s="166"/>
      <c r="V935" s="166"/>
      <c r="AA935" s="166"/>
      <c r="AB935" s="166"/>
    </row>
    <row r="936">
      <c r="N936" s="165"/>
      <c r="U936" s="166"/>
      <c r="V936" s="166"/>
      <c r="AA936" s="166"/>
      <c r="AB936" s="166"/>
    </row>
    <row r="937">
      <c r="N937" s="165"/>
      <c r="U937" s="166"/>
      <c r="V937" s="166"/>
      <c r="AA937" s="166"/>
      <c r="AB937" s="166"/>
    </row>
    <row r="938">
      <c r="N938" s="165"/>
      <c r="U938" s="166"/>
      <c r="V938" s="166"/>
      <c r="AA938" s="166"/>
      <c r="AB938" s="166"/>
    </row>
    <row r="939">
      <c r="N939" s="165"/>
      <c r="U939" s="166"/>
      <c r="V939" s="166"/>
      <c r="AA939" s="166"/>
      <c r="AB939" s="166"/>
    </row>
    <row r="940">
      <c r="N940" s="165"/>
      <c r="U940" s="166"/>
      <c r="V940" s="166"/>
      <c r="AA940" s="166"/>
      <c r="AB940" s="166"/>
    </row>
    <row r="941">
      <c r="N941" s="165"/>
      <c r="U941" s="166"/>
      <c r="V941" s="166"/>
      <c r="AA941" s="166"/>
      <c r="AB941" s="166"/>
    </row>
    <row r="942">
      <c r="N942" s="165"/>
      <c r="U942" s="166"/>
      <c r="V942" s="166"/>
      <c r="AA942" s="166"/>
      <c r="AB942" s="166"/>
    </row>
    <row r="943">
      <c r="N943" s="165"/>
      <c r="U943" s="166"/>
      <c r="V943" s="166"/>
      <c r="AA943" s="166"/>
      <c r="AB943" s="166"/>
    </row>
    <row r="944">
      <c r="N944" s="165"/>
      <c r="U944" s="166"/>
      <c r="V944" s="166"/>
      <c r="AA944" s="166"/>
      <c r="AB944" s="166"/>
    </row>
    <row r="945">
      <c r="N945" s="165"/>
      <c r="U945" s="166"/>
      <c r="V945" s="166"/>
      <c r="AA945" s="166"/>
      <c r="AB945" s="166"/>
    </row>
    <row r="946">
      <c r="N946" s="165"/>
      <c r="U946" s="166"/>
      <c r="V946" s="166"/>
      <c r="AA946" s="166"/>
      <c r="AB946" s="166"/>
    </row>
    <row r="947">
      <c r="N947" s="165"/>
      <c r="U947" s="166"/>
      <c r="V947" s="166"/>
      <c r="AA947" s="166"/>
      <c r="AB947" s="166"/>
    </row>
    <row r="948">
      <c r="N948" s="165"/>
      <c r="U948" s="166"/>
      <c r="V948" s="166"/>
      <c r="AA948" s="166"/>
      <c r="AB948" s="166"/>
    </row>
    <row r="949">
      <c r="N949" s="165"/>
      <c r="U949" s="166"/>
      <c r="V949" s="166"/>
      <c r="AA949" s="166"/>
      <c r="AB949" s="166"/>
    </row>
    <row r="950">
      <c r="N950" s="165"/>
      <c r="U950" s="166"/>
      <c r="V950" s="166"/>
      <c r="AA950" s="166"/>
      <c r="AB950" s="166"/>
    </row>
    <row r="951">
      <c r="N951" s="165"/>
      <c r="U951" s="166"/>
      <c r="V951" s="166"/>
      <c r="AA951" s="166"/>
      <c r="AB951" s="166"/>
    </row>
    <row r="952">
      <c r="N952" s="165"/>
      <c r="U952" s="166"/>
      <c r="V952" s="166"/>
      <c r="AA952" s="166"/>
      <c r="AB952" s="166"/>
    </row>
    <row r="953">
      <c r="N953" s="165"/>
      <c r="U953" s="166"/>
      <c r="V953" s="166"/>
      <c r="AA953" s="166"/>
      <c r="AB953" s="166"/>
    </row>
    <row r="954">
      <c r="N954" s="165"/>
      <c r="U954" s="166"/>
      <c r="V954" s="166"/>
      <c r="AA954" s="166"/>
      <c r="AB954" s="166"/>
    </row>
    <row r="955">
      <c r="N955" s="165"/>
      <c r="U955" s="166"/>
      <c r="V955" s="166"/>
      <c r="AA955" s="166"/>
      <c r="AB955" s="166"/>
    </row>
    <row r="956">
      <c r="N956" s="165"/>
      <c r="U956" s="166"/>
      <c r="V956" s="166"/>
      <c r="AA956" s="166"/>
      <c r="AB956" s="166"/>
    </row>
    <row r="957">
      <c r="N957" s="165"/>
      <c r="U957" s="166"/>
      <c r="V957" s="166"/>
      <c r="AA957" s="166"/>
      <c r="AB957" s="166"/>
    </row>
    <row r="958">
      <c r="N958" s="165"/>
      <c r="U958" s="166"/>
      <c r="V958" s="166"/>
      <c r="AA958" s="166"/>
      <c r="AB958" s="166"/>
    </row>
    <row r="959">
      <c r="N959" s="165"/>
      <c r="U959" s="166"/>
      <c r="V959" s="166"/>
      <c r="AA959" s="166"/>
      <c r="AB959" s="166"/>
    </row>
    <row r="960">
      <c r="N960" s="165"/>
      <c r="U960" s="166"/>
      <c r="V960" s="166"/>
      <c r="AA960" s="166"/>
      <c r="AB960" s="166"/>
    </row>
    <row r="961">
      <c r="N961" s="165"/>
      <c r="U961" s="166"/>
      <c r="V961" s="166"/>
      <c r="AA961" s="166"/>
      <c r="AB961" s="166"/>
    </row>
    <row r="962">
      <c r="N962" s="165"/>
      <c r="U962" s="166"/>
      <c r="V962" s="166"/>
      <c r="AA962" s="166"/>
      <c r="AB962" s="166"/>
    </row>
    <row r="963">
      <c r="N963" s="165"/>
      <c r="U963" s="166"/>
      <c r="V963" s="166"/>
      <c r="AA963" s="166"/>
      <c r="AB963" s="166"/>
    </row>
    <row r="964">
      <c r="N964" s="165"/>
      <c r="U964" s="166"/>
      <c r="V964" s="166"/>
      <c r="AA964" s="166"/>
      <c r="AB964" s="166"/>
    </row>
    <row r="965">
      <c r="N965" s="165"/>
      <c r="U965" s="166"/>
      <c r="V965" s="166"/>
      <c r="AA965" s="166"/>
      <c r="AB965" s="166"/>
    </row>
    <row r="966">
      <c r="N966" s="165"/>
      <c r="U966" s="166"/>
      <c r="V966" s="166"/>
      <c r="AA966" s="166"/>
      <c r="AB966" s="166"/>
    </row>
    <row r="967">
      <c r="N967" s="165"/>
      <c r="U967" s="166"/>
      <c r="V967" s="166"/>
      <c r="AA967" s="166"/>
      <c r="AB967" s="166"/>
    </row>
    <row r="968">
      <c r="N968" s="165"/>
      <c r="U968" s="166"/>
      <c r="V968" s="166"/>
      <c r="AA968" s="166"/>
      <c r="AB968" s="166"/>
    </row>
    <row r="969">
      <c r="N969" s="165"/>
      <c r="U969" s="166"/>
      <c r="V969" s="166"/>
      <c r="AA969" s="166"/>
      <c r="AB969" s="166"/>
    </row>
    <row r="970">
      <c r="N970" s="165"/>
      <c r="U970" s="166"/>
      <c r="V970" s="166"/>
      <c r="AA970" s="166"/>
      <c r="AB970" s="166"/>
    </row>
    <row r="971">
      <c r="N971" s="165"/>
      <c r="U971" s="166"/>
      <c r="V971" s="166"/>
      <c r="AA971" s="166"/>
      <c r="AB971" s="166"/>
    </row>
    <row r="972">
      <c r="N972" s="165"/>
      <c r="U972" s="166"/>
      <c r="V972" s="166"/>
      <c r="AA972" s="166"/>
      <c r="AB972" s="166"/>
    </row>
    <row r="973">
      <c r="N973" s="165"/>
      <c r="U973" s="166"/>
      <c r="V973" s="166"/>
      <c r="AA973" s="166"/>
      <c r="AB973" s="166"/>
    </row>
    <row r="974">
      <c r="N974" s="165"/>
      <c r="U974" s="166"/>
      <c r="V974" s="166"/>
      <c r="AA974" s="166"/>
      <c r="AB974" s="166"/>
    </row>
    <row r="975">
      <c r="N975" s="165"/>
      <c r="U975" s="166"/>
      <c r="V975" s="166"/>
      <c r="AA975" s="166"/>
      <c r="AB975" s="166"/>
    </row>
    <row r="976">
      <c r="N976" s="165"/>
      <c r="U976" s="166"/>
      <c r="V976" s="166"/>
      <c r="AA976" s="166"/>
      <c r="AB976" s="166"/>
    </row>
    <row r="977">
      <c r="N977" s="165"/>
      <c r="U977" s="166"/>
      <c r="V977" s="166"/>
      <c r="AA977" s="166"/>
      <c r="AB977" s="166"/>
    </row>
    <row r="978">
      <c r="N978" s="165"/>
      <c r="U978" s="166"/>
      <c r="V978" s="166"/>
      <c r="AA978" s="166"/>
      <c r="AB978" s="166"/>
    </row>
    <row r="979">
      <c r="N979" s="165"/>
      <c r="U979" s="166"/>
      <c r="V979" s="166"/>
      <c r="AA979" s="166"/>
      <c r="AB979" s="166"/>
    </row>
    <row r="980">
      <c r="N980" s="165"/>
      <c r="U980" s="166"/>
      <c r="V980" s="166"/>
      <c r="AA980" s="166"/>
      <c r="AB980" s="166"/>
    </row>
    <row r="981">
      <c r="N981" s="165"/>
      <c r="U981" s="166"/>
      <c r="V981" s="166"/>
      <c r="AA981" s="166"/>
      <c r="AB981" s="166"/>
    </row>
    <row r="982">
      <c r="N982" s="165"/>
      <c r="U982" s="166"/>
      <c r="V982" s="166"/>
      <c r="AA982" s="166"/>
      <c r="AB982" s="166"/>
    </row>
    <row r="983">
      <c r="N983" s="165"/>
      <c r="U983" s="166"/>
      <c r="V983" s="166"/>
      <c r="AA983" s="166"/>
      <c r="AB983" s="166"/>
    </row>
    <row r="984">
      <c r="N984" s="165"/>
      <c r="U984" s="166"/>
      <c r="V984" s="166"/>
      <c r="AA984" s="166"/>
      <c r="AB984" s="166"/>
    </row>
    <row r="985">
      <c r="N985" s="165"/>
      <c r="U985" s="166"/>
      <c r="V985" s="166"/>
      <c r="AA985" s="166"/>
      <c r="AB985" s="166"/>
    </row>
    <row r="986">
      <c r="N986" s="165"/>
      <c r="U986" s="166"/>
      <c r="V986" s="166"/>
      <c r="AA986" s="166"/>
      <c r="AB986" s="166"/>
    </row>
    <row r="987">
      <c r="N987" s="165"/>
      <c r="U987" s="166"/>
      <c r="V987" s="166"/>
      <c r="AA987" s="166"/>
      <c r="AB987" s="166"/>
    </row>
    <row r="988">
      <c r="N988" s="165"/>
      <c r="U988" s="166"/>
      <c r="V988" s="166"/>
      <c r="AA988" s="166"/>
      <c r="AB988" s="166"/>
    </row>
    <row r="989">
      <c r="N989" s="165"/>
      <c r="U989" s="166"/>
      <c r="V989" s="166"/>
      <c r="AA989" s="166"/>
      <c r="AB989" s="166"/>
    </row>
    <row r="990">
      <c r="N990" s="165"/>
      <c r="U990" s="166"/>
      <c r="V990" s="166"/>
      <c r="AA990" s="166"/>
      <c r="AB990" s="166"/>
    </row>
    <row r="991">
      <c r="N991" s="165"/>
      <c r="U991" s="166"/>
      <c r="V991" s="166"/>
      <c r="AA991" s="166"/>
      <c r="AB991" s="166"/>
    </row>
    <row r="992">
      <c r="N992" s="165"/>
      <c r="U992" s="166"/>
      <c r="V992" s="166"/>
      <c r="AA992" s="166"/>
      <c r="AB992" s="166"/>
    </row>
    <row r="993">
      <c r="N993" s="165"/>
      <c r="U993" s="166"/>
      <c r="V993" s="166"/>
      <c r="AA993" s="166"/>
      <c r="AB993" s="166"/>
    </row>
    <row r="994">
      <c r="N994" s="165"/>
      <c r="U994" s="166"/>
      <c r="V994" s="166"/>
      <c r="AA994" s="166"/>
      <c r="AB994" s="166"/>
    </row>
    <row r="995">
      <c r="N995" s="165"/>
      <c r="U995" s="166"/>
      <c r="V995" s="166"/>
      <c r="AA995" s="166"/>
      <c r="AB995" s="166"/>
    </row>
    <row r="996">
      <c r="N996" s="165"/>
      <c r="U996" s="166"/>
      <c r="V996" s="166"/>
      <c r="AA996" s="166"/>
      <c r="AB996" s="166"/>
    </row>
    <row r="997">
      <c r="N997" s="165"/>
      <c r="U997" s="166"/>
      <c r="V997" s="166"/>
      <c r="AA997" s="166"/>
      <c r="AB997" s="166"/>
    </row>
    <row r="998">
      <c r="N998" s="165"/>
      <c r="U998" s="166"/>
      <c r="V998" s="166"/>
      <c r="AA998" s="166"/>
      <c r="AB998" s="166"/>
    </row>
    <row r="999">
      <c r="N999" s="165"/>
      <c r="U999" s="166"/>
      <c r="V999" s="166"/>
      <c r="AA999" s="166"/>
      <c r="AB999" s="166"/>
    </row>
    <row r="1000">
      <c r="N1000" s="165"/>
      <c r="U1000" s="166"/>
      <c r="V1000" s="166"/>
      <c r="AA1000" s="166"/>
      <c r="AB1000" s="166"/>
    </row>
  </sheetData>
  <hyperlinks>
    <hyperlink display="Feb 26" location="PNL!A1" ref="A4"/>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1252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432</v>
      </c>
      <c r="B1" s="2" t="s">
        <v>433</v>
      </c>
    </row>
    <row r="2">
      <c r="A2" s="3">
        <v>2.8120050021036E13</v>
      </c>
      <c r="B2" s="167">
        <v>46066.07181945602</v>
      </c>
    </row>
    <row r="3">
      <c r="A3" s="3">
        <v>2.1120050020989E13</v>
      </c>
      <c r="B3" s="167">
        <v>46068.18033980324</v>
      </c>
    </row>
    <row r="4">
      <c r="A4" s="3">
        <v>2.5120050021417E13</v>
      </c>
      <c r="B4" s="167">
        <v>46068.18045097222</v>
      </c>
    </row>
    <row r="5">
      <c r="A5" s="3">
        <v>2.9120050022105E13</v>
      </c>
      <c r="B5" s="167">
        <v>46093.71041886574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3.0"/>
    <col customWidth="1" min="2" max="2" width="14.88"/>
    <col customWidth="1" min="9" max="9" width="18.38"/>
    <col customWidth="1" min="11" max="11" width="12.25"/>
    <col customWidth="1" min="13" max="13" width="26.63"/>
  </cols>
  <sheetData>
    <row r="1">
      <c r="A1" s="12" t="s">
        <v>55</v>
      </c>
      <c r="B1" s="12" t="s">
        <v>434</v>
      </c>
      <c r="C1" s="12" t="s">
        <v>1</v>
      </c>
      <c r="D1" s="2" t="s">
        <v>7</v>
      </c>
      <c r="E1" s="12" t="s">
        <v>353</v>
      </c>
      <c r="F1" s="12" t="s">
        <v>3</v>
      </c>
      <c r="G1" s="12" t="s">
        <v>354</v>
      </c>
      <c r="H1" s="12" t="s">
        <v>192</v>
      </c>
      <c r="I1" s="12" t="s">
        <v>56</v>
      </c>
      <c r="J1" s="12" t="s">
        <v>435</v>
      </c>
      <c r="K1" s="12" t="s">
        <v>436</v>
      </c>
      <c r="L1" s="12" t="s">
        <v>437</v>
      </c>
      <c r="M1" s="12" t="s">
        <v>357</v>
      </c>
      <c r="N1" s="12" t="s">
        <v>438</v>
      </c>
      <c r="O1" s="12" t="s">
        <v>439</v>
      </c>
      <c r="P1" s="12" t="s">
        <v>358</v>
      </c>
      <c r="Q1" s="12" t="s">
        <v>440</v>
      </c>
      <c r="R1" s="12" t="s">
        <v>441</v>
      </c>
      <c r="S1" s="12" t="s">
        <v>442</v>
      </c>
      <c r="T1" s="12" t="s">
        <v>443</v>
      </c>
      <c r="U1" s="168" t="s">
        <v>355</v>
      </c>
      <c r="V1" s="12" t="s">
        <v>444</v>
      </c>
      <c r="W1" s="12" t="s">
        <v>445</v>
      </c>
      <c r="X1" s="12" t="s">
        <v>446</v>
      </c>
      <c r="Y1" s="24" t="s">
        <v>447</v>
      </c>
      <c r="Z1" s="12" t="s">
        <v>448</v>
      </c>
      <c r="AA1" s="12" t="s">
        <v>449</v>
      </c>
    </row>
    <row r="2">
      <c r="A2" s="3">
        <v>6.764922405123E12</v>
      </c>
      <c r="B2" s="2" t="s">
        <v>450</v>
      </c>
      <c r="C2" s="2" t="s">
        <v>451</v>
      </c>
      <c r="D2" s="169">
        <v>45987.0</v>
      </c>
      <c r="E2" s="2">
        <v>3.333602292E9</v>
      </c>
      <c r="F2" s="2" t="s">
        <v>452</v>
      </c>
      <c r="G2" s="2" t="s">
        <v>453</v>
      </c>
      <c r="H2" s="2">
        <v>0.0</v>
      </c>
      <c r="I2" s="2">
        <v>2.812005001976E13</v>
      </c>
      <c r="J2" s="3">
        <v>0.0</v>
      </c>
      <c r="K2" s="2" t="s">
        <v>454</v>
      </c>
      <c r="L2" s="2"/>
      <c r="M2" s="170" t="s">
        <v>455</v>
      </c>
      <c r="N2" s="2" t="s">
        <v>406</v>
      </c>
      <c r="O2" s="3">
        <v>0.5</v>
      </c>
      <c r="P2" s="2" t="s">
        <v>73</v>
      </c>
      <c r="Q2" s="3">
        <v>0.0</v>
      </c>
      <c r="T2" s="2" t="s">
        <v>456</v>
      </c>
      <c r="U2" s="171">
        <v>0.0</v>
      </c>
      <c r="V2" s="172">
        <v>46003.0</v>
      </c>
      <c r="W2" s="3">
        <v>213.0</v>
      </c>
      <c r="X2" s="172">
        <v>46002.76991898148</v>
      </c>
      <c r="Y2" s="172"/>
      <c r="Z2" s="3">
        <v>45987.0</v>
      </c>
      <c r="AA2" s="3"/>
    </row>
    <row r="3">
      <c r="A3" s="3">
        <v>6.764976079107E12</v>
      </c>
      <c r="B3" s="2" t="s">
        <v>457</v>
      </c>
      <c r="C3" s="2" t="s">
        <v>458</v>
      </c>
      <c r="D3" s="169">
        <v>45987.0</v>
      </c>
      <c r="E3" s="173" t="s">
        <v>459</v>
      </c>
      <c r="F3" s="2" t="s">
        <v>460</v>
      </c>
      <c r="G3" s="2" t="s">
        <v>461</v>
      </c>
      <c r="H3" s="2">
        <v>2395.0</v>
      </c>
      <c r="I3" s="2">
        <v>2.1120050019759E13</v>
      </c>
      <c r="J3" s="3">
        <v>2.0</v>
      </c>
      <c r="L3" s="2" t="s">
        <v>27</v>
      </c>
      <c r="M3" s="174" t="s">
        <v>409</v>
      </c>
      <c r="N3" s="2" t="s">
        <v>462</v>
      </c>
      <c r="O3" s="3">
        <v>0.5</v>
      </c>
      <c r="P3" s="2" t="s">
        <v>73</v>
      </c>
      <c r="Q3" s="3">
        <v>920.0</v>
      </c>
      <c r="T3" s="2" t="s">
        <v>463</v>
      </c>
      <c r="U3" s="171">
        <v>2395.0</v>
      </c>
      <c r="V3" s="172">
        <v>45996.0</v>
      </c>
      <c r="W3" s="3">
        <v>296.0</v>
      </c>
      <c r="X3" s="172">
        <v>45994.68854166666</v>
      </c>
      <c r="Y3" s="172"/>
      <c r="Z3" s="3">
        <v>45987.0</v>
      </c>
      <c r="AA3" s="3"/>
    </row>
    <row r="4">
      <c r="A4" s="3">
        <v>6.764982370563E12</v>
      </c>
      <c r="B4" s="2" t="s">
        <v>464</v>
      </c>
      <c r="C4" s="2" t="s">
        <v>465</v>
      </c>
      <c r="D4" s="169">
        <v>45987.0</v>
      </c>
      <c r="E4" s="2">
        <v>3.25402788E9</v>
      </c>
      <c r="F4" s="2" t="s">
        <v>466</v>
      </c>
      <c r="G4" s="2" t="s">
        <v>368</v>
      </c>
      <c r="H4" s="2">
        <v>0.0</v>
      </c>
      <c r="J4" s="3">
        <v>0.0</v>
      </c>
      <c r="K4" s="2" t="s">
        <v>467</v>
      </c>
      <c r="L4" s="2"/>
      <c r="M4" s="2" t="s">
        <v>468</v>
      </c>
      <c r="N4" s="2" t="s">
        <v>406</v>
      </c>
      <c r="O4" s="3">
        <v>0.5</v>
      </c>
      <c r="Q4" s="3">
        <v>0.0</v>
      </c>
      <c r="U4" s="141"/>
      <c r="X4" s="172">
        <v>46057.642782627314</v>
      </c>
      <c r="Y4" s="172"/>
      <c r="Z4" s="3">
        <v>45987.0</v>
      </c>
      <c r="AA4" s="3"/>
    </row>
    <row r="5">
      <c r="A5" s="3">
        <v>6.764985975043E12</v>
      </c>
      <c r="B5" s="2" t="s">
        <v>469</v>
      </c>
      <c r="C5" s="2" t="s">
        <v>470</v>
      </c>
      <c r="D5" s="169">
        <v>45987.0</v>
      </c>
      <c r="E5" s="173" t="s">
        <v>471</v>
      </c>
      <c r="F5" s="2" t="s">
        <v>472</v>
      </c>
      <c r="G5" s="2" t="s">
        <v>473</v>
      </c>
      <c r="H5" s="2">
        <v>0.0</v>
      </c>
      <c r="J5" s="3">
        <v>0.0</v>
      </c>
      <c r="K5" s="2" t="s">
        <v>474</v>
      </c>
      <c r="L5" s="2"/>
      <c r="M5" s="2" t="s">
        <v>468</v>
      </c>
      <c r="N5" s="2" t="s">
        <v>406</v>
      </c>
      <c r="O5" s="3">
        <v>0.5</v>
      </c>
      <c r="Q5" s="3">
        <v>0.0</v>
      </c>
      <c r="U5" s="141"/>
      <c r="X5" s="172">
        <v>46057.642782627314</v>
      </c>
      <c r="Y5" s="172"/>
      <c r="Z5" s="3">
        <v>45987.0</v>
      </c>
      <c r="AA5" s="3"/>
    </row>
    <row r="6">
      <c r="A6" s="3">
        <v>6.765051904259E12</v>
      </c>
      <c r="B6" s="2" t="s">
        <v>475</v>
      </c>
      <c r="C6" s="2" t="s">
        <v>476</v>
      </c>
      <c r="D6" s="169">
        <v>45993.0</v>
      </c>
      <c r="E6" s="2">
        <v>3.39402121E9</v>
      </c>
      <c r="F6" s="2" t="s">
        <v>477</v>
      </c>
      <c r="G6" s="2" t="s">
        <v>478</v>
      </c>
      <c r="H6" s="2">
        <v>4595.0</v>
      </c>
      <c r="I6" s="2">
        <v>2.5120050019758E13</v>
      </c>
      <c r="J6" s="3">
        <v>2.0</v>
      </c>
      <c r="L6" s="2" t="s">
        <v>479</v>
      </c>
      <c r="M6" s="174" t="s">
        <v>409</v>
      </c>
      <c r="N6" s="2" t="s">
        <v>462</v>
      </c>
      <c r="O6" s="3">
        <v>0.5</v>
      </c>
      <c r="P6" s="2" t="s">
        <v>363</v>
      </c>
      <c r="Q6" s="3">
        <v>1700.0</v>
      </c>
      <c r="T6" s="2" t="s">
        <v>480</v>
      </c>
      <c r="U6" s="171">
        <v>4595.0</v>
      </c>
      <c r="V6" s="172">
        <v>45993.0</v>
      </c>
      <c r="W6" s="3">
        <v>411.0</v>
      </c>
      <c r="X6" s="172">
        <v>45991.62935185185</v>
      </c>
      <c r="Y6" s="172"/>
      <c r="Z6" s="3">
        <v>45993.0</v>
      </c>
      <c r="AA6" s="3"/>
    </row>
    <row r="7">
      <c r="A7" s="3">
        <v>6.765117800707E12</v>
      </c>
      <c r="B7" s="2" t="s">
        <v>481</v>
      </c>
      <c r="C7" s="2" t="s">
        <v>482</v>
      </c>
      <c r="D7" s="169">
        <v>45987.0</v>
      </c>
      <c r="E7" s="2">
        <v>3.46506097E9</v>
      </c>
      <c r="F7" s="2" t="s">
        <v>483</v>
      </c>
      <c r="G7" s="2" t="s">
        <v>484</v>
      </c>
      <c r="H7" s="2">
        <v>0.0</v>
      </c>
      <c r="I7" s="2">
        <v>2.8120050019775E13</v>
      </c>
      <c r="J7" s="3">
        <v>0.0</v>
      </c>
      <c r="K7" s="2" t="s">
        <v>485</v>
      </c>
      <c r="L7" s="2"/>
      <c r="M7" s="170" t="s">
        <v>455</v>
      </c>
      <c r="N7" s="2" t="s">
        <v>406</v>
      </c>
      <c r="O7" s="3">
        <v>0.5</v>
      </c>
      <c r="P7" s="2" t="s">
        <v>73</v>
      </c>
      <c r="Q7" s="3">
        <v>0.0</v>
      </c>
      <c r="T7" s="2" t="s">
        <v>486</v>
      </c>
      <c r="U7" s="171">
        <v>0.0</v>
      </c>
      <c r="V7" s="172">
        <v>46000.0</v>
      </c>
      <c r="W7" s="3">
        <v>213.0</v>
      </c>
      <c r="X7" s="172">
        <v>45997.76981481482</v>
      </c>
      <c r="Y7" s="172"/>
      <c r="Z7" s="3">
        <v>45987.0</v>
      </c>
      <c r="AA7" s="3"/>
    </row>
    <row r="8">
      <c r="A8" s="3">
        <v>6.765220102403E12</v>
      </c>
      <c r="B8" s="2" t="s">
        <v>487</v>
      </c>
      <c r="C8" s="2" t="s">
        <v>488</v>
      </c>
      <c r="D8" s="169">
        <v>45993.0</v>
      </c>
      <c r="E8" s="2">
        <v>3.059547629E9</v>
      </c>
      <c r="F8" s="2" t="s">
        <v>489</v>
      </c>
      <c r="G8" s="2" t="s">
        <v>374</v>
      </c>
      <c r="H8" s="2">
        <v>2695.0</v>
      </c>
      <c r="I8" s="2">
        <v>2.0120050019757E13</v>
      </c>
      <c r="J8" s="3">
        <v>2.0</v>
      </c>
      <c r="L8" s="2" t="s">
        <v>16</v>
      </c>
      <c r="M8" s="174" t="s">
        <v>409</v>
      </c>
      <c r="N8" s="2" t="s">
        <v>462</v>
      </c>
      <c r="O8" s="3">
        <v>0.5</v>
      </c>
      <c r="P8" s="2" t="s">
        <v>363</v>
      </c>
      <c r="Q8" s="3">
        <v>980.0</v>
      </c>
      <c r="T8" s="2" t="s">
        <v>480</v>
      </c>
      <c r="U8" s="171">
        <v>2695.0</v>
      </c>
      <c r="V8" s="172">
        <v>45993.0</v>
      </c>
      <c r="W8" s="3">
        <v>308.0</v>
      </c>
      <c r="X8" s="172">
        <v>45990.45924768518</v>
      </c>
      <c r="Y8" s="172"/>
      <c r="Z8" s="3">
        <v>45993.0</v>
      </c>
      <c r="AA8" s="3"/>
    </row>
    <row r="9">
      <c r="A9" s="3">
        <v>6.765284589827E12</v>
      </c>
      <c r="B9" s="2" t="s">
        <v>490</v>
      </c>
      <c r="C9" s="2" t="s">
        <v>491</v>
      </c>
      <c r="D9" s="169">
        <v>45987.0</v>
      </c>
      <c r="E9" s="2">
        <v>3.04201061E9</v>
      </c>
      <c r="F9" s="2" t="s">
        <v>492</v>
      </c>
      <c r="G9" s="2" t="s">
        <v>493</v>
      </c>
      <c r="H9" s="2">
        <v>0.0</v>
      </c>
      <c r="I9" s="2">
        <v>2.6120050019756E13</v>
      </c>
      <c r="J9" s="3">
        <v>0.0</v>
      </c>
      <c r="K9" s="2" t="s">
        <v>494</v>
      </c>
      <c r="L9" s="2"/>
      <c r="M9" s="170" t="s">
        <v>455</v>
      </c>
      <c r="N9" s="2" t="s">
        <v>406</v>
      </c>
      <c r="O9" s="3">
        <v>0.5</v>
      </c>
      <c r="P9" s="2" t="s">
        <v>363</v>
      </c>
      <c r="Q9" s="3">
        <v>0.0</v>
      </c>
      <c r="T9" s="2" t="s">
        <v>486</v>
      </c>
      <c r="U9" s="171">
        <v>0.0</v>
      </c>
      <c r="V9" s="172">
        <v>46000.0</v>
      </c>
      <c r="W9" s="3">
        <v>213.0</v>
      </c>
      <c r="X9" s="172">
        <v>45999.87289351852</v>
      </c>
      <c r="Y9" s="172"/>
      <c r="Z9" s="3">
        <v>45987.0</v>
      </c>
      <c r="AA9" s="3"/>
    </row>
    <row r="10">
      <c r="A10" s="3">
        <v>6.765376110851E12</v>
      </c>
      <c r="B10" s="2" t="s">
        <v>495</v>
      </c>
      <c r="C10" s="2" t="s">
        <v>496</v>
      </c>
      <c r="D10" s="169">
        <v>45987.0</v>
      </c>
      <c r="E10" s="2">
        <v>3.040518383E9</v>
      </c>
      <c r="F10" s="2" t="s">
        <v>497</v>
      </c>
      <c r="G10" s="2" t="s">
        <v>498</v>
      </c>
      <c r="H10" s="2">
        <v>2694.0</v>
      </c>
      <c r="I10" s="2">
        <v>1.73008548729E11</v>
      </c>
      <c r="J10" s="3">
        <v>1.0</v>
      </c>
      <c r="K10" s="2" t="s">
        <v>499</v>
      </c>
      <c r="L10" s="2" t="s">
        <v>500</v>
      </c>
      <c r="M10" s="174" t="s">
        <v>409</v>
      </c>
      <c r="N10" s="2" t="s">
        <v>462</v>
      </c>
      <c r="O10" s="3">
        <v>0.5</v>
      </c>
      <c r="P10" s="2" t="s">
        <v>501</v>
      </c>
      <c r="Q10" s="3">
        <v>850.0</v>
      </c>
      <c r="T10" s="2" t="s">
        <v>502</v>
      </c>
      <c r="U10" s="171">
        <v>2694.0</v>
      </c>
      <c r="W10" s="3">
        <v>399.96</v>
      </c>
      <c r="X10" s="172">
        <v>46057.691203333336</v>
      </c>
      <c r="Y10" s="172"/>
      <c r="Z10" s="3">
        <v>45987.0</v>
      </c>
      <c r="AA10" s="3"/>
    </row>
    <row r="11">
      <c r="A11" s="3">
        <v>6.765406978307E12</v>
      </c>
      <c r="B11" s="2" t="s">
        <v>503</v>
      </c>
      <c r="C11" s="2" t="s">
        <v>504</v>
      </c>
      <c r="D11" s="169">
        <v>45987.0</v>
      </c>
      <c r="E11" s="2">
        <v>3.425138755E9</v>
      </c>
      <c r="F11" s="2" t="s">
        <v>505</v>
      </c>
      <c r="G11" s="2" t="s">
        <v>506</v>
      </c>
      <c r="H11" s="2">
        <v>2694.0</v>
      </c>
      <c r="I11" s="2">
        <v>2.7120050019755E13</v>
      </c>
      <c r="J11" s="3">
        <v>1.0</v>
      </c>
      <c r="L11" s="2" t="s">
        <v>500</v>
      </c>
      <c r="M11" s="174" t="s">
        <v>409</v>
      </c>
      <c r="N11" s="2" t="s">
        <v>462</v>
      </c>
      <c r="O11" s="3">
        <v>0.5</v>
      </c>
      <c r="P11" s="2" t="s">
        <v>363</v>
      </c>
      <c r="Q11" s="3">
        <v>850.0</v>
      </c>
      <c r="T11" s="2" t="s">
        <v>463</v>
      </c>
      <c r="U11" s="171">
        <v>2694.0</v>
      </c>
      <c r="V11" s="172">
        <v>45996.0</v>
      </c>
      <c r="W11" s="3">
        <v>308.0</v>
      </c>
      <c r="X11" s="172">
        <v>45993.58841435185</v>
      </c>
      <c r="Y11" s="172"/>
      <c r="Z11" s="3">
        <v>45987.0</v>
      </c>
      <c r="AA11" s="3"/>
    </row>
    <row r="12">
      <c r="A12" s="3">
        <v>6.765452099843E12</v>
      </c>
      <c r="B12" s="2" t="s">
        <v>507</v>
      </c>
      <c r="C12" s="2" t="s">
        <v>508</v>
      </c>
      <c r="D12" s="169">
        <v>45993.0</v>
      </c>
      <c r="E12" s="173" t="s">
        <v>509</v>
      </c>
      <c r="F12" s="2" t="s">
        <v>510</v>
      </c>
      <c r="G12" s="2" t="s">
        <v>461</v>
      </c>
      <c r="H12" s="2">
        <v>2444.0</v>
      </c>
      <c r="I12" s="2">
        <v>2.2120050019766E13</v>
      </c>
      <c r="J12" s="3">
        <v>1.0</v>
      </c>
      <c r="K12" s="2" t="s">
        <v>511</v>
      </c>
      <c r="L12" s="2" t="s">
        <v>512</v>
      </c>
      <c r="M12" s="174" t="s">
        <v>409</v>
      </c>
      <c r="N12" s="2" t="s">
        <v>462</v>
      </c>
      <c r="O12" s="3">
        <v>0.5</v>
      </c>
      <c r="P12" s="2" t="s">
        <v>363</v>
      </c>
      <c r="Q12" s="3">
        <v>850.0</v>
      </c>
      <c r="T12" s="2" t="s">
        <v>480</v>
      </c>
      <c r="U12" s="3">
        <v>2444.0</v>
      </c>
      <c r="V12" s="172">
        <v>45993.0</v>
      </c>
      <c r="W12" s="3">
        <v>220.0</v>
      </c>
      <c r="X12" s="172">
        <v>45990.75040509259</v>
      </c>
      <c r="Y12" s="172"/>
      <c r="Z12" s="3">
        <v>45993.0</v>
      </c>
      <c r="AA12" s="3"/>
    </row>
    <row r="13">
      <c r="A13" s="3">
        <v>6.765508264195E12</v>
      </c>
      <c r="B13" s="2" t="s">
        <v>513</v>
      </c>
      <c r="C13" s="2" t="s">
        <v>514</v>
      </c>
      <c r="D13" s="169">
        <v>45993.0</v>
      </c>
      <c r="E13" s="2">
        <v>3.214441104E9</v>
      </c>
      <c r="F13" s="2" t="s">
        <v>515</v>
      </c>
      <c r="G13" s="2" t="s">
        <v>368</v>
      </c>
      <c r="H13" s="2">
        <v>3045.0</v>
      </c>
      <c r="I13" s="2">
        <v>2.5120050019754E13</v>
      </c>
      <c r="J13" s="3">
        <v>2.0</v>
      </c>
      <c r="L13" s="2" t="s">
        <v>27</v>
      </c>
      <c r="M13" s="174" t="s">
        <v>409</v>
      </c>
      <c r="N13" s="2" t="s">
        <v>462</v>
      </c>
      <c r="O13" s="3">
        <v>0.5</v>
      </c>
      <c r="P13" s="2" t="s">
        <v>363</v>
      </c>
      <c r="Q13" s="3">
        <v>920.0</v>
      </c>
      <c r="T13" s="2" t="s">
        <v>480</v>
      </c>
      <c r="U13" s="171">
        <v>3045.0</v>
      </c>
      <c r="V13" s="172">
        <v>45993.0</v>
      </c>
      <c r="W13" s="3">
        <v>229.0</v>
      </c>
      <c r="X13" s="172">
        <v>45989.53424768518</v>
      </c>
      <c r="Y13" s="172"/>
      <c r="Z13" s="3">
        <v>45993.0</v>
      </c>
      <c r="AA13" s="3"/>
    </row>
    <row r="14">
      <c r="A14" s="3">
        <v>6.765537329411E12</v>
      </c>
      <c r="B14" s="2" t="s">
        <v>516</v>
      </c>
      <c r="C14" s="2" t="s">
        <v>517</v>
      </c>
      <c r="D14" s="169">
        <v>45993.0</v>
      </c>
      <c r="E14" s="2">
        <v>3.350084442E9</v>
      </c>
      <c r="F14" s="2" t="s">
        <v>518</v>
      </c>
      <c r="G14" s="2" t="s">
        <v>366</v>
      </c>
      <c r="H14" s="2">
        <v>2694.0</v>
      </c>
      <c r="I14" s="2">
        <v>2.8120050019753E13</v>
      </c>
      <c r="J14" s="3">
        <v>1.0</v>
      </c>
      <c r="L14" s="2" t="s">
        <v>519</v>
      </c>
      <c r="M14" s="174" t="s">
        <v>409</v>
      </c>
      <c r="N14" s="2" t="s">
        <v>462</v>
      </c>
      <c r="O14" s="3">
        <v>0.5</v>
      </c>
      <c r="P14" s="2" t="s">
        <v>73</v>
      </c>
      <c r="Q14" s="3">
        <v>850.0</v>
      </c>
      <c r="T14" s="2" t="s">
        <v>480</v>
      </c>
      <c r="U14" s="171">
        <v>2694.0</v>
      </c>
      <c r="V14" s="172">
        <v>45993.0</v>
      </c>
      <c r="W14" s="3">
        <v>328.0</v>
      </c>
      <c r="X14" s="172">
        <v>45990.59950231481</v>
      </c>
      <c r="Y14" s="172"/>
      <c r="Z14" s="3">
        <v>45993.0</v>
      </c>
      <c r="AA14" s="3"/>
    </row>
    <row r="15">
      <c r="A15" s="3">
        <v>6.765568295171E12</v>
      </c>
      <c r="B15" s="2" t="s">
        <v>520</v>
      </c>
      <c r="C15" s="2" t="s">
        <v>521</v>
      </c>
      <c r="D15" s="169">
        <v>45987.0</v>
      </c>
      <c r="E15" s="2">
        <v>3.003137732E9</v>
      </c>
      <c r="F15" s="2" t="s">
        <v>522</v>
      </c>
      <c r="G15" s="2" t="s">
        <v>523</v>
      </c>
      <c r="H15" s="2">
        <v>2695.0</v>
      </c>
      <c r="I15" s="2">
        <v>2.7120050019776E13</v>
      </c>
      <c r="J15" s="3">
        <v>2.0</v>
      </c>
      <c r="K15" s="2" t="s">
        <v>241</v>
      </c>
      <c r="L15" s="2" t="s">
        <v>35</v>
      </c>
      <c r="M15" s="174" t="s">
        <v>409</v>
      </c>
      <c r="N15" s="2" t="s">
        <v>462</v>
      </c>
      <c r="O15" s="3">
        <v>0.5</v>
      </c>
      <c r="P15" s="2" t="s">
        <v>363</v>
      </c>
      <c r="Q15" s="3">
        <v>980.0</v>
      </c>
      <c r="T15" s="2" t="s">
        <v>486</v>
      </c>
      <c r="U15" s="171">
        <v>2695.0</v>
      </c>
      <c r="V15" s="172">
        <v>46000.0</v>
      </c>
      <c r="W15" s="3">
        <v>321.0</v>
      </c>
      <c r="X15" s="172">
        <v>45996.58283564815</v>
      </c>
      <c r="Y15" s="172"/>
      <c r="Z15" s="3">
        <v>45987.0</v>
      </c>
      <c r="AA15" s="3"/>
    </row>
    <row r="16">
      <c r="A16" s="3">
        <v>6.765595099395E12</v>
      </c>
      <c r="B16" s="2" t="s">
        <v>524</v>
      </c>
      <c r="C16" s="2" t="s">
        <v>525</v>
      </c>
      <c r="D16" s="169">
        <v>45988.0</v>
      </c>
      <c r="E16" s="2">
        <v>3.007766377E9</v>
      </c>
      <c r="F16" s="2" t="s">
        <v>526</v>
      </c>
      <c r="G16" s="2" t="s">
        <v>527</v>
      </c>
      <c r="H16" s="2">
        <v>0.0</v>
      </c>
      <c r="I16" s="2">
        <v>2.4120050019752E13</v>
      </c>
      <c r="J16" s="3">
        <v>0.0</v>
      </c>
      <c r="K16" s="2" t="s">
        <v>528</v>
      </c>
      <c r="L16" s="2"/>
      <c r="M16" s="170" t="s">
        <v>455</v>
      </c>
      <c r="N16" s="2" t="s">
        <v>406</v>
      </c>
      <c r="O16" s="3">
        <v>0.5</v>
      </c>
      <c r="P16" s="2" t="s">
        <v>363</v>
      </c>
      <c r="Q16" s="3">
        <v>0.0</v>
      </c>
      <c r="T16" s="2" t="s">
        <v>486</v>
      </c>
      <c r="U16" s="171">
        <v>0.0</v>
      </c>
      <c r="V16" s="172">
        <v>46000.0</v>
      </c>
      <c r="W16" s="3">
        <v>220.0</v>
      </c>
      <c r="X16" s="172">
        <v>45997.76981481482</v>
      </c>
      <c r="Y16" s="172"/>
      <c r="Z16" s="3">
        <v>45988.0</v>
      </c>
      <c r="AA16" s="3"/>
    </row>
    <row r="17">
      <c r="A17" s="3">
        <v>6.765600964867E12</v>
      </c>
      <c r="B17" s="2" t="s">
        <v>529</v>
      </c>
      <c r="C17" s="2" t="s">
        <v>530</v>
      </c>
      <c r="D17" s="169">
        <v>45993.0</v>
      </c>
      <c r="E17" s="2">
        <v>3.164050715E9</v>
      </c>
      <c r="F17" s="2" t="s">
        <v>531</v>
      </c>
      <c r="G17" s="2" t="s">
        <v>368</v>
      </c>
      <c r="H17" s="2">
        <v>4595.0</v>
      </c>
      <c r="I17" s="2">
        <v>2.1120050019751E13</v>
      </c>
      <c r="J17" s="3">
        <v>2.0</v>
      </c>
      <c r="L17" s="2" t="s">
        <v>532</v>
      </c>
      <c r="M17" s="174" t="s">
        <v>409</v>
      </c>
      <c r="N17" s="2" t="s">
        <v>462</v>
      </c>
      <c r="O17" s="3">
        <v>0.5</v>
      </c>
      <c r="P17" s="2" t="s">
        <v>73</v>
      </c>
      <c r="Q17" s="3">
        <v>1700.0</v>
      </c>
      <c r="T17" s="2" t="s">
        <v>480</v>
      </c>
      <c r="U17" s="171">
        <v>4595.0</v>
      </c>
      <c r="V17" s="172">
        <v>45993.0</v>
      </c>
      <c r="W17" s="3">
        <v>371.0</v>
      </c>
      <c r="X17" s="172">
        <v>45989.62730324074</v>
      </c>
      <c r="Y17" s="172"/>
      <c r="Z17" s="3">
        <v>45993.0</v>
      </c>
      <c r="AA17" s="3"/>
    </row>
    <row r="18">
      <c r="A18" s="3">
        <v>6.765604536579E12</v>
      </c>
      <c r="B18" s="2" t="s">
        <v>533</v>
      </c>
      <c r="C18" s="2" t="s">
        <v>534</v>
      </c>
      <c r="D18" s="169">
        <v>45988.0</v>
      </c>
      <c r="E18" s="2">
        <v>3.225797856E9</v>
      </c>
      <c r="F18" s="2" t="s">
        <v>535</v>
      </c>
      <c r="G18" s="2" t="s">
        <v>536</v>
      </c>
      <c r="H18" s="2">
        <v>0.0</v>
      </c>
      <c r="J18" s="3">
        <v>0.0</v>
      </c>
      <c r="K18" s="2" t="s">
        <v>537</v>
      </c>
      <c r="L18" s="2"/>
      <c r="M18" s="2" t="s">
        <v>468</v>
      </c>
      <c r="N18" s="2" t="s">
        <v>406</v>
      </c>
      <c r="O18" s="3">
        <v>0.5</v>
      </c>
      <c r="Q18" s="3">
        <v>0.0</v>
      </c>
      <c r="U18" s="141"/>
      <c r="X18" s="172">
        <v>46057.64278263889</v>
      </c>
      <c r="Y18" s="172"/>
      <c r="Z18" s="3">
        <v>45988.0</v>
      </c>
      <c r="AA18" s="3"/>
    </row>
    <row r="19">
      <c r="A19" s="3">
        <v>6.765777092867E12</v>
      </c>
      <c r="B19" s="2" t="s">
        <v>538</v>
      </c>
      <c r="C19" s="2" t="s">
        <v>539</v>
      </c>
      <c r="D19" s="169">
        <v>45993.0</v>
      </c>
      <c r="E19" s="2">
        <v>3.006864031E9</v>
      </c>
      <c r="F19" s="2" t="s">
        <v>540</v>
      </c>
      <c r="G19" s="2" t="s">
        <v>541</v>
      </c>
      <c r="H19" s="2">
        <v>2695.0</v>
      </c>
      <c r="I19" s="2">
        <v>2.212005001975E13</v>
      </c>
      <c r="J19" s="3">
        <v>1.0</v>
      </c>
      <c r="L19" s="2" t="s">
        <v>542</v>
      </c>
      <c r="M19" s="174" t="s">
        <v>409</v>
      </c>
      <c r="N19" s="2" t="s">
        <v>462</v>
      </c>
      <c r="O19" s="3">
        <v>0.5</v>
      </c>
      <c r="P19" s="2" t="s">
        <v>363</v>
      </c>
      <c r="Q19" s="3">
        <v>610.0</v>
      </c>
      <c r="T19" s="2" t="s">
        <v>480</v>
      </c>
      <c r="U19" s="171">
        <v>2695.0</v>
      </c>
      <c r="V19" s="172">
        <v>45993.0</v>
      </c>
      <c r="W19" s="3">
        <v>308.0</v>
      </c>
      <c r="X19" s="172">
        <v>45990.632893518516</v>
      </c>
      <c r="Y19" s="172"/>
      <c r="Z19" s="3">
        <v>45993.0</v>
      </c>
      <c r="AA19" s="3"/>
    </row>
    <row r="20">
      <c r="A20" s="3">
        <v>6.765817823491E12</v>
      </c>
      <c r="B20" s="2" t="s">
        <v>543</v>
      </c>
      <c r="C20" s="2" t="s">
        <v>544</v>
      </c>
      <c r="D20" s="169">
        <v>45993.0</v>
      </c>
      <c r="E20" s="2">
        <v>3.006888824E9</v>
      </c>
      <c r="F20" s="2" t="s">
        <v>545</v>
      </c>
      <c r="G20" s="2" t="s">
        <v>546</v>
      </c>
      <c r="H20" s="2">
        <v>4595.0</v>
      </c>
      <c r="I20" s="2">
        <v>2.0120050019749E13</v>
      </c>
      <c r="J20" s="3">
        <v>2.0</v>
      </c>
      <c r="L20" s="2" t="s">
        <v>479</v>
      </c>
      <c r="M20" s="174" t="s">
        <v>409</v>
      </c>
      <c r="N20" s="2" t="s">
        <v>462</v>
      </c>
      <c r="O20" s="3">
        <v>0.5</v>
      </c>
      <c r="P20" s="2" t="s">
        <v>363</v>
      </c>
      <c r="Q20" s="3">
        <v>1700.0</v>
      </c>
      <c r="T20" s="2" t="s">
        <v>480</v>
      </c>
      <c r="U20" s="171">
        <v>4595.0</v>
      </c>
      <c r="V20" s="172">
        <v>45993.0</v>
      </c>
      <c r="W20" s="3">
        <v>404.0</v>
      </c>
      <c r="X20" s="172">
        <v>45989.49046296296</v>
      </c>
      <c r="Y20" s="172"/>
      <c r="Z20" s="3">
        <v>45993.0</v>
      </c>
      <c r="AA20" s="3"/>
    </row>
    <row r="21">
      <c r="A21" s="3">
        <v>6.766030094595E12</v>
      </c>
      <c r="B21" s="2" t="s">
        <v>547</v>
      </c>
      <c r="C21" s="2" t="s">
        <v>548</v>
      </c>
      <c r="D21" s="169">
        <v>45993.0</v>
      </c>
      <c r="E21" s="173" t="s">
        <v>549</v>
      </c>
      <c r="F21" s="2" t="s">
        <v>550</v>
      </c>
      <c r="G21" s="2" t="s">
        <v>551</v>
      </c>
      <c r="H21" s="2">
        <v>2695.0</v>
      </c>
      <c r="I21" s="2">
        <v>2.6120050019767E13</v>
      </c>
      <c r="J21" s="3">
        <v>2.0</v>
      </c>
      <c r="L21" s="2" t="s">
        <v>35</v>
      </c>
      <c r="M21" s="174" t="s">
        <v>409</v>
      </c>
      <c r="N21" s="2" t="s">
        <v>462</v>
      </c>
      <c r="O21" s="3">
        <v>0.5</v>
      </c>
      <c r="P21" s="2" t="s">
        <v>363</v>
      </c>
      <c r="Q21" s="3">
        <v>980.0</v>
      </c>
      <c r="T21" s="2" t="s">
        <v>480</v>
      </c>
      <c r="U21" s="171">
        <v>2695.0</v>
      </c>
      <c r="V21" s="172">
        <v>45993.0</v>
      </c>
      <c r="W21" s="3">
        <v>308.0</v>
      </c>
      <c r="X21" s="172">
        <v>45990.64188657407</v>
      </c>
      <c r="Y21" s="172"/>
      <c r="Z21" s="3">
        <v>45993.0</v>
      </c>
      <c r="AA21" s="3"/>
    </row>
    <row r="22">
      <c r="A22" s="3">
        <v>6.766175420675E12</v>
      </c>
      <c r="B22" s="2" t="s">
        <v>552</v>
      </c>
      <c r="C22" s="2" t="s">
        <v>553</v>
      </c>
      <c r="D22" s="169">
        <v>45993.0</v>
      </c>
      <c r="E22" s="173" t="s">
        <v>554</v>
      </c>
      <c r="F22" s="2" t="s">
        <v>555</v>
      </c>
      <c r="G22" s="2" t="s">
        <v>556</v>
      </c>
      <c r="H22" s="2">
        <v>2694.0</v>
      </c>
      <c r="I22" s="2">
        <v>2.3120050019748E13</v>
      </c>
      <c r="J22" s="3">
        <v>1.0</v>
      </c>
      <c r="L22" s="2" t="s">
        <v>557</v>
      </c>
      <c r="M22" s="174" t="s">
        <v>409</v>
      </c>
      <c r="N22" s="2" t="s">
        <v>462</v>
      </c>
      <c r="O22" s="3">
        <v>0.5</v>
      </c>
      <c r="P22" s="2" t="s">
        <v>363</v>
      </c>
      <c r="Q22" s="3">
        <v>850.0</v>
      </c>
      <c r="T22" s="2" t="s">
        <v>480</v>
      </c>
      <c r="U22" s="171">
        <v>2694.0</v>
      </c>
      <c r="V22" s="172">
        <v>45993.0</v>
      </c>
      <c r="W22" s="3">
        <v>335.0</v>
      </c>
      <c r="X22" s="172">
        <v>45990.67252314815</v>
      </c>
      <c r="Y22" s="172"/>
      <c r="Z22" s="3">
        <v>45993.0</v>
      </c>
      <c r="AA22" s="3"/>
    </row>
    <row r="23">
      <c r="A23" s="3">
        <v>6.766318027011E12</v>
      </c>
      <c r="B23" s="2" t="s">
        <v>558</v>
      </c>
      <c r="C23" s="2" t="s">
        <v>559</v>
      </c>
      <c r="D23" s="169">
        <v>45988.0</v>
      </c>
      <c r="E23" s="2">
        <v>3.32912103E9</v>
      </c>
      <c r="F23" s="2" t="s">
        <v>560</v>
      </c>
      <c r="G23" s="2" t="s">
        <v>561</v>
      </c>
      <c r="H23" s="2">
        <v>0.0</v>
      </c>
      <c r="I23" s="2">
        <v>2.0120050019779E13</v>
      </c>
      <c r="J23" s="3">
        <v>0.0</v>
      </c>
      <c r="K23" s="2" t="s">
        <v>562</v>
      </c>
      <c r="L23" s="2"/>
      <c r="M23" s="170" t="s">
        <v>455</v>
      </c>
      <c r="N23" s="2" t="s">
        <v>406</v>
      </c>
      <c r="O23" s="3">
        <v>0.5</v>
      </c>
      <c r="P23" s="2" t="s">
        <v>363</v>
      </c>
      <c r="Q23" s="3">
        <v>0.0</v>
      </c>
      <c r="T23" s="2" t="s">
        <v>456</v>
      </c>
      <c r="U23" s="171">
        <v>0.0</v>
      </c>
      <c r="V23" s="172">
        <v>46003.0</v>
      </c>
      <c r="W23" s="3">
        <v>227.0</v>
      </c>
      <c r="X23" s="172">
        <v>46000.757268518515</v>
      </c>
      <c r="Y23" s="172"/>
      <c r="Z23" s="3">
        <v>45988.0</v>
      </c>
      <c r="AA23" s="3"/>
    </row>
    <row r="24">
      <c r="A24" s="3">
        <v>6.766390444291E12</v>
      </c>
      <c r="B24" s="2" t="s">
        <v>563</v>
      </c>
      <c r="C24" s="2" t="s">
        <v>564</v>
      </c>
      <c r="D24" s="169">
        <v>45993.0</v>
      </c>
      <c r="E24" s="2">
        <v>3.216404619E9</v>
      </c>
      <c r="F24" s="2" t="s">
        <v>565</v>
      </c>
      <c r="G24" s="2" t="s">
        <v>566</v>
      </c>
      <c r="H24" s="2">
        <v>2694.0</v>
      </c>
      <c r="I24" s="2">
        <v>2.8120050019747E13</v>
      </c>
      <c r="J24" s="3">
        <v>1.0</v>
      </c>
      <c r="L24" s="2" t="s">
        <v>512</v>
      </c>
      <c r="M24" s="174" t="s">
        <v>409</v>
      </c>
      <c r="N24" s="2" t="s">
        <v>462</v>
      </c>
      <c r="O24" s="3">
        <v>0.5</v>
      </c>
      <c r="P24" s="2" t="s">
        <v>73</v>
      </c>
      <c r="Q24" s="3">
        <v>850.0</v>
      </c>
      <c r="T24" s="2" t="s">
        <v>480</v>
      </c>
      <c r="U24" s="171">
        <v>2694.0</v>
      </c>
      <c r="V24" s="172">
        <v>45993.0</v>
      </c>
      <c r="W24" s="3">
        <v>328.0</v>
      </c>
      <c r="X24" s="172">
        <v>45989.49195601852</v>
      </c>
      <c r="Y24" s="172"/>
      <c r="Z24" s="3">
        <v>45993.0</v>
      </c>
      <c r="AA24" s="3"/>
    </row>
    <row r="25">
      <c r="A25" s="3">
        <v>6.766482161923E12</v>
      </c>
      <c r="B25" s="2" t="s">
        <v>567</v>
      </c>
      <c r="C25" s="2" t="s">
        <v>568</v>
      </c>
      <c r="D25" s="169">
        <v>45988.0</v>
      </c>
      <c r="E25" s="173" t="s">
        <v>569</v>
      </c>
      <c r="F25" s="2" t="s">
        <v>570</v>
      </c>
      <c r="G25" s="2" t="s">
        <v>493</v>
      </c>
      <c r="H25" s="2">
        <v>0.0</v>
      </c>
      <c r="J25" s="3">
        <v>0.0</v>
      </c>
      <c r="K25" s="2" t="s">
        <v>571</v>
      </c>
      <c r="L25" s="2"/>
      <c r="M25" s="2" t="s">
        <v>468</v>
      </c>
      <c r="N25" s="2" t="s">
        <v>406</v>
      </c>
      <c r="O25" s="3">
        <v>0.5</v>
      </c>
      <c r="Q25" s="3">
        <v>0.0</v>
      </c>
      <c r="U25" s="141"/>
      <c r="X25" s="172">
        <v>46057.64278263889</v>
      </c>
      <c r="Y25" s="172"/>
      <c r="Z25" s="3">
        <v>45988.0</v>
      </c>
      <c r="AA25" s="3"/>
    </row>
    <row r="26">
      <c r="A26" s="3">
        <v>6.766483439875E12</v>
      </c>
      <c r="B26" s="2" t="s">
        <v>572</v>
      </c>
      <c r="C26" s="2" t="s">
        <v>568</v>
      </c>
      <c r="D26" s="169">
        <v>45993.0</v>
      </c>
      <c r="E26" s="173" t="s">
        <v>569</v>
      </c>
      <c r="F26" s="2" t="s">
        <v>570</v>
      </c>
      <c r="G26" s="2" t="s">
        <v>493</v>
      </c>
      <c r="H26" s="2">
        <v>3045.0</v>
      </c>
      <c r="I26" s="2">
        <v>2.8120050019768E13</v>
      </c>
      <c r="J26" s="3">
        <v>2.0</v>
      </c>
      <c r="K26" s="2" t="s">
        <v>511</v>
      </c>
      <c r="L26" s="2" t="s">
        <v>27</v>
      </c>
      <c r="M26" s="174" t="s">
        <v>409</v>
      </c>
      <c r="N26" s="2" t="s">
        <v>462</v>
      </c>
      <c r="O26" s="3">
        <v>0.5</v>
      </c>
      <c r="P26" s="2" t="s">
        <v>73</v>
      </c>
      <c r="Q26" s="3">
        <v>920.0</v>
      </c>
      <c r="T26" s="2" t="s">
        <v>480</v>
      </c>
      <c r="U26" s="171">
        <v>3045.0</v>
      </c>
      <c r="V26" s="172">
        <v>45993.0</v>
      </c>
      <c r="W26" s="3">
        <v>335.0</v>
      </c>
      <c r="X26" s="172">
        <v>45990.71689814815</v>
      </c>
      <c r="Y26" s="172"/>
      <c r="Z26" s="3">
        <v>45993.0</v>
      </c>
      <c r="AA26" s="3"/>
    </row>
    <row r="27">
      <c r="A27" s="3">
        <v>6.766484488451E12</v>
      </c>
      <c r="B27" s="2" t="s">
        <v>573</v>
      </c>
      <c r="C27" s="2" t="s">
        <v>574</v>
      </c>
      <c r="D27" s="169">
        <v>45993.0</v>
      </c>
      <c r="E27" s="173" t="s">
        <v>575</v>
      </c>
      <c r="F27" s="2" t="s">
        <v>576</v>
      </c>
      <c r="G27" s="2" t="s">
        <v>577</v>
      </c>
      <c r="H27" s="2">
        <v>1245.0</v>
      </c>
      <c r="I27" s="2">
        <v>2.4120050019769E13</v>
      </c>
      <c r="J27" s="3">
        <v>1.0</v>
      </c>
      <c r="K27" s="2" t="s">
        <v>578</v>
      </c>
      <c r="L27" s="2" t="s">
        <v>579</v>
      </c>
      <c r="M27" s="174" t="s">
        <v>409</v>
      </c>
      <c r="N27" s="2" t="s">
        <v>462</v>
      </c>
      <c r="O27" s="3">
        <v>0.5</v>
      </c>
      <c r="P27" s="2" t="s">
        <v>363</v>
      </c>
      <c r="Q27" s="3">
        <v>550.0</v>
      </c>
      <c r="T27" s="2" t="s">
        <v>480</v>
      </c>
      <c r="U27" s="171">
        <v>1245.0</v>
      </c>
      <c r="V27" s="172">
        <v>45993.0</v>
      </c>
      <c r="W27" s="3">
        <v>263.0</v>
      </c>
      <c r="X27" s="172">
        <v>45992.71689814815</v>
      </c>
      <c r="Y27" s="172"/>
      <c r="Z27" s="3">
        <v>45993.0</v>
      </c>
      <c r="AA27" s="3"/>
    </row>
    <row r="28">
      <c r="A28" s="3">
        <v>6.766503133443E12</v>
      </c>
      <c r="B28" s="2" t="s">
        <v>580</v>
      </c>
      <c r="C28" s="2" t="s">
        <v>581</v>
      </c>
      <c r="D28" s="169">
        <v>45988.0</v>
      </c>
      <c r="E28" s="2">
        <v>3.337342477E9</v>
      </c>
      <c r="F28" s="2" t="s">
        <v>582</v>
      </c>
      <c r="G28" s="2" t="s">
        <v>536</v>
      </c>
      <c r="H28" s="2">
        <v>0.0</v>
      </c>
      <c r="I28" s="2">
        <v>2.7120050019746E13</v>
      </c>
      <c r="J28" s="3">
        <v>0.0</v>
      </c>
      <c r="K28" s="2" t="s">
        <v>583</v>
      </c>
      <c r="L28" s="2"/>
      <c r="M28" s="170" t="s">
        <v>455</v>
      </c>
      <c r="N28" s="2" t="s">
        <v>406</v>
      </c>
      <c r="O28" s="3">
        <v>0.5</v>
      </c>
      <c r="P28" s="2" t="s">
        <v>363</v>
      </c>
      <c r="Q28" s="3">
        <v>0.0</v>
      </c>
      <c r="T28" s="2" t="s">
        <v>486</v>
      </c>
      <c r="U28" s="171">
        <v>0.0</v>
      </c>
      <c r="V28" s="172">
        <v>46000.0</v>
      </c>
      <c r="W28" s="3">
        <v>227.0</v>
      </c>
      <c r="X28" s="172">
        <v>45997.76981481482</v>
      </c>
      <c r="Y28" s="172"/>
      <c r="Z28" s="3">
        <v>45988.0</v>
      </c>
      <c r="AA28" s="3"/>
    </row>
    <row r="29">
      <c r="A29" s="3">
        <v>6.766532460803E12</v>
      </c>
      <c r="B29" s="2" t="s">
        <v>584</v>
      </c>
      <c r="C29" s="2" t="s">
        <v>585</v>
      </c>
      <c r="D29" s="169">
        <v>45993.0</v>
      </c>
      <c r="E29" s="173" t="s">
        <v>586</v>
      </c>
      <c r="F29" s="2" t="s">
        <v>587</v>
      </c>
      <c r="G29" s="2" t="s">
        <v>493</v>
      </c>
      <c r="H29" s="2">
        <v>1945.0</v>
      </c>
      <c r="I29" s="2">
        <v>2.012005001977E13</v>
      </c>
      <c r="J29" s="3">
        <v>1.0</v>
      </c>
      <c r="L29" s="2" t="s">
        <v>588</v>
      </c>
      <c r="M29" s="174" t="s">
        <v>409</v>
      </c>
      <c r="N29" s="2" t="s">
        <v>462</v>
      </c>
      <c r="O29" s="3">
        <v>0.5</v>
      </c>
      <c r="P29" s="2" t="s">
        <v>363</v>
      </c>
      <c r="Q29" s="3">
        <v>1100.0</v>
      </c>
      <c r="T29" s="2" t="s">
        <v>480</v>
      </c>
      <c r="U29" s="171">
        <v>1945.0</v>
      </c>
      <c r="V29" s="172">
        <v>45993.0</v>
      </c>
      <c r="W29" s="3">
        <v>291.0</v>
      </c>
      <c r="X29" s="172">
        <v>45990.592569444445</v>
      </c>
      <c r="Y29" s="172"/>
      <c r="Z29" s="3">
        <v>45993.0</v>
      </c>
      <c r="AA29" s="3"/>
    </row>
    <row r="30">
      <c r="A30" s="3">
        <v>6.766543175939E12</v>
      </c>
      <c r="B30" s="2" t="s">
        <v>589</v>
      </c>
      <c r="C30" s="2" t="s">
        <v>590</v>
      </c>
      <c r="D30" s="169">
        <v>45993.0</v>
      </c>
      <c r="E30" s="2">
        <v>3.375900626E9</v>
      </c>
      <c r="F30" s="2" t="s">
        <v>591</v>
      </c>
      <c r="G30" s="2" t="s">
        <v>592</v>
      </c>
      <c r="H30" s="2">
        <v>2395.0</v>
      </c>
      <c r="I30" s="2">
        <v>2.1120050019745E13</v>
      </c>
      <c r="J30" s="3">
        <v>2.0</v>
      </c>
      <c r="L30" s="2" t="s">
        <v>593</v>
      </c>
      <c r="M30" s="174" t="s">
        <v>409</v>
      </c>
      <c r="N30" s="2" t="s">
        <v>462</v>
      </c>
      <c r="O30" s="3">
        <v>0.5</v>
      </c>
      <c r="P30" s="2" t="s">
        <v>73</v>
      </c>
      <c r="Q30" s="3">
        <v>1050.0</v>
      </c>
      <c r="T30" s="2" t="s">
        <v>480</v>
      </c>
      <c r="U30" s="171">
        <v>2395.0</v>
      </c>
      <c r="V30" s="172">
        <v>45993.0</v>
      </c>
      <c r="W30" s="3">
        <v>296.0</v>
      </c>
      <c r="X30" s="172">
        <v>45989.553668981476</v>
      </c>
      <c r="Y30" s="172"/>
      <c r="Z30" s="3">
        <v>45993.0</v>
      </c>
      <c r="AA30" s="3"/>
    </row>
    <row r="31">
      <c r="A31" s="3">
        <v>6.766565327107E12</v>
      </c>
      <c r="B31" s="2" t="s">
        <v>594</v>
      </c>
      <c r="C31" s="2" t="s">
        <v>595</v>
      </c>
      <c r="D31" s="169">
        <v>45988.0</v>
      </c>
      <c r="E31" s="2">
        <v>3.362204753E9</v>
      </c>
      <c r="F31" s="2" t="s">
        <v>596</v>
      </c>
      <c r="G31" s="2" t="s">
        <v>597</v>
      </c>
      <c r="H31" s="2">
        <v>0.0</v>
      </c>
      <c r="I31" s="2">
        <v>2.5120050019771E13</v>
      </c>
      <c r="J31" s="3">
        <v>0.0</v>
      </c>
      <c r="K31" s="2" t="s">
        <v>598</v>
      </c>
      <c r="L31" s="2"/>
      <c r="M31" s="170" t="s">
        <v>455</v>
      </c>
      <c r="N31" s="2" t="s">
        <v>406</v>
      </c>
      <c r="O31" s="3">
        <v>0.5</v>
      </c>
      <c r="P31" s="2" t="s">
        <v>363</v>
      </c>
      <c r="Q31" s="3">
        <v>0.0</v>
      </c>
      <c r="T31" s="2" t="s">
        <v>599</v>
      </c>
      <c r="U31" s="171">
        <v>0.0</v>
      </c>
      <c r="V31" s="172">
        <v>46010.0</v>
      </c>
      <c r="W31" s="3">
        <v>213.0</v>
      </c>
      <c r="X31" s="172">
        <v>46008.78284722222</v>
      </c>
      <c r="Y31" s="172"/>
      <c r="Z31" s="3">
        <v>45988.0</v>
      </c>
      <c r="AA31" s="3"/>
    </row>
    <row r="32">
      <c r="A32" s="3">
        <v>6.766575911171E12</v>
      </c>
      <c r="B32" s="2" t="s">
        <v>600</v>
      </c>
      <c r="C32" s="2" t="s">
        <v>601</v>
      </c>
      <c r="D32" s="169">
        <v>45993.0</v>
      </c>
      <c r="E32" s="2">
        <v>3.452982222E9</v>
      </c>
      <c r="F32" s="2" t="s">
        <v>602</v>
      </c>
      <c r="G32" s="2" t="s">
        <v>493</v>
      </c>
      <c r="H32" s="2">
        <v>9550.0</v>
      </c>
      <c r="I32" s="2">
        <v>2.0120050019772E13</v>
      </c>
      <c r="J32" s="3">
        <v>5.0</v>
      </c>
      <c r="K32" s="2" t="s">
        <v>241</v>
      </c>
      <c r="L32" s="2" t="s">
        <v>603</v>
      </c>
      <c r="M32" s="174" t="s">
        <v>409</v>
      </c>
      <c r="N32" s="2" t="s">
        <v>462</v>
      </c>
      <c r="O32" s="3">
        <v>0.5</v>
      </c>
      <c r="P32" s="2" t="s">
        <v>363</v>
      </c>
      <c r="Q32" s="3">
        <v>3860.0</v>
      </c>
      <c r="T32" s="2" t="s">
        <v>480</v>
      </c>
      <c r="U32" s="171">
        <v>9550.0</v>
      </c>
      <c r="V32" s="172">
        <v>45993.0</v>
      </c>
      <c r="W32" s="3">
        <v>796.0</v>
      </c>
      <c r="X32" s="172">
        <v>45990.7686574074</v>
      </c>
      <c r="Y32" s="172"/>
      <c r="Z32" s="3">
        <v>45993.0</v>
      </c>
      <c r="AA32" s="3"/>
    </row>
    <row r="33">
      <c r="A33" s="3">
        <v>6.766575943939E12</v>
      </c>
      <c r="B33" s="2" t="s">
        <v>604</v>
      </c>
      <c r="C33" s="2" t="s">
        <v>605</v>
      </c>
      <c r="D33" s="169">
        <v>45988.0</v>
      </c>
      <c r="E33" s="2">
        <v>3.008505659E9</v>
      </c>
      <c r="F33" s="2" t="s">
        <v>606</v>
      </c>
      <c r="G33" s="2" t="s">
        <v>607</v>
      </c>
      <c r="H33" s="2">
        <v>4045.0</v>
      </c>
      <c r="I33" s="2">
        <v>2.5120050019773E13</v>
      </c>
      <c r="J33" s="3">
        <v>1.0</v>
      </c>
      <c r="K33" s="2" t="s">
        <v>241</v>
      </c>
      <c r="L33" s="2" t="s">
        <v>608</v>
      </c>
      <c r="M33" s="174" t="s">
        <v>409</v>
      </c>
      <c r="N33" s="2" t="s">
        <v>462</v>
      </c>
      <c r="O33" s="3">
        <v>0.5</v>
      </c>
      <c r="P33" s="2" t="s">
        <v>363</v>
      </c>
      <c r="Q33" s="3">
        <v>1600.0</v>
      </c>
      <c r="U33" s="141"/>
      <c r="X33" s="172">
        <v>45989.45087962963</v>
      </c>
      <c r="Y33" s="172"/>
      <c r="Z33" s="3">
        <v>45988.0</v>
      </c>
      <c r="AA33" s="3"/>
    </row>
    <row r="34">
      <c r="A34" s="3">
        <v>6.766601666819E12</v>
      </c>
      <c r="B34" s="2" t="s">
        <v>609</v>
      </c>
      <c r="C34" s="2" t="s">
        <v>610</v>
      </c>
      <c r="D34" s="169">
        <v>45993.0</v>
      </c>
      <c r="E34" s="173" t="s">
        <v>611</v>
      </c>
      <c r="F34" s="2" t="s">
        <v>612</v>
      </c>
      <c r="G34" s="2" t="s">
        <v>541</v>
      </c>
      <c r="H34" s="2">
        <v>3195.0</v>
      </c>
      <c r="I34" s="2">
        <v>2.3120050019777E13</v>
      </c>
      <c r="J34" s="3">
        <v>3.0</v>
      </c>
      <c r="L34" s="2" t="s">
        <v>613</v>
      </c>
      <c r="M34" s="174" t="s">
        <v>409</v>
      </c>
      <c r="N34" s="2" t="s">
        <v>462</v>
      </c>
      <c r="O34" s="3">
        <v>0.5</v>
      </c>
      <c r="P34" s="2" t="s">
        <v>363</v>
      </c>
      <c r="Q34" s="3">
        <v>1445.0</v>
      </c>
      <c r="T34" s="2" t="s">
        <v>480</v>
      </c>
      <c r="U34" s="171">
        <v>3195.0</v>
      </c>
      <c r="V34" s="172">
        <v>45993.0</v>
      </c>
      <c r="W34" s="3">
        <v>328.0</v>
      </c>
      <c r="X34" s="172">
        <v>45990.638449074075</v>
      </c>
      <c r="Y34" s="172"/>
      <c r="Z34" s="3">
        <v>45993.0</v>
      </c>
      <c r="AA34" s="3"/>
    </row>
    <row r="35">
      <c r="A35" s="3">
        <v>6.766789755139E12</v>
      </c>
      <c r="B35" s="2" t="s">
        <v>614</v>
      </c>
      <c r="C35" s="2" t="s">
        <v>615</v>
      </c>
      <c r="D35" s="169">
        <v>45988.0</v>
      </c>
      <c r="E35" s="2">
        <v>3.061651627E9</v>
      </c>
      <c r="F35" s="2" t="s">
        <v>616</v>
      </c>
      <c r="G35" s="2" t="s">
        <v>617</v>
      </c>
      <c r="H35" s="2">
        <v>0.0</v>
      </c>
      <c r="I35" s="2">
        <v>2.312005001978E13</v>
      </c>
      <c r="J35" s="3">
        <v>0.0</v>
      </c>
      <c r="K35" s="2" t="s">
        <v>618</v>
      </c>
      <c r="L35" s="2"/>
      <c r="M35" s="170" t="s">
        <v>455</v>
      </c>
      <c r="N35" s="2" t="s">
        <v>406</v>
      </c>
      <c r="O35" s="3">
        <v>0.5</v>
      </c>
      <c r="P35" s="2" t="s">
        <v>363</v>
      </c>
      <c r="Q35" s="3">
        <v>0.0</v>
      </c>
      <c r="T35" s="2" t="s">
        <v>456</v>
      </c>
      <c r="U35" s="171">
        <v>0.0</v>
      </c>
      <c r="V35" s="172">
        <v>46003.0</v>
      </c>
      <c r="W35" s="3">
        <v>200.0</v>
      </c>
      <c r="X35" s="172">
        <v>46000.757268518515</v>
      </c>
      <c r="Y35" s="172"/>
      <c r="Z35" s="3">
        <v>45988.0</v>
      </c>
      <c r="AA35" s="3"/>
    </row>
    <row r="36">
      <c r="A36" s="3">
        <v>6.766798700803E12</v>
      </c>
      <c r="B36" s="2" t="s">
        <v>619</v>
      </c>
      <c r="C36" s="2" t="s">
        <v>620</v>
      </c>
      <c r="D36" s="169">
        <v>45993.0</v>
      </c>
      <c r="E36" s="2">
        <v>3.332303766E9</v>
      </c>
      <c r="F36" s="2" t="s">
        <v>621</v>
      </c>
      <c r="G36" s="2" t="s">
        <v>493</v>
      </c>
      <c r="H36" s="2">
        <v>2892.0</v>
      </c>
      <c r="I36" s="2">
        <v>2.3120050019781E13</v>
      </c>
      <c r="J36" s="3">
        <v>3.0</v>
      </c>
      <c r="L36" s="2" t="s">
        <v>622</v>
      </c>
      <c r="M36" s="174" t="s">
        <v>409</v>
      </c>
      <c r="N36" s="2" t="s">
        <v>462</v>
      </c>
      <c r="O36" s="3">
        <v>0.5</v>
      </c>
      <c r="P36" s="2" t="s">
        <v>363</v>
      </c>
      <c r="Q36" s="3">
        <v>1650.0</v>
      </c>
      <c r="T36" s="2" t="s">
        <v>480</v>
      </c>
      <c r="U36" s="171">
        <v>2892.0</v>
      </c>
      <c r="V36" s="172">
        <v>45993.0</v>
      </c>
      <c r="W36" s="3">
        <v>342.0</v>
      </c>
      <c r="X36" s="172">
        <v>45992.78162037037</v>
      </c>
      <c r="Y36" s="172"/>
      <c r="Z36" s="3">
        <v>45993.0</v>
      </c>
      <c r="AA36" s="3"/>
    </row>
    <row r="37">
      <c r="A37" s="3">
        <v>6.766819868931E12</v>
      </c>
      <c r="B37" s="2" t="s">
        <v>623</v>
      </c>
      <c r="C37" s="2" t="s">
        <v>624</v>
      </c>
      <c r="D37" s="169">
        <v>45988.0</v>
      </c>
      <c r="E37" s="2">
        <v>3.045384987E9</v>
      </c>
      <c r="F37" s="2" t="s">
        <v>625</v>
      </c>
      <c r="G37" s="2" t="s">
        <v>626</v>
      </c>
      <c r="H37" s="2">
        <v>0.0</v>
      </c>
      <c r="I37" s="2">
        <v>2.1120050019783E13</v>
      </c>
      <c r="J37" s="3">
        <v>0.0</v>
      </c>
      <c r="K37" s="2" t="s">
        <v>528</v>
      </c>
      <c r="L37" s="2"/>
      <c r="M37" s="170" t="s">
        <v>455</v>
      </c>
      <c r="N37" s="2" t="s">
        <v>406</v>
      </c>
      <c r="O37" s="3">
        <v>0.5</v>
      </c>
      <c r="P37" s="2" t="s">
        <v>73</v>
      </c>
      <c r="Q37" s="3">
        <v>0.0</v>
      </c>
      <c r="T37" s="2" t="s">
        <v>486</v>
      </c>
      <c r="U37" s="171">
        <v>0.0</v>
      </c>
      <c r="V37" s="172">
        <v>46000.0</v>
      </c>
      <c r="W37" s="3">
        <v>220.0</v>
      </c>
      <c r="X37" s="172">
        <v>45997.76981481482</v>
      </c>
      <c r="Y37" s="172"/>
      <c r="Z37" s="3">
        <v>45988.0</v>
      </c>
      <c r="AA37" s="3"/>
    </row>
    <row r="38">
      <c r="A38" s="3">
        <v>6.766987149571E12</v>
      </c>
      <c r="B38" s="2" t="s">
        <v>627</v>
      </c>
      <c r="C38" s="2" t="s">
        <v>628</v>
      </c>
      <c r="D38" s="169">
        <v>45993.0</v>
      </c>
      <c r="E38" s="2">
        <v>3.088422171E9</v>
      </c>
      <c r="F38" s="2" t="s">
        <v>629</v>
      </c>
      <c r="G38" s="2" t="s">
        <v>366</v>
      </c>
      <c r="H38" s="2">
        <v>4595.0</v>
      </c>
      <c r="I38" s="2">
        <v>2.1120050019782E13</v>
      </c>
      <c r="J38" s="3">
        <v>2.0</v>
      </c>
      <c r="L38" s="2" t="s">
        <v>479</v>
      </c>
      <c r="M38" s="174" t="s">
        <v>409</v>
      </c>
      <c r="N38" s="2" t="s">
        <v>462</v>
      </c>
      <c r="O38" s="3">
        <v>0.5</v>
      </c>
      <c r="P38" s="2" t="s">
        <v>73</v>
      </c>
      <c r="Q38" s="3">
        <v>1700.0</v>
      </c>
      <c r="T38" s="2" t="s">
        <v>480</v>
      </c>
      <c r="U38" s="171">
        <v>4595.0</v>
      </c>
      <c r="V38" s="172">
        <v>45993.0</v>
      </c>
      <c r="W38" s="3">
        <v>404.0</v>
      </c>
      <c r="X38" s="172">
        <v>45992.70050925926</v>
      </c>
      <c r="Y38" s="172"/>
      <c r="Z38" s="3">
        <v>45993.0</v>
      </c>
      <c r="AA38" s="3"/>
    </row>
    <row r="39">
      <c r="A39" s="3">
        <v>6.767310602499E12</v>
      </c>
      <c r="B39" s="2" t="s">
        <v>630</v>
      </c>
      <c r="C39" s="2" t="s">
        <v>631</v>
      </c>
      <c r="D39" s="169">
        <v>45988.0</v>
      </c>
      <c r="E39" s="2">
        <v>3.422784614E9</v>
      </c>
      <c r="F39" s="2" t="s">
        <v>632</v>
      </c>
      <c r="G39" s="2" t="s">
        <v>633</v>
      </c>
      <c r="H39" s="2">
        <v>0.0</v>
      </c>
      <c r="J39" s="3">
        <v>0.0</v>
      </c>
      <c r="K39" s="2" t="s">
        <v>634</v>
      </c>
      <c r="L39" s="2"/>
      <c r="M39" s="2" t="s">
        <v>468</v>
      </c>
      <c r="N39" s="2" t="s">
        <v>406</v>
      </c>
      <c r="O39" s="3">
        <v>0.5</v>
      </c>
      <c r="Q39" s="3">
        <v>0.0</v>
      </c>
      <c r="U39" s="141"/>
      <c r="X39" s="172">
        <v>46057.64278263889</v>
      </c>
      <c r="Y39" s="172"/>
      <c r="Z39" s="3">
        <v>45988.0</v>
      </c>
      <c r="AA39" s="3"/>
    </row>
    <row r="40">
      <c r="A40" s="3">
        <v>6.767347564803E12</v>
      </c>
      <c r="B40" s="2" t="s">
        <v>635</v>
      </c>
      <c r="C40" s="2" t="s">
        <v>636</v>
      </c>
      <c r="D40" s="169">
        <v>45988.0</v>
      </c>
      <c r="E40" s="2">
        <v>3.093632053E9</v>
      </c>
      <c r="F40" s="2" t="s">
        <v>637</v>
      </c>
      <c r="G40" s="2" t="s">
        <v>638</v>
      </c>
      <c r="H40" s="2">
        <v>2695.0</v>
      </c>
      <c r="I40" s="2" t="s">
        <v>639</v>
      </c>
      <c r="J40" s="3">
        <v>2.0</v>
      </c>
      <c r="L40" s="2" t="s">
        <v>16</v>
      </c>
      <c r="M40" s="174" t="s">
        <v>409</v>
      </c>
      <c r="N40" s="2" t="s">
        <v>462</v>
      </c>
      <c r="O40" s="3">
        <v>0.5</v>
      </c>
      <c r="P40" s="2" t="s">
        <v>640</v>
      </c>
      <c r="Q40" s="3">
        <v>980.0</v>
      </c>
      <c r="T40" s="2" t="s">
        <v>502</v>
      </c>
      <c r="U40" s="171">
        <v>2695.0</v>
      </c>
      <c r="W40" s="3">
        <v>400.0</v>
      </c>
      <c r="X40" s="172">
        <v>46057.69140327546</v>
      </c>
      <c r="Y40" s="172"/>
      <c r="Z40" s="3">
        <v>45988.0</v>
      </c>
      <c r="AA40" s="3"/>
    </row>
    <row r="41">
      <c r="A41" s="3">
        <v>6.767392063747E12</v>
      </c>
      <c r="B41" s="2" t="s">
        <v>641</v>
      </c>
      <c r="C41" s="2" t="s">
        <v>642</v>
      </c>
      <c r="D41" s="169">
        <v>45993.0</v>
      </c>
      <c r="E41" s="2">
        <v>3.003312121E9</v>
      </c>
      <c r="F41" s="2" t="s">
        <v>643</v>
      </c>
      <c r="G41" s="2" t="s">
        <v>541</v>
      </c>
      <c r="H41" s="2">
        <v>2695.0</v>
      </c>
      <c r="I41" s="2">
        <v>2.4120050019784E13</v>
      </c>
      <c r="J41" s="3">
        <v>2.0</v>
      </c>
      <c r="L41" s="2" t="s">
        <v>16</v>
      </c>
      <c r="M41" s="174" t="s">
        <v>409</v>
      </c>
      <c r="N41" s="2" t="s">
        <v>462</v>
      </c>
      <c r="O41" s="3">
        <v>0.5</v>
      </c>
      <c r="P41" s="2" t="s">
        <v>363</v>
      </c>
      <c r="Q41" s="3">
        <v>980.0</v>
      </c>
      <c r="T41" s="2" t="s">
        <v>480</v>
      </c>
      <c r="U41" s="171">
        <v>2695.0</v>
      </c>
      <c r="V41" s="172">
        <v>45993.0</v>
      </c>
      <c r="W41" s="3">
        <v>308.0</v>
      </c>
      <c r="X41" s="172">
        <v>45992.84537037037</v>
      </c>
      <c r="Y41" s="172"/>
      <c r="Z41" s="3">
        <v>45993.0</v>
      </c>
      <c r="AA41" s="3"/>
    </row>
    <row r="42">
      <c r="A42" s="3">
        <v>6.767411462403E12</v>
      </c>
      <c r="B42" s="2" t="s">
        <v>644</v>
      </c>
      <c r="C42" s="2" t="s">
        <v>645</v>
      </c>
      <c r="D42" s="169">
        <v>45988.0</v>
      </c>
      <c r="E42" s="2">
        <v>3.266565123E9</v>
      </c>
      <c r="F42" s="2" t="s">
        <v>646</v>
      </c>
      <c r="G42" s="2" t="s">
        <v>647</v>
      </c>
      <c r="H42" s="2">
        <v>0.0</v>
      </c>
      <c r="J42" s="3">
        <v>0.0</v>
      </c>
      <c r="K42" s="2" t="s">
        <v>648</v>
      </c>
      <c r="L42" s="2"/>
      <c r="M42" s="2" t="s">
        <v>468</v>
      </c>
      <c r="N42" s="2" t="s">
        <v>406</v>
      </c>
      <c r="O42" s="3">
        <v>0.5</v>
      </c>
      <c r="Q42" s="3">
        <v>0.0</v>
      </c>
      <c r="U42" s="141"/>
      <c r="X42" s="172">
        <v>46057.64278263889</v>
      </c>
      <c r="Y42" s="172"/>
      <c r="Z42" s="3">
        <v>45988.0</v>
      </c>
      <c r="AA42" s="3"/>
    </row>
    <row r="43">
      <c r="A43" s="3">
        <v>6.767432663299E12</v>
      </c>
      <c r="B43" s="2" t="s">
        <v>649</v>
      </c>
      <c r="C43" s="2" t="s">
        <v>650</v>
      </c>
      <c r="D43" s="169">
        <v>45988.0</v>
      </c>
      <c r="E43" s="2">
        <v>3.187546845E9</v>
      </c>
      <c r="F43" s="2" t="s">
        <v>651</v>
      </c>
      <c r="G43" s="2" t="s">
        <v>374</v>
      </c>
      <c r="H43" s="2">
        <v>0.0</v>
      </c>
      <c r="I43" s="2" t="s">
        <v>652</v>
      </c>
      <c r="J43" s="3">
        <v>0.0</v>
      </c>
      <c r="L43" s="2"/>
      <c r="M43" s="170" t="s">
        <v>455</v>
      </c>
      <c r="N43" s="2" t="s">
        <v>406</v>
      </c>
      <c r="O43" s="3">
        <v>0.5</v>
      </c>
      <c r="P43" s="2" t="s">
        <v>640</v>
      </c>
      <c r="Q43" s="3">
        <v>0.0</v>
      </c>
      <c r="T43" s="2" t="s">
        <v>502</v>
      </c>
      <c r="U43" s="141"/>
      <c r="W43" s="3">
        <v>414.0</v>
      </c>
      <c r="X43" s="172">
        <v>46059.3818374074</v>
      </c>
      <c r="Y43" s="172"/>
      <c r="Z43" s="3">
        <v>45988.0</v>
      </c>
      <c r="AA43" s="3"/>
    </row>
    <row r="44">
      <c r="A44" s="3">
        <v>6.767661646083E12</v>
      </c>
      <c r="B44" s="2" t="s">
        <v>653</v>
      </c>
      <c r="C44" s="2" t="s">
        <v>654</v>
      </c>
      <c r="D44" s="169">
        <v>45989.0</v>
      </c>
      <c r="E44" s="2" t="s">
        <v>655</v>
      </c>
      <c r="F44" s="2" t="s">
        <v>656</v>
      </c>
      <c r="G44" s="2" t="s">
        <v>657</v>
      </c>
      <c r="H44" s="2">
        <v>0.0</v>
      </c>
      <c r="J44" s="3">
        <v>0.0</v>
      </c>
      <c r="K44" s="2" t="s">
        <v>658</v>
      </c>
      <c r="L44" s="2"/>
      <c r="M44" s="2" t="s">
        <v>468</v>
      </c>
      <c r="N44" s="2" t="s">
        <v>406</v>
      </c>
      <c r="O44" s="3">
        <v>0.5</v>
      </c>
      <c r="Q44" s="3">
        <v>0.0</v>
      </c>
      <c r="U44" s="141"/>
      <c r="X44" s="172">
        <v>46057.64278263889</v>
      </c>
      <c r="Y44" s="172"/>
      <c r="Z44" s="3">
        <v>45989.0</v>
      </c>
      <c r="AA44" s="3"/>
    </row>
    <row r="45">
      <c r="A45" s="3">
        <v>6.767793438979E12</v>
      </c>
      <c r="B45" s="2" t="s">
        <v>659</v>
      </c>
      <c r="C45" s="2" t="s">
        <v>660</v>
      </c>
      <c r="D45" s="169">
        <v>45993.0</v>
      </c>
      <c r="E45" s="2">
        <v>3.11971734E9</v>
      </c>
      <c r="F45" s="2" t="s">
        <v>661</v>
      </c>
      <c r="G45" s="2" t="s">
        <v>461</v>
      </c>
      <c r="H45" s="2">
        <v>3045.0</v>
      </c>
      <c r="I45" s="2">
        <v>2.7120050019785E13</v>
      </c>
      <c r="J45" s="3">
        <v>2.0</v>
      </c>
      <c r="L45" s="2" t="s">
        <v>662</v>
      </c>
      <c r="M45" s="174" t="s">
        <v>409</v>
      </c>
      <c r="N45" s="2" t="s">
        <v>462</v>
      </c>
      <c r="O45" s="3">
        <v>0.5</v>
      </c>
      <c r="P45" s="2" t="s">
        <v>363</v>
      </c>
      <c r="Q45" s="3">
        <v>960.0</v>
      </c>
      <c r="T45" s="2" t="s">
        <v>480</v>
      </c>
      <c r="U45" s="171">
        <v>3045.0</v>
      </c>
      <c r="V45" s="172">
        <v>45993.0</v>
      </c>
      <c r="W45" s="3">
        <v>322.0</v>
      </c>
      <c r="X45" s="172">
        <v>45992.69118055556</v>
      </c>
      <c r="Y45" s="172"/>
      <c r="Z45" s="3">
        <v>45993.0</v>
      </c>
      <c r="AA45" s="3"/>
    </row>
    <row r="46">
      <c r="A46" s="3">
        <v>6.767899050243E12</v>
      </c>
      <c r="B46" s="2" t="s">
        <v>663</v>
      </c>
      <c r="C46" s="2" t="s">
        <v>664</v>
      </c>
      <c r="D46" s="169">
        <v>45989.0</v>
      </c>
      <c r="E46" s="173" t="s">
        <v>665</v>
      </c>
      <c r="F46" s="2" t="s">
        <v>666</v>
      </c>
      <c r="G46" s="2" t="s">
        <v>667</v>
      </c>
      <c r="H46" s="2">
        <v>2694.0</v>
      </c>
      <c r="I46" s="2">
        <v>2.5120050019786E13</v>
      </c>
      <c r="J46" s="3">
        <v>1.0</v>
      </c>
      <c r="L46" s="2" t="s">
        <v>500</v>
      </c>
      <c r="M46" s="174" t="s">
        <v>409</v>
      </c>
      <c r="N46" s="2" t="s">
        <v>462</v>
      </c>
      <c r="O46" s="3">
        <v>0.5</v>
      </c>
      <c r="P46" s="2" t="s">
        <v>363</v>
      </c>
      <c r="Q46" s="3">
        <v>850.0</v>
      </c>
      <c r="T46" s="2" t="s">
        <v>463</v>
      </c>
      <c r="U46" s="171">
        <v>2694.0</v>
      </c>
      <c r="V46" s="172">
        <v>45996.0</v>
      </c>
      <c r="W46" s="3">
        <v>321.0</v>
      </c>
      <c r="X46" s="172">
        <v>45993.72069444445</v>
      </c>
      <c r="Y46" s="172"/>
      <c r="Z46" s="3">
        <v>45989.0</v>
      </c>
      <c r="AA46" s="3"/>
    </row>
    <row r="47">
      <c r="A47" s="3">
        <v>6.768261005571E12</v>
      </c>
      <c r="B47" s="2" t="s">
        <v>668</v>
      </c>
      <c r="C47" s="2" t="s">
        <v>669</v>
      </c>
      <c r="D47" s="169">
        <v>45989.0</v>
      </c>
      <c r="E47" s="173" t="s">
        <v>670</v>
      </c>
      <c r="F47" s="2" t="s">
        <v>671</v>
      </c>
      <c r="G47" s="2" t="s">
        <v>672</v>
      </c>
      <c r="H47" s="2">
        <v>0.0</v>
      </c>
      <c r="I47" s="2">
        <v>2.6120050019791E13</v>
      </c>
      <c r="J47" s="3">
        <v>0.0</v>
      </c>
      <c r="K47" s="2" t="s">
        <v>673</v>
      </c>
      <c r="L47" s="2"/>
      <c r="M47" s="170" t="s">
        <v>455</v>
      </c>
      <c r="N47" s="2" t="s">
        <v>406</v>
      </c>
      <c r="O47" s="3">
        <v>0.5</v>
      </c>
      <c r="P47" s="2" t="s">
        <v>363</v>
      </c>
      <c r="Q47" s="3">
        <v>0.0</v>
      </c>
      <c r="T47" s="2" t="s">
        <v>674</v>
      </c>
      <c r="U47" s="171">
        <v>0.0</v>
      </c>
      <c r="V47" s="172">
        <v>46007.0</v>
      </c>
      <c r="W47" s="3">
        <v>227.0</v>
      </c>
      <c r="X47" s="172">
        <v>46004.77121527778</v>
      </c>
      <c r="Y47" s="172"/>
      <c r="Z47" s="3">
        <v>45989.0</v>
      </c>
      <c r="AA47" s="3"/>
    </row>
    <row r="48">
      <c r="A48" s="3">
        <v>6.768344498435E12</v>
      </c>
      <c r="B48" s="2" t="s">
        <v>675</v>
      </c>
      <c r="C48" s="2" t="s">
        <v>676</v>
      </c>
      <c r="D48" s="169">
        <v>45993.0</v>
      </c>
      <c r="E48" s="2">
        <v>3.238486556E9</v>
      </c>
      <c r="F48" s="2" t="s">
        <v>677</v>
      </c>
      <c r="G48" s="2" t="s">
        <v>678</v>
      </c>
      <c r="H48" s="2">
        <v>2694.0</v>
      </c>
      <c r="I48" s="2">
        <v>2.3120050019787E13</v>
      </c>
      <c r="J48" s="3">
        <v>1.0</v>
      </c>
      <c r="L48" s="2" t="s">
        <v>512</v>
      </c>
      <c r="M48" s="174" t="s">
        <v>409</v>
      </c>
      <c r="N48" s="2" t="s">
        <v>462</v>
      </c>
      <c r="O48" s="3">
        <v>0.5</v>
      </c>
      <c r="P48" s="2" t="s">
        <v>363</v>
      </c>
      <c r="Q48" s="3">
        <v>850.0</v>
      </c>
      <c r="T48" s="2" t="s">
        <v>480</v>
      </c>
      <c r="U48" s="171">
        <v>2694.0</v>
      </c>
      <c r="V48" s="172">
        <v>45993.0</v>
      </c>
      <c r="W48" s="3">
        <v>228.0</v>
      </c>
      <c r="X48" s="172">
        <v>45992.48568287037</v>
      </c>
      <c r="Y48" s="172"/>
      <c r="Z48" s="3">
        <v>45993.0</v>
      </c>
      <c r="AA48" s="3"/>
    </row>
    <row r="49">
      <c r="A49" s="3">
        <v>6.768472064259E12</v>
      </c>
      <c r="B49" s="2" t="s">
        <v>679</v>
      </c>
      <c r="C49" s="2" t="s">
        <v>680</v>
      </c>
      <c r="D49" s="169">
        <v>45993.0</v>
      </c>
      <c r="E49" s="173" t="s">
        <v>681</v>
      </c>
      <c r="F49" s="2" t="s">
        <v>682</v>
      </c>
      <c r="G49" s="2" t="s">
        <v>368</v>
      </c>
      <c r="H49" s="2">
        <v>0.0</v>
      </c>
      <c r="I49" s="2">
        <v>2.5120050019788E13</v>
      </c>
      <c r="J49" s="3">
        <v>1.0</v>
      </c>
      <c r="K49" s="2" t="s">
        <v>683</v>
      </c>
      <c r="L49" s="2" t="s">
        <v>684</v>
      </c>
      <c r="M49" s="174" t="s">
        <v>409</v>
      </c>
      <c r="N49" s="2" t="s">
        <v>406</v>
      </c>
      <c r="O49" s="3">
        <v>0.5</v>
      </c>
      <c r="P49" s="2" t="s">
        <v>363</v>
      </c>
      <c r="Q49" s="3">
        <v>850.0</v>
      </c>
      <c r="T49" s="2" t="s">
        <v>480</v>
      </c>
      <c r="U49" s="171">
        <v>0.0</v>
      </c>
      <c r="V49" s="172">
        <v>45993.0</v>
      </c>
      <c r="W49" s="3">
        <v>120.0</v>
      </c>
      <c r="X49" s="172">
        <v>45990.45300925926</v>
      </c>
      <c r="Y49" s="172"/>
      <c r="Z49" s="3">
        <v>45993.0</v>
      </c>
      <c r="AA49" s="3"/>
    </row>
    <row r="50">
      <c r="A50" s="3">
        <v>6.768488284419E12</v>
      </c>
      <c r="B50" s="2" t="s">
        <v>685</v>
      </c>
      <c r="C50" s="2" t="s">
        <v>686</v>
      </c>
      <c r="D50" s="169">
        <v>45989.0</v>
      </c>
      <c r="E50" s="2">
        <v>3.015544333E9</v>
      </c>
      <c r="F50" s="2" t="s">
        <v>687</v>
      </c>
      <c r="G50" s="2" t="s">
        <v>688</v>
      </c>
      <c r="H50" s="2">
        <v>2694.0</v>
      </c>
      <c r="I50" s="2" t="s">
        <v>689</v>
      </c>
      <c r="J50" s="3">
        <v>1.0</v>
      </c>
      <c r="L50" s="2" t="s">
        <v>512</v>
      </c>
      <c r="M50" s="174" t="s">
        <v>409</v>
      </c>
      <c r="N50" s="2" t="s">
        <v>462</v>
      </c>
      <c r="O50" s="3">
        <v>0.5</v>
      </c>
      <c r="P50" s="2" t="s">
        <v>640</v>
      </c>
      <c r="Q50" s="3">
        <v>850.0</v>
      </c>
      <c r="T50" s="2" t="s">
        <v>502</v>
      </c>
      <c r="U50" s="171">
        <v>2694.0</v>
      </c>
      <c r="W50" s="3">
        <v>370.96</v>
      </c>
      <c r="X50" s="172">
        <v>46057.691462222225</v>
      </c>
      <c r="Y50" s="172"/>
      <c r="Z50" s="3">
        <v>45989.0</v>
      </c>
      <c r="AA50" s="3"/>
    </row>
    <row r="51">
      <c r="A51" s="3">
        <v>6.768505585923E12</v>
      </c>
      <c r="B51" s="2" t="s">
        <v>690</v>
      </c>
      <c r="C51" s="2" t="s">
        <v>691</v>
      </c>
      <c r="D51" s="169">
        <v>45989.0</v>
      </c>
      <c r="E51" s="2">
        <v>3.333851237E9</v>
      </c>
      <c r="F51" s="2" t="s">
        <v>692</v>
      </c>
      <c r="G51" s="2" t="s">
        <v>693</v>
      </c>
      <c r="H51" s="2">
        <v>0.0</v>
      </c>
      <c r="I51" s="2">
        <v>2.7120050019789E13</v>
      </c>
      <c r="J51" s="3">
        <v>0.0</v>
      </c>
      <c r="K51" s="2" t="s">
        <v>485</v>
      </c>
      <c r="L51" s="2"/>
      <c r="M51" s="170" t="s">
        <v>455</v>
      </c>
      <c r="N51" s="2" t="s">
        <v>406</v>
      </c>
      <c r="O51" s="3">
        <v>0.5</v>
      </c>
      <c r="P51" s="2" t="s">
        <v>363</v>
      </c>
      <c r="Q51" s="3">
        <v>0.0</v>
      </c>
      <c r="T51" s="2" t="s">
        <v>486</v>
      </c>
      <c r="U51" s="171">
        <v>0.0</v>
      </c>
      <c r="V51" s="172">
        <v>46000.0</v>
      </c>
      <c r="W51" s="3">
        <v>213.0</v>
      </c>
      <c r="X51" s="172">
        <v>45997.76981481482</v>
      </c>
      <c r="Y51" s="172"/>
      <c r="Z51" s="3">
        <v>45989.0</v>
      </c>
      <c r="AA51" s="3"/>
    </row>
    <row r="52">
      <c r="A52" s="3">
        <v>6.768522297603E12</v>
      </c>
      <c r="B52" s="2" t="s">
        <v>694</v>
      </c>
      <c r="C52" s="2" t="s">
        <v>695</v>
      </c>
      <c r="D52" s="169">
        <v>45989.0</v>
      </c>
      <c r="E52" s="2">
        <v>3.002654499E9</v>
      </c>
      <c r="F52" s="2" t="s">
        <v>696</v>
      </c>
      <c r="G52" s="2" t="s">
        <v>368</v>
      </c>
      <c r="H52" s="2">
        <v>0.0</v>
      </c>
      <c r="I52" s="2">
        <v>2.012005001979E13</v>
      </c>
      <c r="J52" s="3">
        <v>0.0</v>
      </c>
      <c r="K52" s="2" t="s">
        <v>697</v>
      </c>
      <c r="L52" s="2"/>
      <c r="M52" s="170" t="s">
        <v>455</v>
      </c>
      <c r="N52" s="2" t="s">
        <v>406</v>
      </c>
      <c r="O52" s="3">
        <v>0.5</v>
      </c>
      <c r="P52" s="2" t="s">
        <v>363</v>
      </c>
      <c r="Q52" s="3">
        <v>0.0</v>
      </c>
      <c r="T52" s="2" t="s">
        <v>463</v>
      </c>
      <c r="U52" s="171">
        <v>0.0</v>
      </c>
      <c r="V52" s="172">
        <v>45996.0</v>
      </c>
      <c r="W52" s="3">
        <v>107.0</v>
      </c>
      <c r="X52" s="172">
        <v>45995.807337962964</v>
      </c>
      <c r="Y52" s="172"/>
      <c r="Z52" s="3">
        <v>45989.0</v>
      </c>
      <c r="AA52" s="3"/>
    </row>
    <row r="53">
      <c r="A53" s="3">
        <v>6.768523018499E12</v>
      </c>
      <c r="B53" s="2" t="s">
        <v>698</v>
      </c>
      <c r="C53" s="2" t="s">
        <v>699</v>
      </c>
      <c r="D53" s="169">
        <v>45989.0</v>
      </c>
      <c r="E53" s="2">
        <v>3.062133339E9</v>
      </c>
      <c r="F53" s="2" t="s">
        <v>700</v>
      </c>
      <c r="G53" s="2" t="s">
        <v>701</v>
      </c>
      <c r="H53" s="2">
        <v>3045.0</v>
      </c>
      <c r="I53" s="2" t="s">
        <v>702</v>
      </c>
      <c r="J53" s="3">
        <v>2.0</v>
      </c>
      <c r="L53" s="2" t="s">
        <v>662</v>
      </c>
      <c r="M53" s="174" t="s">
        <v>409</v>
      </c>
      <c r="N53" s="2" t="s">
        <v>462</v>
      </c>
      <c r="O53" s="3">
        <v>0.5</v>
      </c>
      <c r="P53" s="2" t="s">
        <v>640</v>
      </c>
      <c r="Q53" s="3">
        <v>960.0</v>
      </c>
      <c r="T53" s="2" t="s">
        <v>502</v>
      </c>
      <c r="U53" s="171">
        <v>3045.0</v>
      </c>
      <c r="W53" s="3">
        <v>414.0</v>
      </c>
      <c r="X53" s="172">
        <v>46057.69148616898</v>
      </c>
      <c r="Y53" s="172"/>
      <c r="Z53" s="3">
        <v>45989.0</v>
      </c>
      <c r="AA53" s="3"/>
    </row>
    <row r="54">
      <c r="A54" s="3">
        <v>6.768546742531E12</v>
      </c>
      <c r="B54" s="2" t="s">
        <v>703</v>
      </c>
      <c r="C54" s="2" t="s">
        <v>704</v>
      </c>
      <c r="D54" s="169">
        <v>45989.0</v>
      </c>
      <c r="E54" s="2">
        <v>3.371446728E9</v>
      </c>
      <c r="F54" s="2" t="s">
        <v>705</v>
      </c>
      <c r="G54" s="2" t="s">
        <v>366</v>
      </c>
      <c r="H54" s="2">
        <v>0.0</v>
      </c>
      <c r="I54" s="2">
        <v>2.9120050019979E13</v>
      </c>
      <c r="J54" s="3">
        <v>0.0</v>
      </c>
      <c r="K54" s="2" t="s">
        <v>706</v>
      </c>
      <c r="L54" s="2"/>
      <c r="M54" s="170" t="s">
        <v>455</v>
      </c>
      <c r="N54" s="2" t="s">
        <v>406</v>
      </c>
      <c r="O54" s="3">
        <v>0.5</v>
      </c>
      <c r="P54" s="2" t="s">
        <v>363</v>
      </c>
      <c r="Q54" s="3">
        <v>0.0</v>
      </c>
      <c r="T54" s="2" t="s">
        <v>599</v>
      </c>
      <c r="U54" s="171">
        <v>0.0</v>
      </c>
      <c r="V54" s="172">
        <v>46010.0</v>
      </c>
      <c r="W54" s="3">
        <v>200.0</v>
      </c>
      <c r="X54" s="172">
        <v>46008.78284722222</v>
      </c>
      <c r="Y54" s="172"/>
      <c r="Z54" s="3">
        <v>45989.0</v>
      </c>
      <c r="AA54" s="3"/>
    </row>
    <row r="55">
      <c r="A55" s="3">
        <v>6.768668967171E12</v>
      </c>
      <c r="B55" s="2" t="s">
        <v>707</v>
      </c>
      <c r="C55" s="2" t="s">
        <v>708</v>
      </c>
      <c r="D55" s="169">
        <v>45989.0</v>
      </c>
      <c r="E55" s="2">
        <v>3.431494243E9</v>
      </c>
      <c r="F55" s="2" t="s">
        <v>709</v>
      </c>
      <c r="G55" s="2" t="s">
        <v>493</v>
      </c>
      <c r="H55" s="2">
        <v>2695.0</v>
      </c>
      <c r="I55" s="2">
        <v>2.4120050019793E13</v>
      </c>
      <c r="J55" s="3">
        <v>2.0</v>
      </c>
      <c r="L55" s="2" t="s">
        <v>35</v>
      </c>
      <c r="M55" s="174" t="s">
        <v>409</v>
      </c>
      <c r="N55" s="2" t="s">
        <v>462</v>
      </c>
      <c r="O55" s="3">
        <v>0.5</v>
      </c>
      <c r="P55" s="2" t="s">
        <v>363</v>
      </c>
      <c r="Q55" s="3">
        <v>980.0</v>
      </c>
      <c r="T55" s="2" t="s">
        <v>463</v>
      </c>
      <c r="U55" s="171">
        <v>2695.0</v>
      </c>
      <c r="V55" s="172">
        <v>45996.0</v>
      </c>
      <c r="W55" s="3">
        <v>321.0</v>
      </c>
      <c r="X55" s="172">
        <v>45993.65721064815</v>
      </c>
      <c r="Y55" s="172"/>
      <c r="Z55" s="3">
        <v>45989.0</v>
      </c>
      <c r="AA55" s="3"/>
    </row>
    <row r="56">
      <c r="A56" s="3">
        <v>6.768695083267E12</v>
      </c>
      <c r="B56" s="2" t="s">
        <v>710</v>
      </c>
      <c r="C56" s="2" t="s">
        <v>711</v>
      </c>
      <c r="D56" s="169">
        <v>45993.0</v>
      </c>
      <c r="E56" s="2">
        <v>3.078701055E9</v>
      </c>
      <c r="F56" s="2" t="s">
        <v>712</v>
      </c>
      <c r="G56" s="2" t="s">
        <v>713</v>
      </c>
      <c r="H56" s="2">
        <v>2694.0</v>
      </c>
      <c r="I56" s="2">
        <v>2.5120050019794E13</v>
      </c>
      <c r="J56" s="3">
        <v>1.0</v>
      </c>
      <c r="L56" s="2" t="s">
        <v>557</v>
      </c>
      <c r="M56" s="174" t="s">
        <v>409</v>
      </c>
      <c r="N56" s="2" t="s">
        <v>462</v>
      </c>
      <c r="O56" s="3">
        <v>0.5</v>
      </c>
      <c r="P56" s="2" t="s">
        <v>363</v>
      </c>
      <c r="Q56" s="3">
        <v>850.0</v>
      </c>
      <c r="T56" s="2" t="s">
        <v>480</v>
      </c>
      <c r="U56" s="171">
        <v>2694.0</v>
      </c>
      <c r="V56" s="172">
        <v>45993.0</v>
      </c>
      <c r="W56" s="3">
        <v>335.0</v>
      </c>
      <c r="X56" s="172">
        <v>45992.382152777776</v>
      </c>
      <c r="Y56" s="172"/>
      <c r="Z56" s="3">
        <v>45993.0</v>
      </c>
      <c r="AA56" s="3"/>
    </row>
    <row r="57">
      <c r="A57" s="3">
        <v>6.768708616451E12</v>
      </c>
      <c r="B57" s="2" t="s">
        <v>714</v>
      </c>
      <c r="C57" s="2" t="s">
        <v>715</v>
      </c>
      <c r="D57" s="169">
        <v>45993.0</v>
      </c>
      <c r="E57" s="173" t="s">
        <v>716</v>
      </c>
      <c r="F57" s="2" t="s">
        <v>717</v>
      </c>
      <c r="G57" s="2" t="s">
        <v>366</v>
      </c>
      <c r="H57" s="2">
        <v>2445.0</v>
      </c>
      <c r="I57" s="2">
        <v>2.9120050019795E13</v>
      </c>
      <c r="J57" s="3">
        <v>1.0</v>
      </c>
      <c r="K57" s="2" t="s">
        <v>718</v>
      </c>
      <c r="L57" s="2" t="s">
        <v>719</v>
      </c>
      <c r="M57" s="174" t="s">
        <v>409</v>
      </c>
      <c r="N57" s="2" t="s">
        <v>462</v>
      </c>
      <c r="O57" s="3">
        <v>0.5</v>
      </c>
      <c r="P57" s="2" t="s">
        <v>363</v>
      </c>
      <c r="Q57" s="3">
        <v>2300.0</v>
      </c>
      <c r="T57" s="2" t="s">
        <v>480</v>
      </c>
      <c r="U57" s="2">
        <v>2445.0</v>
      </c>
      <c r="V57" s="172">
        <v>45993.0</v>
      </c>
      <c r="W57" s="3">
        <v>350.0</v>
      </c>
      <c r="X57" s="172">
        <v>45991.57797453704</v>
      </c>
      <c r="Y57" s="172"/>
      <c r="Z57" s="3">
        <v>45993.0</v>
      </c>
      <c r="AA57" s="3"/>
    </row>
    <row r="58">
      <c r="A58" s="3">
        <v>6.768714973443E12</v>
      </c>
      <c r="B58" s="2" t="s">
        <v>720</v>
      </c>
      <c r="C58" s="2" t="s">
        <v>721</v>
      </c>
      <c r="D58" s="169">
        <v>45989.0</v>
      </c>
      <c r="E58" s="173" t="s">
        <v>722</v>
      </c>
      <c r="F58" s="2" t="s">
        <v>723</v>
      </c>
      <c r="G58" s="2" t="s">
        <v>724</v>
      </c>
      <c r="H58" s="2">
        <v>1245.0</v>
      </c>
      <c r="I58" s="2">
        <v>2.3120050019798E13</v>
      </c>
      <c r="J58" s="3">
        <v>1.0</v>
      </c>
      <c r="L58" s="2" t="s">
        <v>579</v>
      </c>
      <c r="M58" s="174" t="s">
        <v>409</v>
      </c>
      <c r="N58" s="2" t="s">
        <v>462</v>
      </c>
      <c r="O58" s="3">
        <v>0.5</v>
      </c>
      <c r="P58" s="2" t="s">
        <v>363</v>
      </c>
      <c r="Q58" s="3">
        <v>550.0</v>
      </c>
      <c r="T58" s="2" t="s">
        <v>463</v>
      </c>
      <c r="U58" s="171">
        <v>1245.0</v>
      </c>
      <c r="V58" s="172">
        <v>45996.0</v>
      </c>
      <c r="W58" s="3">
        <v>250.0</v>
      </c>
      <c r="X58" s="172">
        <v>45993.570393518516</v>
      </c>
      <c r="Y58" s="172"/>
      <c r="Z58" s="3">
        <v>45989.0</v>
      </c>
      <c r="AA58" s="3"/>
    </row>
    <row r="59">
      <c r="A59" s="3">
        <v>6.768881991939E12</v>
      </c>
      <c r="B59" s="2" t="s">
        <v>725</v>
      </c>
      <c r="C59" s="2" t="s">
        <v>726</v>
      </c>
      <c r="D59" s="169">
        <v>45989.0</v>
      </c>
      <c r="E59" s="2">
        <v>3.212141361E9</v>
      </c>
      <c r="F59" s="2" t="s">
        <v>727</v>
      </c>
      <c r="G59" s="2" t="s">
        <v>368</v>
      </c>
      <c r="H59" s="2">
        <v>0.0</v>
      </c>
      <c r="I59" s="2">
        <v>2.8120050019821E13</v>
      </c>
      <c r="J59" s="3">
        <v>0.0</v>
      </c>
      <c r="K59" s="2" t="s">
        <v>728</v>
      </c>
      <c r="L59" s="2"/>
      <c r="M59" s="170" t="s">
        <v>455</v>
      </c>
      <c r="N59" s="2" t="s">
        <v>406</v>
      </c>
      <c r="O59" s="3">
        <v>0.5</v>
      </c>
      <c r="P59" s="2" t="s">
        <v>73</v>
      </c>
      <c r="Q59" s="3">
        <v>0.0</v>
      </c>
      <c r="T59" s="2" t="s">
        <v>486</v>
      </c>
      <c r="U59" s="171">
        <v>0.0</v>
      </c>
      <c r="V59" s="172">
        <v>46000.0</v>
      </c>
      <c r="W59" s="3">
        <v>120.0</v>
      </c>
      <c r="X59" s="172">
        <v>45996.77603009259</v>
      </c>
      <c r="Y59" s="172"/>
      <c r="Z59" s="3">
        <v>45989.0</v>
      </c>
      <c r="AA59" s="3"/>
    </row>
    <row r="60">
      <c r="A60" s="3">
        <v>6.769441014019E12</v>
      </c>
      <c r="B60" s="2" t="s">
        <v>729</v>
      </c>
      <c r="C60" s="2" t="s">
        <v>730</v>
      </c>
      <c r="D60" s="169">
        <v>45989.0</v>
      </c>
      <c r="E60" s="173" t="s">
        <v>731</v>
      </c>
      <c r="F60" s="2" t="s">
        <v>732</v>
      </c>
      <c r="G60" s="2" t="s">
        <v>733</v>
      </c>
      <c r="H60" s="2">
        <v>0.0</v>
      </c>
      <c r="I60" s="2">
        <v>2.2120050019828E13</v>
      </c>
      <c r="J60" s="3">
        <v>0.0</v>
      </c>
      <c r="K60" s="2" t="s">
        <v>734</v>
      </c>
      <c r="L60" s="2"/>
      <c r="M60" s="170" t="s">
        <v>455</v>
      </c>
      <c r="N60" s="2" t="s">
        <v>406</v>
      </c>
      <c r="O60" s="3">
        <v>0.5</v>
      </c>
      <c r="P60" s="2" t="s">
        <v>363</v>
      </c>
      <c r="Q60" s="3">
        <v>0.0</v>
      </c>
      <c r="T60" s="2" t="s">
        <v>456</v>
      </c>
      <c r="U60" s="171">
        <v>0.0</v>
      </c>
      <c r="V60" s="172">
        <v>46003.0</v>
      </c>
      <c r="W60" s="3">
        <v>220.0</v>
      </c>
      <c r="X60" s="172">
        <v>46000.757268518515</v>
      </c>
      <c r="Y60" s="172"/>
      <c r="Z60" s="3">
        <v>45989.0</v>
      </c>
      <c r="AA60" s="3"/>
    </row>
    <row r="61">
      <c r="A61" s="3">
        <v>6.769702699267E12</v>
      </c>
      <c r="B61" s="2" t="s">
        <v>735</v>
      </c>
      <c r="C61" s="2" t="s">
        <v>736</v>
      </c>
      <c r="D61" s="169">
        <v>45989.0</v>
      </c>
      <c r="E61" s="173" t="s">
        <v>737</v>
      </c>
      <c r="F61" s="2" t="s">
        <v>738</v>
      </c>
      <c r="G61" s="2" t="s">
        <v>739</v>
      </c>
      <c r="H61" s="2">
        <v>1094.0</v>
      </c>
      <c r="I61" s="2">
        <v>2.3120050020079E13</v>
      </c>
      <c r="J61" s="3">
        <v>1.0</v>
      </c>
      <c r="K61" s="2" t="s">
        <v>740</v>
      </c>
      <c r="L61" s="2" t="s">
        <v>741</v>
      </c>
      <c r="M61" s="174" t="s">
        <v>409</v>
      </c>
      <c r="N61" s="2" t="s">
        <v>462</v>
      </c>
      <c r="O61" s="3">
        <v>0.5</v>
      </c>
      <c r="P61" s="2" t="s">
        <v>363</v>
      </c>
      <c r="Q61" s="3">
        <v>550.0</v>
      </c>
      <c r="T61" s="2" t="s">
        <v>674</v>
      </c>
      <c r="U61" s="171">
        <v>1094.0</v>
      </c>
      <c r="V61" s="172">
        <v>46007.0</v>
      </c>
      <c r="W61" s="3">
        <v>257.0</v>
      </c>
      <c r="X61" s="172">
        <v>46003.90226851852</v>
      </c>
      <c r="Y61" s="172"/>
      <c r="Z61" s="3">
        <v>45989.0</v>
      </c>
      <c r="AA61" s="3"/>
    </row>
    <row r="62">
      <c r="A62" s="3">
        <v>6.769736810755E12</v>
      </c>
      <c r="B62" s="2" t="s">
        <v>742</v>
      </c>
      <c r="C62" s="2" t="s">
        <v>743</v>
      </c>
      <c r="D62" s="169">
        <v>45993.0</v>
      </c>
      <c r="E62" s="2">
        <v>3.348776421E9</v>
      </c>
      <c r="F62" s="2" t="s">
        <v>744</v>
      </c>
      <c r="G62" s="2" t="s">
        <v>361</v>
      </c>
      <c r="H62" s="2">
        <v>2694.0</v>
      </c>
      <c r="I62" s="2">
        <v>2.612005001982E13</v>
      </c>
      <c r="J62" s="3">
        <v>1.0</v>
      </c>
      <c r="L62" s="2" t="s">
        <v>519</v>
      </c>
      <c r="M62" s="174" t="s">
        <v>409</v>
      </c>
      <c r="N62" s="2" t="s">
        <v>462</v>
      </c>
      <c r="O62" s="3">
        <v>0.5</v>
      </c>
      <c r="P62" s="2" t="s">
        <v>363</v>
      </c>
      <c r="Q62" s="3">
        <v>850.0</v>
      </c>
      <c r="T62" s="2" t="s">
        <v>480</v>
      </c>
      <c r="U62" s="171">
        <v>2694.0</v>
      </c>
      <c r="V62" s="172">
        <v>45993.0</v>
      </c>
      <c r="W62" s="3">
        <v>308.0</v>
      </c>
      <c r="X62" s="172">
        <v>45992.63935185185</v>
      </c>
      <c r="Y62" s="172"/>
      <c r="Z62" s="3">
        <v>45993.0</v>
      </c>
      <c r="AA62" s="3"/>
    </row>
    <row r="63">
      <c r="A63" s="3">
        <v>6.769895637251E12</v>
      </c>
      <c r="B63" s="2" t="s">
        <v>745</v>
      </c>
      <c r="C63" s="2" t="s">
        <v>746</v>
      </c>
      <c r="D63" s="169">
        <v>45989.0</v>
      </c>
      <c r="E63" s="173" t="s">
        <v>747</v>
      </c>
      <c r="F63" s="2" t="s">
        <v>748</v>
      </c>
      <c r="G63" s="2" t="s">
        <v>749</v>
      </c>
      <c r="H63" s="2">
        <v>2695.0</v>
      </c>
      <c r="I63" s="2">
        <v>2.4120050019996E13</v>
      </c>
      <c r="J63" s="3">
        <v>2.0</v>
      </c>
      <c r="K63" s="2" t="s">
        <v>511</v>
      </c>
      <c r="L63" s="2" t="s">
        <v>35</v>
      </c>
      <c r="M63" s="174" t="s">
        <v>409</v>
      </c>
      <c r="N63" s="2" t="s">
        <v>462</v>
      </c>
      <c r="O63" s="3">
        <v>0.5</v>
      </c>
      <c r="P63" s="2" t="s">
        <v>363</v>
      </c>
      <c r="Q63" s="3">
        <v>980.0</v>
      </c>
      <c r="T63" s="2" t="s">
        <v>486</v>
      </c>
      <c r="U63" s="171">
        <v>2695.0</v>
      </c>
      <c r="V63" s="172">
        <v>46000.0</v>
      </c>
      <c r="W63" s="3">
        <v>308.0</v>
      </c>
      <c r="X63" s="172">
        <v>45996.744629629626</v>
      </c>
      <c r="Y63" s="172"/>
      <c r="Z63" s="3">
        <v>45989.0</v>
      </c>
      <c r="AA63" s="3"/>
    </row>
    <row r="64">
      <c r="A64" s="3">
        <v>6.769970839811E12</v>
      </c>
      <c r="B64" s="2" t="s">
        <v>750</v>
      </c>
      <c r="C64" s="2" t="s">
        <v>751</v>
      </c>
      <c r="D64" s="169">
        <v>45989.0</v>
      </c>
      <c r="E64" s="173" t="s">
        <v>752</v>
      </c>
      <c r="F64" s="2" t="s">
        <v>753</v>
      </c>
      <c r="G64" s="2" t="s">
        <v>688</v>
      </c>
      <c r="H64" s="2">
        <v>3795.0</v>
      </c>
      <c r="I64" s="2">
        <v>2.6120050019824E13</v>
      </c>
      <c r="J64" s="3">
        <v>3.0</v>
      </c>
      <c r="L64" s="2" t="s">
        <v>754</v>
      </c>
      <c r="M64" s="174" t="s">
        <v>409</v>
      </c>
      <c r="N64" s="2" t="s">
        <v>462</v>
      </c>
      <c r="O64" s="3">
        <v>0.5</v>
      </c>
      <c r="P64" s="2" t="s">
        <v>363</v>
      </c>
      <c r="Q64" s="3">
        <v>1670.0</v>
      </c>
      <c r="T64" s="2" t="s">
        <v>463</v>
      </c>
      <c r="U64" s="171">
        <v>4295.0</v>
      </c>
      <c r="V64" s="172">
        <v>45996.0</v>
      </c>
      <c r="W64" s="3">
        <v>372.0</v>
      </c>
      <c r="X64" s="172">
        <v>45994.73792824074</v>
      </c>
      <c r="Y64" s="172"/>
      <c r="Z64" s="3">
        <v>45989.0</v>
      </c>
      <c r="AA64" s="3"/>
    </row>
    <row r="65">
      <c r="A65" s="3">
        <v>6.770003542275E12</v>
      </c>
      <c r="B65" s="2" t="s">
        <v>755</v>
      </c>
      <c r="C65" s="2" t="s">
        <v>756</v>
      </c>
      <c r="D65" s="169">
        <v>45989.0</v>
      </c>
      <c r="E65" s="2">
        <v>3.212558607E9</v>
      </c>
      <c r="F65" s="2" t="s">
        <v>757</v>
      </c>
      <c r="G65" s="2" t="s">
        <v>493</v>
      </c>
      <c r="H65" s="2">
        <v>2694.0</v>
      </c>
      <c r="I65" s="2">
        <v>2.6120050019819E13</v>
      </c>
      <c r="J65" s="3">
        <v>1.0</v>
      </c>
      <c r="L65" s="2" t="s">
        <v>512</v>
      </c>
      <c r="M65" s="174" t="s">
        <v>409</v>
      </c>
      <c r="N65" s="2" t="s">
        <v>462</v>
      </c>
      <c r="O65" s="3">
        <v>0.5</v>
      </c>
      <c r="P65" s="2" t="s">
        <v>363</v>
      </c>
      <c r="Q65" s="3">
        <v>850.0</v>
      </c>
      <c r="T65" s="2" t="s">
        <v>463</v>
      </c>
      <c r="U65" s="171">
        <v>2694.0</v>
      </c>
      <c r="V65" s="172">
        <v>45996.0</v>
      </c>
      <c r="W65" s="3">
        <v>335.0</v>
      </c>
      <c r="X65" s="172">
        <v>45993.721284722225</v>
      </c>
      <c r="Y65" s="172"/>
      <c r="Z65" s="3">
        <v>45989.0</v>
      </c>
      <c r="AA65" s="3"/>
    </row>
    <row r="66">
      <c r="A66" s="3">
        <v>6.770034966787E12</v>
      </c>
      <c r="B66" s="2" t="s">
        <v>758</v>
      </c>
      <c r="C66" s="2" t="s">
        <v>751</v>
      </c>
      <c r="D66" s="169">
        <v>45989.0</v>
      </c>
      <c r="E66" s="173" t="s">
        <v>752</v>
      </c>
      <c r="F66" s="2" t="s">
        <v>759</v>
      </c>
      <c r="G66" s="2" t="s">
        <v>688</v>
      </c>
      <c r="H66" s="2">
        <v>0.0</v>
      </c>
      <c r="J66" s="3">
        <v>0.0</v>
      </c>
      <c r="K66" s="2" t="s">
        <v>760</v>
      </c>
      <c r="L66" s="2"/>
      <c r="M66" s="2" t="s">
        <v>468</v>
      </c>
      <c r="N66" s="2" t="s">
        <v>406</v>
      </c>
      <c r="O66" s="3">
        <v>0.5</v>
      </c>
      <c r="Q66" s="3">
        <v>0.0</v>
      </c>
      <c r="U66" s="141"/>
      <c r="X66" s="172">
        <v>46057.64278263889</v>
      </c>
      <c r="Y66" s="172"/>
      <c r="Z66" s="3">
        <v>45989.0</v>
      </c>
      <c r="AA66" s="3"/>
    </row>
    <row r="67">
      <c r="A67" s="3">
        <v>6.770087002371E12</v>
      </c>
      <c r="B67" s="2" t="s">
        <v>761</v>
      </c>
      <c r="C67" s="2" t="s">
        <v>762</v>
      </c>
      <c r="D67" s="169">
        <v>45989.0</v>
      </c>
      <c r="E67" s="173" t="s">
        <v>763</v>
      </c>
      <c r="F67" s="2" t="s">
        <v>764</v>
      </c>
      <c r="G67" s="2" t="s">
        <v>693</v>
      </c>
      <c r="H67" s="2">
        <v>1094.0</v>
      </c>
      <c r="I67" s="2">
        <v>2.8120050019835E13</v>
      </c>
      <c r="J67" s="3">
        <v>1.0</v>
      </c>
      <c r="L67" s="2" t="s">
        <v>765</v>
      </c>
      <c r="M67" s="174" t="s">
        <v>409</v>
      </c>
      <c r="N67" s="2" t="s">
        <v>462</v>
      </c>
      <c r="O67" s="3">
        <v>0.5</v>
      </c>
      <c r="P67" s="2" t="s">
        <v>73</v>
      </c>
      <c r="Q67" s="3">
        <v>550.0</v>
      </c>
      <c r="T67" s="2" t="s">
        <v>463</v>
      </c>
      <c r="U67" s="171">
        <v>1094.0</v>
      </c>
      <c r="V67" s="172">
        <v>45996.0</v>
      </c>
      <c r="W67" s="3">
        <v>257.0</v>
      </c>
      <c r="X67" s="172">
        <v>45994.61137731481</v>
      </c>
      <c r="Y67" s="172"/>
      <c r="Z67" s="3">
        <v>45989.0</v>
      </c>
      <c r="AA67" s="3"/>
    </row>
    <row r="68">
      <c r="A68" s="3">
        <v>6.770227839235E12</v>
      </c>
      <c r="B68" s="2" t="s">
        <v>766</v>
      </c>
      <c r="C68" s="2" t="s">
        <v>767</v>
      </c>
      <c r="D68" s="169">
        <v>45993.0</v>
      </c>
      <c r="E68" s="2">
        <v>3.214704664E9</v>
      </c>
      <c r="F68" s="2" t="s">
        <v>768</v>
      </c>
      <c r="G68" s="2" t="s">
        <v>368</v>
      </c>
      <c r="H68" s="2">
        <v>2694.0</v>
      </c>
      <c r="I68" s="2">
        <v>2.4120050019818E13</v>
      </c>
      <c r="J68" s="3">
        <v>1.0</v>
      </c>
      <c r="L68" s="2" t="s">
        <v>500</v>
      </c>
      <c r="M68" s="174" t="s">
        <v>409</v>
      </c>
      <c r="N68" s="2" t="s">
        <v>462</v>
      </c>
      <c r="O68" s="3">
        <v>0.5</v>
      </c>
      <c r="P68" s="2" t="s">
        <v>363</v>
      </c>
      <c r="Q68" s="3">
        <v>850.0</v>
      </c>
      <c r="T68" s="2" t="s">
        <v>480</v>
      </c>
      <c r="U68" s="171">
        <v>2694.0</v>
      </c>
      <c r="V68" s="172">
        <v>45993.0</v>
      </c>
      <c r="W68" s="3">
        <v>214.0</v>
      </c>
      <c r="X68" s="172">
        <v>45992.61545138889</v>
      </c>
      <c r="Y68" s="172"/>
      <c r="Z68" s="3">
        <v>45993.0</v>
      </c>
      <c r="AA68" s="3"/>
    </row>
    <row r="69">
      <c r="A69" s="3">
        <v>6.770230591747E12</v>
      </c>
      <c r="B69" s="2" t="s">
        <v>769</v>
      </c>
      <c r="C69" s="2" t="s">
        <v>770</v>
      </c>
      <c r="D69" s="169">
        <v>45989.0</v>
      </c>
      <c r="E69" s="2">
        <v>3.003387843E9</v>
      </c>
      <c r="F69" s="2" t="s">
        <v>771</v>
      </c>
      <c r="G69" s="2" t="s">
        <v>772</v>
      </c>
      <c r="H69" s="2">
        <v>4595.0</v>
      </c>
      <c r="I69" s="2">
        <v>2.5120050019817E13</v>
      </c>
      <c r="J69" s="3">
        <v>2.0</v>
      </c>
      <c r="K69" s="2" t="s">
        <v>241</v>
      </c>
      <c r="L69" s="2" t="s">
        <v>532</v>
      </c>
      <c r="M69" s="174" t="s">
        <v>409</v>
      </c>
      <c r="N69" s="2" t="s">
        <v>462</v>
      </c>
      <c r="O69" s="3">
        <v>0.5</v>
      </c>
      <c r="P69" s="2" t="s">
        <v>363</v>
      </c>
      <c r="Q69" s="3">
        <v>1700.0</v>
      </c>
      <c r="T69" s="2" t="s">
        <v>463</v>
      </c>
      <c r="U69" s="171">
        <v>4595.0</v>
      </c>
      <c r="V69" s="172">
        <v>45996.0</v>
      </c>
      <c r="W69" s="3">
        <v>411.0</v>
      </c>
      <c r="X69" s="172">
        <v>45994.75368055556</v>
      </c>
      <c r="Y69" s="172"/>
      <c r="Z69" s="3">
        <v>45989.0</v>
      </c>
      <c r="AA69" s="3"/>
    </row>
    <row r="70">
      <c r="A70" s="3">
        <v>6.770332631299E12</v>
      </c>
      <c r="B70" s="2" t="s">
        <v>773</v>
      </c>
      <c r="C70" s="2" t="s">
        <v>774</v>
      </c>
      <c r="D70" s="169">
        <v>45989.0</v>
      </c>
      <c r="E70" s="2">
        <v>3.018484673E9</v>
      </c>
      <c r="F70" s="2" t="s">
        <v>775</v>
      </c>
      <c r="G70" s="2" t="s">
        <v>368</v>
      </c>
      <c r="H70" s="2">
        <v>0.0</v>
      </c>
      <c r="I70" s="2">
        <v>2.5120050019816E13</v>
      </c>
      <c r="J70" s="3">
        <v>0.0</v>
      </c>
      <c r="K70" s="2" t="s">
        <v>776</v>
      </c>
      <c r="L70" s="2"/>
      <c r="M70" s="170" t="s">
        <v>455</v>
      </c>
      <c r="N70" s="2" t="s">
        <v>406</v>
      </c>
      <c r="O70" s="3">
        <v>0.5</v>
      </c>
      <c r="P70" s="2" t="s">
        <v>363</v>
      </c>
      <c r="Q70" s="3">
        <v>0.0</v>
      </c>
      <c r="T70" s="2" t="s">
        <v>777</v>
      </c>
      <c r="U70" s="171">
        <v>0.0</v>
      </c>
      <c r="V70" s="172">
        <v>46014.0</v>
      </c>
      <c r="W70" s="3">
        <v>107.0</v>
      </c>
      <c r="X70" s="172">
        <v>46011.760995370365</v>
      </c>
      <c r="Y70" s="172"/>
      <c r="Z70" s="3">
        <v>45989.0</v>
      </c>
      <c r="AA70" s="3"/>
    </row>
    <row r="71">
      <c r="A71" s="3">
        <v>6.770403606787E12</v>
      </c>
      <c r="B71" s="2" t="s">
        <v>778</v>
      </c>
      <c r="C71" s="2" t="s">
        <v>779</v>
      </c>
      <c r="D71" s="169">
        <v>45993.0</v>
      </c>
      <c r="E71" s="2">
        <v>3.125185773E9</v>
      </c>
      <c r="F71" s="2" t="s">
        <v>780</v>
      </c>
      <c r="G71" s="2" t="s">
        <v>781</v>
      </c>
      <c r="H71" s="2">
        <v>4045.0</v>
      </c>
      <c r="I71" s="2">
        <v>2.5120050019815E13</v>
      </c>
      <c r="J71" s="3">
        <v>1.0</v>
      </c>
      <c r="L71" s="2" t="s">
        <v>782</v>
      </c>
      <c r="M71" s="174" t="s">
        <v>409</v>
      </c>
      <c r="N71" s="2" t="s">
        <v>462</v>
      </c>
      <c r="O71" s="3">
        <v>0.5</v>
      </c>
      <c r="P71" s="2" t="s">
        <v>363</v>
      </c>
      <c r="Q71" s="3">
        <v>1600.0</v>
      </c>
      <c r="T71" s="2" t="s">
        <v>480</v>
      </c>
      <c r="U71" s="171">
        <v>4045.0</v>
      </c>
      <c r="V71" s="172">
        <v>45993.0</v>
      </c>
      <c r="W71" s="3">
        <v>389.0</v>
      </c>
      <c r="X71" s="172">
        <v>45992.650231481486</v>
      </c>
      <c r="Y71" s="172"/>
      <c r="Z71" s="3">
        <v>45993.0</v>
      </c>
      <c r="AA71" s="3"/>
    </row>
    <row r="72">
      <c r="A72" s="3">
        <v>6.770427887875E12</v>
      </c>
      <c r="B72" s="2" t="s">
        <v>783</v>
      </c>
      <c r="C72" s="2" t="s">
        <v>784</v>
      </c>
      <c r="D72" s="169">
        <v>45990.0</v>
      </c>
      <c r="E72" s="173" t="s">
        <v>785</v>
      </c>
      <c r="F72" s="2" t="s">
        <v>786</v>
      </c>
      <c r="G72" s="2" t="s">
        <v>787</v>
      </c>
      <c r="H72" s="2">
        <v>0.0</v>
      </c>
      <c r="J72" s="3">
        <v>0.0</v>
      </c>
      <c r="K72" s="2" t="s">
        <v>760</v>
      </c>
      <c r="L72" s="2"/>
      <c r="M72" s="2" t="s">
        <v>468</v>
      </c>
      <c r="N72" s="2" t="s">
        <v>406</v>
      </c>
      <c r="O72" s="3">
        <v>0.5</v>
      </c>
      <c r="Q72" s="3">
        <v>0.0</v>
      </c>
      <c r="U72" s="141"/>
      <c r="X72" s="172">
        <v>46057.64278263889</v>
      </c>
      <c r="Y72" s="172"/>
      <c r="Z72" s="3">
        <v>45990.0</v>
      </c>
      <c r="AA72" s="3"/>
    </row>
    <row r="73">
      <c r="A73" s="3">
        <v>6.770431852803E12</v>
      </c>
      <c r="B73" s="2" t="s">
        <v>788</v>
      </c>
      <c r="C73" s="2" t="s">
        <v>784</v>
      </c>
      <c r="D73" s="169">
        <v>45990.0</v>
      </c>
      <c r="E73" s="173" t="s">
        <v>785</v>
      </c>
      <c r="F73" s="2" t="s">
        <v>786</v>
      </c>
      <c r="G73" s="2" t="s">
        <v>787</v>
      </c>
      <c r="H73" s="2">
        <v>0.0</v>
      </c>
      <c r="J73" s="3">
        <v>0.0</v>
      </c>
      <c r="K73" s="2" t="s">
        <v>571</v>
      </c>
      <c r="L73" s="2"/>
      <c r="M73" s="2" t="s">
        <v>468</v>
      </c>
      <c r="N73" s="2" t="s">
        <v>406</v>
      </c>
      <c r="O73" s="3">
        <v>0.5</v>
      </c>
      <c r="Q73" s="3">
        <v>0.0</v>
      </c>
      <c r="U73" s="141"/>
      <c r="X73" s="172">
        <v>46057.64278263889</v>
      </c>
      <c r="Y73" s="172"/>
      <c r="Z73" s="3">
        <v>45990.0</v>
      </c>
      <c r="AA73" s="3"/>
    </row>
    <row r="74">
      <c r="A74" s="3">
        <v>6.770444042499E12</v>
      </c>
      <c r="B74" s="2" t="s">
        <v>789</v>
      </c>
      <c r="C74" s="2" t="s">
        <v>784</v>
      </c>
      <c r="D74" s="169">
        <v>45990.0</v>
      </c>
      <c r="E74" s="173" t="s">
        <v>785</v>
      </c>
      <c r="F74" s="2" t="s">
        <v>790</v>
      </c>
      <c r="G74" s="2" t="s">
        <v>787</v>
      </c>
      <c r="H74" s="2">
        <v>4595.0</v>
      </c>
      <c r="I74" s="2">
        <v>2.3120050019834E13</v>
      </c>
      <c r="J74" s="3">
        <v>2.0</v>
      </c>
      <c r="L74" s="2" t="s">
        <v>532</v>
      </c>
      <c r="M74" s="174" t="s">
        <v>409</v>
      </c>
      <c r="N74" s="2" t="s">
        <v>462</v>
      </c>
      <c r="O74" s="3">
        <v>0.5</v>
      </c>
      <c r="P74" s="2" t="s">
        <v>363</v>
      </c>
      <c r="Q74" s="3">
        <v>1700.0</v>
      </c>
      <c r="T74" s="2" t="s">
        <v>463</v>
      </c>
      <c r="U74" s="171">
        <v>4595.0</v>
      </c>
      <c r="V74" s="172">
        <v>45996.0</v>
      </c>
      <c r="W74" s="3">
        <v>411.0</v>
      </c>
      <c r="X74" s="172">
        <v>45993.594675925924</v>
      </c>
      <c r="Y74" s="172"/>
      <c r="Z74" s="3">
        <v>45990.0</v>
      </c>
      <c r="AA74" s="3"/>
    </row>
    <row r="75">
      <c r="A75" s="3">
        <v>6.770590187779E12</v>
      </c>
      <c r="B75" s="2" t="s">
        <v>791</v>
      </c>
      <c r="C75" s="2" t="s">
        <v>792</v>
      </c>
      <c r="D75" s="169">
        <v>45990.0</v>
      </c>
      <c r="E75" s="2">
        <v>3.184252232E9</v>
      </c>
      <c r="F75" s="2" t="s">
        <v>793</v>
      </c>
      <c r="G75" s="2" t="s">
        <v>794</v>
      </c>
      <c r="H75" s="2">
        <v>3045.0</v>
      </c>
      <c r="I75" s="2" t="s">
        <v>795</v>
      </c>
      <c r="J75" s="3">
        <v>2.0</v>
      </c>
      <c r="K75" s="2" t="s">
        <v>796</v>
      </c>
      <c r="L75" s="2" t="s">
        <v>797</v>
      </c>
      <c r="M75" s="174" t="s">
        <v>409</v>
      </c>
      <c r="N75" s="2" t="s">
        <v>462</v>
      </c>
      <c r="O75" s="3">
        <v>0.5</v>
      </c>
      <c r="P75" s="2" t="s">
        <v>640</v>
      </c>
      <c r="Q75" s="3">
        <v>960.0</v>
      </c>
      <c r="T75" s="2" t="s">
        <v>502</v>
      </c>
      <c r="U75" s="171">
        <v>3045.0</v>
      </c>
      <c r="W75" s="3">
        <v>414.0</v>
      </c>
      <c r="X75" s="172">
        <v>46057.69163136574</v>
      </c>
      <c r="Y75" s="172"/>
      <c r="Z75" s="3">
        <v>45990.0</v>
      </c>
      <c r="AA75" s="3"/>
    </row>
    <row r="76">
      <c r="A76" s="3">
        <v>6.770593399043E12</v>
      </c>
      <c r="B76" s="2" t="s">
        <v>798</v>
      </c>
      <c r="C76" s="2" t="s">
        <v>799</v>
      </c>
      <c r="D76" s="169">
        <v>45990.0</v>
      </c>
      <c r="E76" s="173" t="s">
        <v>800</v>
      </c>
      <c r="F76" s="2" t="s">
        <v>801</v>
      </c>
      <c r="G76" s="2" t="s">
        <v>802</v>
      </c>
      <c r="H76" s="2">
        <v>3045.0</v>
      </c>
      <c r="I76" s="2" t="s">
        <v>803</v>
      </c>
      <c r="J76" s="3">
        <v>2.0</v>
      </c>
      <c r="K76" s="2" t="s">
        <v>804</v>
      </c>
      <c r="L76" s="2" t="s">
        <v>50</v>
      </c>
      <c r="M76" s="174" t="s">
        <v>409</v>
      </c>
      <c r="N76" s="2" t="s">
        <v>462</v>
      </c>
      <c r="O76" s="3">
        <v>0.5</v>
      </c>
      <c r="P76" s="2" t="s">
        <v>640</v>
      </c>
      <c r="Q76" s="3">
        <v>920.0</v>
      </c>
      <c r="T76" s="2" t="s">
        <v>805</v>
      </c>
      <c r="U76" s="171">
        <v>3045.0</v>
      </c>
      <c r="W76" s="3">
        <v>414.0</v>
      </c>
      <c r="X76" s="172">
        <v>46057.691636006944</v>
      </c>
      <c r="Y76" s="172"/>
      <c r="Z76" s="3">
        <v>45990.0</v>
      </c>
      <c r="AA76" s="3"/>
    </row>
    <row r="77">
      <c r="A77" s="3">
        <v>6.770659328259E12</v>
      </c>
      <c r="B77" s="2" t="s">
        <v>806</v>
      </c>
      <c r="C77" s="2" t="s">
        <v>807</v>
      </c>
      <c r="D77" s="169">
        <v>45990.0</v>
      </c>
      <c r="E77" s="2">
        <v>3.390066573E9</v>
      </c>
      <c r="F77" s="2" t="s">
        <v>808</v>
      </c>
      <c r="G77" s="2" t="s">
        <v>366</v>
      </c>
      <c r="H77" s="2">
        <v>4045.0</v>
      </c>
      <c r="I77" s="2">
        <v>2.2120050019814E13</v>
      </c>
      <c r="J77" s="3">
        <v>1.0</v>
      </c>
      <c r="L77" s="2" t="s">
        <v>809</v>
      </c>
      <c r="M77" s="174" t="s">
        <v>409</v>
      </c>
      <c r="N77" s="2" t="s">
        <v>462</v>
      </c>
      <c r="O77" s="3">
        <v>0.5</v>
      </c>
      <c r="P77" s="2" t="s">
        <v>363</v>
      </c>
      <c r="Q77" s="3">
        <v>1600.0</v>
      </c>
      <c r="T77" s="2" t="s">
        <v>463</v>
      </c>
      <c r="U77" s="171">
        <v>4045.0</v>
      </c>
      <c r="V77" s="172">
        <v>45996.0</v>
      </c>
      <c r="W77" s="3">
        <v>382.0</v>
      </c>
      <c r="X77" s="172">
        <v>45995.721087962964</v>
      </c>
      <c r="Y77" s="172"/>
      <c r="Z77" s="3">
        <v>45990.0</v>
      </c>
      <c r="AA77" s="3"/>
    </row>
    <row r="78">
      <c r="A78" s="3">
        <v>6.770710872323E12</v>
      </c>
      <c r="B78" s="2" t="s">
        <v>810</v>
      </c>
      <c r="C78" s="2" t="s">
        <v>811</v>
      </c>
      <c r="D78" s="169">
        <v>45990.0</v>
      </c>
      <c r="E78" s="173" t="s">
        <v>812</v>
      </c>
      <c r="F78" s="2" t="s">
        <v>813</v>
      </c>
      <c r="G78" s="2" t="s">
        <v>368</v>
      </c>
      <c r="H78" s="2">
        <v>4595.0</v>
      </c>
      <c r="I78" s="2">
        <v>2.2120050019813E13</v>
      </c>
      <c r="J78" s="3">
        <v>2.0</v>
      </c>
      <c r="K78" s="2" t="s">
        <v>511</v>
      </c>
      <c r="L78" s="2" t="s">
        <v>479</v>
      </c>
      <c r="M78" s="174" t="s">
        <v>409</v>
      </c>
      <c r="N78" s="2" t="s">
        <v>462</v>
      </c>
      <c r="O78" s="3">
        <v>0.5</v>
      </c>
      <c r="P78" s="2" t="s">
        <v>363</v>
      </c>
      <c r="Q78" s="3">
        <v>1700.0</v>
      </c>
      <c r="T78" s="2" t="s">
        <v>463</v>
      </c>
      <c r="U78" s="171">
        <v>4595.0</v>
      </c>
      <c r="V78" s="172">
        <v>45996.0</v>
      </c>
      <c r="W78" s="3">
        <v>304.0</v>
      </c>
      <c r="X78" s="172">
        <v>45993.67800925926</v>
      </c>
      <c r="Y78" s="172"/>
      <c r="Z78" s="3">
        <v>45990.0</v>
      </c>
      <c r="AA78" s="3"/>
    </row>
    <row r="79">
      <c r="A79" s="3">
        <v>6.770743279875E12</v>
      </c>
      <c r="B79" s="2" t="s">
        <v>814</v>
      </c>
      <c r="C79" s="2" t="s">
        <v>815</v>
      </c>
      <c r="D79" s="169">
        <v>45990.0</v>
      </c>
      <c r="E79" s="2">
        <v>3.469583007E9</v>
      </c>
      <c r="F79" s="2" t="s">
        <v>816</v>
      </c>
      <c r="G79" s="2" t="s">
        <v>817</v>
      </c>
      <c r="H79" s="2">
        <v>5095.0</v>
      </c>
      <c r="I79" s="2">
        <v>2.1120050019812E13</v>
      </c>
      <c r="J79" s="3">
        <v>2.0</v>
      </c>
      <c r="L79" s="2" t="s">
        <v>818</v>
      </c>
      <c r="M79" s="174" t="s">
        <v>409</v>
      </c>
      <c r="N79" s="2" t="s">
        <v>462</v>
      </c>
      <c r="O79" s="3">
        <v>0.5</v>
      </c>
      <c r="P79" s="2" t="s">
        <v>73</v>
      </c>
      <c r="Q79" s="3">
        <v>2150.0</v>
      </c>
      <c r="T79" s="2" t="s">
        <v>463</v>
      </c>
      <c r="U79" s="171">
        <v>5095.0</v>
      </c>
      <c r="V79" s="172">
        <v>45996.0</v>
      </c>
      <c r="W79" s="3">
        <v>524.0</v>
      </c>
      <c r="X79" s="172">
        <v>45993.696018518516</v>
      </c>
      <c r="Y79" s="172"/>
      <c r="Z79" s="3">
        <v>45990.0</v>
      </c>
      <c r="AA79" s="3"/>
    </row>
    <row r="80">
      <c r="A80" s="3">
        <v>6.770793644291E12</v>
      </c>
      <c r="B80" s="2" t="s">
        <v>819</v>
      </c>
      <c r="C80" s="2" t="s">
        <v>820</v>
      </c>
      <c r="D80" s="169">
        <v>45990.0</v>
      </c>
      <c r="E80" s="2">
        <v>3.005409798E9</v>
      </c>
      <c r="F80" s="2" t="s">
        <v>821</v>
      </c>
      <c r="G80" s="2" t="s">
        <v>822</v>
      </c>
      <c r="H80" s="2">
        <v>195.0</v>
      </c>
      <c r="I80" s="2">
        <v>2.0120050019822E13</v>
      </c>
      <c r="J80" s="3">
        <v>0.0</v>
      </c>
      <c r="L80" s="2"/>
      <c r="M80" s="174" t="s">
        <v>409</v>
      </c>
      <c r="N80" s="2" t="s">
        <v>462</v>
      </c>
      <c r="O80" s="3">
        <v>0.5</v>
      </c>
      <c r="P80" s="2" t="s">
        <v>363</v>
      </c>
      <c r="Q80" s="3">
        <v>0.0</v>
      </c>
      <c r="T80" s="2" t="s">
        <v>463</v>
      </c>
      <c r="U80" s="171">
        <v>2694.0</v>
      </c>
      <c r="V80" s="172">
        <v>45996.0</v>
      </c>
      <c r="W80" s="3">
        <v>328.0</v>
      </c>
      <c r="X80" s="172">
        <v>45993.68016203704</v>
      </c>
      <c r="Y80" s="172"/>
      <c r="Z80" s="3">
        <v>45990.0</v>
      </c>
      <c r="AA80" s="3"/>
    </row>
    <row r="81">
      <c r="A81" s="3">
        <v>6.771002212611E12</v>
      </c>
      <c r="B81" s="2" t="s">
        <v>823</v>
      </c>
      <c r="C81" s="2" t="s">
        <v>824</v>
      </c>
      <c r="D81" s="169">
        <v>45990.0</v>
      </c>
      <c r="E81" s="2">
        <v>3.441202002E9</v>
      </c>
      <c r="F81" s="2" t="s">
        <v>825</v>
      </c>
      <c r="G81" s="2" t="s">
        <v>826</v>
      </c>
      <c r="H81" s="2">
        <v>3045.0</v>
      </c>
      <c r="I81" s="2">
        <v>2.612005001981E13</v>
      </c>
      <c r="J81" s="3">
        <v>2.0</v>
      </c>
      <c r="L81" s="2" t="s">
        <v>50</v>
      </c>
      <c r="M81" s="174" t="s">
        <v>409</v>
      </c>
      <c r="N81" s="2" t="s">
        <v>462</v>
      </c>
      <c r="O81" s="3">
        <v>0.5</v>
      </c>
      <c r="P81" s="2" t="s">
        <v>363</v>
      </c>
      <c r="Q81" s="3">
        <v>920.0</v>
      </c>
      <c r="T81" s="2" t="s">
        <v>463</v>
      </c>
      <c r="U81" s="171">
        <v>3045.0</v>
      </c>
      <c r="V81" s="172">
        <v>45996.0</v>
      </c>
      <c r="W81" s="3">
        <v>342.0</v>
      </c>
      <c r="X81" s="172">
        <v>45995.6471875</v>
      </c>
      <c r="Y81" s="172"/>
      <c r="Z81" s="3">
        <v>45990.0</v>
      </c>
      <c r="AA81" s="3"/>
    </row>
    <row r="82">
      <c r="A82" s="3">
        <v>6.771295158531E12</v>
      </c>
      <c r="B82" s="2" t="s">
        <v>827</v>
      </c>
      <c r="C82" s="2" t="s">
        <v>828</v>
      </c>
      <c r="D82" s="169">
        <v>45990.0</v>
      </c>
      <c r="E82" s="2">
        <v>3.179235735E9</v>
      </c>
      <c r="F82" s="2" t="s">
        <v>829</v>
      </c>
      <c r="G82" s="2" t="s">
        <v>830</v>
      </c>
      <c r="H82" s="2">
        <v>0.0</v>
      </c>
      <c r="I82" s="2">
        <v>2.2120050019809E13</v>
      </c>
      <c r="J82" s="3">
        <v>0.0</v>
      </c>
      <c r="K82" s="2" t="s">
        <v>485</v>
      </c>
      <c r="L82" s="2"/>
      <c r="M82" s="170" t="s">
        <v>455</v>
      </c>
      <c r="N82" s="2" t="s">
        <v>406</v>
      </c>
      <c r="O82" s="3">
        <v>0.5</v>
      </c>
      <c r="P82" s="2" t="s">
        <v>363</v>
      </c>
      <c r="Q82" s="3">
        <v>0.0</v>
      </c>
      <c r="T82" s="2" t="s">
        <v>486</v>
      </c>
      <c r="U82" s="171">
        <v>0.0</v>
      </c>
      <c r="V82" s="172">
        <v>46000.0</v>
      </c>
      <c r="W82" s="3">
        <v>213.0</v>
      </c>
      <c r="X82" s="172">
        <v>45999.87289351852</v>
      </c>
      <c r="Y82" s="172"/>
      <c r="Z82" s="3">
        <v>45990.0</v>
      </c>
      <c r="AA82" s="3"/>
    </row>
    <row r="83">
      <c r="A83" s="3">
        <v>6.771306070275E12</v>
      </c>
      <c r="B83" s="2" t="s">
        <v>831</v>
      </c>
      <c r="C83" s="2" t="s">
        <v>832</v>
      </c>
      <c r="D83" s="169">
        <v>45990.0</v>
      </c>
      <c r="E83" s="173" t="s">
        <v>833</v>
      </c>
      <c r="F83" s="2" t="s">
        <v>834</v>
      </c>
      <c r="G83" s="2" t="s">
        <v>368</v>
      </c>
      <c r="H83" s="2">
        <v>4194.0</v>
      </c>
      <c r="I83" s="2">
        <v>3.076295894E9</v>
      </c>
      <c r="J83" s="3">
        <v>1.0</v>
      </c>
      <c r="K83" s="2" t="s">
        <v>835</v>
      </c>
      <c r="L83" s="2" t="s">
        <v>836</v>
      </c>
      <c r="M83" s="174" t="s">
        <v>409</v>
      </c>
      <c r="N83" s="2" t="s">
        <v>462</v>
      </c>
      <c r="O83" s="3">
        <v>0.5</v>
      </c>
      <c r="P83" s="2" t="s">
        <v>837</v>
      </c>
      <c r="Q83" s="3">
        <v>2300.0</v>
      </c>
      <c r="U83" s="141"/>
      <c r="X83" s="172">
        <v>46059.31645172454</v>
      </c>
      <c r="Y83" s="172"/>
      <c r="Z83" s="3">
        <v>45990.0</v>
      </c>
      <c r="AA83" s="3"/>
    </row>
    <row r="84">
      <c r="A84" s="3">
        <v>6.771460931843E12</v>
      </c>
      <c r="B84" s="2" t="s">
        <v>838</v>
      </c>
      <c r="C84" s="2" t="s">
        <v>839</v>
      </c>
      <c r="D84" s="169">
        <v>45990.0</v>
      </c>
      <c r="E84" s="173" t="s">
        <v>840</v>
      </c>
      <c r="F84" s="2" t="s">
        <v>841</v>
      </c>
      <c r="G84" s="2" t="s">
        <v>368</v>
      </c>
      <c r="H84" s="2">
        <v>0.0</v>
      </c>
      <c r="I84" s="2">
        <v>8.283179447E9</v>
      </c>
      <c r="J84" s="3">
        <v>0.0</v>
      </c>
      <c r="K84" s="2" t="s">
        <v>842</v>
      </c>
      <c r="L84" s="2"/>
      <c r="M84" s="170" t="s">
        <v>468</v>
      </c>
      <c r="N84" s="2" t="s">
        <v>406</v>
      </c>
      <c r="O84" s="3">
        <v>0.5</v>
      </c>
      <c r="P84" s="2" t="s">
        <v>837</v>
      </c>
      <c r="Q84" s="3">
        <v>0.0</v>
      </c>
      <c r="U84" s="141"/>
      <c r="X84" s="172">
        <v>46059.31645607638</v>
      </c>
      <c r="Y84" s="172"/>
      <c r="Z84" s="3">
        <v>45990.0</v>
      </c>
      <c r="AA84" s="3"/>
    </row>
    <row r="85">
      <c r="A85" s="3">
        <v>6.771498746115E12</v>
      </c>
      <c r="B85" s="2" t="s">
        <v>843</v>
      </c>
      <c r="C85" s="2" t="s">
        <v>844</v>
      </c>
      <c r="D85" s="169">
        <v>45993.0</v>
      </c>
      <c r="E85" s="2">
        <v>3.264145962E9</v>
      </c>
      <c r="F85" s="2" t="s">
        <v>845</v>
      </c>
      <c r="G85" s="2" t="s">
        <v>368</v>
      </c>
      <c r="H85" s="2">
        <v>3045.0</v>
      </c>
      <c r="I85" s="2">
        <v>2.6120050019808E13</v>
      </c>
      <c r="J85" s="3">
        <v>2.0</v>
      </c>
      <c r="L85" s="2" t="s">
        <v>27</v>
      </c>
      <c r="M85" s="174" t="s">
        <v>409</v>
      </c>
      <c r="N85" s="2" t="s">
        <v>462</v>
      </c>
      <c r="O85" s="3">
        <v>0.5</v>
      </c>
      <c r="P85" s="2" t="s">
        <v>363</v>
      </c>
      <c r="Q85" s="3">
        <v>920.0</v>
      </c>
      <c r="T85" s="2" t="s">
        <v>480</v>
      </c>
      <c r="U85" s="171">
        <v>3045.0</v>
      </c>
      <c r="V85" s="172">
        <v>45993.0</v>
      </c>
      <c r="W85" s="3">
        <v>229.0</v>
      </c>
      <c r="X85" s="172">
        <v>45992.57318287037</v>
      </c>
      <c r="Y85" s="172"/>
      <c r="Z85" s="3">
        <v>45993.0</v>
      </c>
      <c r="AA85" s="3"/>
    </row>
    <row r="86">
      <c r="A86" s="3">
        <v>6.771927253251E12</v>
      </c>
      <c r="B86" s="2" t="s">
        <v>846</v>
      </c>
      <c r="C86" s="2" t="s">
        <v>847</v>
      </c>
      <c r="D86" s="169">
        <v>45993.0</v>
      </c>
      <c r="E86" s="173" t="s">
        <v>848</v>
      </c>
      <c r="F86" s="2" t="s">
        <v>849</v>
      </c>
      <c r="G86" s="2" t="s">
        <v>850</v>
      </c>
      <c r="H86" s="2">
        <v>2395.0</v>
      </c>
      <c r="I86" s="2">
        <v>2.7120050019807E13</v>
      </c>
      <c r="J86" s="3">
        <v>1.0</v>
      </c>
      <c r="K86" s="2" t="s">
        <v>851</v>
      </c>
      <c r="L86" s="2" t="s">
        <v>519</v>
      </c>
      <c r="M86" s="174" t="s">
        <v>409</v>
      </c>
      <c r="N86" s="2" t="s">
        <v>406</v>
      </c>
      <c r="O86" s="3">
        <v>0.5</v>
      </c>
      <c r="P86" s="2" t="s">
        <v>363</v>
      </c>
      <c r="Q86" s="3">
        <v>850.0</v>
      </c>
      <c r="T86" s="2" t="s">
        <v>480</v>
      </c>
      <c r="U86" s="2">
        <v>2395.0</v>
      </c>
      <c r="V86" s="172">
        <v>45993.0</v>
      </c>
      <c r="W86" s="3">
        <v>404.0</v>
      </c>
      <c r="X86" s="172">
        <v>45992.725277777776</v>
      </c>
      <c r="Y86" s="172"/>
      <c r="Z86" s="3">
        <v>45993.0</v>
      </c>
      <c r="AA86" s="3"/>
    </row>
    <row r="87">
      <c r="A87" s="3">
        <v>6.772137689347E12</v>
      </c>
      <c r="B87" s="2" t="s">
        <v>852</v>
      </c>
      <c r="C87" s="2" t="s">
        <v>853</v>
      </c>
      <c r="D87" s="169">
        <v>45990.0</v>
      </c>
      <c r="E87" s="2">
        <v>3.21647018E9</v>
      </c>
      <c r="F87" s="2" t="s">
        <v>854</v>
      </c>
      <c r="G87" s="2" t="s">
        <v>855</v>
      </c>
      <c r="H87" s="2">
        <v>0.0</v>
      </c>
      <c r="I87" s="2">
        <v>2.5120050019806E13</v>
      </c>
      <c r="J87" s="3">
        <v>0.0</v>
      </c>
      <c r="K87" s="2" t="s">
        <v>856</v>
      </c>
      <c r="L87" s="2"/>
      <c r="M87" s="170" t="s">
        <v>455</v>
      </c>
      <c r="N87" s="2" t="s">
        <v>406</v>
      </c>
      <c r="O87" s="3">
        <v>0.5</v>
      </c>
      <c r="P87" s="2" t="s">
        <v>363</v>
      </c>
      <c r="Q87" s="3">
        <v>0.0</v>
      </c>
      <c r="T87" s="2" t="s">
        <v>486</v>
      </c>
      <c r="U87" s="171">
        <v>0.0</v>
      </c>
      <c r="V87" s="172">
        <v>46000.0</v>
      </c>
      <c r="W87" s="3">
        <v>200.0</v>
      </c>
      <c r="X87" s="172">
        <v>45997.76981481482</v>
      </c>
      <c r="Y87" s="172"/>
      <c r="Z87" s="3">
        <v>45990.0</v>
      </c>
      <c r="AA87" s="3"/>
    </row>
    <row r="88">
      <c r="A88" s="3">
        <v>6.772150632707E12</v>
      </c>
      <c r="B88" s="2" t="s">
        <v>857</v>
      </c>
      <c r="C88" s="2" t="s">
        <v>264</v>
      </c>
      <c r="D88" s="169">
        <v>45990.0</v>
      </c>
      <c r="E88" s="2">
        <v>3.095166421E9</v>
      </c>
      <c r="F88" s="2" t="s">
        <v>858</v>
      </c>
      <c r="G88" s="2" t="s">
        <v>749</v>
      </c>
      <c r="H88" s="2">
        <v>2694.0</v>
      </c>
      <c r="I88" s="2">
        <v>2.7120050019805E13</v>
      </c>
      <c r="J88" s="3">
        <v>1.0</v>
      </c>
      <c r="L88" s="2" t="s">
        <v>500</v>
      </c>
      <c r="M88" s="174" t="s">
        <v>409</v>
      </c>
      <c r="N88" s="2" t="s">
        <v>462</v>
      </c>
      <c r="O88" s="3">
        <v>0.5</v>
      </c>
      <c r="P88" s="2" t="s">
        <v>363</v>
      </c>
      <c r="Q88" s="3">
        <v>850.0</v>
      </c>
      <c r="T88" s="2" t="s">
        <v>463</v>
      </c>
      <c r="U88" s="171">
        <v>2694.0</v>
      </c>
      <c r="V88" s="172">
        <v>45996.0</v>
      </c>
      <c r="W88" s="3">
        <v>308.0</v>
      </c>
      <c r="X88" s="172">
        <v>45994.63703703704</v>
      </c>
      <c r="Y88" s="172"/>
      <c r="Z88" s="3">
        <v>45990.0</v>
      </c>
      <c r="AA88" s="3"/>
    </row>
    <row r="89">
      <c r="A89" s="3">
        <v>6.772289339651E12</v>
      </c>
      <c r="B89" s="2" t="s">
        <v>859</v>
      </c>
      <c r="C89" s="2" t="s">
        <v>860</v>
      </c>
      <c r="D89" s="169">
        <v>45993.0</v>
      </c>
      <c r="E89" s="173" t="s">
        <v>861</v>
      </c>
      <c r="F89" s="2" t="s">
        <v>862</v>
      </c>
      <c r="G89" s="2" t="s">
        <v>368</v>
      </c>
      <c r="H89" s="2">
        <v>4795.0</v>
      </c>
      <c r="I89" s="2">
        <v>2.4120050019804E13</v>
      </c>
      <c r="J89" s="3">
        <v>4.0</v>
      </c>
      <c r="L89" s="2" t="s">
        <v>863</v>
      </c>
      <c r="M89" s="174" t="s">
        <v>409</v>
      </c>
      <c r="N89" s="2" t="s">
        <v>462</v>
      </c>
      <c r="O89" s="3">
        <v>0.5</v>
      </c>
      <c r="P89" s="2" t="s">
        <v>363</v>
      </c>
      <c r="Q89" s="3">
        <v>2080.0</v>
      </c>
      <c r="T89" s="2" t="s">
        <v>480</v>
      </c>
      <c r="U89" s="171">
        <v>4795.0</v>
      </c>
      <c r="V89" s="172">
        <v>45993.0</v>
      </c>
      <c r="W89" s="3">
        <v>379.0</v>
      </c>
      <c r="X89" s="172">
        <v>45992.76202546296</v>
      </c>
      <c r="Y89" s="172"/>
      <c r="Z89" s="3">
        <v>45993.0</v>
      </c>
      <c r="AA89" s="3"/>
    </row>
    <row r="90">
      <c r="A90" s="3">
        <v>6.772303560963E12</v>
      </c>
      <c r="B90" s="2" t="s">
        <v>864</v>
      </c>
      <c r="C90" s="2" t="s">
        <v>865</v>
      </c>
      <c r="D90" s="169">
        <v>45990.0</v>
      </c>
      <c r="E90" s="173" t="s">
        <v>866</v>
      </c>
      <c r="F90" s="2" t="s">
        <v>867</v>
      </c>
      <c r="G90" s="2" t="s">
        <v>493</v>
      </c>
      <c r="H90" s="2">
        <v>1245.0</v>
      </c>
      <c r="I90" s="2">
        <v>2.5120050019803E13</v>
      </c>
      <c r="J90" s="3">
        <v>1.0</v>
      </c>
      <c r="L90" s="2" t="s">
        <v>868</v>
      </c>
      <c r="M90" s="174" t="s">
        <v>409</v>
      </c>
      <c r="N90" s="2" t="s">
        <v>462</v>
      </c>
      <c r="O90" s="3">
        <v>0.5</v>
      </c>
      <c r="P90" s="2" t="s">
        <v>363</v>
      </c>
      <c r="Q90" s="3">
        <v>550.0</v>
      </c>
      <c r="T90" s="2" t="s">
        <v>463</v>
      </c>
      <c r="U90" s="171">
        <v>1245.0</v>
      </c>
      <c r="V90" s="172">
        <v>45996.0</v>
      </c>
      <c r="W90" s="3">
        <v>263.0</v>
      </c>
      <c r="X90" s="172">
        <v>45993.88429398148</v>
      </c>
      <c r="Y90" s="172"/>
      <c r="Z90" s="3">
        <v>45990.0</v>
      </c>
      <c r="AA90" s="3"/>
    </row>
    <row r="91">
      <c r="A91" s="3">
        <v>6.772306772227E12</v>
      </c>
      <c r="B91" s="2" t="s">
        <v>869</v>
      </c>
      <c r="C91" s="2" t="s">
        <v>870</v>
      </c>
      <c r="D91" s="169">
        <v>45990.0</v>
      </c>
      <c r="E91" s="173" t="s">
        <v>871</v>
      </c>
      <c r="F91" s="2" t="s">
        <v>872</v>
      </c>
      <c r="G91" s="2" t="s">
        <v>873</v>
      </c>
      <c r="H91" s="2">
        <v>0.0</v>
      </c>
      <c r="I91" s="2">
        <v>2.5120050019802E13</v>
      </c>
      <c r="J91" s="3">
        <v>0.0</v>
      </c>
      <c r="K91" s="2" t="s">
        <v>874</v>
      </c>
      <c r="L91" s="2"/>
      <c r="M91" s="170" t="s">
        <v>455</v>
      </c>
      <c r="N91" s="2" t="s">
        <v>406</v>
      </c>
      <c r="O91" s="3">
        <v>0.5</v>
      </c>
      <c r="P91" s="2" t="s">
        <v>363</v>
      </c>
      <c r="Q91" s="3">
        <v>0.0</v>
      </c>
      <c r="T91" s="2" t="s">
        <v>486</v>
      </c>
      <c r="U91" s="171">
        <v>0.0</v>
      </c>
      <c r="V91" s="172">
        <v>46000.0</v>
      </c>
      <c r="W91" s="3">
        <v>200.0</v>
      </c>
      <c r="X91" s="172">
        <v>45999.87289351852</v>
      </c>
      <c r="Y91" s="172"/>
      <c r="Z91" s="3">
        <v>45990.0</v>
      </c>
      <c r="AA91" s="3"/>
    </row>
    <row r="92">
      <c r="A92" s="3">
        <v>6.772309000451E12</v>
      </c>
      <c r="B92" s="2" t="s">
        <v>875</v>
      </c>
      <c r="C92" s="2" t="s">
        <v>876</v>
      </c>
      <c r="D92" s="169">
        <v>45990.0</v>
      </c>
      <c r="E92" s="2">
        <v>3.19787181E9</v>
      </c>
      <c r="F92" s="2" t="s">
        <v>877</v>
      </c>
      <c r="G92" s="2" t="s">
        <v>506</v>
      </c>
      <c r="H92" s="2">
        <v>2694.0</v>
      </c>
      <c r="I92" s="2">
        <v>2.5120050019801E13</v>
      </c>
      <c r="J92" s="3">
        <v>1.0</v>
      </c>
      <c r="L92" s="2" t="s">
        <v>519</v>
      </c>
      <c r="M92" s="174" t="s">
        <v>409</v>
      </c>
      <c r="N92" s="2" t="s">
        <v>462</v>
      </c>
      <c r="O92" s="3">
        <v>0.5</v>
      </c>
      <c r="P92" s="2" t="s">
        <v>363</v>
      </c>
      <c r="Q92" s="3">
        <v>850.0</v>
      </c>
      <c r="T92" s="2" t="s">
        <v>463</v>
      </c>
      <c r="U92" s="171">
        <v>2694.0</v>
      </c>
      <c r="V92" s="172">
        <v>45996.0</v>
      </c>
      <c r="W92" s="3">
        <v>308.0</v>
      </c>
      <c r="X92" s="172">
        <v>45993.57032407407</v>
      </c>
      <c r="Y92" s="172"/>
      <c r="Z92" s="3">
        <v>45990.0</v>
      </c>
      <c r="AA92" s="3"/>
    </row>
    <row r="93">
      <c r="A93" s="3">
        <v>6.772310868227E12</v>
      </c>
      <c r="B93" s="2" t="s">
        <v>878</v>
      </c>
      <c r="C93" s="2" t="s">
        <v>879</v>
      </c>
      <c r="D93" s="169">
        <v>45990.0</v>
      </c>
      <c r="E93" s="2">
        <v>3.044889511E9</v>
      </c>
      <c r="F93" s="2" t="s">
        <v>880</v>
      </c>
      <c r="G93" s="2" t="s">
        <v>368</v>
      </c>
      <c r="H93" s="2">
        <v>0.0</v>
      </c>
      <c r="I93" s="2">
        <v>2.21200500198E13</v>
      </c>
      <c r="J93" s="3">
        <v>0.0</v>
      </c>
      <c r="K93" s="2" t="s">
        <v>881</v>
      </c>
      <c r="L93" s="2"/>
      <c r="M93" s="170" t="s">
        <v>455</v>
      </c>
      <c r="N93" s="2" t="s">
        <v>406</v>
      </c>
      <c r="O93" s="3">
        <v>0.5</v>
      </c>
      <c r="P93" s="2" t="s">
        <v>363</v>
      </c>
      <c r="Q93" s="3">
        <v>0.0</v>
      </c>
      <c r="T93" s="2" t="s">
        <v>486</v>
      </c>
      <c r="U93" s="171">
        <v>0.0</v>
      </c>
      <c r="V93" s="172">
        <v>46000.0</v>
      </c>
      <c r="W93" s="3">
        <v>107.0</v>
      </c>
      <c r="X93" s="172">
        <v>45997.76981481482</v>
      </c>
      <c r="Y93" s="172"/>
      <c r="Z93" s="3">
        <v>45990.0</v>
      </c>
      <c r="AA93" s="3"/>
    </row>
    <row r="94">
      <c r="A94" s="3">
        <v>6.772336427267E12</v>
      </c>
      <c r="B94" s="2" t="s">
        <v>882</v>
      </c>
      <c r="C94" s="2" t="s">
        <v>883</v>
      </c>
      <c r="D94" s="169">
        <v>45990.0</v>
      </c>
      <c r="E94" s="2">
        <v>3.473169559E9</v>
      </c>
      <c r="F94" s="2" t="s">
        <v>884</v>
      </c>
      <c r="G94" s="2" t="s">
        <v>885</v>
      </c>
      <c r="H94" s="2">
        <v>0.0</v>
      </c>
      <c r="I94" s="2">
        <v>1.73008593257E11</v>
      </c>
      <c r="J94" s="3">
        <v>0.0</v>
      </c>
      <c r="L94" s="2"/>
      <c r="M94" s="170" t="s">
        <v>455</v>
      </c>
      <c r="N94" s="2" t="s">
        <v>406</v>
      </c>
      <c r="O94" s="3">
        <v>0.5</v>
      </c>
      <c r="P94" s="2" t="s">
        <v>501</v>
      </c>
      <c r="Q94" s="3">
        <v>0.0</v>
      </c>
      <c r="T94" s="2" t="s">
        <v>502</v>
      </c>
      <c r="U94" s="141"/>
      <c r="W94" s="3">
        <v>292.2</v>
      </c>
      <c r="X94" s="172">
        <v>46059.38188984954</v>
      </c>
      <c r="Y94" s="172"/>
      <c r="Z94" s="3">
        <v>45990.0</v>
      </c>
      <c r="AA94" s="3"/>
    </row>
    <row r="95">
      <c r="A95" s="3">
        <v>6.772352811267E12</v>
      </c>
      <c r="B95" s="2" t="s">
        <v>886</v>
      </c>
      <c r="C95" s="2" t="s">
        <v>887</v>
      </c>
      <c r="D95" s="169">
        <v>45993.0</v>
      </c>
      <c r="E95" s="2">
        <v>3.151826924E9</v>
      </c>
      <c r="F95" s="2" t="s">
        <v>888</v>
      </c>
      <c r="G95" s="2" t="s">
        <v>889</v>
      </c>
      <c r="H95" s="2">
        <v>4395.0</v>
      </c>
      <c r="I95" s="2">
        <v>2.4120050019799E13</v>
      </c>
      <c r="J95" s="3">
        <v>4.0</v>
      </c>
      <c r="K95" s="2" t="s">
        <v>890</v>
      </c>
      <c r="L95" s="2" t="s">
        <v>891</v>
      </c>
      <c r="M95" s="174" t="s">
        <v>409</v>
      </c>
      <c r="N95" s="2" t="s">
        <v>462</v>
      </c>
      <c r="O95" s="3">
        <v>0.5</v>
      </c>
      <c r="P95" s="2" t="s">
        <v>363</v>
      </c>
      <c r="Q95" s="3">
        <v>2200.0</v>
      </c>
      <c r="T95" s="2" t="s">
        <v>480</v>
      </c>
      <c r="U95" s="171">
        <v>4395.0</v>
      </c>
      <c r="V95" s="172">
        <v>45993.0</v>
      </c>
      <c r="W95" s="3">
        <v>403.0</v>
      </c>
      <c r="X95" s="172">
        <v>45992.75717592593</v>
      </c>
      <c r="Y95" s="172"/>
      <c r="Z95" s="3">
        <v>45993.0</v>
      </c>
      <c r="AA95" s="3"/>
    </row>
    <row r="96">
      <c r="A96" s="3">
        <v>6.772401209603E12</v>
      </c>
      <c r="B96" s="2" t="s">
        <v>892</v>
      </c>
      <c r="C96" s="2" t="s">
        <v>893</v>
      </c>
      <c r="D96" s="169">
        <v>45993.0</v>
      </c>
      <c r="E96" s="2">
        <v>3.239204444E9</v>
      </c>
      <c r="F96" s="2" t="s">
        <v>894</v>
      </c>
      <c r="G96" s="2" t="s">
        <v>541</v>
      </c>
      <c r="H96" s="2">
        <v>4045.0</v>
      </c>
      <c r="I96" s="2">
        <v>2.9120050019826E13</v>
      </c>
      <c r="J96" s="3">
        <v>1.0</v>
      </c>
      <c r="L96" s="2" t="s">
        <v>608</v>
      </c>
      <c r="M96" s="174" t="s">
        <v>409</v>
      </c>
      <c r="N96" s="2" t="s">
        <v>462</v>
      </c>
      <c r="O96" s="3">
        <v>0.5</v>
      </c>
      <c r="P96" s="2" t="s">
        <v>363</v>
      </c>
      <c r="Q96" s="3">
        <v>1600.0</v>
      </c>
      <c r="T96" s="2" t="s">
        <v>480</v>
      </c>
      <c r="U96" s="171">
        <v>4045.0</v>
      </c>
      <c r="V96" s="172">
        <v>45993.0</v>
      </c>
      <c r="W96" s="3">
        <v>382.0</v>
      </c>
      <c r="X96" s="172">
        <v>45992.647465277776</v>
      </c>
      <c r="Y96" s="172"/>
      <c r="Z96" s="3">
        <v>45993.0</v>
      </c>
      <c r="AA96" s="3"/>
    </row>
    <row r="97">
      <c r="A97" s="3">
        <v>6.772413956355E12</v>
      </c>
      <c r="B97" s="2" t="s">
        <v>895</v>
      </c>
      <c r="C97" s="2" t="s">
        <v>896</v>
      </c>
      <c r="D97" s="169">
        <v>45990.0</v>
      </c>
      <c r="E97" s="2">
        <v>3.154338373E9</v>
      </c>
      <c r="F97" s="2" t="s">
        <v>897</v>
      </c>
      <c r="G97" s="2" t="s">
        <v>898</v>
      </c>
      <c r="H97" s="2">
        <v>0.0</v>
      </c>
      <c r="I97" s="2">
        <v>2.2120050019827E13</v>
      </c>
      <c r="J97" s="3">
        <v>0.0</v>
      </c>
      <c r="K97" s="2" t="s">
        <v>899</v>
      </c>
      <c r="L97" s="2"/>
      <c r="M97" s="170" t="s">
        <v>455</v>
      </c>
      <c r="N97" s="2" t="s">
        <v>406</v>
      </c>
      <c r="O97" s="3">
        <v>0.5</v>
      </c>
      <c r="P97" s="2" t="s">
        <v>363</v>
      </c>
      <c r="Q97" s="3">
        <v>0.0</v>
      </c>
      <c r="T97" s="2" t="s">
        <v>463</v>
      </c>
      <c r="U97" s="171">
        <v>0.0</v>
      </c>
      <c r="V97" s="172">
        <v>45996.0</v>
      </c>
      <c r="W97" s="3">
        <v>220.0</v>
      </c>
      <c r="X97" s="172">
        <v>45995.807337962964</v>
      </c>
      <c r="Y97" s="172"/>
      <c r="Z97" s="3">
        <v>45990.0</v>
      </c>
      <c r="AA97" s="3"/>
    </row>
    <row r="98">
      <c r="A98" s="3">
        <v>6.772424671491E12</v>
      </c>
      <c r="B98" s="2" t="s">
        <v>900</v>
      </c>
      <c r="C98" s="2" t="s">
        <v>901</v>
      </c>
      <c r="D98" s="169">
        <v>45990.0</v>
      </c>
      <c r="E98" s="2">
        <v>3.006260003E9</v>
      </c>
      <c r="F98" s="2" t="s">
        <v>902</v>
      </c>
      <c r="G98" s="2" t="s">
        <v>903</v>
      </c>
      <c r="H98" s="2">
        <v>3045.0</v>
      </c>
      <c r="I98" s="2" t="s">
        <v>904</v>
      </c>
      <c r="J98" s="3">
        <v>2.0</v>
      </c>
      <c r="K98" s="2" t="s">
        <v>905</v>
      </c>
      <c r="L98" s="2" t="s">
        <v>906</v>
      </c>
      <c r="M98" s="174" t="s">
        <v>409</v>
      </c>
      <c r="N98" s="2" t="s">
        <v>462</v>
      </c>
      <c r="O98" s="3">
        <v>0.5</v>
      </c>
      <c r="P98" s="2" t="s">
        <v>640</v>
      </c>
      <c r="Q98" s="3">
        <v>920.0</v>
      </c>
      <c r="T98" s="2" t="s">
        <v>805</v>
      </c>
      <c r="U98" s="171">
        <v>3045.0</v>
      </c>
      <c r="W98" s="3">
        <v>385.0</v>
      </c>
      <c r="X98" s="172">
        <v>46057.69180153935</v>
      </c>
      <c r="Y98" s="172"/>
      <c r="Z98" s="3">
        <v>45990.0</v>
      </c>
      <c r="AA98" s="3"/>
    </row>
    <row r="99">
      <c r="A99" s="3">
        <v>6.772455276803E12</v>
      </c>
      <c r="B99" s="2" t="s">
        <v>907</v>
      </c>
      <c r="C99" s="2" t="s">
        <v>908</v>
      </c>
      <c r="D99" s="169">
        <v>45990.0</v>
      </c>
      <c r="E99" s="2">
        <v>3.364580918E9</v>
      </c>
      <c r="F99" s="2" t="s">
        <v>909</v>
      </c>
      <c r="G99" s="2" t="s">
        <v>506</v>
      </c>
      <c r="H99" s="2">
        <v>0.0</v>
      </c>
      <c r="I99" s="2">
        <v>2.6120050019896E13</v>
      </c>
      <c r="J99" s="3">
        <v>0.0</v>
      </c>
      <c r="K99" s="2" t="s">
        <v>618</v>
      </c>
      <c r="L99" s="2"/>
      <c r="M99" s="170" t="s">
        <v>455</v>
      </c>
      <c r="N99" s="2" t="s">
        <v>406</v>
      </c>
      <c r="O99" s="3">
        <v>0.5</v>
      </c>
      <c r="P99" s="2" t="s">
        <v>363</v>
      </c>
      <c r="Q99" s="3">
        <v>0.0</v>
      </c>
      <c r="T99" s="2" t="s">
        <v>456</v>
      </c>
      <c r="U99" s="171">
        <v>0.0</v>
      </c>
      <c r="V99" s="172">
        <v>46003.0</v>
      </c>
      <c r="W99" s="3">
        <v>200.0</v>
      </c>
      <c r="X99" s="172">
        <v>46001.77050925926</v>
      </c>
      <c r="Y99" s="172"/>
      <c r="Z99" s="3">
        <v>45990.0</v>
      </c>
      <c r="AA99" s="3"/>
    </row>
    <row r="100">
      <c r="A100" s="3">
        <v>6.772481097987E12</v>
      </c>
      <c r="B100" s="2" t="s">
        <v>910</v>
      </c>
      <c r="C100" s="2" t="s">
        <v>911</v>
      </c>
      <c r="D100" s="169">
        <v>45990.0</v>
      </c>
      <c r="E100" s="2">
        <v>3.192172726E9</v>
      </c>
      <c r="F100" s="2" t="s">
        <v>912</v>
      </c>
      <c r="G100" s="2" t="s">
        <v>781</v>
      </c>
      <c r="H100" s="2">
        <v>4595.0</v>
      </c>
      <c r="I100" s="2">
        <v>2.4120050019836E13</v>
      </c>
      <c r="J100" s="3">
        <v>2.0</v>
      </c>
      <c r="L100" s="2" t="s">
        <v>913</v>
      </c>
      <c r="M100" s="174" t="s">
        <v>409</v>
      </c>
      <c r="N100" s="2" t="s">
        <v>462</v>
      </c>
      <c r="O100" s="3">
        <v>0.5</v>
      </c>
      <c r="P100" s="2" t="s">
        <v>363</v>
      </c>
      <c r="Q100" s="3">
        <v>1700.0</v>
      </c>
      <c r="T100" s="2" t="s">
        <v>463</v>
      </c>
      <c r="U100" s="171">
        <v>4595.0</v>
      </c>
      <c r="V100" s="172">
        <v>45996.0</v>
      </c>
      <c r="W100" s="3">
        <v>411.0</v>
      </c>
      <c r="X100" s="172">
        <v>45994.47388888889</v>
      </c>
      <c r="Y100" s="172"/>
      <c r="Z100" s="3">
        <v>45990.0</v>
      </c>
      <c r="AA100" s="3"/>
    </row>
    <row r="101">
      <c r="A101" s="3">
        <v>6.772489879811E12</v>
      </c>
      <c r="B101" s="2" t="s">
        <v>914</v>
      </c>
      <c r="C101" s="2" t="s">
        <v>915</v>
      </c>
      <c r="D101" s="169">
        <v>45990.0</v>
      </c>
      <c r="E101" s="2">
        <v>3.367177766E9</v>
      </c>
      <c r="F101" s="2" t="s">
        <v>916</v>
      </c>
      <c r="G101" s="2" t="s">
        <v>917</v>
      </c>
      <c r="H101" s="2">
        <v>2694.0</v>
      </c>
      <c r="I101" s="2">
        <v>2.9120050019837E13</v>
      </c>
      <c r="J101" s="3">
        <v>1.0</v>
      </c>
      <c r="L101" s="2" t="s">
        <v>512</v>
      </c>
      <c r="M101" s="174" t="s">
        <v>409</v>
      </c>
      <c r="N101" s="2" t="s">
        <v>462</v>
      </c>
      <c r="O101" s="3">
        <v>0.5</v>
      </c>
      <c r="P101" s="2" t="s">
        <v>363</v>
      </c>
      <c r="Q101" s="3">
        <v>850.0</v>
      </c>
      <c r="T101" s="2" t="s">
        <v>463</v>
      </c>
      <c r="U101" s="171">
        <v>2694.0</v>
      </c>
      <c r="V101" s="172">
        <v>45996.0</v>
      </c>
      <c r="W101" s="3">
        <v>335.0</v>
      </c>
      <c r="X101" s="172">
        <v>45994.6246875</v>
      </c>
      <c r="Y101" s="172"/>
      <c r="Z101" s="3">
        <v>45990.0</v>
      </c>
      <c r="AA101" s="3"/>
    </row>
    <row r="102">
      <c r="A102" s="3">
        <v>6.772554301699E12</v>
      </c>
      <c r="B102" s="2" t="s">
        <v>918</v>
      </c>
      <c r="C102" s="2" t="s">
        <v>919</v>
      </c>
      <c r="D102" s="169">
        <v>45990.0</v>
      </c>
      <c r="E102" s="2">
        <v>3.009159555E9</v>
      </c>
      <c r="F102" s="2" t="s">
        <v>920</v>
      </c>
      <c r="G102" s="2" t="s">
        <v>374</v>
      </c>
      <c r="H102" s="2">
        <v>0.0</v>
      </c>
      <c r="I102" s="2">
        <v>2.0120050019838E13</v>
      </c>
      <c r="J102" s="3">
        <v>0.0</v>
      </c>
      <c r="K102" s="2" t="s">
        <v>921</v>
      </c>
      <c r="L102" s="2"/>
      <c r="M102" s="170" t="s">
        <v>455</v>
      </c>
      <c r="N102" s="2" t="s">
        <v>406</v>
      </c>
      <c r="O102" s="3">
        <v>0.5</v>
      </c>
      <c r="P102" s="2" t="s">
        <v>363</v>
      </c>
      <c r="Q102" s="3">
        <v>0.0</v>
      </c>
      <c r="T102" s="2" t="s">
        <v>456</v>
      </c>
      <c r="U102" s="171">
        <v>0.0</v>
      </c>
      <c r="V102" s="172">
        <v>46003.0</v>
      </c>
      <c r="W102" s="3">
        <v>200.0</v>
      </c>
      <c r="X102" s="172">
        <v>46000.757268518515</v>
      </c>
      <c r="Y102" s="172"/>
      <c r="Z102" s="3">
        <v>45990.0</v>
      </c>
      <c r="AA102" s="3"/>
    </row>
    <row r="103">
      <c r="A103" s="3">
        <v>6.772572029187E12</v>
      </c>
      <c r="B103" s="2" t="s">
        <v>922</v>
      </c>
      <c r="C103" s="2" t="s">
        <v>923</v>
      </c>
      <c r="D103" s="169">
        <v>45990.0</v>
      </c>
      <c r="E103" s="2">
        <v>3.21231585E9</v>
      </c>
      <c r="F103" s="2" t="s">
        <v>924</v>
      </c>
      <c r="G103" s="2" t="s">
        <v>925</v>
      </c>
      <c r="H103" s="2">
        <v>2695.0</v>
      </c>
      <c r="I103" s="2">
        <v>2.6120050019839E13</v>
      </c>
      <c r="J103" s="3">
        <v>2.0</v>
      </c>
      <c r="L103" s="2" t="s">
        <v>926</v>
      </c>
      <c r="M103" s="174" t="s">
        <v>409</v>
      </c>
      <c r="N103" s="2" t="s">
        <v>462</v>
      </c>
      <c r="O103" s="3">
        <v>0.5</v>
      </c>
      <c r="P103" s="2" t="s">
        <v>363</v>
      </c>
      <c r="Q103" s="3">
        <v>980.0</v>
      </c>
      <c r="T103" s="2" t="s">
        <v>463</v>
      </c>
      <c r="U103" s="171">
        <v>2695.0</v>
      </c>
      <c r="V103" s="172">
        <v>45996.0</v>
      </c>
      <c r="W103" s="3">
        <v>321.0</v>
      </c>
      <c r="X103" s="172">
        <v>45995.93008101852</v>
      </c>
      <c r="Y103" s="172"/>
      <c r="Z103" s="3">
        <v>45990.0</v>
      </c>
      <c r="AA103" s="3"/>
    </row>
    <row r="104">
      <c r="A104" s="3">
        <v>6.772577206531E12</v>
      </c>
      <c r="B104" s="2" t="s">
        <v>927</v>
      </c>
      <c r="C104" s="2" t="s">
        <v>928</v>
      </c>
      <c r="D104" s="169">
        <v>45990.0</v>
      </c>
      <c r="E104" s="2">
        <v>3.201908729E9</v>
      </c>
      <c r="F104" s="2" t="s">
        <v>929</v>
      </c>
      <c r="G104" s="2" t="s">
        <v>781</v>
      </c>
      <c r="H104" s="2">
        <v>2694.0</v>
      </c>
      <c r="I104" s="2">
        <v>2.712005001984E13</v>
      </c>
      <c r="J104" s="3">
        <v>1.0</v>
      </c>
      <c r="L104" s="2" t="s">
        <v>500</v>
      </c>
      <c r="M104" s="174" t="s">
        <v>409</v>
      </c>
      <c r="N104" s="2" t="s">
        <v>462</v>
      </c>
      <c r="O104" s="3">
        <v>0.5</v>
      </c>
      <c r="P104" s="2" t="s">
        <v>363</v>
      </c>
      <c r="Q104" s="3">
        <v>850.0</v>
      </c>
      <c r="T104" s="2" t="s">
        <v>486</v>
      </c>
      <c r="U104" s="171">
        <v>2694.0</v>
      </c>
      <c r="V104" s="172">
        <v>46000.0</v>
      </c>
      <c r="W104" s="3">
        <v>321.0</v>
      </c>
      <c r="X104" s="172">
        <v>45996.606469907405</v>
      </c>
      <c r="Y104" s="172"/>
      <c r="Z104" s="3">
        <v>45990.0</v>
      </c>
      <c r="AA104" s="3"/>
    </row>
    <row r="105">
      <c r="A105" s="3">
        <v>6.772579533059E12</v>
      </c>
      <c r="B105" s="2" t="s">
        <v>930</v>
      </c>
      <c r="C105" s="2" t="s">
        <v>931</v>
      </c>
      <c r="D105" s="169">
        <v>45990.0</v>
      </c>
      <c r="E105" s="2">
        <v>3.15110566E9</v>
      </c>
      <c r="F105" s="2" t="s">
        <v>932</v>
      </c>
      <c r="G105" s="2" t="s">
        <v>933</v>
      </c>
      <c r="H105" s="2">
        <v>0.0</v>
      </c>
      <c r="J105" s="3">
        <v>0.0</v>
      </c>
      <c r="L105" s="2"/>
      <c r="M105" s="2" t="s">
        <v>468</v>
      </c>
      <c r="N105" s="2" t="s">
        <v>406</v>
      </c>
      <c r="O105" s="3">
        <v>0.5</v>
      </c>
      <c r="Q105" s="3">
        <v>0.0</v>
      </c>
      <c r="U105" s="141"/>
      <c r="X105" s="172">
        <v>46057.64278263889</v>
      </c>
      <c r="Y105" s="172"/>
      <c r="Z105" s="3">
        <v>45990.0</v>
      </c>
      <c r="AA105" s="3"/>
    </row>
    <row r="106">
      <c r="A106" s="3">
        <v>6.772623835395E12</v>
      </c>
      <c r="B106" s="2" t="s">
        <v>934</v>
      </c>
      <c r="C106" s="2" t="s">
        <v>935</v>
      </c>
      <c r="D106" s="169">
        <v>45990.0</v>
      </c>
      <c r="E106" s="2">
        <v>3.02482013E9</v>
      </c>
      <c r="F106" s="2" t="s">
        <v>936</v>
      </c>
      <c r="G106" s="2" t="s">
        <v>368</v>
      </c>
      <c r="H106" s="2">
        <v>2694.0</v>
      </c>
      <c r="I106" s="2">
        <v>2.7120050019841E13</v>
      </c>
      <c r="J106" s="3">
        <v>1.0</v>
      </c>
      <c r="L106" s="2" t="s">
        <v>512</v>
      </c>
      <c r="M106" s="174" t="s">
        <v>409</v>
      </c>
      <c r="N106" s="2" t="s">
        <v>462</v>
      </c>
      <c r="O106" s="3">
        <v>0.5</v>
      </c>
      <c r="P106" s="2" t="s">
        <v>363</v>
      </c>
      <c r="Q106" s="3">
        <v>850.0</v>
      </c>
      <c r="T106" s="2" t="s">
        <v>463</v>
      </c>
      <c r="U106" s="171">
        <v>2694.0</v>
      </c>
      <c r="V106" s="172">
        <v>45996.0</v>
      </c>
      <c r="W106" s="3">
        <v>228.0</v>
      </c>
      <c r="X106" s="172">
        <v>45993.589108796295</v>
      </c>
      <c r="Y106" s="172"/>
      <c r="Z106" s="3">
        <v>45990.0</v>
      </c>
      <c r="AA106" s="3"/>
    </row>
    <row r="107">
      <c r="A107" s="3">
        <v>6.772699169027E12</v>
      </c>
      <c r="B107" s="2" t="s">
        <v>937</v>
      </c>
      <c r="C107" s="2" t="s">
        <v>938</v>
      </c>
      <c r="D107" s="169">
        <v>45990.0</v>
      </c>
      <c r="E107" s="2">
        <v>3.067776559E9</v>
      </c>
      <c r="F107" s="2" t="s">
        <v>939</v>
      </c>
      <c r="G107" s="2" t="s">
        <v>940</v>
      </c>
      <c r="H107" s="2">
        <v>0.0</v>
      </c>
      <c r="I107" s="2">
        <v>2.4120050019912E13</v>
      </c>
      <c r="J107" s="3">
        <v>0.0</v>
      </c>
      <c r="K107" s="2" t="s">
        <v>874</v>
      </c>
      <c r="L107" s="2"/>
      <c r="M107" s="170" t="s">
        <v>455</v>
      </c>
      <c r="N107" s="2" t="s">
        <v>406</v>
      </c>
      <c r="O107" s="3">
        <v>0.5</v>
      </c>
      <c r="P107" s="2" t="s">
        <v>363</v>
      </c>
      <c r="Q107" s="3">
        <v>0.0</v>
      </c>
      <c r="T107" s="2" t="s">
        <v>486</v>
      </c>
      <c r="U107" s="171">
        <v>0.0</v>
      </c>
      <c r="V107" s="172">
        <v>46000.0</v>
      </c>
      <c r="W107" s="3">
        <v>200.0</v>
      </c>
      <c r="X107" s="172">
        <v>45999.87289351852</v>
      </c>
      <c r="Y107" s="172"/>
      <c r="Z107" s="3">
        <v>45990.0</v>
      </c>
      <c r="AA107" s="3"/>
    </row>
    <row r="108">
      <c r="A108" s="3">
        <v>6.772751532291E12</v>
      </c>
      <c r="B108" s="2" t="s">
        <v>941</v>
      </c>
      <c r="C108" s="2" t="s">
        <v>942</v>
      </c>
      <c r="D108" s="169">
        <v>45990.0</v>
      </c>
      <c r="E108" s="173" t="s">
        <v>943</v>
      </c>
      <c r="F108" s="2" t="s">
        <v>944</v>
      </c>
      <c r="G108" s="2" t="s">
        <v>945</v>
      </c>
      <c r="H108" s="2">
        <v>2694.0</v>
      </c>
      <c r="I108" s="2">
        <v>2.6120050019954E13</v>
      </c>
      <c r="J108" s="3">
        <v>1.0</v>
      </c>
      <c r="L108" s="2" t="s">
        <v>946</v>
      </c>
      <c r="M108" s="174" t="s">
        <v>409</v>
      </c>
      <c r="N108" s="2" t="s">
        <v>462</v>
      </c>
      <c r="O108" s="3">
        <v>0.5</v>
      </c>
      <c r="P108" s="2" t="s">
        <v>363</v>
      </c>
      <c r="Q108" s="3">
        <v>850.0</v>
      </c>
      <c r="T108" s="2" t="s">
        <v>486</v>
      </c>
      <c r="U108" s="171">
        <v>2694.0</v>
      </c>
      <c r="V108" s="172">
        <v>46000.0</v>
      </c>
      <c r="W108" s="3">
        <v>321.0</v>
      </c>
      <c r="X108" s="172">
        <v>45997.56767361111</v>
      </c>
      <c r="Y108" s="172"/>
      <c r="Z108" s="3">
        <v>45990.0</v>
      </c>
      <c r="AA108" s="3"/>
    </row>
    <row r="109">
      <c r="A109" s="3">
        <v>6.772828700931E12</v>
      </c>
      <c r="B109" s="2" t="s">
        <v>947</v>
      </c>
      <c r="C109" s="2" t="s">
        <v>948</v>
      </c>
      <c r="D109" s="169">
        <v>45990.0</v>
      </c>
      <c r="E109" s="2">
        <v>3.214805472E9</v>
      </c>
      <c r="F109" s="2" t="s">
        <v>949</v>
      </c>
      <c r="G109" s="2" t="s">
        <v>368</v>
      </c>
      <c r="H109" s="2">
        <v>4595.0</v>
      </c>
      <c r="I109" s="2">
        <v>2.1120050019895E13</v>
      </c>
      <c r="J109" s="3">
        <v>2.0</v>
      </c>
      <c r="L109" s="2" t="s">
        <v>532</v>
      </c>
      <c r="M109" s="174" t="s">
        <v>409</v>
      </c>
      <c r="N109" s="2" t="s">
        <v>462</v>
      </c>
      <c r="O109" s="3">
        <v>0.5</v>
      </c>
      <c r="P109" s="2" t="s">
        <v>73</v>
      </c>
      <c r="Q109" s="3">
        <v>1700.0</v>
      </c>
      <c r="T109" s="2" t="s">
        <v>463</v>
      </c>
      <c r="U109" s="171">
        <v>4595.0</v>
      </c>
      <c r="V109" s="172">
        <v>45996.0</v>
      </c>
      <c r="W109" s="3">
        <v>304.0</v>
      </c>
      <c r="X109" s="172">
        <v>45993.67697916667</v>
      </c>
      <c r="Y109" s="172"/>
      <c r="Z109" s="3">
        <v>45990.0</v>
      </c>
      <c r="AA109" s="3"/>
    </row>
    <row r="110">
      <c r="A110" s="3">
        <v>6.772863369475E12</v>
      </c>
      <c r="B110" s="2" t="s">
        <v>950</v>
      </c>
      <c r="C110" s="2" t="s">
        <v>951</v>
      </c>
      <c r="D110" s="169">
        <v>45990.0</v>
      </c>
      <c r="E110" s="173" t="s">
        <v>952</v>
      </c>
      <c r="F110" s="2" t="s">
        <v>953</v>
      </c>
      <c r="G110" s="2" t="s">
        <v>772</v>
      </c>
      <c r="H110" s="2">
        <v>0.0</v>
      </c>
      <c r="I110" s="2">
        <v>2.1120050019911E13</v>
      </c>
      <c r="J110" s="3">
        <v>0.0</v>
      </c>
      <c r="K110" s="2" t="s">
        <v>954</v>
      </c>
      <c r="L110" s="2"/>
      <c r="M110" s="170" t="s">
        <v>455</v>
      </c>
      <c r="N110" s="2" t="s">
        <v>406</v>
      </c>
      <c r="O110" s="3">
        <v>0.5</v>
      </c>
      <c r="P110" s="2" t="s">
        <v>73</v>
      </c>
      <c r="Q110" s="3">
        <v>0.0</v>
      </c>
      <c r="T110" s="2" t="s">
        <v>456</v>
      </c>
      <c r="U110" s="171">
        <v>0.0</v>
      </c>
      <c r="V110" s="172">
        <v>46003.0</v>
      </c>
      <c r="W110" s="3">
        <v>320.0</v>
      </c>
      <c r="X110" s="172">
        <v>46002.76991898148</v>
      </c>
      <c r="Y110" s="172"/>
      <c r="Z110" s="3">
        <v>45990.0</v>
      </c>
      <c r="AA110" s="3"/>
    </row>
    <row r="111">
      <c r="A111" s="3">
        <v>6.772891058435E12</v>
      </c>
      <c r="B111" s="2" t="s">
        <v>955</v>
      </c>
      <c r="C111" s="2" t="s">
        <v>956</v>
      </c>
      <c r="D111" s="169">
        <v>45990.0</v>
      </c>
      <c r="E111" s="2">
        <v>3.070887094E9</v>
      </c>
      <c r="F111" s="2" t="s">
        <v>957</v>
      </c>
      <c r="G111" s="2" t="s">
        <v>958</v>
      </c>
      <c r="H111" s="2">
        <v>0.0</v>
      </c>
      <c r="I111" s="2">
        <v>2.4120050019894E13</v>
      </c>
      <c r="J111" s="3">
        <v>0.0</v>
      </c>
      <c r="K111" s="2" t="s">
        <v>959</v>
      </c>
      <c r="L111" s="2"/>
      <c r="M111" s="170" t="s">
        <v>455</v>
      </c>
      <c r="N111" s="2" t="s">
        <v>406</v>
      </c>
      <c r="O111" s="3">
        <v>0.5</v>
      </c>
      <c r="P111" s="2" t="s">
        <v>363</v>
      </c>
      <c r="Q111" s="3">
        <v>0.0</v>
      </c>
      <c r="T111" s="2" t="s">
        <v>456</v>
      </c>
      <c r="U111" s="171">
        <v>0.0</v>
      </c>
      <c r="V111" s="172">
        <v>46003.0</v>
      </c>
      <c r="W111" s="3">
        <v>220.0</v>
      </c>
      <c r="X111" s="172">
        <v>46000.757268518515</v>
      </c>
      <c r="Y111" s="172"/>
      <c r="Z111" s="3">
        <v>45990.0</v>
      </c>
      <c r="AA111" s="3"/>
    </row>
    <row r="112">
      <c r="A112" s="3">
        <v>6.773056471299E12</v>
      </c>
      <c r="B112" s="2" t="s">
        <v>960</v>
      </c>
      <c r="C112" s="2" t="s">
        <v>961</v>
      </c>
      <c r="D112" s="169">
        <v>45990.0</v>
      </c>
      <c r="E112" s="2">
        <v>3.006399539E9</v>
      </c>
      <c r="F112" s="2" t="s">
        <v>962</v>
      </c>
      <c r="G112" s="2" t="s">
        <v>374</v>
      </c>
      <c r="H112" s="2">
        <v>1245.0</v>
      </c>
      <c r="I112" s="2">
        <v>2.412005001991E13</v>
      </c>
      <c r="J112" s="3">
        <v>1.0</v>
      </c>
      <c r="L112" s="2" t="s">
        <v>963</v>
      </c>
      <c r="M112" s="174" t="s">
        <v>409</v>
      </c>
      <c r="N112" s="2" t="s">
        <v>462</v>
      </c>
      <c r="O112" s="3">
        <v>0.5</v>
      </c>
      <c r="P112" s="2" t="s">
        <v>363</v>
      </c>
      <c r="Q112" s="3">
        <v>550.0</v>
      </c>
      <c r="T112" s="2" t="s">
        <v>463</v>
      </c>
      <c r="U112" s="171">
        <v>1245.0</v>
      </c>
      <c r="V112" s="172">
        <v>45996.0</v>
      </c>
      <c r="W112" s="3">
        <v>250.0</v>
      </c>
      <c r="X112" s="172">
        <v>45993.82875</v>
      </c>
      <c r="Y112" s="172"/>
      <c r="Z112" s="3">
        <v>45990.0</v>
      </c>
      <c r="AA112" s="3"/>
    </row>
    <row r="113">
      <c r="A113" s="3">
        <v>6.773065842947E12</v>
      </c>
      <c r="B113" s="2" t="s">
        <v>964</v>
      </c>
      <c r="C113" s="2" t="s">
        <v>965</v>
      </c>
      <c r="D113" s="169">
        <v>45990.0</v>
      </c>
      <c r="E113" s="2">
        <v>3.212679758E9</v>
      </c>
      <c r="F113" s="2" t="s">
        <v>966</v>
      </c>
      <c r="G113" s="2" t="s">
        <v>493</v>
      </c>
      <c r="H113" s="2">
        <v>4595.0</v>
      </c>
      <c r="I113" s="2">
        <v>2.7120050019893E13</v>
      </c>
      <c r="J113" s="3">
        <v>2.0</v>
      </c>
      <c r="L113" s="2" t="s">
        <v>532</v>
      </c>
      <c r="M113" s="174" t="s">
        <v>409</v>
      </c>
      <c r="N113" s="2" t="s">
        <v>462</v>
      </c>
      <c r="O113" s="3">
        <v>0.5</v>
      </c>
      <c r="P113" s="2" t="s">
        <v>363</v>
      </c>
      <c r="Q113" s="3">
        <v>1700.0</v>
      </c>
      <c r="T113" s="2" t="s">
        <v>486</v>
      </c>
      <c r="U113" s="171">
        <v>4595.0</v>
      </c>
      <c r="V113" s="172">
        <v>46000.0</v>
      </c>
      <c r="W113" s="3">
        <v>411.0</v>
      </c>
      <c r="X113" s="172">
        <v>45996.604374999995</v>
      </c>
      <c r="Y113" s="172"/>
      <c r="Z113" s="3">
        <v>45990.0</v>
      </c>
      <c r="AA113" s="3"/>
    </row>
    <row r="114">
      <c r="A114" s="3">
        <v>6.773121810691E12</v>
      </c>
      <c r="B114" s="2" t="s">
        <v>967</v>
      </c>
      <c r="C114" s="2" t="s">
        <v>968</v>
      </c>
      <c r="D114" s="169">
        <v>45990.0</v>
      </c>
      <c r="E114" s="2">
        <v>3.004119036E9</v>
      </c>
      <c r="F114" s="2" t="s">
        <v>969</v>
      </c>
      <c r="G114" s="2" t="s">
        <v>368</v>
      </c>
      <c r="H114" s="2">
        <v>4045.0</v>
      </c>
      <c r="I114" s="2">
        <v>2.5120050019892E13</v>
      </c>
      <c r="J114" s="3">
        <v>1.0</v>
      </c>
      <c r="L114" s="2" t="s">
        <v>608</v>
      </c>
      <c r="M114" s="174" t="s">
        <v>409</v>
      </c>
      <c r="N114" s="2" t="s">
        <v>462</v>
      </c>
      <c r="O114" s="3">
        <v>0.5</v>
      </c>
      <c r="P114" s="2" t="s">
        <v>363</v>
      </c>
      <c r="Q114" s="3">
        <v>1600.0</v>
      </c>
      <c r="T114" s="2" t="s">
        <v>463</v>
      </c>
      <c r="U114" s="171">
        <v>4045.0</v>
      </c>
      <c r="V114" s="172">
        <v>45996.0</v>
      </c>
      <c r="W114" s="3">
        <v>282.0</v>
      </c>
      <c r="X114" s="172">
        <v>45993.516909722224</v>
      </c>
      <c r="Y114" s="172"/>
      <c r="Z114" s="3">
        <v>45990.0</v>
      </c>
      <c r="AA114" s="3"/>
    </row>
    <row r="115">
      <c r="A115" s="3">
        <v>6.773257470211E12</v>
      </c>
      <c r="B115" s="2" t="s">
        <v>970</v>
      </c>
      <c r="C115" s="2" t="s">
        <v>971</v>
      </c>
      <c r="D115" s="169">
        <v>45990.0</v>
      </c>
      <c r="E115" s="2">
        <v>3.336657511E9</v>
      </c>
      <c r="F115" s="2" t="s">
        <v>972</v>
      </c>
      <c r="G115" s="2" t="s">
        <v>781</v>
      </c>
      <c r="H115" s="2">
        <v>1094.0</v>
      </c>
      <c r="I115" s="2">
        <v>2.4120050019891E13</v>
      </c>
      <c r="J115" s="3">
        <v>1.0</v>
      </c>
      <c r="L115" s="2" t="s">
        <v>973</v>
      </c>
      <c r="M115" s="174" t="s">
        <v>409</v>
      </c>
      <c r="N115" s="2" t="s">
        <v>462</v>
      </c>
      <c r="O115" s="3">
        <v>0.5</v>
      </c>
      <c r="P115" s="2" t="s">
        <v>363</v>
      </c>
      <c r="Q115" s="3">
        <v>550.0</v>
      </c>
      <c r="T115" s="2" t="s">
        <v>463</v>
      </c>
      <c r="U115" s="171">
        <v>1094.0</v>
      </c>
      <c r="V115" s="172">
        <v>45996.0</v>
      </c>
      <c r="W115" s="3">
        <v>257.0</v>
      </c>
      <c r="X115" s="172">
        <v>45994.58006944445</v>
      </c>
      <c r="Y115" s="172"/>
      <c r="Z115" s="3">
        <v>45990.0</v>
      </c>
      <c r="AA115" s="3"/>
    </row>
    <row r="116">
      <c r="A116" s="3">
        <v>6.773293908227E12</v>
      </c>
      <c r="B116" s="2" t="s">
        <v>974</v>
      </c>
      <c r="C116" s="2" t="s">
        <v>975</v>
      </c>
      <c r="D116" s="169">
        <v>45990.0</v>
      </c>
      <c r="E116" s="2">
        <v>3.170248406E9</v>
      </c>
      <c r="F116" s="2" t="s">
        <v>976</v>
      </c>
      <c r="G116" s="2" t="s">
        <v>493</v>
      </c>
      <c r="H116" s="2">
        <v>2694.0</v>
      </c>
      <c r="I116" s="2">
        <v>2.312005001998E13</v>
      </c>
      <c r="J116" s="3">
        <v>1.0</v>
      </c>
      <c r="L116" s="2" t="s">
        <v>500</v>
      </c>
      <c r="M116" s="174" t="s">
        <v>409</v>
      </c>
      <c r="N116" s="2" t="s">
        <v>462</v>
      </c>
      <c r="O116" s="3">
        <v>0.5</v>
      </c>
      <c r="P116" s="2" t="s">
        <v>363</v>
      </c>
      <c r="Q116" s="3">
        <v>850.0</v>
      </c>
      <c r="T116" s="2" t="s">
        <v>486</v>
      </c>
      <c r="U116" s="171">
        <v>2694.0</v>
      </c>
      <c r="V116" s="172">
        <v>46000.0</v>
      </c>
      <c r="W116" s="3">
        <v>321.0</v>
      </c>
      <c r="X116" s="172">
        <v>45997.627962962964</v>
      </c>
      <c r="Y116" s="172"/>
      <c r="Z116" s="3">
        <v>45990.0</v>
      </c>
      <c r="AA116" s="3"/>
    </row>
    <row r="117">
      <c r="A117" s="3">
        <v>6.773398601987E12</v>
      </c>
      <c r="B117" s="2" t="s">
        <v>977</v>
      </c>
      <c r="C117" s="2" t="s">
        <v>978</v>
      </c>
      <c r="D117" s="169">
        <v>45991.0</v>
      </c>
      <c r="E117" s="2">
        <v>3.002090088E9</v>
      </c>
      <c r="F117" s="2" t="s">
        <v>979</v>
      </c>
      <c r="G117" s="2" t="s">
        <v>493</v>
      </c>
      <c r="H117" s="2">
        <v>3045.0</v>
      </c>
      <c r="I117" s="2">
        <v>2.312005001989E13</v>
      </c>
      <c r="J117" s="3">
        <v>2.0</v>
      </c>
      <c r="L117" s="2" t="s">
        <v>27</v>
      </c>
      <c r="M117" s="174" t="s">
        <v>409</v>
      </c>
      <c r="N117" s="2" t="s">
        <v>462</v>
      </c>
      <c r="O117" s="3">
        <v>0.5</v>
      </c>
      <c r="P117" s="2" t="s">
        <v>363</v>
      </c>
      <c r="Q117" s="3">
        <v>920.0</v>
      </c>
      <c r="T117" s="2" t="s">
        <v>463</v>
      </c>
      <c r="U117" s="171">
        <v>3045.0</v>
      </c>
      <c r="V117" s="172">
        <v>45996.0</v>
      </c>
      <c r="W117" s="3">
        <v>335.0</v>
      </c>
      <c r="X117" s="172">
        <v>45994.533541666664</v>
      </c>
      <c r="Y117" s="172"/>
      <c r="Z117" s="3">
        <v>45991.0</v>
      </c>
      <c r="AA117" s="3"/>
    </row>
    <row r="118">
      <c r="A118" s="3">
        <v>6.773538357507E12</v>
      </c>
      <c r="B118" s="2" t="s">
        <v>980</v>
      </c>
      <c r="C118" s="2" t="s">
        <v>981</v>
      </c>
      <c r="D118" s="169">
        <v>45991.0</v>
      </c>
      <c r="E118" s="2">
        <v>3.2299519E9</v>
      </c>
      <c r="F118" s="2" t="s">
        <v>982</v>
      </c>
      <c r="G118" s="2" t="s">
        <v>541</v>
      </c>
      <c r="H118" s="2">
        <v>0.0</v>
      </c>
      <c r="I118" s="2">
        <v>2.7120050019889E13</v>
      </c>
      <c r="J118" s="3">
        <v>0.0</v>
      </c>
      <c r="K118" s="2" t="s">
        <v>983</v>
      </c>
      <c r="L118" s="2"/>
      <c r="M118" s="170" t="s">
        <v>455</v>
      </c>
      <c r="N118" s="2" t="s">
        <v>406</v>
      </c>
      <c r="O118" s="3">
        <v>0.5</v>
      </c>
      <c r="P118" s="2" t="s">
        <v>363</v>
      </c>
      <c r="Q118" s="3">
        <v>0.0</v>
      </c>
      <c r="T118" s="2" t="s">
        <v>456</v>
      </c>
      <c r="U118" s="171">
        <v>0.0</v>
      </c>
      <c r="V118" s="172">
        <v>46003.0</v>
      </c>
      <c r="W118" s="3">
        <v>220.0</v>
      </c>
      <c r="X118" s="172">
        <v>46000.757268518515</v>
      </c>
      <c r="Y118" s="172"/>
      <c r="Z118" s="3">
        <v>45991.0</v>
      </c>
      <c r="AA118" s="3"/>
    </row>
    <row r="119">
      <c r="A119" s="3">
        <v>6.773560738051E12</v>
      </c>
      <c r="B119" s="2" t="s">
        <v>984</v>
      </c>
      <c r="C119" s="2" t="s">
        <v>985</v>
      </c>
      <c r="D119" s="169">
        <v>45991.0</v>
      </c>
      <c r="E119" s="2">
        <v>3.227324546E9</v>
      </c>
      <c r="F119" s="2" t="s">
        <v>986</v>
      </c>
      <c r="G119" s="2" t="s">
        <v>688</v>
      </c>
      <c r="H119" s="2">
        <v>4595.0</v>
      </c>
      <c r="I119" s="2">
        <v>2.0120050019888E13</v>
      </c>
      <c r="J119" s="3">
        <v>2.0</v>
      </c>
      <c r="L119" s="2" t="s">
        <v>479</v>
      </c>
      <c r="M119" s="174" t="s">
        <v>409</v>
      </c>
      <c r="N119" s="2" t="s">
        <v>462</v>
      </c>
      <c r="O119" s="3">
        <v>0.5</v>
      </c>
      <c r="P119" s="2" t="s">
        <v>363</v>
      </c>
      <c r="Q119" s="3">
        <v>1700.0</v>
      </c>
      <c r="T119" s="2" t="s">
        <v>486</v>
      </c>
      <c r="U119" s="171">
        <v>4595.0</v>
      </c>
      <c r="V119" s="172">
        <v>46000.0</v>
      </c>
      <c r="W119" s="3">
        <v>404.0</v>
      </c>
      <c r="X119" s="172">
        <v>45996.48982638889</v>
      </c>
      <c r="Y119" s="172"/>
      <c r="Z119" s="3">
        <v>45991.0</v>
      </c>
      <c r="AA119" s="3"/>
    </row>
    <row r="120">
      <c r="A120" s="3">
        <v>6.773608939779E12</v>
      </c>
      <c r="B120" s="2" t="s">
        <v>987</v>
      </c>
      <c r="C120" s="2" t="s">
        <v>988</v>
      </c>
      <c r="D120" s="169">
        <v>45991.0</v>
      </c>
      <c r="E120" s="2">
        <v>3.062971714E9</v>
      </c>
      <c r="F120" s="2" t="s">
        <v>989</v>
      </c>
      <c r="G120" s="2" t="s">
        <v>493</v>
      </c>
      <c r="H120" s="2">
        <v>2694.0</v>
      </c>
      <c r="I120" s="2">
        <v>2.5120050019887E13</v>
      </c>
      <c r="J120" s="3">
        <v>1.0</v>
      </c>
      <c r="L120" s="2" t="s">
        <v>500</v>
      </c>
      <c r="M120" s="174" t="s">
        <v>409</v>
      </c>
      <c r="N120" s="2" t="s">
        <v>462</v>
      </c>
      <c r="O120" s="3">
        <v>0.5</v>
      </c>
      <c r="P120" s="2" t="s">
        <v>363</v>
      </c>
      <c r="Q120" s="3">
        <v>850.0</v>
      </c>
      <c r="T120" s="2" t="s">
        <v>486</v>
      </c>
      <c r="U120" s="171">
        <v>2694.0</v>
      </c>
      <c r="V120" s="172">
        <v>46000.0</v>
      </c>
      <c r="W120" s="3">
        <v>335.0</v>
      </c>
      <c r="X120" s="172">
        <v>45997.641331018516</v>
      </c>
      <c r="Y120" s="172"/>
      <c r="Z120" s="3">
        <v>45991.0</v>
      </c>
      <c r="AA120" s="3"/>
    </row>
    <row r="121">
      <c r="A121" s="3">
        <v>6.773835661571E12</v>
      </c>
      <c r="B121" s="2" t="s">
        <v>990</v>
      </c>
      <c r="C121" s="2" t="s">
        <v>991</v>
      </c>
      <c r="D121" s="169">
        <v>45991.0</v>
      </c>
      <c r="E121" s="2">
        <v>3.006236421E9</v>
      </c>
      <c r="F121" s="2" t="s">
        <v>992</v>
      </c>
      <c r="G121" s="2" t="s">
        <v>993</v>
      </c>
      <c r="H121" s="2">
        <v>4595.0</v>
      </c>
      <c r="I121" s="2">
        <v>2.5120050019886E13</v>
      </c>
      <c r="J121" s="3">
        <v>2.0</v>
      </c>
      <c r="L121" s="2" t="s">
        <v>994</v>
      </c>
      <c r="M121" s="174" t="s">
        <v>409</v>
      </c>
      <c r="N121" s="2" t="s">
        <v>462</v>
      </c>
      <c r="O121" s="3">
        <v>0.5</v>
      </c>
      <c r="P121" s="2" t="s">
        <v>363</v>
      </c>
      <c r="Q121" s="3">
        <v>1700.0</v>
      </c>
      <c r="T121" s="2" t="s">
        <v>463</v>
      </c>
      <c r="U121" s="171">
        <v>4595.0</v>
      </c>
      <c r="V121" s="172">
        <v>45996.0</v>
      </c>
      <c r="W121" s="3">
        <v>404.0</v>
      </c>
      <c r="X121" s="172">
        <v>45994.4759375</v>
      </c>
      <c r="Y121" s="172"/>
      <c r="Z121" s="3">
        <v>45991.0</v>
      </c>
      <c r="AA121" s="3"/>
    </row>
    <row r="122">
      <c r="A122" s="3">
        <v>6.773840085251E12</v>
      </c>
      <c r="B122" s="2" t="s">
        <v>995</v>
      </c>
      <c r="C122" s="2" t="s">
        <v>996</v>
      </c>
      <c r="D122" s="169">
        <v>45991.0</v>
      </c>
      <c r="E122" s="2">
        <v>3.07968888E9</v>
      </c>
      <c r="F122" s="2" t="s">
        <v>997</v>
      </c>
      <c r="G122" s="2" t="s">
        <v>368</v>
      </c>
      <c r="H122" s="2">
        <v>2694.0</v>
      </c>
      <c r="I122" s="2">
        <v>2.6120050019885E13</v>
      </c>
      <c r="J122" s="3">
        <v>1.0</v>
      </c>
      <c r="L122" s="2" t="s">
        <v>500</v>
      </c>
      <c r="M122" s="174" t="s">
        <v>409</v>
      </c>
      <c r="N122" s="2" t="s">
        <v>462</v>
      </c>
      <c r="O122" s="3">
        <v>0.5</v>
      </c>
      <c r="P122" s="2" t="s">
        <v>363</v>
      </c>
      <c r="Q122" s="3">
        <v>850.0</v>
      </c>
      <c r="T122" s="2" t="s">
        <v>463</v>
      </c>
      <c r="U122" s="171">
        <v>2694.0</v>
      </c>
      <c r="V122" s="172">
        <v>45996.0</v>
      </c>
      <c r="W122" s="3">
        <v>214.0</v>
      </c>
      <c r="X122" s="172">
        <v>45995.590462962966</v>
      </c>
      <c r="Y122" s="172"/>
      <c r="Z122" s="3">
        <v>45991.0</v>
      </c>
      <c r="AA122" s="3"/>
    </row>
    <row r="123">
      <c r="A123" s="3">
        <v>6.773898477827E12</v>
      </c>
      <c r="B123" s="2" t="s">
        <v>998</v>
      </c>
      <c r="C123" s="2" t="s">
        <v>999</v>
      </c>
      <c r="D123" s="169">
        <v>45991.0</v>
      </c>
      <c r="E123" s="2">
        <v>3.32821692E9</v>
      </c>
      <c r="F123" s="2" t="s">
        <v>1000</v>
      </c>
      <c r="G123" s="2" t="s">
        <v>493</v>
      </c>
      <c r="H123" s="2">
        <v>0.0</v>
      </c>
      <c r="I123" s="2">
        <v>2.9120050019884E13</v>
      </c>
      <c r="J123" s="3">
        <v>0.0</v>
      </c>
      <c r="K123" s="2" t="s">
        <v>1001</v>
      </c>
      <c r="L123" s="2"/>
      <c r="M123" s="170" t="s">
        <v>455</v>
      </c>
      <c r="N123" s="2" t="s">
        <v>406</v>
      </c>
      <c r="O123" s="3">
        <v>0.5</v>
      </c>
      <c r="P123" s="2" t="s">
        <v>363</v>
      </c>
      <c r="Q123" s="3">
        <v>0.0</v>
      </c>
      <c r="T123" s="2" t="s">
        <v>674</v>
      </c>
      <c r="U123" s="171">
        <v>0.0</v>
      </c>
      <c r="V123" s="172">
        <v>46007.0</v>
      </c>
      <c r="W123" s="3">
        <v>213.0</v>
      </c>
      <c r="X123" s="172">
        <v>46003.76563657407</v>
      </c>
      <c r="Y123" s="172"/>
      <c r="Z123" s="3">
        <v>45991.0</v>
      </c>
      <c r="AA123" s="3"/>
    </row>
    <row r="124">
      <c r="A124" s="3">
        <v>6.773940519171E12</v>
      </c>
      <c r="B124" s="2" t="s">
        <v>1002</v>
      </c>
      <c r="C124" s="2" t="s">
        <v>1003</v>
      </c>
      <c r="D124" s="169">
        <v>45991.0</v>
      </c>
      <c r="E124" s="2">
        <v>3.072852806E9</v>
      </c>
      <c r="F124" s="2" t="s">
        <v>1004</v>
      </c>
      <c r="G124" s="2" t="s">
        <v>493</v>
      </c>
      <c r="H124" s="2">
        <v>2694.0</v>
      </c>
      <c r="I124" s="2">
        <v>2.5120050019883E13</v>
      </c>
      <c r="J124" s="3">
        <v>1.0</v>
      </c>
      <c r="L124" s="2" t="s">
        <v>519</v>
      </c>
      <c r="M124" s="174" t="s">
        <v>409</v>
      </c>
      <c r="N124" s="2" t="s">
        <v>462</v>
      </c>
      <c r="O124" s="3">
        <v>0.5</v>
      </c>
      <c r="P124" s="2" t="s">
        <v>363</v>
      </c>
      <c r="Q124" s="3">
        <v>850.0</v>
      </c>
      <c r="T124" s="2" t="s">
        <v>463</v>
      </c>
      <c r="U124" s="171">
        <v>2694.0</v>
      </c>
      <c r="V124" s="172">
        <v>45996.0</v>
      </c>
      <c r="W124" s="3">
        <v>321.0</v>
      </c>
      <c r="X124" s="172">
        <v>45995.72453703704</v>
      </c>
      <c r="Y124" s="172"/>
      <c r="Z124" s="3">
        <v>45991.0</v>
      </c>
      <c r="AA124" s="3"/>
    </row>
    <row r="125">
      <c r="A125" s="3">
        <v>6.774283337987E12</v>
      </c>
      <c r="B125" s="2" t="s">
        <v>1005</v>
      </c>
      <c r="C125" s="2" t="s">
        <v>1006</v>
      </c>
      <c r="D125" s="169">
        <v>45991.0</v>
      </c>
      <c r="E125" s="2">
        <v>3.2250251E9</v>
      </c>
      <c r="F125" s="2" t="s">
        <v>1007</v>
      </c>
      <c r="G125" s="2" t="s">
        <v>541</v>
      </c>
      <c r="H125" s="2">
        <v>0.0</v>
      </c>
      <c r="I125" s="2">
        <v>2.4120050019882E13</v>
      </c>
      <c r="J125" s="3">
        <v>0.0</v>
      </c>
      <c r="K125" s="2" t="s">
        <v>1008</v>
      </c>
      <c r="L125" s="2"/>
      <c r="M125" s="170" t="s">
        <v>455</v>
      </c>
      <c r="N125" s="2" t="s">
        <v>406</v>
      </c>
      <c r="O125" s="3">
        <v>0.5</v>
      </c>
      <c r="P125" s="2" t="s">
        <v>363</v>
      </c>
      <c r="Q125" s="3">
        <v>0.0</v>
      </c>
      <c r="T125" s="2" t="s">
        <v>777</v>
      </c>
      <c r="U125" s="171">
        <v>0.0</v>
      </c>
      <c r="V125" s="172">
        <v>46014.0</v>
      </c>
      <c r="W125" s="3">
        <v>220.0</v>
      </c>
      <c r="X125" s="172">
        <v>46013.89565972222</v>
      </c>
      <c r="Y125" s="172"/>
      <c r="Z125" s="3">
        <v>45991.0</v>
      </c>
      <c r="AA125" s="3"/>
    </row>
    <row r="126">
      <c r="A126" s="3">
        <v>6.774291267843E12</v>
      </c>
      <c r="B126" s="2" t="s">
        <v>1009</v>
      </c>
      <c r="C126" s="2" t="s">
        <v>1010</v>
      </c>
      <c r="D126" s="169">
        <v>45991.0</v>
      </c>
      <c r="E126" s="2">
        <v>3.15194109E9</v>
      </c>
      <c r="F126" s="2" t="s">
        <v>1011</v>
      </c>
      <c r="G126" s="2" t="s">
        <v>1012</v>
      </c>
      <c r="H126" s="2">
        <v>0.0</v>
      </c>
      <c r="J126" s="3">
        <v>0.0</v>
      </c>
      <c r="K126" s="2" t="s">
        <v>571</v>
      </c>
      <c r="L126" s="2"/>
      <c r="M126" s="2" t="s">
        <v>468</v>
      </c>
      <c r="N126" s="2" t="s">
        <v>406</v>
      </c>
      <c r="O126" s="3">
        <v>0.5</v>
      </c>
      <c r="Q126" s="3">
        <v>0.0</v>
      </c>
      <c r="U126" s="141"/>
      <c r="X126" s="172">
        <v>46057.64278263889</v>
      </c>
      <c r="Y126" s="172"/>
      <c r="Z126" s="3">
        <v>45991.0</v>
      </c>
      <c r="AA126" s="3"/>
    </row>
    <row r="127">
      <c r="A127" s="3">
        <v>6.774306734339E12</v>
      </c>
      <c r="B127" s="2" t="s">
        <v>1013</v>
      </c>
      <c r="C127" s="2" t="s">
        <v>1014</v>
      </c>
      <c r="D127" s="169">
        <v>45991.0</v>
      </c>
      <c r="E127" s="2">
        <v>3.366758531E9</v>
      </c>
      <c r="F127" s="2" t="s">
        <v>1015</v>
      </c>
      <c r="G127" s="2" t="s">
        <v>1016</v>
      </c>
      <c r="H127" s="2">
        <v>0.0</v>
      </c>
      <c r="I127" s="2">
        <v>2.7120050019935E13</v>
      </c>
      <c r="J127" s="3">
        <v>0.0</v>
      </c>
      <c r="K127" s="2" t="s">
        <v>1017</v>
      </c>
      <c r="L127" s="2"/>
      <c r="M127" s="170" t="s">
        <v>455</v>
      </c>
      <c r="N127" s="2" t="s">
        <v>406</v>
      </c>
      <c r="O127" s="3">
        <v>0.5</v>
      </c>
      <c r="P127" s="2" t="s">
        <v>363</v>
      </c>
      <c r="Q127" s="3">
        <v>0.0</v>
      </c>
      <c r="T127" s="2" t="s">
        <v>456</v>
      </c>
      <c r="U127" s="171">
        <v>0.0</v>
      </c>
      <c r="V127" s="172">
        <v>46003.0</v>
      </c>
      <c r="W127" s="3">
        <v>220.0</v>
      </c>
      <c r="X127" s="172">
        <v>46000.757268518515</v>
      </c>
      <c r="Y127" s="172"/>
      <c r="Z127" s="3">
        <v>45991.0</v>
      </c>
      <c r="AA127" s="3"/>
    </row>
    <row r="128">
      <c r="A128" s="3">
        <v>6.774307324163E12</v>
      </c>
      <c r="B128" s="2" t="s">
        <v>1018</v>
      </c>
      <c r="C128" s="2" t="s">
        <v>1019</v>
      </c>
      <c r="D128" s="169">
        <v>45991.0</v>
      </c>
      <c r="E128" s="173" t="s">
        <v>1020</v>
      </c>
      <c r="F128" s="2" t="s">
        <v>1021</v>
      </c>
      <c r="G128" s="2" t="s">
        <v>368</v>
      </c>
      <c r="H128" s="2">
        <v>6700.0</v>
      </c>
      <c r="I128" s="2">
        <v>2.7120050019881E13</v>
      </c>
      <c r="J128" s="3">
        <v>3.0</v>
      </c>
      <c r="L128" s="2" t="s">
        <v>1022</v>
      </c>
      <c r="M128" s="174" t="s">
        <v>409</v>
      </c>
      <c r="N128" s="2" t="s">
        <v>462</v>
      </c>
      <c r="O128" s="3">
        <v>0.5</v>
      </c>
      <c r="P128" s="2" t="s">
        <v>363</v>
      </c>
      <c r="Q128" s="3">
        <v>2650.0</v>
      </c>
      <c r="T128" s="2" t="s">
        <v>463</v>
      </c>
      <c r="U128" s="171">
        <v>6700.0</v>
      </c>
      <c r="V128" s="172">
        <v>45996.0</v>
      </c>
      <c r="W128" s="3">
        <v>455.0</v>
      </c>
      <c r="X128" s="172">
        <v>45993.605219907404</v>
      </c>
      <c r="Y128" s="172"/>
      <c r="Z128" s="3">
        <v>45991.0</v>
      </c>
      <c r="AA128" s="3"/>
    </row>
    <row r="129">
      <c r="A129" s="3">
        <v>6.774373613827E12</v>
      </c>
      <c r="B129" s="2" t="s">
        <v>1023</v>
      </c>
      <c r="C129" s="2" t="s">
        <v>1024</v>
      </c>
      <c r="D129" s="169">
        <v>45991.0</v>
      </c>
      <c r="E129" s="2">
        <v>3.090002418E9</v>
      </c>
      <c r="F129" s="2" t="s">
        <v>1025</v>
      </c>
      <c r="G129" s="2" t="s">
        <v>688</v>
      </c>
      <c r="H129" s="2">
        <v>0.0</v>
      </c>
      <c r="I129" s="2">
        <v>2.512005001988E13</v>
      </c>
      <c r="J129" s="3">
        <v>0.0</v>
      </c>
      <c r="K129" s="2" t="s">
        <v>1026</v>
      </c>
      <c r="L129" s="2"/>
      <c r="M129" s="170" t="s">
        <v>455</v>
      </c>
      <c r="N129" s="2" t="s">
        <v>406</v>
      </c>
      <c r="O129" s="3">
        <v>0.5</v>
      </c>
      <c r="P129" s="2" t="s">
        <v>363</v>
      </c>
      <c r="Q129" s="3">
        <v>0.0</v>
      </c>
      <c r="T129" s="2" t="s">
        <v>456</v>
      </c>
      <c r="U129" s="171">
        <v>0.0</v>
      </c>
      <c r="V129" s="172">
        <v>46003.0</v>
      </c>
      <c r="W129" s="3">
        <v>220.0</v>
      </c>
      <c r="X129" s="172">
        <v>46000.757268518515</v>
      </c>
      <c r="Y129" s="172"/>
      <c r="Z129" s="3">
        <v>45991.0</v>
      </c>
      <c r="AA129" s="3"/>
    </row>
    <row r="130">
      <c r="A130" s="3">
        <v>6.774375383299E12</v>
      </c>
      <c r="B130" s="2" t="s">
        <v>1027</v>
      </c>
      <c r="C130" s="2" t="s">
        <v>1028</v>
      </c>
      <c r="D130" s="169">
        <v>45991.0</v>
      </c>
      <c r="E130" s="2">
        <v>3.322123893E9</v>
      </c>
      <c r="F130" s="2" t="s">
        <v>1029</v>
      </c>
      <c r="G130" s="2" t="s">
        <v>1030</v>
      </c>
      <c r="H130" s="2">
        <v>2694.0</v>
      </c>
      <c r="I130" s="2">
        <v>2.4120050019879E13</v>
      </c>
      <c r="J130" s="3">
        <v>1.0</v>
      </c>
      <c r="L130" s="2" t="s">
        <v>500</v>
      </c>
      <c r="M130" s="174" t="s">
        <v>409</v>
      </c>
      <c r="N130" s="2" t="s">
        <v>462</v>
      </c>
      <c r="O130" s="3">
        <v>0.5</v>
      </c>
      <c r="P130" s="2" t="s">
        <v>363</v>
      </c>
      <c r="Q130" s="3">
        <v>850.0</v>
      </c>
      <c r="T130" s="2" t="s">
        <v>486</v>
      </c>
      <c r="U130" s="171">
        <v>2694.0</v>
      </c>
      <c r="V130" s="172">
        <v>46000.0</v>
      </c>
      <c r="W130" s="3">
        <v>308.0</v>
      </c>
      <c r="X130" s="172">
        <v>45996.604374999995</v>
      </c>
      <c r="Y130" s="172"/>
      <c r="Z130" s="3">
        <v>45991.0</v>
      </c>
      <c r="AA130" s="3"/>
    </row>
    <row r="131">
      <c r="A131" s="3">
        <v>6.774466347267E12</v>
      </c>
      <c r="B131" s="2" t="s">
        <v>1031</v>
      </c>
      <c r="C131" s="2" t="s">
        <v>1032</v>
      </c>
      <c r="D131" s="169">
        <v>45991.0</v>
      </c>
      <c r="E131" s="2">
        <v>3.15194109E9</v>
      </c>
      <c r="F131" s="2" t="s">
        <v>1011</v>
      </c>
      <c r="G131" s="2" t="s">
        <v>1012</v>
      </c>
      <c r="H131" s="2">
        <v>5349.0</v>
      </c>
      <c r="I131" s="2">
        <v>2.0120050019897E13</v>
      </c>
      <c r="J131" s="3">
        <v>3.0</v>
      </c>
      <c r="K131" s="2" t="s">
        <v>241</v>
      </c>
      <c r="L131" s="2" t="s">
        <v>1033</v>
      </c>
      <c r="M131" s="174" t="s">
        <v>409</v>
      </c>
      <c r="N131" s="2" t="s">
        <v>462</v>
      </c>
      <c r="O131" s="3">
        <v>0.5</v>
      </c>
      <c r="P131" s="2" t="s">
        <v>363</v>
      </c>
      <c r="Q131" s="3">
        <v>1810.0</v>
      </c>
      <c r="T131" s="2" t="s">
        <v>486</v>
      </c>
      <c r="U131" s="171">
        <v>5349.0</v>
      </c>
      <c r="V131" s="172">
        <v>46000.0</v>
      </c>
      <c r="W131" s="3">
        <v>441.0</v>
      </c>
      <c r="X131" s="172">
        <v>45996.50505787037</v>
      </c>
      <c r="Y131" s="172"/>
      <c r="Z131" s="3">
        <v>45991.0</v>
      </c>
      <c r="AA131" s="3"/>
    </row>
    <row r="132">
      <c r="A132" s="3">
        <v>6.774583820547E12</v>
      </c>
      <c r="B132" s="2" t="s">
        <v>1034</v>
      </c>
      <c r="C132" s="2" t="s">
        <v>1035</v>
      </c>
      <c r="D132" s="169">
        <v>45991.0</v>
      </c>
      <c r="E132" s="2">
        <v>3.453309E9</v>
      </c>
      <c r="F132" s="2" t="s">
        <v>1036</v>
      </c>
      <c r="G132" s="2" t="s">
        <v>772</v>
      </c>
      <c r="H132" s="2">
        <v>4045.0</v>
      </c>
      <c r="I132" s="2">
        <v>2.5120050019878E13</v>
      </c>
      <c r="J132" s="3">
        <v>1.0</v>
      </c>
      <c r="L132" s="2" t="s">
        <v>608</v>
      </c>
      <c r="M132" s="174" t="s">
        <v>409</v>
      </c>
      <c r="N132" s="2" t="s">
        <v>462</v>
      </c>
      <c r="O132" s="3">
        <v>0.5</v>
      </c>
      <c r="P132" s="2" t="s">
        <v>363</v>
      </c>
      <c r="Q132" s="3">
        <v>1600.0</v>
      </c>
      <c r="T132" s="2" t="s">
        <v>463</v>
      </c>
      <c r="U132" s="171">
        <v>4045.0</v>
      </c>
      <c r="V132" s="172">
        <v>45996.0</v>
      </c>
      <c r="W132" s="3">
        <v>389.0</v>
      </c>
      <c r="X132" s="172">
        <v>45996.45443287037</v>
      </c>
      <c r="Y132" s="172"/>
      <c r="Z132" s="3">
        <v>45991.0</v>
      </c>
      <c r="AA132" s="3"/>
    </row>
    <row r="133">
      <c r="A133" s="3">
        <v>6.774586966275E12</v>
      </c>
      <c r="B133" s="2" t="s">
        <v>1037</v>
      </c>
      <c r="C133" s="2" t="s">
        <v>1038</v>
      </c>
      <c r="D133" s="169">
        <v>45991.0</v>
      </c>
      <c r="E133" s="2">
        <v>3.243320671E9</v>
      </c>
      <c r="F133" s="2" t="s">
        <v>1039</v>
      </c>
      <c r="G133" s="2" t="s">
        <v>493</v>
      </c>
      <c r="H133" s="2">
        <v>0.0</v>
      </c>
      <c r="I133" s="2">
        <v>2.2120050019877E13</v>
      </c>
      <c r="J133" s="3">
        <v>0.0</v>
      </c>
      <c r="K133" s="2" t="s">
        <v>1040</v>
      </c>
      <c r="L133" s="2"/>
      <c r="M133" s="170" t="s">
        <v>455</v>
      </c>
      <c r="N133" s="2" t="s">
        <v>406</v>
      </c>
      <c r="O133" s="3">
        <v>0.5</v>
      </c>
      <c r="P133" s="2" t="s">
        <v>363</v>
      </c>
      <c r="Q133" s="3">
        <v>0.0</v>
      </c>
      <c r="T133" s="2" t="s">
        <v>456</v>
      </c>
      <c r="U133" s="171">
        <v>0.0</v>
      </c>
      <c r="V133" s="172">
        <v>46003.0</v>
      </c>
      <c r="W133" s="3">
        <v>227.0</v>
      </c>
      <c r="X133" s="172">
        <v>46000.757268518515</v>
      </c>
      <c r="Y133" s="172"/>
      <c r="Z133" s="3">
        <v>45991.0</v>
      </c>
      <c r="AA133" s="3"/>
    </row>
    <row r="134">
      <c r="A134" s="3">
        <v>6.774623830275E12</v>
      </c>
      <c r="B134" s="2" t="s">
        <v>1041</v>
      </c>
      <c r="C134" s="2" t="s">
        <v>1042</v>
      </c>
      <c r="D134" s="169">
        <v>45991.0</v>
      </c>
      <c r="E134" s="2">
        <v>3.337448227E9</v>
      </c>
      <c r="F134" s="2" t="s">
        <v>1043</v>
      </c>
      <c r="G134" s="2" t="s">
        <v>1044</v>
      </c>
      <c r="H134" s="2">
        <v>2695.0</v>
      </c>
      <c r="I134" s="2">
        <v>2.5120050019953E13</v>
      </c>
      <c r="J134" s="3">
        <v>2.0</v>
      </c>
      <c r="L134" s="2" t="s">
        <v>926</v>
      </c>
      <c r="M134" s="174" t="s">
        <v>409</v>
      </c>
      <c r="N134" s="2" t="s">
        <v>462</v>
      </c>
      <c r="O134" s="3">
        <v>0.5</v>
      </c>
      <c r="P134" s="2" t="s">
        <v>363</v>
      </c>
      <c r="Q134" s="3">
        <v>980.0</v>
      </c>
      <c r="T134" s="2" t="s">
        <v>463</v>
      </c>
      <c r="U134" s="171">
        <v>2695.0</v>
      </c>
      <c r="V134" s="172">
        <v>45996.0</v>
      </c>
      <c r="W134" s="3">
        <v>328.0</v>
      </c>
      <c r="X134" s="172">
        <v>45995.54045138889</v>
      </c>
      <c r="Y134" s="172"/>
      <c r="Z134" s="3">
        <v>45991.0</v>
      </c>
      <c r="AA134" s="3"/>
    </row>
    <row r="135">
      <c r="A135" s="3">
        <v>6.774686384387E12</v>
      </c>
      <c r="B135" s="2" t="s">
        <v>1045</v>
      </c>
      <c r="C135" s="2" t="s">
        <v>1046</v>
      </c>
      <c r="D135" s="169">
        <v>45991.0</v>
      </c>
      <c r="E135" s="173" t="s">
        <v>1047</v>
      </c>
      <c r="F135" s="2" t="s">
        <v>1048</v>
      </c>
      <c r="G135" s="2" t="s">
        <v>1049</v>
      </c>
      <c r="H135" s="2">
        <v>0.0</v>
      </c>
      <c r="I135" s="2">
        <v>1.73008712046E11</v>
      </c>
      <c r="J135" s="3">
        <v>0.0</v>
      </c>
      <c r="K135" s="2" t="s">
        <v>1050</v>
      </c>
      <c r="L135" s="2"/>
      <c r="M135" s="170" t="s">
        <v>455</v>
      </c>
      <c r="N135" s="2" t="s">
        <v>406</v>
      </c>
      <c r="O135" s="3">
        <v>0.5</v>
      </c>
      <c r="P135" s="2" t="s">
        <v>501</v>
      </c>
      <c r="Q135" s="3">
        <v>0.0</v>
      </c>
      <c r="T135" s="2" t="s">
        <v>805</v>
      </c>
      <c r="U135" s="141"/>
      <c r="W135" s="3">
        <v>292.2</v>
      </c>
      <c r="X135" s="172">
        <v>46059.381902905094</v>
      </c>
      <c r="Y135" s="172"/>
      <c r="Z135" s="3">
        <v>45991.0</v>
      </c>
      <c r="AA135" s="3"/>
    </row>
    <row r="136">
      <c r="A136" s="3">
        <v>6.774717874435E12</v>
      </c>
      <c r="B136" s="2" t="s">
        <v>1051</v>
      </c>
      <c r="C136" s="2" t="s">
        <v>1052</v>
      </c>
      <c r="D136" s="169">
        <v>45991.0</v>
      </c>
      <c r="E136" s="173" t="s">
        <v>1053</v>
      </c>
      <c r="F136" s="2" t="s">
        <v>1054</v>
      </c>
      <c r="G136" s="2" t="s">
        <v>1055</v>
      </c>
      <c r="H136" s="2">
        <v>0.0</v>
      </c>
      <c r="I136" s="2">
        <v>2.1120050019909E13</v>
      </c>
      <c r="J136" s="3">
        <v>0.0</v>
      </c>
      <c r="K136" s="2" t="s">
        <v>1026</v>
      </c>
      <c r="L136" s="2"/>
      <c r="M136" s="170" t="s">
        <v>455</v>
      </c>
      <c r="N136" s="2" t="s">
        <v>406</v>
      </c>
      <c r="O136" s="3">
        <v>0.5</v>
      </c>
      <c r="P136" s="2" t="s">
        <v>73</v>
      </c>
      <c r="Q136" s="3">
        <v>0.0</v>
      </c>
      <c r="T136" s="2" t="s">
        <v>456</v>
      </c>
      <c r="U136" s="171">
        <v>0.0</v>
      </c>
      <c r="V136" s="172">
        <v>46003.0</v>
      </c>
      <c r="W136" s="3">
        <v>220.0</v>
      </c>
      <c r="X136" s="172">
        <v>46002.76991898148</v>
      </c>
      <c r="Y136" s="172"/>
      <c r="Z136" s="3">
        <v>45991.0</v>
      </c>
      <c r="AA136" s="3"/>
    </row>
    <row r="137">
      <c r="A137" s="3">
        <v>6.774725738755E12</v>
      </c>
      <c r="B137" s="2" t="s">
        <v>1056</v>
      </c>
      <c r="C137" s="2" t="s">
        <v>1057</v>
      </c>
      <c r="D137" s="169">
        <v>45991.0</v>
      </c>
      <c r="E137" s="2">
        <v>3.011192727E9</v>
      </c>
      <c r="F137" s="2" t="s">
        <v>1058</v>
      </c>
      <c r="G137" s="2" t="s">
        <v>1059</v>
      </c>
      <c r="H137" s="2">
        <v>195.0</v>
      </c>
      <c r="I137" s="2">
        <v>2.6120050019876E13</v>
      </c>
      <c r="J137" s="3">
        <v>0.0</v>
      </c>
      <c r="L137" s="2"/>
      <c r="M137" s="174" t="s">
        <v>409</v>
      </c>
      <c r="N137" s="2" t="s">
        <v>462</v>
      </c>
      <c r="O137" s="3">
        <v>0.5</v>
      </c>
      <c r="P137" s="2" t="s">
        <v>363</v>
      </c>
      <c r="Q137" s="3">
        <v>0.0</v>
      </c>
      <c r="T137" s="2" t="s">
        <v>463</v>
      </c>
      <c r="U137" s="171">
        <v>2694.0</v>
      </c>
      <c r="V137" s="172">
        <v>45996.0</v>
      </c>
      <c r="W137" s="3">
        <v>335.0</v>
      </c>
      <c r="X137" s="172">
        <v>45994.70856481481</v>
      </c>
      <c r="Y137" s="172"/>
      <c r="Z137" s="3">
        <v>45991.0</v>
      </c>
      <c r="AA137" s="3"/>
    </row>
    <row r="138">
      <c r="A138" s="3">
        <v>6.774730719491E12</v>
      </c>
      <c r="B138" s="2" t="s">
        <v>1060</v>
      </c>
      <c r="C138" s="2" t="s">
        <v>1061</v>
      </c>
      <c r="D138" s="169">
        <v>45991.0</v>
      </c>
      <c r="E138" s="2">
        <v>3.214340111E9</v>
      </c>
      <c r="F138" s="2" t="s">
        <v>1062</v>
      </c>
      <c r="G138" s="2" t="s">
        <v>368</v>
      </c>
      <c r="H138" s="2">
        <v>2694.0</v>
      </c>
      <c r="I138" s="2">
        <v>2.2120050019875E13</v>
      </c>
      <c r="J138" s="3">
        <v>1.0</v>
      </c>
      <c r="L138" s="2" t="s">
        <v>519</v>
      </c>
      <c r="M138" s="174" t="s">
        <v>409</v>
      </c>
      <c r="N138" s="2" t="s">
        <v>462</v>
      </c>
      <c r="O138" s="3">
        <v>0.5</v>
      </c>
      <c r="P138" s="2" t="s">
        <v>363</v>
      </c>
      <c r="Q138" s="3">
        <v>850.0</v>
      </c>
      <c r="T138" s="2" t="s">
        <v>463</v>
      </c>
      <c r="U138" s="171">
        <v>2694.0</v>
      </c>
      <c r="V138" s="172">
        <v>45996.0</v>
      </c>
      <c r="W138" s="3">
        <v>228.0</v>
      </c>
      <c r="X138" s="172">
        <v>45993.64675925926</v>
      </c>
      <c r="Y138" s="172"/>
      <c r="Z138" s="3">
        <v>45991.0</v>
      </c>
      <c r="AA138" s="3"/>
    </row>
    <row r="139">
      <c r="A139" s="3">
        <v>6.774732423427E12</v>
      </c>
      <c r="B139" s="2" t="s">
        <v>1063</v>
      </c>
      <c r="C139" s="2" t="s">
        <v>1064</v>
      </c>
      <c r="D139" s="169">
        <v>45991.0</v>
      </c>
      <c r="E139" s="173" t="s">
        <v>1065</v>
      </c>
      <c r="F139" s="2" t="s">
        <v>1066</v>
      </c>
      <c r="G139" s="2" t="s">
        <v>1067</v>
      </c>
      <c r="H139" s="2">
        <v>4595.0</v>
      </c>
      <c r="I139" s="2">
        <v>2.4120050019981E13</v>
      </c>
      <c r="J139" s="3">
        <v>2.0</v>
      </c>
      <c r="L139" s="2" t="s">
        <v>479</v>
      </c>
      <c r="M139" s="174" t="s">
        <v>409</v>
      </c>
      <c r="N139" s="2" t="s">
        <v>462</v>
      </c>
      <c r="O139" s="3">
        <v>0.5</v>
      </c>
      <c r="P139" s="2" t="s">
        <v>363</v>
      </c>
      <c r="Q139" s="3">
        <v>1700.0</v>
      </c>
      <c r="T139" s="2" t="s">
        <v>486</v>
      </c>
      <c r="U139" s="171">
        <v>4595.0</v>
      </c>
      <c r="V139" s="172">
        <v>46000.0</v>
      </c>
      <c r="W139" s="3">
        <v>411.0</v>
      </c>
      <c r="X139" s="172">
        <v>45996.748819444445</v>
      </c>
      <c r="Y139" s="172"/>
      <c r="Z139" s="3">
        <v>45991.0</v>
      </c>
      <c r="AA139" s="3"/>
    </row>
    <row r="140">
      <c r="A140" s="3">
        <v>6.774733963523E12</v>
      </c>
      <c r="B140" s="2" t="s">
        <v>1068</v>
      </c>
      <c r="C140" s="2" t="s">
        <v>1064</v>
      </c>
      <c r="D140" s="169">
        <v>45991.0</v>
      </c>
      <c r="E140" s="173" t="s">
        <v>1065</v>
      </c>
      <c r="F140" s="2" t="s">
        <v>1069</v>
      </c>
      <c r="G140" s="2">
        <v>10250.0</v>
      </c>
      <c r="H140" s="2">
        <v>0.0</v>
      </c>
      <c r="J140" s="3">
        <v>0.0</v>
      </c>
      <c r="K140" s="2" t="s">
        <v>760</v>
      </c>
      <c r="L140" s="2"/>
      <c r="M140" s="2" t="s">
        <v>468</v>
      </c>
      <c r="N140" s="2" t="s">
        <v>406</v>
      </c>
      <c r="O140" s="3">
        <v>0.5</v>
      </c>
      <c r="Q140" s="3">
        <v>0.0</v>
      </c>
      <c r="U140" s="141"/>
      <c r="X140" s="172">
        <v>46057.64278263889</v>
      </c>
      <c r="Y140" s="172"/>
      <c r="Z140" s="3">
        <v>45991.0</v>
      </c>
      <c r="AA140" s="3"/>
    </row>
    <row r="141">
      <c r="A141" s="3">
        <v>6.774735929603E12</v>
      </c>
      <c r="B141" s="2" t="s">
        <v>1070</v>
      </c>
      <c r="C141" s="2" t="s">
        <v>1071</v>
      </c>
      <c r="D141" s="169">
        <v>45991.0</v>
      </c>
      <c r="E141" s="173" t="s">
        <v>1072</v>
      </c>
      <c r="F141" s="2" t="s">
        <v>1073</v>
      </c>
      <c r="G141" s="2" t="s">
        <v>368</v>
      </c>
      <c r="H141" s="2">
        <v>2694.0</v>
      </c>
      <c r="I141" s="2">
        <v>2.6120050019874E13</v>
      </c>
      <c r="J141" s="3">
        <v>1.0</v>
      </c>
      <c r="L141" s="2" t="s">
        <v>500</v>
      </c>
      <c r="M141" s="174" t="s">
        <v>409</v>
      </c>
      <c r="N141" s="2" t="s">
        <v>462</v>
      </c>
      <c r="O141" s="3">
        <v>0.5</v>
      </c>
      <c r="P141" s="2" t="s">
        <v>363</v>
      </c>
      <c r="Q141" s="3">
        <v>850.0</v>
      </c>
      <c r="T141" s="2" t="s">
        <v>463</v>
      </c>
      <c r="U141" s="171">
        <v>2694.0</v>
      </c>
      <c r="V141" s="172">
        <v>45996.0</v>
      </c>
      <c r="W141" s="3">
        <v>214.0</v>
      </c>
      <c r="X141" s="172">
        <v>45995.70438657407</v>
      </c>
      <c r="Y141" s="172"/>
      <c r="Z141" s="3">
        <v>45991.0</v>
      </c>
      <c r="AA141" s="3"/>
    </row>
    <row r="142">
      <c r="A142" s="3">
        <v>6.774740254979E12</v>
      </c>
      <c r="B142" s="2" t="s">
        <v>1074</v>
      </c>
      <c r="C142" s="2" t="s">
        <v>1075</v>
      </c>
      <c r="D142" s="169">
        <v>45991.0</v>
      </c>
      <c r="E142" s="2">
        <v>3.112969838E9</v>
      </c>
      <c r="F142" s="2" t="s">
        <v>1076</v>
      </c>
      <c r="G142" s="2" t="s">
        <v>855</v>
      </c>
      <c r="H142" s="2">
        <v>0.0</v>
      </c>
      <c r="I142" s="2">
        <v>2.6120050019908E13</v>
      </c>
      <c r="J142" s="3">
        <v>0.0</v>
      </c>
      <c r="K142" s="2" t="s">
        <v>1026</v>
      </c>
      <c r="L142" s="2"/>
      <c r="M142" s="170" t="s">
        <v>455</v>
      </c>
      <c r="N142" s="2" t="s">
        <v>406</v>
      </c>
      <c r="O142" s="3">
        <v>0.5</v>
      </c>
      <c r="P142" s="2" t="s">
        <v>363</v>
      </c>
      <c r="Q142" s="3">
        <v>0.0</v>
      </c>
      <c r="T142" s="2" t="s">
        <v>456</v>
      </c>
      <c r="U142" s="171">
        <v>0.0</v>
      </c>
      <c r="V142" s="172">
        <v>46003.0</v>
      </c>
      <c r="W142" s="3">
        <v>220.0</v>
      </c>
      <c r="X142" s="172">
        <v>46000.757268518515</v>
      </c>
      <c r="Y142" s="172"/>
      <c r="Z142" s="3">
        <v>45991.0</v>
      </c>
      <c r="AA142" s="3"/>
    </row>
    <row r="143">
      <c r="A143" s="3">
        <v>6.774740648195E12</v>
      </c>
      <c r="B143" s="2" t="s">
        <v>1077</v>
      </c>
      <c r="C143" s="2" t="s">
        <v>1078</v>
      </c>
      <c r="D143" s="169">
        <v>45991.0</v>
      </c>
      <c r="E143" s="2">
        <v>3.219294444E9</v>
      </c>
      <c r="F143" s="2" t="s">
        <v>1079</v>
      </c>
      <c r="G143" s="2" t="s">
        <v>693</v>
      </c>
      <c r="H143" s="2">
        <v>2695.0</v>
      </c>
      <c r="I143" s="2">
        <v>2.1120050019873E13</v>
      </c>
      <c r="J143" s="3">
        <v>2.0</v>
      </c>
      <c r="L143" s="2" t="s">
        <v>16</v>
      </c>
      <c r="M143" s="174" t="s">
        <v>409</v>
      </c>
      <c r="N143" s="2" t="s">
        <v>462</v>
      </c>
      <c r="O143" s="3">
        <v>0.5</v>
      </c>
      <c r="P143" s="2" t="s">
        <v>73</v>
      </c>
      <c r="Q143" s="3">
        <v>980.0</v>
      </c>
      <c r="T143" s="2" t="s">
        <v>463</v>
      </c>
      <c r="U143" s="171">
        <v>2695.0</v>
      </c>
      <c r="V143" s="172">
        <v>45996.0</v>
      </c>
      <c r="W143" s="3">
        <v>321.0</v>
      </c>
      <c r="X143" s="172">
        <v>45994.627291666664</v>
      </c>
      <c r="Y143" s="172"/>
      <c r="Z143" s="3">
        <v>45991.0</v>
      </c>
      <c r="AA143" s="3"/>
    </row>
    <row r="144">
      <c r="A144" s="3">
        <v>6.774760472835E12</v>
      </c>
      <c r="B144" s="2" t="s">
        <v>1080</v>
      </c>
      <c r="C144" s="2" t="s">
        <v>1081</v>
      </c>
      <c r="D144" s="169">
        <v>45991.0</v>
      </c>
      <c r="E144" s="2">
        <v>3.440134721E9</v>
      </c>
      <c r="F144" s="2" t="s">
        <v>1082</v>
      </c>
      <c r="G144" s="2" t="s">
        <v>1083</v>
      </c>
      <c r="H144" s="2">
        <v>2694.0</v>
      </c>
      <c r="I144" s="2">
        <v>2.1120050019872E13</v>
      </c>
      <c r="J144" s="3">
        <v>1.0</v>
      </c>
      <c r="L144" s="2" t="s">
        <v>500</v>
      </c>
      <c r="M144" s="174" t="s">
        <v>409</v>
      </c>
      <c r="N144" s="2" t="s">
        <v>462</v>
      </c>
      <c r="O144" s="3">
        <v>0.5</v>
      </c>
      <c r="P144" s="2" t="s">
        <v>73</v>
      </c>
      <c r="Q144" s="3">
        <v>850.0</v>
      </c>
      <c r="T144" s="2" t="s">
        <v>486</v>
      </c>
      <c r="U144" s="171">
        <v>2694.0</v>
      </c>
      <c r="V144" s="172">
        <v>46000.0</v>
      </c>
      <c r="W144" s="3">
        <v>308.0</v>
      </c>
      <c r="X144" s="172">
        <v>45996.64053240741</v>
      </c>
      <c r="Y144" s="172"/>
      <c r="Z144" s="3">
        <v>45991.0</v>
      </c>
      <c r="AA144" s="3"/>
    </row>
    <row r="145">
      <c r="A145" s="3">
        <v>6.774824239363E12</v>
      </c>
      <c r="B145" s="2" t="s">
        <v>1084</v>
      </c>
      <c r="C145" s="2" t="s">
        <v>1085</v>
      </c>
      <c r="D145" s="169">
        <v>45991.0</v>
      </c>
      <c r="E145" s="2">
        <v>3.0090911E9</v>
      </c>
      <c r="F145" s="2" t="s">
        <v>1086</v>
      </c>
      <c r="G145" s="2" t="s">
        <v>1087</v>
      </c>
      <c r="H145" s="2">
        <v>2694.0</v>
      </c>
      <c r="I145" s="2">
        <v>2.8120050019871E13</v>
      </c>
      <c r="J145" s="3">
        <v>1.0</v>
      </c>
      <c r="L145" s="2" t="s">
        <v>519</v>
      </c>
      <c r="M145" s="174" t="s">
        <v>409</v>
      </c>
      <c r="N145" s="2" t="s">
        <v>462</v>
      </c>
      <c r="O145" s="3">
        <v>0.5</v>
      </c>
      <c r="P145" s="2" t="s">
        <v>73</v>
      </c>
      <c r="Q145" s="3">
        <v>850.0</v>
      </c>
      <c r="T145" s="2" t="s">
        <v>463</v>
      </c>
      <c r="U145" s="171">
        <v>2694.0</v>
      </c>
      <c r="V145" s="172">
        <v>45996.0</v>
      </c>
      <c r="W145" s="3">
        <v>321.0</v>
      </c>
      <c r="X145" s="172">
        <v>45994.50853009259</v>
      </c>
      <c r="Y145" s="172"/>
      <c r="Z145" s="3">
        <v>45991.0</v>
      </c>
      <c r="AA145" s="3"/>
    </row>
    <row r="146">
      <c r="A146" s="3">
        <v>6.774836723971E12</v>
      </c>
      <c r="B146" s="2" t="s">
        <v>1088</v>
      </c>
      <c r="C146" s="2" t="s">
        <v>1089</v>
      </c>
      <c r="D146" s="169">
        <v>45991.0</v>
      </c>
      <c r="E146" s="2">
        <v>3.336447433E9</v>
      </c>
      <c r="F146" s="2" t="s">
        <v>1090</v>
      </c>
      <c r="G146" s="2" t="s">
        <v>368</v>
      </c>
      <c r="H146" s="2">
        <v>2695.0</v>
      </c>
      <c r="I146" s="2">
        <v>2.312005001987E13</v>
      </c>
      <c r="J146" s="3">
        <v>2.0</v>
      </c>
      <c r="L146" s="2" t="s">
        <v>35</v>
      </c>
      <c r="M146" s="174" t="s">
        <v>409</v>
      </c>
      <c r="N146" s="2" t="s">
        <v>462</v>
      </c>
      <c r="O146" s="3">
        <v>0.5</v>
      </c>
      <c r="P146" s="2" t="s">
        <v>363</v>
      </c>
      <c r="Q146" s="3">
        <v>980.0</v>
      </c>
      <c r="T146" s="2" t="s">
        <v>463</v>
      </c>
      <c r="U146" s="171">
        <v>2695.0</v>
      </c>
      <c r="V146" s="172">
        <v>45996.0</v>
      </c>
      <c r="W146" s="3">
        <v>215.0</v>
      </c>
      <c r="X146" s="172">
        <v>45993.66207175926</v>
      </c>
      <c r="Y146" s="172"/>
      <c r="Z146" s="3">
        <v>45991.0</v>
      </c>
      <c r="AA146" s="3"/>
    </row>
    <row r="147">
      <c r="A147" s="3">
        <v>6.774918775043E12</v>
      </c>
      <c r="B147" s="2" t="s">
        <v>1091</v>
      </c>
      <c r="C147" s="2" t="s">
        <v>1092</v>
      </c>
      <c r="D147" s="169">
        <v>45991.0</v>
      </c>
      <c r="E147" s="2">
        <v>3.554266097E9</v>
      </c>
      <c r="F147" s="2" t="s">
        <v>1093</v>
      </c>
      <c r="G147" s="2" t="s">
        <v>506</v>
      </c>
      <c r="H147" s="2">
        <v>2694.0</v>
      </c>
      <c r="I147" s="2">
        <v>2.6120050019869E13</v>
      </c>
      <c r="J147" s="3">
        <v>1.0</v>
      </c>
      <c r="L147" s="2" t="s">
        <v>519</v>
      </c>
      <c r="M147" s="174" t="s">
        <v>409</v>
      </c>
      <c r="N147" s="2" t="s">
        <v>462</v>
      </c>
      <c r="O147" s="3">
        <v>0.5</v>
      </c>
      <c r="P147" s="2" t="s">
        <v>363</v>
      </c>
      <c r="Q147" s="3">
        <v>850.0</v>
      </c>
      <c r="T147" s="2" t="s">
        <v>463</v>
      </c>
      <c r="U147" s="171">
        <v>2694.0</v>
      </c>
      <c r="V147" s="172">
        <v>45996.0</v>
      </c>
      <c r="W147" s="3">
        <v>328.0</v>
      </c>
      <c r="X147" s="172">
        <v>45994.63983796297</v>
      </c>
      <c r="Y147" s="172"/>
      <c r="Z147" s="3">
        <v>45991.0</v>
      </c>
      <c r="AA147" s="3"/>
    </row>
    <row r="148">
      <c r="A148" s="3">
        <v>6.774923395331E12</v>
      </c>
      <c r="B148" s="2" t="s">
        <v>1094</v>
      </c>
      <c r="C148" s="2" t="s">
        <v>1095</v>
      </c>
      <c r="D148" s="169">
        <v>45991.0</v>
      </c>
      <c r="E148" s="2">
        <v>3.028555432E9</v>
      </c>
      <c r="F148" s="2" t="s">
        <v>1096</v>
      </c>
      <c r="G148" s="2" t="s">
        <v>366</v>
      </c>
      <c r="H148" s="2">
        <v>2694.0</v>
      </c>
      <c r="I148" s="2">
        <v>2.5120050019868E13</v>
      </c>
      <c r="J148" s="3">
        <v>1.0</v>
      </c>
      <c r="L148" s="2" t="s">
        <v>1097</v>
      </c>
      <c r="M148" s="174" t="s">
        <v>409</v>
      </c>
      <c r="N148" s="2" t="s">
        <v>462</v>
      </c>
      <c r="O148" s="3">
        <v>0.5</v>
      </c>
      <c r="P148" s="2" t="s">
        <v>363</v>
      </c>
      <c r="Q148" s="3">
        <v>1100.0</v>
      </c>
      <c r="T148" s="2" t="s">
        <v>486</v>
      </c>
      <c r="U148" s="171">
        <v>2694.0</v>
      </c>
      <c r="V148" s="172">
        <v>46000.0</v>
      </c>
      <c r="W148" s="3">
        <v>308.0</v>
      </c>
      <c r="X148" s="172">
        <v>45996.61829861111</v>
      </c>
      <c r="Y148" s="172"/>
      <c r="Z148" s="3">
        <v>45991.0</v>
      </c>
      <c r="AA148" s="3"/>
    </row>
    <row r="149">
      <c r="A149" s="3">
        <v>6.775010951427E12</v>
      </c>
      <c r="B149" s="2" t="s">
        <v>1098</v>
      </c>
      <c r="C149" s="2" t="s">
        <v>1099</v>
      </c>
      <c r="D149" s="169">
        <v>45991.0</v>
      </c>
      <c r="E149" s="2">
        <v>3.006303708E9</v>
      </c>
      <c r="F149" s="2" t="s">
        <v>1100</v>
      </c>
      <c r="G149" s="2" t="s">
        <v>1101</v>
      </c>
      <c r="H149" s="2">
        <v>0.0</v>
      </c>
      <c r="J149" s="3">
        <v>0.0</v>
      </c>
      <c r="K149" s="2" t="s">
        <v>537</v>
      </c>
      <c r="L149" s="2"/>
      <c r="M149" s="2" t="s">
        <v>468</v>
      </c>
      <c r="N149" s="2" t="s">
        <v>406</v>
      </c>
      <c r="O149" s="3">
        <v>0.5</v>
      </c>
      <c r="Q149" s="3">
        <v>0.0</v>
      </c>
      <c r="U149" s="141"/>
      <c r="X149" s="172">
        <v>46057.64278263889</v>
      </c>
      <c r="Y149" s="172"/>
      <c r="Z149" s="3">
        <v>45991.0</v>
      </c>
      <c r="AA149" s="3"/>
    </row>
    <row r="150">
      <c r="A150" s="3">
        <v>6.775025205507E12</v>
      </c>
      <c r="B150" s="2" t="s">
        <v>1102</v>
      </c>
      <c r="C150" s="2" t="s">
        <v>1103</v>
      </c>
      <c r="D150" s="169">
        <v>45991.0</v>
      </c>
      <c r="E150" s="2">
        <v>3.40925192E9</v>
      </c>
      <c r="F150" s="2" t="s">
        <v>1104</v>
      </c>
      <c r="G150" s="2" t="s">
        <v>1105</v>
      </c>
      <c r="H150" s="2">
        <v>0.0</v>
      </c>
      <c r="I150" s="2">
        <v>1.73008712472E11</v>
      </c>
      <c r="J150" s="3">
        <v>0.0</v>
      </c>
      <c r="K150" s="2" t="s">
        <v>1106</v>
      </c>
      <c r="L150" s="2"/>
      <c r="M150" s="170" t="s">
        <v>455</v>
      </c>
      <c r="N150" s="2" t="s">
        <v>406</v>
      </c>
      <c r="O150" s="3">
        <v>0.5</v>
      </c>
      <c r="P150" s="2" t="s">
        <v>501</v>
      </c>
      <c r="Q150" s="3">
        <v>0.0</v>
      </c>
      <c r="T150" s="2" t="s">
        <v>805</v>
      </c>
      <c r="U150" s="141"/>
      <c r="W150" s="3">
        <v>292.2</v>
      </c>
      <c r="X150" s="172">
        <v>46059.3819162963</v>
      </c>
      <c r="Y150" s="172"/>
      <c r="Z150" s="3">
        <v>45991.0</v>
      </c>
      <c r="AA150" s="3"/>
    </row>
    <row r="151">
      <c r="A151" s="3">
        <v>6.775078093059E12</v>
      </c>
      <c r="B151" s="2" t="s">
        <v>1107</v>
      </c>
      <c r="C151" s="2" t="s">
        <v>1108</v>
      </c>
      <c r="D151" s="169">
        <v>45991.0</v>
      </c>
      <c r="E151" s="173" t="s">
        <v>1109</v>
      </c>
      <c r="F151" s="2" t="s">
        <v>1110</v>
      </c>
      <c r="G151" s="2" t="s">
        <v>1111</v>
      </c>
      <c r="H151" s="2">
        <v>0.0</v>
      </c>
      <c r="I151" s="2">
        <v>2.5120050019982E13</v>
      </c>
      <c r="J151" s="3">
        <v>0.0</v>
      </c>
      <c r="K151" s="2" t="s">
        <v>1112</v>
      </c>
      <c r="L151" s="2"/>
      <c r="M151" s="170" t="s">
        <v>455</v>
      </c>
      <c r="N151" s="2" t="s">
        <v>406</v>
      </c>
      <c r="O151" s="3">
        <v>0.5</v>
      </c>
      <c r="P151" s="2" t="s">
        <v>363</v>
      </c>
      <c r="Q151" s="3">
        <v>0.0</v>
      </c>
      <c r="T151" s="2" t="s">
        <v>456</v>
      </c>
      <c r="U151" s="171">
        <v>0.0</v>
      </c>
      <c r="V151" s="172">
        <v>46003.0</v>
      </c>
      <c r="W151" s="3">
        <v>220.0</v>
      </c>
      <c r="X151" s="172">
        <v>46001.77050925926</v>
      </c>
      <c r="Y151" s="172"/>
      <c r="Z151" s="3">
        <v>45991.0</v>
      </c>
      <c r="AA151" s="3"/>
    </row>
    <row r="152">
      <c r="A152" s="3">
        <v>6.775109746947E12</v>
      </c>
      <c r="B152" s="2" t="s">
        <v>1113</v>
      </c>
      <c r="C152" s="2" t="s">
        <v>1114</v>
      </c>
      <c r="D152" s="169">
        <v>45991.0</v>
      </c>
      <c r="E152" s="2">
        <v>3.017495458E9</v>
      </c>
      <c r="F152" s="2" t="s">
        <v>1115</v>
      </c>
      <c r="G152" s="2" t="s">
        <v>374</v>
      </c>
      <c r="H152" s="2">
        <v>3695.0</v>
      </c>
      <c r="I152" s="2">
        <v>2.1120050019867E13</v>
      </c>
      <c r="J152" s="3">
        <v>2.0</v>
      </c>
      <c r="L152" s="2" t="s">
        <v>1116</v>
      </c>
      <c r="M152" s="174" t="s">
        <v>409</v>
      </c>
      <c r="N152" s="2" t="s">
        <v>462</v>
      </c>
      <c r="O152" s="3">
        <v>0.5</v>
      </c>
      <c r="P152" s="2" t="s">
        <v>73</v>
      </c>
      <c r="Q152" s="3">
        <v>960.0</v>
      </c>
      <c r="T152" s="2" t="s">
        <v>463</v>
      </c>
      <c r="U152" s="171">
        <v>3695.0</v>
      </c>
      <c r="V152" s="172">
        <v>45996.0</v>
      </c>
      <c r="W152" s="3">
        <v>348.0</v>
      </c>
      <c r="X152" s="172">
        <v>45995.65798611111</v>
      </c>
      <c r="Y152" s="172"/>
      <c r="Z152" s="3">
        <v>45991.0</v>
      </c>
      <c r="AA152" s="3"/>
    </row>
    <row r="153">
      <c r="A153" s="3">
        <v>6.775150608643E12</v>
      </c>
      <c r="B153" s="2" t="s">
        <v>1117</v>
      </c>
      <c r="C153" s="2" t="s">
        <v>1118</v>
      </c>
      <c r="D153" s="169">
        <v>45991.0</v>
      </c>
      <c r="E153" s="2">
        <v>3.002373444E9</v>
      </c>
      <c r="F153" s="2" t="s">
        <v>1119</v>
      </c>
      <c r="G153" s="2" t="s">
        <v>493</v>
      </c>
      <c r="H153" s="2">
        <v>0.0</v>
      </c>
      <c r="I153" s="2">
        <v>2.2120050019866E13</v>
      </c>
      <c r="J153" s="3">
        <v>0.0</v>
      </c>
      <c r="K153" s="2" t="s">
        <v>1120</v>
      </c>
      <c r="L153" s="2"/>
      <c r="M153" s="170" t="s">
        <v>455</v>
      </c>
      <c r="N153" s="2" t="s">
        <v>406</v>
      </c>
      <c r="O153" s="3">
        <v>0.5</v>
      </c>
      <c r="P153" s="2" t="s">
        <v>363</v>
      </c>
      <c r="Q153" s="3">
        <v>0.0</v>
      </c>
      <c r="T153" s="2" t="s">
        <v>599</v>
      </c>
      <c r="U153" s="171">
        <v>0.0</v>
      </c>
      <c r="V153" s="172">
        <v>46010.0</v>
      </c>
      <c r="W153" s="3">
        <v>320.0</v>
      </c>
      <c r="X153" s="172">
        <v>46007.842824074076</v>
      </c>
      <c r="Y153" s="172"/>
      <c r="Z153" s="3">
        <v>45991.0</v>
      </c>
      <c r="AA153" s="3"/>
    </row>
    <row r="154">
      <c r="A154" s="3">
        <v>6.775234199811E12</v>
      </c>
      <c r="B154" s="2" t="s">
        <v>1121</v>
      </c>
      <c r="C154" s="2" t="s">
        <v>1122</v>
      </c>
      <c r="D154" s="169">
        <v>45991.0</v>
      </c>
      <c r="E154" s="2">
        <v>3.3637556E9</v>
      </c>
      <c r="F154" s="2" t="s">
        <v>1123</v>
      </c>
      <c r="G154" s="2" t="s">
        <v>527</v>
      </c>
      <c r="H154" s="2">
        <v>6000.0</v>
      </c>
      <c r="I154" s="2">
        <v>2.7120050019865E13</v>
      </c>
      <c r="J154" s="3">
        <v>4.0</v>
      </c>
      <c r="L154" s="2" t="s">
        <v>1124</v>
      </c>
      <c r="M154" s="174" t="s">
        <v>409</v>
      </c>
      <c r="N154" s="2" t="s">
        <v>462</v>
      </c>
      <c r="O154" s="3">
        <v>0.5</v>
      </c>
      <c r="P154" s="2" t="s">
        <v>363</v>
      </c>
      <c r="Q154" s="3">
        <v>3180.0</v>
      </c>
      <c r="T154" s="2" t="s">
        <v>463</v>
      </c>
      <c r="U154" s="171">
        <v>6000.0</v>
      </c>
      <c r="V154" s="172">
        <v>45996.0</v>
      </c>
      <c r="W154" s="3">
        <v>460.0</v>
      </c>
      <c r="X154" s="172">
        <v>45995.72886574074</v>
      </c>
      <c r="Y154" s="172"/>
      <c r="Z154" s="3">
        <v>45991.0</v>
      </c>
      <c r="AA154" s="3"/>
    </row>
    <row r="155">
      <c r="A155" s="3">
        <v>6.775240098051E12</v>
      </c>
      <c r="B155" s="2" t="s">
        <v>1125</v>
      </c>
      <c r="C155" s="2" t="s">
        <v>1126</v>
      </c>
      <c r="D155" s="169">
        <v>45991.0</v>
      </c>
      <c r="E155" s="2">
        <v>3.441809041E9</v>
      </c>
      <c r="F155" s="2" t="s">
        <v>1127</v>
      </c>
      <c r="G155" s="2" t="s">
        <v>1128</v>
      </c>
      <c r="H155" s="2">
        <v>3045.0</v>
      </c>
      <c r="I155" s="2">
        <v>2.5120050019864E13</v>
      </c>
      <c r="J155" s="3">
        <v>2.0</v>
      </c>
      <c r="L155" s="2" t="s">
        <v>1129</v>
      </c>
      <c r="M155" s="174" t="s">
        <v>409</v>
      </c>
      <c r="N155" s="2" t="s">
        <v>462</v>
      </c>
      <c r="O155" s="3">
        <v>0.5</v>
      </c>
      <c r="P155" s="2" t="s">
        <v>363</v>
      </c>
      <c r="Q155" s="3">
        <v>960.0</v>
      </c>
      <c r="T155" s="2" t="s">
        <v>463</v>
      </c>
      <c r="U155" s="171">
        <v>3045.0</v>
      </c>
      <c r="V155" s="172">
        <v>45996.0</v>
      </c>
      <c r="W155" s="3">
        <v>335.0</v>
      </c>
      <c r="X155" s="172">
        <v>45995.87939814814</v>
      </c>
      <c r="Y155" s="172"/>
      <c r="Z155" s="3">
        <v>45991.0</v>
      </c>
      <c r="AA155" s="3"/>
    </row>
    <row r="156">
      <c r="A156" s="3">
        <v>6.775258513667E12</v>
      </c>
      <c r="B156" s="2" t="s">
        <v>1130</v>
      </c>
      <c r="C156" s="2" t="s">
        <v>1131</v>
      </c>
      <c r="D156" s="169">
        <v>45991.0</v>
      </c>
      <c r="E156" s="2">
        <v>3.171913201E9</v>
      </c>
      <c r="F156" s="2" t="s">
        <v>1132</v>
      </c>
      <c r="G156" s="2" t="s">
        <v>1133</v>
      </c>
      <c r="H156" s="2">
        <v>0.0</v>
      </c>
      <c r="I156" s="2">
        <v>2.6120050019863E13</v>
      </c>
      <c r="J156" s="3">
        <v>0.0</v>
      </c>
      <c r="K156" s="2" t="s">
        <v>1134</v>
      </c>
      <c r="L156" s="2"/>
      <c r="M156" s="170" t="s">
        <v>455</v>
      </c>
      <c r="N156" s="2" t="s">
        <v>406</v>
      </c>
      <c r="O156" s="3">
        <v>0.5</v>
      </c>
      <c r="P156" s="2" t="s">
        <v>363</v>
      </c>
      <c r="Q156" s="3">
        <v>0.0</v>
      </c>
      <c r="T156" s="2" t="s">
        <v>456</v>
      </c>
      <c r="U156" s="171">
        <v>0.0</v>
      </c>
      <c r="V156" s="172">
        <v>46003.0</v>
      </c>
      <c r="W156" s="3">
        <v>213.0</v>
      </c>
      <c r="X156" s="172">
        <v>46000.757268518515</v>
      </c>
      <c r="Y156" s="172"/>
      <c r="Z156" s="3">
        <v>45991.0</v>
      </c>
      <c r="AA156" s="3"/>
    </row>
    <row r="157">
      <c r="A157" s="3">
        <v>6.775275487491E12</v>
      </c>
      <c r="B157" s="2" t="s">
        <v>1135</v>
      </c>
      <c r="C157" s="2" t="s">
        <v>1064</v>
      </c>
      <c r="D157" s="169">
        <v>45991.0</v>
      </c>
      <c r="E157" s="173" t="s">
        <v>1065</v>
      </c>
      <c r="F157" s="2" t="s">
        <v>1069</v>
      </c>
      <c r="G157" s="2">
        <v>10250.0</v>
      </c>
      <c r="H157" s="2">
        <v>0.0</v>
      </c>
      <c r="J157" s="3">
        <v>0.0</v>
      </c>
      <c r="K157" s="2" t="s">
        <v>571</v>
      </c>
      <c r="L157" s="2"/>
      <c r="M157" s="2" t="s">
        <v>468</v>
      </c>
      <c r="N157" s="2" t="s">
        <v>406</v>
      </c>
      <c r="O157" s="3">
        <v>0.5</v>
      </c>
      <c r="Q157" s="3">
        <v>0.0</v>
      </c>
      <c r="U157" s="141"/>
      <c r="X157" s="172">
        <v>46057.64278263889</v>
      </c>
      <c r="Y157" s="172"/>
      <c r="Z157" s="3">
        <v>45991.0</v>
      </c>
      <c r="AA157" s="3"/>
    </row>
    <row r="158">
      <c r="A158" s="3">
        <v>6.775287349507E12</v>
      </c>
      <c r="B158" s="2" t="s">
        <v>1136</v>
      </c>
      <c r="C158" s="2" t="s">
        <v>1137</v>
      </c>
      <c r="D158" s="169">
        <v>45991.0</v>
      </c>
      <c r="E158" s="2">
        <v>3.4761129E9</v>
      </c>
      <c r="F158" s="2" t="s">
        <v>1138</v>
      </c>
      <c r="G158" s="2" t="s">
        <v>493</v>
      </c>
      <c r="H158" s="2">
        <v>0.0</v>
      </c>
      <c r="I158" s="2">
        <v>2.6120050019862E13</v>
      </c>
      <c r="J158" s="3">
        <v>0.0</v>
      </c>
      <c r="K158" s="2" t="s">
        <v>1139</v>
      </c>
      <c r="L158" s="2"/>
      <c r="M158" s="170" t="s">
        <v>455</v>
      </c>
      <c r="N158" s="2" t="s">
        <v>406</v>
      </c>
      <c r="O158" s="3">
        <v>0.5</v>
      </c>
      <c r="P158" s="2" t="s">
        <v>363</v>
      </c>
      <c r="Q158" s="3">
        <v>0.0</v>
      </c>
      <c r="T158" s="2" t="s">
        <v>674</v>
      </c>
      <c r="U158" s="171">
        <v>0.0</v>
      </c>
      <c r="V158" s="172">
        <v>46007.0</v>
      </c>
      <c r="W158" s="3">
        <v>320.0</v>
      </c>
      <c r="X158" s="172">
        <v>46003.76563657407</v>
      </c>
      <c r="Y158" s="172"/>
      <c r="Z158" s="3">
        <v>45991.0</v>
      </c>
      <c r="AA158" s="3"/>
    </row>
    <row r="159">
      <c r="A159" s="3">
        <v>6.775321493763E12</v>
      </c>
      <c r="B159" s="2" t="s">
        <v>1140</v>
      </c>
      <c r="C159" s="2" t="s">
        <v>1141</v>
      </c>
      <c r="D159" s="169">
        <v>45991.0</v>
      </c>
      <c r="E159" s="2">
        <v>3.260152452E9</v>
      </c>
      <c r="F159" s="2" t="s">
        <v>1142</v>
      </c>
      <c r="G159" s="2" t="s">
        <v>368</v>
      </c>
      <c r="H159" s="2">
        <v>3045.0</v>
      </c>
      <c r="I159" s="2">
        <v>2.1120050019842E13</v>
      </c>
      <c r="J159" s="3">
        <v>2.0</v>
      </c>
      <c r="L159" s="2" t="s">
        <v>1143</v>
      </c>
      <c r="M159" s="174" t="s">
        <v>409</v>
      </c>
      <c r="N159" s="2" t="s">
        <v>462</v>
      </c>
      <c r="O159" s="3">
        <v>0.5</v>
      </c>
      <c r="P159" s="2" t="s">
        <v>73</v>
      </c>
      <c r="Q159" s="3">
        <v>960.0</v>
      </c>
      <c r="T159" s="2" t="s">
        <v>463</v>
      </c>
      <c r="U159" s="171">
        <v>3045.0</v>
      </c>
      <c r="V159" s="172">
        <v>45996.0</v>
      </c>
      <c r="W159" s="3">
        <v>229.0</v>
      </c>
      <c r="X159" s="172">
        <v>45994.50643518519</v>
      </c>
      <c r="Y159" s="172"/>
      <c r="Z159" s="3">
        <v>45991.0</v>
      </c>
      <c r="AA159" s="3"/>
    </row>
    <row r="160">
      <c r="A160" s="3">
        <v>6.775349018883E12</v>
      </c>
      <c r="B160" s="2" t="s">
        <v>1144</v>
      </c>
      <c r="C160" s="2" t="s">
        <v>1145</v>
      </c>
      <c r="D160" s="169">
        <v>45991.0</v>
      </c>
      <c r="E160" s="2">
        <v>3.179747708E9</v>
      </c>
      <c r="F160" s="2" t="s">
        <v>1146</v>
      </c>
      <c r="G160" s="2" t="s">
        <v>1147</v>
      </c>
      <c r="H160" s="2">
        <v>2695.0</v>
      </c>
      <c r="I160" s="2">
        <v>2.0120050019843E13</v>
      </c>
      <c r="J160" s="3">
        <v>2.0</v>
      </c>
      <c r="L160" s="2" t="s">
        <v>926</v>
      </c>
      <c r="M160" s="174" t="s">
        <v>409</v>
      </c>
      <c r="N160" s="2" t="s">
        <v>462</v>
      </c>
      <c r="O160" s="3">
        <v>0.5</v>
      </c>
      <c r="P160" s="2" t="s">
        <v>363</v>
      </c>
      <c r="Q160" s="3">
        <v>980.0</v>
      </c>
      <c r="T160" s="2" t="s">
        <v>463</v>
      </c>
      <c r="U160" s="171">
        <v>2695.0</v>
      </c>
      <c r="V160" s="172">
        <v>45996.0</v>
      </c>
      <c r="W160" s="3">
        <v>321.0</v>
      </c>
      <c r="X160" s="172">
        <v>45995.71774305556</v>
      </c>
      <c r="Y160" s="172"/>
      <c r="Z160" s="3">
        <v>45991.0</v>
      </c>
      <c r="AA160" s="3"/>
    </row>
    <row r="161">
      <c r="A161" s="3">
        <v>6.775351771395E12</v>
      </c>
      <c r="B161" s="2" t="s">
        <v>1148</v>
      </c>
      <c r="C161" s="2" t="s">
        <v>1149</v>
      </c>
      <c r="D161" s="169">
        <v>45991.0</v>
      </c>
      <c r="E161" s="173" t="s">
        <v>1150</v>
      </c>
      <c r="F161" s="2" t="s">
        <v>1151</v>
      </c>
      <c r="G161" s="2" t="s">
        <v>493</v>
      </c>
      <c r="H161" s="2">
        <v>2694.0</v>
      </c>
      <c r="I161" s="2">
        <v>2.5120050019844E13</v>
      </c>
      <c r="J161" s="3">
        <v>1.0</v>
      </c>
      <c r="L161" s="2" t="s">
        <v>500</v>
      </c>
      <c r="M161" s="174" t="s">
        <v>409</v>
      </c>
      <c r="N161" s="2" t="s">
        <v>462</v>
      </c>
      <c r="O161" s="3">
        <v>0.5</v>
      </c>
      <c r="P161" s="2" t="s">
        <v>363</v>
      </c>
      <c r="Q161" s="3">
        <v>850.0</v>
      </c>
      <c r="T161" s="2" t="s">
        <v>486</v>
      </c>
      <c r="U161" s="171">
        <v>2694.0</v>
      </c>
      <c r="V161" s="172">
        <v>46000.0</v>
      </c>
      <c r="W161" s="3">
        <v>321.0</v>
      </c>
      <c r="X161" s="172">
        <v>45997.64640046297</v>
      </c>
      <c r="Y161" s="172"/>
      <c r="Z161" s="3">
        <v>45991.0</v>
      </c>
      <c r="AA161" s="3"/>
    </row>
    <row r="162">
      <c r="A162" s="3">
        <v>6.775374971139E12</v>
      </c>
      <c r="B162" s="2" t="s">
        <v>1152</v>
      </c>
      <c r="C162" s="2" t="s">
        <v>1153</v>
      </c>
      <c r="D162" s="169">
        <v>45991.0</v>
      </c>
      <c r="E162" s="173" t="s">
        <v>1154</v>
      </c>
      <c r="F162" s="2" t="s">
        <v>1155</v>
      </c>
      <c r="G162" s="2" t="s">
        <v>1156</v>
      </c>
      <c r="H162" s="2">
        <v>0.0</v>
      </c>
      <c r="J162" s="3">
        <v>0.0</v>
      </c>
      <c r="K162" s="2" t="s">
        <v>1157</v>
      </c>
      <c r="L162" s="2"/>
      <c r="M162" s="2" t="s">
        <v>468</v>
      </c>
      <c r="N162" s="2" t="s">
        <v>406</v>
      </c>
      <c r="O162" s="3">
        <v>0.5</v>
      </c>
      <c r="Q162" s="3">
        <v>0.0</v>
      </c>
      <c r="U162" s="141"/>
      <c r="X162" s="172">
        <v>46057.642782650466</v>
      </c>
      <c r="Y162" s="172"/>
      <c r="Z162" s="3">
        <v>45991.0</v>
      </c>
      <c r="AA162" s="3"/>
    </row>
    <row r="163">
      <c r="A163" s="3">
        <v>6.775474782467E12</v>
      </c>
      <c r="B163" s="2" t="s">
        <v>1158</v>
      </c>
      <c r="C163" s="2" t="s">
        <v>264</v>
      </c>
      <c r="D163" s="169">
        <v>45992.0</v>
      </c>
      <c r="E163" s="2">
        <v>3.015962786E9</v>
      </c>
      <c r="F163" s="2" t="s">
        <v>1159</v>
      </c>
      <c r="G163" s="2" t="s">
        <v>822</v>
      </c>
      <c r="H163" s="2">
        <v>2694.0</v>
      </c>
      <c r="I163" s="2">
        <v>2.3120050019845E13</v>
      </c>
      <c r="J163" s="3">
        <v>1.0</v>
      </c>
      <c r="K163" s="2" t="s">
        <v>1160</v>
      </c>
      <c r="L163" s="2" t="s">
        <v>557</v>
      </c>
      <c r="M163" s="174" t="s">
        <v>409</v>
      </c>
      <c r="N163" s="2" t="s">
        <v>462</v>
      </c>
      <c r="O163" s="3">
        <v>0.5</v>
      </c>
      <c r="P163" s="2" t="s">
        <v>363</v>
      </c>
      <c r="Q163" s="3">
        <v>850.0</v>
      </c>
      <c r="T163" s="2" t="s">
        <v>486</v>
      </c>
      <c r="U163" s="171">
        <v>2694.0</v>
      </c>
      <c r="V163" s="172">
        <v>46000.0</v>
      </c>
      <c r="W163" s="3">
        <v>328.0</v>
      </c>
      <c r="X163" s="172">
        <v>45997.630740740744</v>
      </c>
      <c r="Y163" s="172"/>
      <c r="Z163" s="3">
        <v>45992.0</v>
      </c>
      <c r="AA163" s="3"/>
    </row>
    <row r="164">
      <c r="A164" s="3">
        <v>6.775497195779E12</v>
      </c>
      <c r="B164" s="2" t="s">
        <v>1161</v>
      </c>
      <c r="C164" s="2" t="s">
        <v>1162</v>
      </c>
      <c r="D164" s="169">
        <v>45992.0</v>
      </c>
      <c r="E164" s="2">
        <v>3.008260708E9</v>
      </c>
      <c r="F164" s="2" t="s">
        <v>1163</v>
      </c>
      <c r="G164" s="2" t="s">
        <v>493</v>
      </c>
      <c r="H164" s="2">
        <v>2694.0</v>
      </c>
      <c r="I164" s="2">
        <v>2.7120050019846E13</v>
      </c>
      <c r="J164" s="3">
        <v>1.0</v>
      </c>
      <c r="L164" s="2" t="s">
        <v>557</v>
      </c>
      <c r="M164" s="174" t="s">
        <v>409</v>
      </c>
      <c r="N164" s="2" t="s">
        <v>462</v>
      </c>
      <c r="O164" s="3">
        <v>0.5</v>
      </c>
      <c r="P164" s="2" t="s">
        <v>363</v>
      </c>
      <c r="Q164" s="3">
        <v>850.0</v>
      </c>
      <c r="T164" s="2" t="s">
        <v>463</v>
      </c>
      <c r="U164" s="171">
        <v>2694.0</v>
      </c>
      <c r="V164" s="172">
        <v>45996.0</v>
      </c>
      <c r="W164" s="3">
        <v>335.0</v>
      </c>
      <c r="X164" s="172">
        <v>45995.6190162037</v>
      </c>
      <c r="Y164" s="172"/>
      <c r="Z164" s="3">
        <v>45992.0</v>
      </c>
      <c r="AA164" s="3"/>
    </row>
    <row r="165">
      <c r="A165" s="3">
        <v>6.775516135683E12</v>
      </c>
      <c r="B165" s="2" t="s">
        <v>1164</v>
      </c>
      <c r="C165" s="2" t="s">
        <v>1165</v>
      </c>
      <c r="D165" s="169">
        <v>45992.0</v>
      </c>
      <c r="E165" s="173" t="s">
        <v>1166</v>
      </c>
      <c r="F165" s="2" t="s">
        <v>1167</v>
      </c>
      <c r="G165" s="2" t="s">
        <v>1168</v>
      </c>
      <c r="H165" s="2">
        <v>1245.0</v>
      </c>
      <c r="I165" s="2">
        <v>2.8120050019847E13</v>
      </c>
      <c r="J165" s="3">
        <v>1.0</v>
      </c>
      <c r="L165" s="2" t="s">
        <v>1169</v>
      </c>
      <c r="M165" s="174" t="s">
        <v>409</v>
      </c>
      <c r="N165" s="2" t="s">
        <v>462</v>
      </c>
      <c r="O165" s="3">
        <v>0.5</v>
      </c>
      <c r="P165" s="2" t="s">
        <v>73</v>
      </c>
      <c r="Q165" s="3">
        <v>550.0</v>
      </c>
      <c r="T165" s="2" t="s">
        <v>463</v>
      </c>
      <c r="U165" s="171">
        <v>1245.0</v>
      </c>
      <c r="V165" s="172">
        <v>45996.0</v>
      </c>
      <c r="W165" s="3">
        <v>263.0</v>
      </c>
      <c r="X165" s="172">
        <v>45995.84465277778</v>
      </c>
      <c r="Y165" s="172"/>
      <c r="Z165" s="3">
        <v>45992.0</v>
      </c>
      <c r="AA165" s="3"/>
    </row>
    <row r="166">
      <c r="A166" s="3">
        <v>6.775581475075E12</v>
      </c>
      <c r="B166" s="2" t="s">
        <v>1170</v>
      </c>
      <c r="C166" s="2" t="s">
        <v>1171</v>
      </c>
      <c r="D166" s="169">
        <v>45992.0</v>
      </c>
      <c r="E166" s="2">
        <v>3.21846382E9</v>
      </c>
      <c r="F166" s="2" t="s">
        <v>1172</v>
      </c>
      <c r="G166" s="2" t="s">
        <v>368</v>
      </c>
      <c r="H166" s="2">
        <v>3045.0</v>
      </c>
      <c r="I166" s="2">
        <v>2.9120050019848E13</v>
      </c>
      <c r="J166" s="3">
        <v>2.0</v>
      </c>
      <c r="L166" s="2" t="s">
        <v>1143</v>
      </c>
      <c r="M166" s="174" t="s">
        <v>409</v>
      </c>
      <c r="N166" s="2" t="s">
        <v>462</v>
      </c>
      <c r="O166" s="3">
        <v>0.5</v>
      </c>
      <c r="P166" s="2" t="s">
        <v>363</v>
      </c>
      <c r="Q166" s="3">
        <v>960.0</v>
      </c>
      <c r="T166" s="2" t="s">
        <v>463</v>
      </c>
      <c r="U166" s="171">
        <v>3045.0</v>
      </c>
      <c r="V166" s="172">
        <v>45996.0</v>
      </c>
      <c r="W166" s="3">
        <v>229.0</v>
      </c>
      <c r="X166" s="172">
        <v>45993.58143518519</v>
      </c>
      <c r="Y166" s="172"/>
      <c r="Z166" s="3">
        <v>45992.0</v>
      </c>
      <c r="AA166" s="3"/>
    </row>
    <row r="167">
      <c r="A167" s="3">
        <v>6.775603200259E12</v>
      </c>
      <c r="B167" s="2" t="s">
        <v>1173</v>
      </c>
      <c r="C167" s="2" t="s">
        <v>1174</v>
      </c>
      <c r="D167" s="169">
        <v>45992.0</v>
      </c>
      <c r="E167" s="2">
        <v>3.218899295E9</v>
      </c>
      <c r="F167" s="2" t="s">
        <v>1175</v>
      </c>
      <c r="G167" s="2" t="s">
        <v>366</v>
      </c>
      <c r="H167" s="2">
        <v>2045.0</v>
      </c>
      <c r="I167" s="2">
        <v>2.0120050019849E13</v>
      </c>
      <c r="J167" s="3">
        <v>1.0</v>
      </c>
      <c r="L167" s="2" t="s">
        <v>1176</v>
      </c>
      <c r="M167" s="174" t="s">
        <v>409</v>
      </c>
      <c r="N167" s="2" t="s">
        <v>462</v>
      </c>
      <c r="O167" s="3">
        <v>0.5</v>
      </c>
      <c r="P167" s="2" t="s">
        <v>363</v>
      </c>
      <c r="Q167" s="3">
        <v>850.0</v>
      </c>
      <c r="T167" s="2" t="s">
        <v>463</v>
      </c>
      <c r="U167" s="171">
        <v>2045.0</v>
      </c>
      <c r="V167" s="172">
        <v>45996.0</v>
      </c>
      <c r="W167" s="3">
        <v>282.0</v>
      </c>
      <c r="X167" s="172">
        <v>45994.604363425926</v>
      </c>
      <c r="Y167" s="172"/>
      <c r="Z167" s="3">
        <v>45992.0</v>
      </c>
      <c r="AA167" s="3"/>
    </row>
    <row r="168">
      <c r="A168" s="3">
        <v>6.775603757315E12</v>
      </c>
      <c r="B168" s="2" t="s">
        <v>1177</v>
      </c>
      <c r="C168" s="2" t="s">
        <v>1178</v>
      </c>
      <c r="D168" s="169">
        <v>45992.0</v>
      </c>
      <c r="E168" s="2">
        <v>3.475432966E9</v>
      </c>
      <c r="F168" s="2" t="s">
        <v>1179</v>
      </c>
      <c r="G168" s="2" t="s">
        <v>1180</v>
      </c>
      <c r="H168" s="2">
        <v>3045.0</v>
      </c>
      <c r="I168" s="2">
        <v>1.73008712196E11</v>
      </c>
      <c r="J168" s="3">
        <v>2.0</v>
      </c>
      <c r="K168" s="2" t="s">
        <v>499</v>
      </c>
      <c r="L168" s="2" t="s">
        <v>27</v>
      </c>
      <c r="M168" s="174" t="s">
        <v>409</v>
      </c>
      <c r="N168" s="2" t="s">
        <v>462</v>
      </c>
      <c r="O168" s="3">
        <v>0.5</v>
      </c>
      <c r="P168" s="2" t="s">
        <v>501</v>
      </c>
      <c r="Q168" s="3">
        <v>920.0</v>
      </c>
      <c r="T168" s="2" t="s">
        <v>805</v>
      </c>
      <c r="U168" s="171">
        <v>3045.0</v>
      </c>
      <c r="W168" s="3">
        <v>414.0</v>
      </c>
      <c r="X168" s="172">
        <v>46057.69225997685</v>
      </c>
      <c r="Y168" s="172"/>
      <c r="Z168" s="3">
        <v>45992.0</v>
      </c>
      <c r="AA168" s="3"/>
    </row>
    <row r="169">
      <c r="A169" s="3">
        <v>6.775607886083E12</v>
      </c>
      <c r="B169" s="2" t="s">
        <v>1181</v>
      </c>
      <c r="C169" s="2" t="s">
        <v>1182</v>
      </c>
      <c r="D169" s="169">
        <v>45992.0</v>
      </c>
      <c r="E169" s="2">
        <v>3.410344245E9</v>
      </c>
      <c r="F169" s="2" t="s">
        <v>1183</v>
      </c>
      <c r="G169" s="2" t="s">
        <v>1184</v>
      </c>
      <c r="H169" s="2">
        <v>1745.0</v>
      </c>
      <c r="I169" s="2">
        <v>2.912005001985E13</v>
      </c>
      <c r="J169" s="3">
        <v>1.0</v>
      </c>
      <c r="L169" s="2" t="s">
        <v>1185</v>
      </c>
      <c r="M169" s="174" t="s">
        <v>409</v>
      </c>
      <c r="N169" s="2" t="s">
        <v>462</v>
      </c>
      <c r="O169" s="3">
        <v>0.5</v>
      </c>
      <c r="P169" s="2" t="s">
        <v>363</v>
      </c>
      <c r="Q169" s="3">
        <v>490.0</v>
      </c>
      <c r="T169" s="2" t="s">
        <v>486</v>
      </c>
      <c r="U169" s="171">
        <v>1745.0</v>
      </c>
      <c r="V169" s="172">
        <v>46000.0</v>
      </c>
      <c r="W169" s="3">
        <v>283.0</v>
      </c>
      <c r="X169" s="172">
        <v>45997.68908564815</v>
      </c>
      <c r="Y169" s="172"/>
      <c r="Z169" s="3">
        <v>45992.0</v>
      </c>
      <c r="AA169" s="3"/>
    </row>
    <row r="170">
      <c r="A170" s="3">
        <v>6.775674306819E12</v>
      </c>
      <c r="B170" s="2" t="s">
        <v>1186</v>
      </c>
      <c r="C170" s="2" t="s">
        <v>1187</v>
      </c>
      <c r="D170" s="169">
        <v>45992.0</v>
      </c>
      <c r="E170" s="2">
        <v>3.288544071E9</v>
      </c>
      <c r="F170" s="2" t="s">
        <v>1188</v>
      </c>
      <c r="G170" s="2" t="s">
        <v>368</v>
      </c>
      <c r="H170" s="2">
        <v>2694.0</v>
      </c>
      <c r="I170" s="2">
        <v>2.0120050019851E13</v>
      </c>
      <c r="J170" s="3">
        <v>1.0</v>
      </c>
      <c r="K170" s="2" t="s">
        <v>1189</v>
      </c>
      <c r="L170" s="2" t="s">
        <v>946</v>
      </c>
      <c r="M170" s="174" t="s">
        <v>409</v>
      </c>
      <c r="N170" s="2" t="s">
        <v>462</v>
      </c>
      <c r="O170" s="3">
        <v>0.5</v>
      </c>
      <c r="P170" s="2" t="s">
        <v>363</v>
      </c>
      <c r="Q170" s="3">
        <v>850.0</v>
      </c>
      <c r="T170" s="2" t="s">
        <v>463</v>
      </c>
      <c r="U170" s="171">
        <v>2694.0</v>
      </c>
      <c r="V170" s="172">
        <v>45996.0</v>
      </c>
      <c r="W170" s="3">
        <v>214.0</v>
      </c>
      <c r="X170" s="172">
        <v>45995.65409722222</v>
      </c>
      <c r="Y170" s="172"/>
      <c r="Z170" s="3">
        <v>45992.0</v>
      </c>
      <c r="AA170" s="3"/>
    </row>
    <row r="171">
      <c r="A171" s="3">
        <v>6.775821664515E12</v>
      </c>
      <c r="B171" s="2" t="s">
        <v>1190</v>
      </c>
      <c r="C171" s="2" t="s">
        <v>1191</v>
      </c>
      <c r="D171" s="169">
        <v>45992.0</v>
      </c>
      <c r="E171" s="173" t="s">
        <v>1192</v>
      </c>
      <c r="F171" s="2" t="s">
        <v>1193</v>
      </c>
      <c r="G171" s="2" t="s">
        <v>493</v>
      </c>
      <c r="H171" s="2">
        <v>0.0</v>
      </c>
      <c r="I171" s="2">
        <v>2.7120050019898E13</v>
      </c>
      <c r="J171" s="3">
        <v>0.0</v>
      </c>
      <c r="K171" s="2" t="s">
        <v>1194</v>
      </c>
      <c r="L171" s="2"/>
      <c r="M171" s="170" t="s">
        <v>455</v>
      </c>
      <c r="N171" s="2" t="s">
        <v>406</v>
      </c>
      <c r="O171" s="3">
        <v>0.5</v>
      </c>
      <c r="P171" s="2" t="s">
        <v>363</v>
      </c>
      <c r="Q171" s="3">
        <v>0.0</v>
      </c>
      <c r="T171" s="2" t="s">
        <v>599</v>
      </c>
      <c r="U171" s="171">
        <v>0.0</v>
      </c>
      <c r="V171" s="172">
        <v>46010.0</v>
      </c>
      <c r="W171" s="3">
        <v>213.0</v>
      </c>
      <c r="X171" s="172">
        <v>46057.642782650466</v>
      </c>
      <c r="Y171" s="172"/>
      <c r="Z171" s="3">
        <v>45992.0</v>
      </c>
      <c r="AA171" s="3"/>
    </row>
    <row r="172">
      <c r="A172" s="3">
        <v>6.775862657283E12</v>
      </c>
      <c r="B172" s="2" t="s">
        <v>1195</v>
      </c>
      <c r="C172" s="2" t="s">
        <v>1196</v>
      </c>
      <c r="D172" s="169">
        <v>45992.0</v>
      </c>
      <c r="E172" s="2">
        <v>3.132710102E9</v>
      </c>
      <c r="F172" s="2" t="s">
        <v>1197</v>
      </c>
      <c r="G172" s="2" t="s">
        <v>493</v>
      </c>
      <c r="H172" s="2">
        <v>0.0</v>
      </c>
      <c r="I172" s="2">
        <v>2.8120050019852E13</v>
      </c>
      <c r="J172" s="3">
        <v>0.0</v>
      </c>
      <c r="K172" s="2" t="s">
        <v>1198</v>
      </c>
      <c r="L172" s="2"/>
      <c r="M172" s="170" t="s">
        <v>455</v>
      </c>
      <c r="N172" s="2" t="s">
        <v>406</v>
      </c>
      <c r="O172" s="3">
        <v>0.5</v>
      </c>
      <c r="P172" s="2" t="s">
        <v>73</v>
      </c>
      <c r="Q172" s="3">
        <v>0.0</v>
      </c>
      <c r="T172" s="2" t="s">
        <v>599</v>
      </c>
      <c r="U172" s="171">
        <v>0.0</v>
      </c>
      <c r="V172" s="172">
        <v>46010.0</v>
      </c>
      <c r="W172" s="3">
        <v>227.0</v>
      </c>
      <c r="X172" s="172">
        <v>46057.642782650466</v>
      </c>
      <c r="Y172" s="172"/>
      <c r="Z172" s="3">
        <v>45992.0</v>
      </c>
      <c r="AA172" s="3"/>
    </row>
    <row r="173">
      <c r="A173" s="3">
        <v>6.775882776835E12</v>
      </c>
      <c r="B173" s="2" t="s">
        <v>1199</v>
      </c>
      <c r="C173" s="2" t="s">
        <v>1200</v>
      </c>
      <c r="D173" s="169">
        <v>45992.0</v>
      </c>
      <c r="E173" s="2">
        <v>3.005533E9</v>
      </c>
      <c r="F173" s="2" t="s">
        <v>1201</v>
      </c>
      <c r="G173" s="2" t="s">
        <v>366</v>
      </c>
      <c r="H173" s="2">
        <v>0.0</v>
      </c>
      <c r="I173" s="2">
        <v>2.8120050019853E13</v>
      </c>
      <c r="J173" s="3">
        <v>0.0</v>
      </c>
      <c r="K173" s="2" t="s">
        <v>1202</v>
      </c>
      <c r="L173" s="2"/>
      <c r="M173" s="170" t="s">
        <v>455</v>
      </c>
      <c r="N173" s="2" t="s">
        <v>406</v>
      </c>
      <c r="O173" s="3">
        <v>0.5</v>
      </c>
      <c r="P173" s="2" t="s">
        <v>73</v>
      </c>
      <c r="Q173" s="3">
        <v>0.0</v>
      </c>
      <c r="T173" s="2" t="s">
        <v>599</v>
      </c>
      <c r="U173" s="171">
        <v>0.0</v>
      </c>
      <c r="V173" s="172">
        <v>46010.0</v>
      </c>
      <c r="W173" s="3">
        <v>220.0</v>
      </c>
      <c r="X173" s="172">
        <v>46057.642782650466</v>
      </c>
      <c r="Y173" s="172"/>
      <c r="Z173" s="3">
        <v>45992.0</v>
      </c>
      <c r="AA173" s="3"/>
    </row>
    <row r="174">
      <c r="A174" s="3">
        <v>6.775897260291E12</v>
      </c>
      <c r="B174" s="2" t="s">
        <v>1203</v>
      </c>
      <c r="C174" s="2" t="s">
        <v>1204</v>
      </c>
      <c r="D174" s="169">
        <v>45992.0</v>
      </c>
      <c r="E174" s="2">
        <v>3.125522889E9</v>
      </c>
      <c r="F174" s="2" t="s">
        <v>1205</v>
      </c>
      <c r="G174" s="2" t="s">
        <v>368</v>
      </c>
      <c r="H174" s="2">
        <v>0.0</v>
      </c>
      <c r="I174" s="2">
        <v>2.5120050019854E13</v>
      </c>
      <c r="J174" s="3">
        <v>0.0</v>
      </c>
      <c r="K174" s="2" t="s">
        <v>1206</v>
      </c>
      <c r="L174" s="2"/>
      <c r="M174" s="170" t="s">
        <v>455</v>
      </c>
      <c r="N174" s="2" t="s">
        <v>406</v>
      </c>
      <c r="O174" s="3">
        <v>0.5</v>
      </c>
      <c r="P174" s="2" t="s">
        <v>363</v>
      </c>
      <c r="Q174" s="3">
        <v>0.0</v>
      </c>
      <c r="T174" s="2" t="s">
        <v>486</v>
      </c>
      <c r="U174" s="171">
        <v>0.0</v>
      </c>
      <c r="V174" s="172">
        <v>46000.0</v>
      </c>
      <c r="W174" s="3">
        <v>120.0</v>
      </c>
      <c r="X174" s="172">
        <v>46057.642782650466</v>
      </c>
      <c r="Y174" s="172"/>
      <c r="Z174" s="3">
        <v>45992.0</v>
      </c>
      <c r="AA174" s="3"/>
    </row>
    <row r="175">
      <c r="A175" s="3">
        <v>6.775997169923E12</v>
      </c>
      <c r="B175" s="2" t="s">
        <v>1207</v>
      </c>
      <c r="C175" s="2" t="s">
        <v>1208</v>
      </c>
      <c r="D175" s="169">
        <v>45992.0</v>
      </c>
      <c r="E175" s="2">
        <v>3.041432867E9</v>
      </c>
      <c r="F175" s="2" t="s">
        <v>1209</v>
      </c>
      <c r="G175" s="2" t="s">
        <v>368</v>
      </c>
      <c r="H175" s="2">
        <v>2694.0</v>
      </c>
      <c r="I175" s="2">
        <v>2.7120050019855E13</v>
      </c>
      <c r="J175" s="3">
        <v>1.0</v>
      </c>
      <c r="L175" s="2" t="s">
        <v>519</v>
      </c>
      <c r="M175" s="174" t="s">
        <v>409</v>
      </c>
      <c r="N175" s="2" t="s">
        <v>462</v>
      </c>
      <c r="O175" s="3">
        <v>0.5</v>
      </c>
      <c r="P175" s="2" t="s">
        <v>363</v>
      </c>
      <c r="Q175" s="3">
        <v>850.0</v>
      </c>
      <c r="T175" s="2" t="s">
        <v>463</v>
      </c>
      <c r="U175" s="171">
        <v>2694.0</v>
      </c>
      <c r="V175" s="172">
        <v>45996.0</v>
      </c>
      <c r="W175" s="3">
        <v>214.0</v>
      </c>
      <c r="X175" s="172">
        <v>45994.64884259259</v>
      </c>
      <c r="Y175" s="172"/>
      <c r="Z175" s="3">
        <v>45992.0</v>
      </c>
      <c r="AA175" s="3"/>
    </row>
    <row r="176">
      <c r="A176" s="3">
        <v>6.776061034755E12</v>
      </c>
      <c r="B176" s="2" t="s">
        <v>1210</v>
      </c>
      <c r="C176" s="2" t="s">
        <v>1211</v>
      </c>
      <c r="D176" s="169">
        <v>45992.0</v>
      </c>
      <c r="E176" s="2">
        <v>3.365705072E9</v>
      </c>
      <c r="F176" s="2" t="s">
        <v>1212</v>
      </c>
      <c r="G176" s="2" t="s">
        <v>1213</v>
      </c>
      <c r="H176" s="2">
        <v>0.0</v>
      </c>
      <c r="I176" s="2">
        <v>2.3120050019899E13</v>
      </c>
      <c r="J176" s="3">
        <v>0.0</v>
      </c>
      <c r="K176" s="2" t="s">
        <v>734</v>
      </c>
      <c r="L176" s="2"/>
      <c r="M176" s="170" t="s">
        <v>455</v>
      </c>
      <c r="N176" s="2" t="s">
        <v>406</v>
      </c>
      <c r="O176" s="3">
        <v>0.5</v>
      </c>
      <c r="P176" s="2" t="s">
        <v>363</v>
      </c>
      <c r="Q176" s="3">
        <v>0.0</v>
      </c>
      <c r="T176" s="2" t="s">
        <v>456</v>
      </c>
      <c r="U176" s="171">
        <v>0.0</v>
      </c>
      <c r="V176" s="172">
        <v>46003.0</v>
      </c>
      <c r="W176" s="3">
        <v>220.0</v>
      </c>
      <c r="X176" s="172">
        <v>46057.642782650466</v>
      </c>
      <c r="Y176" s="172"/>
      <c r="Z176" s="3">
        <v>45992.0</v>
      </c>
      <c r="AA176" s="3"/>
    </row>
    <row r="177">
      <c r="A177" s="3">
        <v>6.776377016579E12</v>
      </c>
      <c r="B177" s="2" t="s">
        <v>1214</v>
      </c>
      <c r="C177" s="2" t="s">
        <v>1215</v>
      </c>
      <c r="D177" s="169">
        <v>45992.0</v>
      </c>
      <c r="E177" s="2">
        <v>3.205892879E9</v>
      </c>
      <c r="F177" s="2" t="s">
        <v>1216</v>
      </c>
      <c r="G177" s="2" t="s">
        <v>1217</v>
      </c>
      <c r="H177" s="2">
        <v>2694.0</v>
      </c>
      <c r="I177" s="2">
        <v>2.5120050019856E13</v>
      </c>
      <c r="J177" s="3">
        <v>1.0</v>
      </c>
      <c r="L177" s="2" t="s">
        <v>557</v>
      </c>
      <c r="M177" s="174" t="s">
        <v>409</v>
      </c>
      <c r="N177" s="2" t="s">
        <v>462</v>
      </c>
      <c r="O177" s="3">
        <v>0.5</v>
      </c>
      <c r="P177" s="2" t="s">
        <v>363</v>
      </c>
      <c r="Q177" s="3">
        <v>850.0</v>
      </c>
      <c r="T177" s="2" t="s">
        <v>463</v>
      </c>
      <c r="U177" s="171">
        <v>2694.0</v>
      </c>
      <c r="V177" s="172">
        <v>45996.0</v>
      </c>
      <c r="W177" s="3">
        <v>328.0</v>
      </c>
      <c r="X177" s="172">
        <v>45994.5828587963</v>
      </c>
      <c r="Y177" s="172"/>
      <c r="Z177" s="3">
        <v>45992.0</v>
      </c>
      <c r="AA177" s="3"/>
    </row>
    <row r="178">
      <c r="A178" s="3">
        <v>6.776447238403E12</v>
      </c>
      <c r="B178" s="2" t="s">
        <v>1218</v>
      </c>
      <c r="C178" s="2" t="s">
        <v>1219</v>
      </c>
      <c r="D178" s="169">
        <v>45992.0</v>
      </c>
      <c r="E178" s="2">
        <v>3.366763941E9</v>
      </c>
      <c r="F178" s="2" t="s">
        <v>1220</v>
      </c>
      <c r="G178" s="2" t="s">
        <v>536</v>
      </c>
      <c r="H178" s="2">
        <v>3695.0</v>
      </c>
      <c r="I178" s="2">
        <v>2.5120050019857E13</v>
      </c>
      <c r="J178" s="3">
        <v>2.0</v>
      </c>
      <c r="L178" s="2" t="s">
        <v>275</v>
      </c>
      <c r="M178" s="174" t="s">
        <v>409</v>
      </c>
      <c r="N178" s="2" t="s">
        <v>462</v>
      </c>
      <c r="O178" s="3">
        <v>0.5</v>
      </c>
      <c r="P178" s="2" t="s">
        <v>363</v>
      </c>
      <c r="Q178" s="3">
        <v>960.0</v>
      </c>
      <c r="T178" s="2" t="s">
        <v>463</v>
      </c>
      <c r="U178" s="171">
        <v>3695.0</v>
      </c>
      <c r="V178" s="172">
        <v>45996.0</v>
      </c>
      <c r="W178" s="3">
        <v>361.0</v>
      </c>
      <c r="X178" s="172">
        <v>45995.516921296294</v>
      </c>
      <c r="Y178" s="172"/>
      <c r="Z178" s="3">
        <v>45992.0</v>
      </c>
      <c r="AA178" s="3"/>
    </row>
    <row r="179">
      <c r="A179" s="3">
        <v>6.776448614659E12</v>
      </c>
      <c r="B179" s="2" t="s">
        <v>1221</v>
      </c>
      <c r="C179" s="2" t="s">
        <v>1222</v>
      </c>
      <c r="D179" s="169">
        <v>45992.0</v>
      </c>
      <c r="E179" s="2">
        <v>3.554595222E9</v>
      </c>
      <c r="F179" s="2" t="s">
        <v>1223</v>
      </c>
      <c r="G179" s="2" t="s">
        <v>1224</v>
      </c>
      <c r="H179" s="2">
        <v>0.0</v>
      </c>
      <c r="I179" s="2">
        <v>2.6120050019858E13</v>
      </c>
      <c r="J179" s="3">
        <v>0.0</v>
      </c>
      <c r="K179" s="2" t="s">
        <v>1225</v>
      </c>
      <c r="L179" s="2"/>
      <c r="M179" s="170" t="s">
        <v>455</v>
      </c>
      <c r="N179" s="2" t="s">
        <v>406</v>
      </c>
      <c r="O179" s="3">
        <v>0.5</v>
      </c>
      <c r="P179" s="2" t="s">
        <v>363</v>
      </c>
      <c r="Q179" s="3">
        <v>0.0</v>
      </c>
      <c r="T179" s="2" t="s">
        <v>674</v>
      </c>
      <c r="U179" s="171">
        <v>0.0</v>
      </c>
      <c r="V179" s="172">
        <v>46007.0</v>
      </c>
      <c r="W179" s="3">
        <v>213.0</v>
      </c>
      <c r="X179" s="172">
        <v>46057.642782650466</v>
      </c>
      <c r="Y179" s="172"/>
      <c r="Z179" s="3">
        <v>45992.0</v>
      </c>
      <c r="AA179" s="3"/>
    </row>
    <row r="180">
      <c r="A180" s="3">
        <v>6.776462246147E12</v>
      </c>
      <c r="B180" s="2" t="s">
        <v>1226</v>
      </c>
      <c r="C180" s="2" t="s">
        <v>1227</v>
      </c>
      <c r="D180" s="169">
        <v>45992.0</v>
      </c>
      <c r="E180" s="2">
        <v>3.44733406E9</v>
      </c>
      <c r="F180" s="2" t="s">
        <v>1228</v>
      </c>
      <c r="G180" s="2" t="s">
        <v>541</v>
      </c>
      <c r="H180" s="2">
        <v>4045.0</v>
      </c>
      <c r="I180" s="2">
        <v>2.4120050019859E13</v>
      </c>
      <c r="J180" s="3">
        <v>1.0</v>
      </c>
      <c r="L180" s="2" t="s">
        <v>782</v>
      </c>
      <c r="M180" s="174" t="s">
        <v>409</v>
      </c>
      <c r="N180" s="2" t="s">
        <v>462</v>
      </c>
      <c r="O180" s="3">
        <v>0.5</v>
      </c>
      <c r="P180" s="2" t="s">
        <v>363</v>
      </c>
      <c r="Q180" s="3">
        <v>1600.0</v>
      </c>
      <c r="T180" s="2" t="s">
        <v>463</v>
      </c>
      <c r="U180" s="171">
        <v>4045.0</v>
      </c>
      <c r="V180" s="172">
        <v>45996.0</v>
      </c>
      <c r="W180" s="3">
        <v>382.0</v>
      </c>
      <c r="X180" s="172">
        <v>45995.7391087963</v>
      </c>
      <c r="Y180" s="172"/>
      <c r="Z180" s="3">
        <v>45992.0</v>
      </c>
      <c r="AA180" s="3"/>
    </row>
    <row r="181">
      <c r="A181" s="3">
        <v>6.776566055171E12</v>
      </c>
      <c r="B181" s="2" t="s">
        <v>1229</v>
      </c>
      <c r="C181" s="2" t="s">
        <v>1230</v>
      </c>
      <c r="D181" s="169">
        <v>45992.0</v>
      </c>
      <c r="E181" s="2">
        <v>3.324868347E9</v>
      </c>
      <c r="F181" s="2" t="s">
        <v>1231</v>
      </c>
      <c r="G181" s="2" t="s">
        <v>368</v>
      </c>
      <c r="H181" s="2">
        <v>3045.0</v>
      </c>
      <c r="I181" s="2">
        <v>2.812005001986E13</v>
      </c>
      <c r="J181" s="3">
        <v>2.0</v>
      </c>
      <c r="L181" s="2" t="s">
        <v>296</v>
      </c>
      <c r="M181" s="174" t="s">
        <v>409</v>
      </c>
      <c r="N181" s="2" t="s">
        <v>462</v>
      </c>
      <c r="O181" s="3">
        <v>0.5</v>
      </c>
      <c r="P181" s="2" t="s">
        <v>73</v>
      </c>
      <c r="Q181" s="3">
        <v>920.0</v>
      </c>
      <c r="T181" s="2" t="s">
        <v>463</v>
      </c>
      <c r="U181" s="171">
        <v>3045.0</v>
      </c>
      <c r="V181" s="172">
        <v>45996.0</v>
      </c>
      <c r="W181" s="3">
        <v>229.0</v>
      </c>
      <c r="X181" s="172">
        <v>45993.633518518516</v>
      </c>
      <c r="Y181" s="172"/>
      <c r="Z181" s="3">
        <v>45992.0</v>
      </c>
      <c r="AA181" s="3"/>
    </row>
    <row r="182">
      <c r="A182" s="3">
        <v>6.776601772291E12</v>
      </c>
      <c r="B182" s="2" t="s">
        <v>1232</v>
      </c>
      <c r="C182" s="2" t="s">
        <v>1233</v>
      </c>
      <c r="D182" s="169">
        <v>45992.0</v>
      </c>
      <c r="E182" s="2">
        <v>3.001118781E9</v>
      </c>
      <c r="F182" s="2" t="s">
        <v>1234</v>
      </c>
      <c r="G182" s="2" t="s">
        <v>1235</v>
      </c>
      <c r="H182" s="2">
        <v>0.0</v>
      </c>
      <c r="I182" s="2">
        <v>2.9120050019861E13</v>
      </c>
      <c r="J182" s="3">
        <v>0.0</v>
      </c>
      <c r="K182" s="2" t="s">
        <v>1194</v>
      </c>
      <c r="L182" s="2"/>
      <c r="M182" s="170" t="s">
        <v>455</v>
      </c>
      <c r="N182" s="2" t="s">
        <v>406</v>
      </c>
      <c r="O182" s="3">
        <v>0.5</v>
      </c>
      <c r="P182" s="2" t="s">
        <v>363</v>
      </c>
      <c r="Q182" s="3">
        <v>0.0</v>
      </c>
      <c r="T182" s="2" t="s">
        <v>599</v>
      </c>
      <c r="U182" s="171">
        <v>0.0</v>
      </c>
      <c r="V182" s="172">
        <v>46010.0</v>
      </c>
      <c r="W182" s="3">
        <v>213.0</v>
      </c>
      <c r="X182" s="172">
        <v>46057.642782650466</v>
      </c>
      <c r="Y182" s="172"/>
      <c r="Z182" s="3">
        <v>45992.0</v>
      </c>
      <c r="AA182" s="3"/>
    </row>
    <row r="183">
      <c r="A183" s="3">
        <v>6.776778785027E12</v>
      </c>
      <c r="B183" s="2" t="s">
        <v>1236</v>
      </c>
      <c r="C183" s="2" t="s">
        <v>1237</v>
      </c>
      <c r="D183" s="169">
        <v>45992.0</v>
      </c>
      <c r="E183" s="2">
        <v>3.009652718E9</v>
      </c>
      <c r="F183" s="2" t="s">
        <v>1238</v>
      </c>
      <c r="G183" s="2" t="s">
        <v>374</v>
      </c>
      <c r="H183" s="2">
        <v>3045.0</v>
      </c>
      <c r="I183" s="2">
        <v>2.71200500199E13</v>
      </c>
      <c r="J183" s="3">
        <v>2.0</v>
      </c>
      <c r="L183" s="2" t="s">
        <v>40</v>
      </c>
      <c r="M183" s="174" t="s">
        <v>409</v>
      </c>
      <c r="N183" s="2" t="s">
        <v>462</v>
      </c>
      <c r="O183" s="3">
        <v>0.5</v>
      </c>
      <c r="P183" s="2" t="s">
        <v>363</v>
      </c>
      <c r="Q183" s="3">
        <v>920.0</v>
      </c>
      <c r="T183" s="2" t="s">
        <v>463</v>
      </c>
      <c r="U183" s="171">
        <v>3045.0</v>
      </c>
      <c r="V183" s="172">
        <v>45996.0</v>
      </c>
      <c r="W183" s="3">
        <v>322.0</v>
      </c>
      <c r="X183" s="172">
        <v>45994.53983796296</v>
      </c>
      <c r="Y183" s="172"/>
      <c r="Z183" s="3">
        <v>45992.0</v>
      </c>
      <c r="AA183" s="3"/>
    </row>
    <row r="184">
      <c r="A184" s="3">
        <v>6.776779735299E12</v>
      </c>
      <c r="B184" s="2" t="s">
        <v>1239</v>
      </c>
      <c r="C184" s="2" t="s">
        <v>1240</v>
      </c>
      <c r="D184" s="169">
        <v>45992.0</v>
      </c>
      <c r="E184" s="2">
        <v>3.0075E9</v>
      </c>
      <c r="F184" s="2" t="s">
        <v>1241</v>
      </c>
      <c r="G184" s="2" t="s">
        <v>374</v>
      </c>
      <c r="H184" s="2">
        <v>3695.0</v>
      </c>
      <c r="I184" s="2">
        <v>2.7120050019901E13</v>
      </c>
      <c r="J184" s="3">
        <v>2.0</v>
      </c>
      <c r="L184" s="2" t="s">
        <v>1242</v>
      </c>
      <c r="M184" s="174" t="s">
        <v>409</v>
      </c>
      <c r="N184" s="2" t="s">
        <v>462</v>
      </c>
      <c r="O184" s="3">
        <v>0.5</v>
      </c>
      <c r="P184" s="2" t="s">
        <v>363</v>
      </c>
      <c r="Q184" s="3">
        <v>1000.0</v>
      </c>
      <c r="T184" s="2" t="s">
        <v>463</v>
      </c>
      <c r="U184" s="171">
        <v>3695.0</v>
      </c>
      <c r="V184" s="172">
        <v>45996.0</v>
      </c>
      <c r="W184" s="3">
        <v>348.0</v>
      </c>
      <c r="X184" s="172">
        <v>45995.56129629629</v>
      </c>
      <c r="Y184" s="172"/>
      <c r="Z184" s="3">
        <v>45992.0</v>
      </c>
      <c r="AA184" s="3"/>
    </row>
    <row r="185">
      <c r="A185" s="3">
        <v>6.776808898819E12</v>
      </c>
      <c r="B185" s="2" t="s">
        <v>1243</v>
      </c>
      <c r="C185" s="2" t="s">
        <v>1244</v>
      </c>
      <c r="D185" s="169">
        <v>45992.0</v>
      </c>
      <c r="E185" s="173" t="s">
        <v>1245</v>
      </c>
      <c r="F185" s="2" t="s">
        <v>1246</v>
      </c>
      <c r="G185" s="2" t="s">
        <v>493</v>
      </c>
      <c r="H185" s="2">
        <v>3045.0</v>
      </c>
      <c r="I185" s="2">
        <v>2.2120050019902E13</v>
      </c>
      <c r="J185" s="3">
        <v>2.0</v>
      </c>
      <c r="L185" s="2" t="s">
        <v>1247</v>
      </c>
      <c r="M185" s="174" t="s">
        <v>409</v>
      </c>
      <c r="N185" s="2" t="s">
        <v>462</v>
      </c>
      <c r="O185" s="3">
        <v>0.5</v>
      </c>
      <c r="P185" s="2" t="s">
        <v>363</v>
      </c>
      <c r="Q185" s="3">
        <v>1400.0</v>
      </c>
      <c r="T185" s="2" t="s">
        <v>463</v>
      </c>
      <c r="U185" s="3">
        <v>3045.0</v>
      </c>
      <c r="V185" s="172">
        <v>45996.0</v>
      </c>
      <c r="W185" s="3">
        <v>435.0</v>
      </c>
      <c r="X185" s="172">
        <v>45995.61267361111</v>
      </c>
      <c r="Y185" s="172"/>
      <c r="Z185" s="3">
        <v>45992.0</v>
      </c>
      <c r="AA185" s="3"/>
    </row>
    <row r="186">
      <c r="A186" s="3">
        <v>6.776818073859E12</v>
      </c>
      <c r="B186" s="2" t="s">
        <v>1248</v>
      </c>
      <c r="C186" s="2" t="s">
        <v>1249</v>
      </c>
      <c r="D186" s="169">
        <v>45992.0</v>
      </c>
      <c r="E186" s="173" t="s">
        <v>1250</v>
      </c>
      <c r="F186" s="2" t="s">
        <v>1251</v>
      </c>
      <c r="G186" s="2" t="s">
        <v>506</v>
      </c>
      <c r="H186" s="2">
        <v>0.0</v>
      </c>
      <c r="I186" s="2">
        <v>2.0120050019934E13</v>
      </c>
      <c r="J186" s="3">
        <v>0.0</v>
      </c>
      <c r="K186" s="2" t="s">
        <v>1252</v>
      </c>
      <c r="L186" s="2"/>
      <c r="M186" s="170" t="s">
        <v>455</v>
      </c>
      <c r="N186" s="2" t="s">
        <v>406</v>
      </c>
      <c r="O186" s="3">
        <v>0.5</v>
      </c>
      <c r="P186" s="2" t="s">
        <v>363</v>
      </c>
      <c r="Q186" s="3">
        <v>0.0</v>
      </c>
      <c r="T186" s="2" t="s">
        <v>456</v>
      </c>
      <c r="U186" s="171">
        <v>0.0</v>
      </c>
      <c r="V186" s="172">
        <v>46003.0</v>
      </c>
      <c r="W186" s="3">
        <v>200.0</v>
      </c>
      <c r="X186" s="172">
        <v>46057.642782650466</v>
      </c>
      <c r="Y186" s="172"/>
      <c r="Z186" s="3">
        <v>45992.0</v>
      </c>
      <c r="AA186" s="3"/>
    </row>
    <row r="187">
      <c r="A187" s="3">
        <v>6.776842977539E12</v>
      </c>
      <c r="B187" s="2" t="s">
        <v>1253</v>
      </c>
      <c r="C187" s="2" t="s">
        <v>1254</v>
      </c>
      <c r="D187" s="169">
        <v>45992.0</v>
      </c>
      <c r="E187" s="173" t="s">
        <v>1255</v>
      </c>
      <c r="F187" s="2" t="s">
        <v>1256</v>
      </c>
      <c r="G187" s="2" t="s">
        <v>1257</v>
      </c>
      <c r="H187" s="2">
        <v>3695.0</v>
      </c>
      <c r="I187" s="2">
        <v>2.3120050019952E13</v>
      </c>
      <c r="J187" s="3">
        <v>2.0</v>
      </c>
      <c r="L187" s="2" t="s">
        <v>1258</v>
      </c>
      <c r="M187" s="174" t="s">
        <v>409</v>
      </c>
      <c r="N187" s="2" t="s">
        <v>462</v>
      </c>
      <c r="O187" s="3">
        <v>0.5</v>
      </c>
      <c r="P187" s="2" t="s">
        <v>363</v>
      </c>
      <c r="Q187" s="3">
        <v>960.0</v>
      </c>
      <c r="T187" s="2" t="s">
        <v>463</v>
      </c>
      <c r="U187" s="171">
        <v>3695.0</v>
      </c>
      <c r="V187" s="172">
        <v>45996.0</v>
      </c>
      <c r="W187" s="3">
        <v>368.0</v>
      </c>
      <c r="X187" s="172">
        <v>45994.41832175926</v>
      </c>
      <c r="Y187" s="172"/>
      <c r="Z187" s="3">
        <v>45992.0</v>
      </c>
      <c r="AA187" s="3"/>
    </row>
    <row r="188">
      <c r="A188" s="3">
        <v>6.776883904771E12</v>
      </c>
      <c r="B188" s="2" t="s">
        <v>1259</v>
      </c>
      <c r="C188" s="2" t="s">
        <v>1260</v>
      </c>
      <c r="D188" s="169">
        <v>45992.0</v>
      </c>
      <c r="E188" s="173" t="s">
        <v>1261</v>
      </c>
      <c r="F188" s="2" t="s">
        <v>1262</v>
      </c>
      <c r="G188" s="2" t="s">
        <v>493</v>
      </c>
      <c r="H188" s="2">
        <v>3045.0</v>
      </c>
      <c r="I188" s="2">
        <v>2.8120050019951E13</v>
      </c>
      <c r="J188" s="3">
        <v>2.0</v>
      </c>
      <c r="K188" s="2" t="s">
        <v>511</v>
      </c>
      <c r="L188" s="2" t="s">
        <v>1263</v>
      </c>
      <c r="M188" s="174" t="s">
        <v>409</v>
      </c>
      <c r="N188" s="2" t="s">
        <v>462</v>
      </c>
      <c r="O188" s="3">
        <v>0.5</v>
      </c>
      <c r="P188" s="2" t="s">
        <v>73</v>
      </c>
      <c r="Q188" s="3">
        <v>920.0</v>
      </c>
      <c r="T188" s="2" t="s">
        <v>463</v>
      </c>
      <c r="U188" s="3">
        <v>3045.0</v>
      </c>
      <c r="V188" s="172">
        <v>45996.0</v>
      </c>
      <c r="W188" s="3">
        <v>227.0</v>
      </c>
      <c r="X188" s="172">
        <v>45995.5828587963</v>
      </c>
      <c r="Y188" s="172"/>
      <c r="Z188" s="3">
        <v>45992.0</v>
      </c>
      <c r="AA188" s="3"/>
    </row>
    <row r="189">
      <c r="A189" s="3">
        <v>6.776886296835E12</v>
      </c>
      <c r="B189" s="2" t="s">
        <v>1264</v>
      </c>
      <c r="C189" s="2" t="s">
        <v>1265</v>
      </c>
      <c r="D189" s="169">
        <v>45992.0</v>
      </c>
      <c r="E189" s="2">
        <v>3.453237404E9</v>
      </c>
      <c r="F189" s="2" t="s">
        <v>1266</v>
      </c>
      <c r="G189" s="2" t="s">
        <v>493</v>
      </c>
      <c r="H189" s="2">
        <v>1445.0</v>
      </c>
      <c r="I189" s="2">
        <v>2.8120050019906E13</v>
      </c>
      <c r="J189" s="3">
        <v>1.0</v>
      </c>
      <c r="L189" s="2" t="s">
        <v>1267</v>
      </c>
      <c r="M189" s="174" t="s">
        <v>409</v>
      </c>
      <c r="N189" s="2" t="s">
        <v>462</v>
      </c>
      <c r="O189" s="3">
        <v>0.5</v>
      </c>
      <c r="P189" s="2" t="s">
        <v>73</v>
      </c>
      <c r="Q189" s="3">
        <v>750.0</v>
      </c>
      <c r="T189" s="2" t="s">
        <v>463</v>
      </c>
      <c r="U189" s="171">
        <v>1445.0</v>
      </c>
      <c r="V189" s="172">
        <v>45996.0</v>
      </c>
      <c r="W189" s="3">
        <v>271.0</v>
      </c>
      <c r="X189" s="172">
        <v>45994.830243055556</v>
      </c>
      <c r="Y189" s="172"/>
      <c r="Z189" s="3">
        <v>45992.0</v>
      </c>
      <c r="AA189" s="3"/>
    </row>
    <row r="190">
      <c r="A190" s="3">
        <v>6.776891801859E12</v>
      </c>
      <c r="B190" s="2" t="s">
        <v>1268</v>
      </c>
      <c r="C190" s="2" t="s">
        <v>1269</v>
      </c>
      <c r="D190" s="169">
        <v>45992.0</v>
      </c>
      <c r="E190" s="2">
        <v>3.348134166E9</v>
      </c>
      <c r="F190" s="2" t="s">
        <v>1270</v>
      </c>
      <c r="G190" s="2" t="s">
        <v>1271</v>
      </c>
      <c r="H190" s="2">
        <v>0.0</v>
      </c>
      <c r="J190" s="3">
        <v>0.0</v>
      </c>
      <c r="K190" s="2" t="s">
        <v>1272</v>
      </c>
      <c r="L190" s="2"/>
      <c r="M190" s="2" t="s">
        <v>468</v>
      </c>
      <c r="N190" s="2" t="s">
        <v>406</v>
      </c>
      <c r="O190" s="3">
        <v>0.5</v>
      </c>
      <c r="Q190" s="3">
        <v>0.0</v>
      </c>
      <c r="U190" s="141"/>
      <c r="X190" s="172">
        <v>46057.642782650466</v>
      </c>
      <c r="Y190" s="172"/>
      <c r="Z190" s="3">
        <v>45992.0</v>
      </c>
      <c r="AA190" s="3"/>
    </row>
    <row r="191">
      <c r="A191" s="3">
        <v>6.776934662403E12</v>
      </c>
      <c r="B191" s="2" t="s">
        <v>1273</v>
      </c>
      <c r="C191" s="2" t="s">
        <v>1274</v>
      </c>
      <c r="D191" s="169">
        <v>45992.0</v>
      </c>
      <c r="E191" s="2">
        <v>3.555617445E9</v>
      </c>
      <c r="F191" s="2" t="s">
        <v>1275</v>
      </c>
      <c r="G191" s="2" t="s">
        <v>1224</v>
      </c>
      <c r="H191" s="2">
        <v>0.0</v>
      </c>
      <c r="I191" s="2">
        <v>2.6120050019983E13</v>
      </c>
      <c r="J191" s="3">
        <v>0.0</v>
      </c>
      <c r="K191" s="2" t="s">
        <v>1194</v>
      </c>
      <c r="L191" s="2"/>
      <c r="M191" s="170" t="s">
        <v>455</v>
      </c>
      <c r="N191" s="2" t="s">
        <v>406</v>
      </c>
      <c r="O191" s="3">
        <v>0.5</v>
      </c>
      <c r="P191" s="2" t="s">
        <v>363</v>
      </c>
      <c r="Q191" s="3">
        <v>0.0</v>
      </c>
      <c r="T191" s="2" t="s">
        <v>599</v>
      </c>
      <c r="U191" s="171">
        <v>0.0</v>
      </c>
      <c r="V191" s="172">
        <v>46010.0</v>
      </c>
      <c r="W191" s="3">
        <v>213.0</v>
      </c>
      <c r="X191" s="172">
        <v>46057.642782650466</v>
      </c>
      <c r="Y191" s="172"/>
      <c r="Z191" s="3">
        <v>45992.0</v>
      </c>
      <c r="AA191" s="3"/>
    </row>
    <row r="192">
      <c r="A192" s="3">
        <v>6.776941543683E12</v>
      </c>
      <c r="B192" s="2" t="s">
        <v>1276</v>
      </c>
      <c r="C192" s="2" t="s">
        <v>1277</v>
      </c>
      <c r="D192" s="169">
        <v>45992.0</v>
      </c>
      <c r="E192" s="2">
        <v>3.13223044E9</v>
      </c>
      <c r="F192" s="2" t="s">
        <v>1278</v>
      </c>
      <c r="G192" s="2" t="s">
        <v>493</v>
      </c>
      <c r="H192" s="2">
        <v>2892.0</v>
      </c>
      <c r="I192" s="2">
        <v>2.4120050019907E13</v>
      </c>
      <c r="J192" s="3">
        <v>3.0</v>
      </c>
      <c r="L192" s="2" t="s">
        <v>1279</v>
      </c>
      <c r="M192" s="174" t="s">
        <v>409</v>
      </c>
      <c r="N192" s="2" t="s">
        <v>462</v>
      </c>
      <c r="O192" s="3">
        <v>0.5</v>
      </c>
      <c r="P192" s="2" t="s">
        <v>363</v>
      </c>
      <c r="Q192" s="3">
        <v>1650.0</v>
      </c>
      <c r="T192" s="2" t="s">
        <v>463</v>
      </c>
      <c r="U192" s="171">
        <v>2892.0</v>
      </c>
      <c r="V192" s="172">
        <v>45996.0</v>
      </c>
      <c r="W192" s="3">
        <v>342.0</v>
      </c>
      <c r="X192" s="172">
        <v>45994.635601851856</v>
      </c>
      <c r="Y192" s="172"/>
      <c r="Z192" s="3">
        <v>45992.0</v>
      </c>
      <c r="AA192" s="3"/>
    </row>
    <row r="193">
      <c r="A193" s="3">
        <v>6.776950030595E12</v>
      </c>
      <c r="B193" s="2" t="s">
        <v>1280</v>
      </c>
      <c r="C193" s="2" t="s">
        <v>1281</v>
      </c>
      <c r="D193" s="169">
        <v>45992.0</v>
      </c>
      <c r="E193" s="173" t="s">
        <v>1282</v>
      </c>
      <c r="F193" s="2" t="s">
        <v>1283</v>
      </c>
      <c r="G193" s="2" t="s">
        <v>1055</v>
      </c>
      <c r="H193" s="2">
        <v>2395.0</v>
      </c>
      <c r="I193" s="2">
        <v>2.8120050019933E13</v>
      </c>
      <c r="J193" s="3">
        <v>2.0</v>
      </c>
      <c r="K193" s="2" t="s">
        <v>1284</v>
      </c>
      <c r="L193" s="2" t="s">
        <v>1285</v>
      </c>
      <c r="M193" s="174" t="s">
        <v>409</v>
      </c>
      <c r="N193" s="2" t="s">
        <v>462</v>
      </c>
      <c r="O193" s="3">
        <v>0.5</v>
      </c>
      <c r="P193" s="2" t="s">
        <v>73</v>
      </c>
      <c r="Q193" s="3">
        <v>920.0</v>
      </c>
      <c r="T193" s="2" t="s">
        <v>463</v>
      </c>
      <c r="U193" s="171">
        <v>2395.0</v>
      </c>
      <c r="V193" s="172">
        <v>45996.0</v>
      </c>
      <c r="W193" s="3">
        <v>296.0</v>
      </c>
      <c r="X193" s="172">
        <v>45995.57797453704</v>
      </c>
      <c r="Y193" s="172"/>
      <c r="Z193" s="3">
        <v>45992.0</v>
      </c>
      <c r="AA193" s="3"/>
    </row>
    <row r="194">
      <c r="A194" s="3">
        <v>6.776970838275E12</v>
      </c>
      <c r="B194" s="2" t="s">
        <v>1286</v>
      </c>
      <c r="C194" s="2" t="s">
        <v>847</v>
      </c>
      <c r="D194" s="169">
        <v>45992.0</v>
      </c>
      <c r="E194" s="173" t="s">
        <v>848</v>
      </c>
      <c r="F194" s="2" t="s">
        <v>1287</v>
      </c>
      <c r="G194" s="2" t="s">
        <v>850</v>
      </c>
      <c r="H194" s="2">
        <v>2200.0</v>
      </c>
      <c r="I194" s="2">
        <v>2.6120050019932E13</v>
      </c>
      <c r="J194" s="3">
        <v>1.0</v>
      </c>
      <c r="K194" s="2" t="s">
        <v>1288</v>
      </c>
      <c r="L194" s="2" t="s">
        <v>1289</v>
      </c>
      <c r="M194" s="174" t="s">
        <v>409</v>
      </c>
      <c r="N194" s="2" t="s">
        <v>462</v>
      </c>
      <c r="O194" s="3">
        <v>0.5</v>
      </c>
      <c r="P194" s="2" t="s">
        <v>363</v>
      </c>
      <c r="Q194" s="3">
        <v>850.0</v>
      </c>
      <c r="T194" s="2" t="s">
        <v>463</v>
      </c>
      <c r="U194" s="3">
        <v>2200.0</v>
      </c>
      <c r="V194" s="172">
        <v>45996.0</v>
      </c>
      <c r="W194" s="3">
        <v>220.0</v>
      </c>
      <c r="X194" s="172">
        <v>45994.71224537037</v>
      </c>
      <c r="Y194" s="172"/>
      <c r="Z194" s="3">
        <v>45992.0</v>
      </c>
      <c r="AA194" s="3"/>
    </row>
    <row r="195">
      <c r="A195" s="3">
        <v>6.776977850627E12</v>
      </c>
      <c r="B195" s="2" t="s">
        <v>1290</v>
      </c>
      <c r="C195" s="2" t="s">
        <v>1291</v>
      </c>
      <c r="D195" s="169">
        <v>45992.0</v>
      </c>
      <c r="E195" s="173" t="s">
        <v>1292</v>
      </c>
      <c r="F195" s="2" t="s">
        <v>1293</v>
      </c>
      <c r="G195" s="2" t="s">
        <v>1294</v>
      </c>
      <c r="H195" s="2">
        <v>2499.0</v>
      </c>
      <c r="I195" s="2" t="s">
        <v>1295</v>
      </c>
      <c r="J195" s="3">
        <v>1.0</v>
      </c>
      <c r="K195" s="2" t="s">
        <v>1296</v>
      </c>
      <c r="L195" s="2" t="s">
        <v>519</v>
      </c>
      <c r="M195" s="174" t="s">
        <v>409</v>
      </c>
      <c r="N195" s="2" t="s">
        <v>462</v>
      </c>
      <c r="O195" s="3">
        <v>0.5</v>
      </c>
      <c r="P195" s="2" t="s">
        <v>1297</v>
      </c>
      <c r="Q195" s="3">
        <v>850.0</v>
      </c>
      <c r="U195" s="141"/>
      <c r="X195" s="172">
        <v>46057.642782650466</v>
      </c>
      <c r="Y195" s="172"/>
      <c r="Z195" s="3">
        <v>45992.0</v>
      </c>
      <c r="AA195" s="3"/>
    </row>
    <row r="196">
      <c r="A196" s="3">
        <v>6.776993906947E12</v>
      </c>
      <c r="B196" s="2" t="s">
        <v>1298</v>
      </c>
      <c r="C196" s="2" t="s">
        <v>1299</v>
      </c>
      <c r="D196" s="169">
        <v>45992.0</v>
      </c>
      <c r="E196" s="2">
        <v>3.004325576E9</v>
      </c>
      <c r="F196" s="2" t="s">
        <v>1300</v>
      </c>
      <c r="G196" s="2" t="s">
        <v>368</v>
      </c>
      <c r="H196" s="2">
        <v>0.0</v>
      </c>
      <c r="I196" s="2">
        <v>2.5120050019931E13</v>
      </c>
      <c r="J196" s="3">
        <v>0.0</v>
      </c>
      <c r="K196" s="2" t="s">
        <v>1301</v>
      </c>
      <c r="L196" s="2"/>
      <c r="M196" s="170" t="s">
        <v>455</v>
      </c>
      <c r="N196" s="2" t="s">
        <v>406</v>
      </c>
      <c r="O196" s="3">
        <v>0.5</v>
      </c>
      <c r="P196" s="2" t="s">
        <v>363</v>
      </c>
      <c r="Q196" s="3">
        <v>0.0</v>
      </c>
      <c r="T196" s="2" t="s">
        <v>463</v>
      </c>
      <c r="U196" s="2"/>
      <c r="V196" s="172">
        <v>45996.0</v>
      </c>
      <c r="W196" s="3">
        <v>228.0</v>
      </c>
      <c r="X196" s="172">
        <v>45994.603009259255</v>
      </c>
      <c r="Y196" s="172"/>
      <c r="Z196" s="3">
        <v>45992.0</v>
      </c>
      <c r="AA196" s="3"/>
    </row>
    <row r="197">
      <c r="A197" s="3">
        <v>6.776999084291E12</v>
      </c>
      <c r="B197" s="2" t="s">
        <v>1302</v>
      </c>
      <c r="C197" s="2" t="s">
        <v>1303</v>
      </c>
      <c r="D197" s="169">
        <v>45992.0</v>
      </c>
      <c r="E197" s="173" t="s">
        <v>1304</v>
      </c>
      <c r="F197" s="2" t="s">
        <v>1305</v>
      </c>
      <c r="G197" s="2" t="s">
        <v>802</v>
      </c>
      <c r="H197" s="2">
        <v>0.0</v>
      </c>
      <c r="J197" s="3">
        <v>0.0</v>
      </c>
      <c r="K197" s="2" t="s">
        <v>1306</v>
      </c>
      <c r="L197" s="2"/>
      <c r="M197" s="2" t="s">
        <v>468</v>
      </c>
      <c r="N197" s="2" t="s">
        <v>406</v>
      </c>
      <c r="O197" s="3">
        <v>0.5</v>
      </c>
      <c r="Q197" s="3">
        <v>0.0</v>
      </c>
      <c r="U197" s="141"/>
      <c r="X197" s="172">
        <v>46057.642782650466</v>
      </c>
      <c r="Y197" s="172"/>
      <c r="Z197" s="3">
        <v>45992.0</v>
      </c>
      <c r="AA197" s="3"/>
    </row>
    <row r="198">
      <c r="A198" s="3">
        <v>6.777032769795E12</v>
      </c>
      <c r="B198" s="2" t="s">
        <v>1307</v>
      </c>
      <c r="C198" s="2" t="s">
        <v>1308</v>
      </c>
      <c r="D198" s="169">
        <v>45992.0</v>
      </c>
      <c r="E198" s="2">
        <v>3.334448803E9</v>
      </c>
      <c r="F198" s="2" t="s">
        <v>1309</v>
      </c>
      <c r="G198" s="2" t="s">
        <v>945</v>
      </c>
      <c r="H198" s="2">
        <v>0.0</v>
      </c>
      <c r="I198" s="2">
        <v>2.312005001993E13</v>
      </c>
      <c r="J198" s="3">
        <v>0.0</v>
      </c>
      <c r="K198" s="2" t="s">
        <v>1310</v>
      </c>
      <c r="L198" s="2"/>
      <c r="M198" s="170" t="s">
        <v>455</v>
      </c>
      <c r="N198" s="2" t="s">
        <v>406</v>
      </c>
      <c r="O198" s="3">
        <v>0.5</v>
      </c>
      <c r="P198" s="2" t="s">
        <v>363</v>
      </c>
      <c r="Q198" s="3">
        <v>0.0</v>
      </c>
      <c r="T198" s="2" t="s">
        <v>674</v>
      </c>
      <c r="U198" s="171">
        <v>0.0</v>
      </c>
      <c r="V198" s="172">
        <v>46007.0</v>
      </c>
      <c r="W198" s="3">
        <v>227.0</v>
      </c>
      <c r="X198" s="172">
        <v>46057.642782650466</v>
      </c>
      <c r="Y198" s="172"/>
      <c r="Z198" s="3">
        <v>45992.0</v>
      </c>
      <c r="AA198" s="3"/>
    </row>
    <row r="199">
      <c r="A199" s="3">
        <v>6.777300779267E12</v>
      </c>
      <c r="B199" s="2" t="s">
        <v>1311</v>
      </c>
      <c r="C199" s="2" t="s">
        <v>1312</v>
      </c>
      <c r="D199" s="169">
        <v>45992.0</v>
      </c>
      <c r="E199" s="173" t="s">
        <v>1313</v>
      </c>
      <c r="F199" s="2" t="s">
        <v>1314</v>
      </c>
      <c r="G199" s="2" t="s">
        <v>368</v>
      </c>
      <c r="H199" s="2">
        <v>0.0</v>
      </c>
      <c r="J199" s="3">
        <v>0.0</v>
      </c>
      <c r="K199" s="2" t="s">
        <v>1315</v>
      </c>
      <c r="L199" s="2"/>
      <c r="M199" s="2" t="s">
        <v>468</v>
      </c>
      <c r="N199" s="2" t="s">
        <v>406</v>
      </c>
      <c r="O199" s="3">
        <v>0.5</v>
      </c>
      <c r="Q199" s="3">
        <v>0.0</v>
      </c>
      <c r="U199" s="141"/>
      <c r="X199" s="172">
        <v>46057.642782650466</v>
      </c>
      <c r="Y199" s="172"/>
      <c r="Z199" s="3">
        <v>45992.0</v>
      </c>
      <c r="AA199" s="3"/>
    </row>
    <row r="200">
      <c r="A200" s="3">
        <v>6.777320276227E12</v>
      </c>
      <c r="B200" s="2" t="s">
        <v>1316</v>
      </c>
      <c r="C200" s="2" t="s">
        <v>1317</v>
      </c>
      <c r="D200" s="169">
        <v>45992.0</v>
      </c>
      <c r="E200" s="2">
        <v>3.332217732E9</v>
      </c>
      <c r="F200" s="2" t="s">
        <v>1318</v>
      </c>
      <c r="G200" s="2" t="s">
        <v>493</v>
      </c>
      <c r="H200" s="2">
        <v>4445.0</v>
      </c>
      <c r="I200" s="2">
        <v>2.112005001995E13</v>
      </c>
      <c r="J200" s="3">
        <v>3.0</v>
      </c>
      <c r="L200" s="2" t="s">
        <v>1319</v>
      </c>
      <c r="M200" s="174" t="s">
        <v>409</v>
      </c>
      <c r="N200" s="2" t="s">
        <v>462</v>
      </c>
      <c r="O200" s="3">
        <v>0.5</v>
      </c>
      <c r="P200" s="2" t="s">
        <v>73</v>
      </c>
      <c r="Q200" s="3">
        <v>1830.0</v>
      </c>
      <c r="T200" s="2" t="s">
        <v>486</v>
      </c>
      <c r="U200" s="171">
        <v>4445.0</v>
      </c>
      <c r="V200" s="172">
        <v>46000.0</v>
      </c>
      <c r="W200" s="3">
        <v>405.0</v>
      </c>
      <c r="X200" s="172">
        <v>45996.82490740741</v>
      </c>
      <c r="Y200" s="172"/>
      <c r="Z200" s="3">
        <v>45992.0</v>
      </c>
      <c r="AA200" s="3"/>
    </row>
    <row r="201">
      <c r="A201" s="3">
        <v>6.777371066627E12</v>
      </c>
      <c r="B201" s="2" t="s">
        <v>1320</v>
      </c>
      <c r="C201" s="2" t="s">
        <v>1321</v>
      </c>
      <c r="D201" s="169">
        <v>45992.0</v>
      </c>
      <c r="E201" s="2">
        <v>3.000339397E9</v>
      </c>
      <c r="F201" s="2" t="s">
        <v>1322</v>
      </c>
      <c r="G201" s="2" t="s">
        <v>1323</v>
      </c>
      <c r="H201" s="2">
        <v>1094.0</v>
      </c>
      <c r="I201" s="2">
        <v>2.5120050019949E13</v>
      </c>
      <c r="J201" s="3">
        <v>1.0</v>
      </c>
      <c r="L201" s="2" t="s">
        <v>1324</v>
      </c>
      <c r="M201" s="174" t="s">
        <v>409</v>
      </c>
      <c r="N201" s="2" t="s">
        <v>462</v>
      </c>
      <c r="O201" s="3">
        <v>0.5</v>
      </c>
      <c r="P201" s="2" t="s">
        <v>363</v>
      </c>
      <c r="Q201" s="3">
        <v>550.0</v>
      </c>
      <c r="T201" s="2" t="s">
        <v>463</v>
      </c>
      <c r="U201" s="171">
        <v>1094.0</v>
      </c>
      <c r="V201" s="172">
        <v>45996.0</v>
      </c>
      <c r="W201" s="3">
        <v>264.0</v>
      </c>
      <c r="X201" s="172">
        <v>45995.550891203704</v>
      </c>
      <c r="Y201" s="172"/>
      <c r="Z201" s="3">
        <v>45992.0</v>
      </c>
      <c r="AA201" s="3"/>
    </row>
    <row r="202">
      <c r="A202" s="3">
        <v>6.777401966851E12</v>
      </c>
      <c r="B202" s="2" t="s">
        <v>1325</v>
      </c>
      <c r="C202" s="2" t="s">
        <v>1326</v>
      </c>
      <c r="D202" s="169">
        <v>45992.0</v>
      </c>
      <c r="E202" s="2">
        <v>3.01703007E9</v>
      </c>
      <c r="F202" s="2" t="s">
        <v>1327</v>
      </c>
      <c r="G202" s="2" t="s">
        <v>1328</v>
      </c>
      <c r="H202" s="2">
        <v>3045.0</v>
      </c>
      <c r="I202" s="2">
        <v>2.0120050019948E13</v>
      </c>
      <c r="J202" s="3">
        <v>2.0</v>
      </c>
      <c r="L202" s="2" t="s">
        <v>1329</v>
      </c>
      <c r="M202" s="174" t="s">
        <v>409</v>
      </c>
      <c r="N202" s="2" t="s">
        <v>462</v>
      </c>
      <c r="O202" s="3">
        <v>0.5</v>
      </c>
      <c r="P202" s="2" t="s">
        <v>363</v>
      </c>
      <c r="Q202" s="3">
        <v>960.0</v>
      </c>
      <c r="T202" s="2" t="s">
        <v>486</v>
      </c>
      <c r="U202" s="171">
        <v>3045.0</v>
      </c>
      <c r="V202" s="172">
        <v>46000.0</v>
      </c>
      <c r="W202" s="3">
        <v>342.0</v>
      </c>
      <c r="X202" s="172">
        <v>45997.65857638889</v>
      </c>
      <c r="Y202" s="172"/>
      <c r="Z202" s="3">
        <v>45992.0</v>
      </c>
      <c r="AA202" s="3"/>
    </row>
    <row r="203">
      <c r="A203" s="3">
        <v>6.777507545347E12</v>
      </c>
      <c r="B203" s="2" t="s">
        <v>1330</v>
      </c>
      <c r="C203" s="2" t="s">
        <v>1331</v>
      </c>
      <c r="D203" s="169">
        <v>45992.0</v>
      </c>
      <c r="E203" s="173" t="s">
        <v>1332</v>
      </c>
      <c r="F203" s="2" t="s">
        <v>1333</v>
      </c>
      <c r="G203" s="2" t="s">
        <v>493</v>
      </c>
      <c r="H203" s="2">
        <v>2045.0</v>
      </c>
      <c r="I203" s="2">
        <v>2.3120050019955E13</v>
      </c>
      <c r="J203" s="3">
        <v>1.0</v>
      </c>
      <c r="K203" s="2" t="s">
        <v>1334</v>
      </c>
      <c r="L203" s="2" t="s">
        <v>1176</v>
      </c>
      <c r="M203" s="174" t="s">
        <v>409</v>
      </c>
      <c r="N203" s="2" t="s">
        <v>406</v>
      </c>
      <c r="O203" s="3">
        <v>0.5</v>
      </c>
      <c r="P203" s="2" t="s">
        <v>363</v>
      </c>
      <c r="Q203" s="3">
        <v>850.0</v>
      </c>
      <c r="T203" s="2" t="s">
        <v>486</v>
      </c>
      <c r="U203" s="2">
        <v>2045.0</v>
      </c>
      <c r="V203" s="172">
        <v>46000.0</v>
      </c>
      <c r="W203" s="3">
        <v>409.0</v>
      </c>
      <c r="X203" s="172">
        <v>45997.524618055555</v>
      </c>
      <c r="Y203" s="172"/>
      <c r="Z203" s="3">
        <v>45992.0</v>
      </c>
      <c r="AA203" s="3"/>
    </row>
    <row r="204">
      <c r="A204" s="3">
        <v>6.777552765187E12</v>
      </c>
      <c r="B204" s="2" t="s">
        <v>1335</v>
      </c>
      <c r="C204" s="2" t="s">
        <v>1336</v>
      </c>
      <c r="D204" s="169">
        <v>45992.0</v>
      </c>
      <c r="E204" s="2">
        <v>3.444451944E9</v>
      </c>
      <c r="F204" s="2" t="s">
        <v>1337</v>
      </c>
      <c r="G204" s="2" t="s">
        <v>1016</v>
      </c>
      <c r="H204" s="2">
        <v>0.0</v>
      </c>
      <c r="I204" s="2">
        <v>2.2120050019947E13</v>
      </c>
      <c r="J204" s="3">
        <v>0.0</v>
      </c>
      <c r="K204" s="2" t="s">
        <v>1338</v>
      </c>
      <c r="L204" s="2"/>
      <c r="M204" s="170" t="s">
        <v>455</v>
      </c>
      <c r="N204" s="2" t="s">
        <v>406</v>
      </c>
      <c r="O204" s="3">
        <v>0.5</v>
      </c>
      <c r="P204" s="2" t="s">
        <v>363</v>
      </c>
      <c r="Q204" s="3">
        <v>0.0</v>
      </c>
      <c r="T204" s="2" t="s">
        <v>456</v>
      </c>
      <c r="U204" s="171">
        <v>0.0</v>
      </c>
      <c r="V204" s="172">
        <v>46003.0</v>
      </c>
      <c r="W204" s="3">
        <v>200.0</v>
      </c>
      <c r="X204" s="172">
        <v>46057.642782650466</v>
      </c>
      <c r="Y204" s="172"/>
      <c r="Z204" s="3">
        <v>45992.0</v>
      </c>
      <c r="AA204" s="3"/>
    </row>
    <row r="205">
      <c r="A205" s="3">
        <v>6.777592447235E12</v>
      </c>
      <c r="B205" s="2" t="s">
        <v>1339</v>
      </c>
      <c r="C205" s="2" t="s">
        <v>1340</v>
      </c>
      <c r="D205" s="169">
        <v>45992.0</v>
      </c>
      <c r="E205" s="2">
        <v>3.238808912E9</v>
      </c>
      <c r="F205" s="2" t="s">
        <v>1341</v>
      </c>
      <c r="G205" s="2" t="s">
        <v>1342</v>
      </c>
      <c r="H205" s="2">
        <v>0.0</v>
      </c>
      <c r="J205" s="3">
        <v>0.0</v>
      </c>
      <c r="K205" s="2" t="s">
        <v>1343</v>
      </c>
      <c r="L205" s="2"/>
      <c r="M205" s="2" t="s">
        <v>468</v>
      </c>
      <c r="N205" s="2" t="s">
        <v>406</v>
      </c>
      <c r="O205" s="3">
        <v>0.5</v>
      </c>
      <c r="Q205" s="3">
        <v>0.0</v>
      </c>
      <c r="U205" s="141"/>
      <c r="X205" s="172">
        <v>46057.642782650466</v>
      </c>
      <c r="Y205" s="172"/>
      <c r="Z205" s="3">
        <v>45992.0</v>
      </c>
      <c r="AA205" s="3"/>
    </row>
    <row r="206">
      <c r="A206" s="3">
        <v>6.777607094531E12</v>
      </c>
      <c r="B206" s="2" t="s">
        <v>1344</v>
      </c>
      <c r="C206" s="2" t="s">
        <v>1345</v>
      </c>
      <c r="D206" s="169">
        <v>45992.0</v>
      </c>
      <c r="E206" s="2">
        <v>3.320975394E9</v>
      </c>
      <c r="F206" s="2" t="s">
        <v>1346</v>
      </c>
      <c r="G206" s="2" t="s">
        <v>366</v>
      </c>
      <c r="H206" s="2">
        <v>0.0</v>
      </c>
      <c r="I206" s="2">
        <v>2.9120050019946E13</v>
      </c>
      <c r="J206" s="3">
        <v>0.0</v>
      </c>
      <c r="K206" s="2" t="s">
        <v>1347</v>
      </c>
      <c r="L206" s="2"/>
      <c r="M206" s="170" t="s">
        <v>455</v>
      </c>
      <c r="N206" s="2" t="s">
        <v>406</v>
      </c>
      <c r="O206" s="3">
        <v>0.5</v>
      </c>
      <c r="P206" s="2" t="s">
        <v>363</v>
      </c>
      <c r="Q206" s="3">
        <v>0.0</v>
      </c>
      <c r="T206" s="2" t="s">
        <v>599</v>
      </c>
      <c r="U206" s="171">
        <v>0.0</v>
      </c>
      <c r="V206" s="172">
        <v>46010.0</v>
      </c>
      <c r="W206" s="3">
        <v>200.0</v>
      </c>
      <c r="X206" s="172">
        <v>46057.642782650466</v>
      </c>
      <c r="Y206" s="172"/>
      <c r="Z206" s="3">
        <v>45992.0</v>
      </c>
      <c r="AA206" s="3"/>
    </row>
    <row r="207">
      <c r="A207" s="3">
        <v>6.777659031811E12</v>
      </c>
      <c r="B207" s="2" t="s">
        <v>1348</v>
      </c>
      <c r="C207" s="2" t="s">
        <v>1349</v>
      </c>
      <c r="D207" s="169">
        <v>45992.0</v>
      </c>
      <c r="E207" s="2">
        <v>3.214788084E9</v>
      </c>
      <c r="F207" s="2" t="s">
        <v>1350</v>
      </c>
      <c r="G207" s="2" t="s">
        <v>1257</v>
      </c>
      <c r="H207" s="2">
        <v>0.0</v>
      </c>
      <c r="I207" s="2">
        <v>2.2120050019929E13</v>
      </c>
      <c r="J207" s="3">
        <v>0.0</v>
      </c>
      <c r="K207" s="2" t="s">
        <v>1026</v>
      </c>
      <c r="L207" s="2"/>
      <c r="M207" s="170" t="s">
        <v>455</v>
      </c>
      <c r="N207" s="2" t="s">
        <v>406</v>
      </c>
      <c r="O207" s="3">
        <v>0.5</v>
      </c>
      <c r="P207" s="2" t="s">
        <v>363</v>
      </c>
      <c r="Q207" s="3">
        <v>0.0</v>
      </c>
      <c r="T207" s="2" t="s">
        <v>456</v>
      </c>
      <c r="U207" s="171">
        <v>0.0</v>
      </c>
      <c r="V207" s="172">
        <v>46003.0</v>
      </c>
      <c r="W207" s="3">
        <v>220.0</v>
      </c>
      <c r="X207" s="172">
        <v>46057.642782650466</v>
      </c>
      <c r="Y207" s="172"/>
      <c r="Z207" s="3">
        <v>45992.0</v>
      </c>
      <c r="AA207" s="3"/>
    </row>
    <row r="208">
      <c r="A208" s="3">
        <v>6.777700712707E12</v>
      </c>
      <c r="B208" s="2" t="s">
        <v>1351</v>
      </c>
      <c r="C208" s="2" t="s">
        <v>1352</v>
      </c>
      <c r="D208" s="169">
        <v>45992.0</v>
      </c>
      <c r="E208" s="173" t="s">
        <v>1353</v>
      </c>
      <c r="F208" s="2" t="s">
        <v>1354</v>
      </c>
      <c r="G208" s="2" t="s">
        <v>493</v>
      </c>
      <c r="H208" s="2">
        <v>3695.0</v>
      </c>
      <c r="I208" s="2">
        <v>2.1120050019945E13</v>
      </c>
      <c r="J208" s="3">
        <v>2.0</v>
      </c>
      <c r="L208" s="2" t="s">
        <v>275</v>
      </c>
      <c r="M208" s="174" t="s">
        <v>409</v>
      </c>
      <c r="N208" s="2" t="s">
        <v>462</v>
      </c>
      <c r="O208" s="3">
        <v>0.5</v>
      </c>
      <c r="P208" s="2" t="s">
        <v>73</v>
      </c>
      <c r="Q208" s="3">
        <v>960.0</v>
      </c>
      <c r="T208" s="2" t="s">
        <v>463</v>
      </c>
      <c r="U208" s="171">
        <v>3695.0</v>
      </c>
      <c r="V208" s="172">
        <v>45996.0</v>
      </c>
      <c r="W208" s="3">
        <v>375.0</v>
      </c>
      <c r="X208" s="172">
        <v>45996.473229166666</v>
      </c>
      <c r="Y208" s="172"/>
      <c r="Z208" s="3">
        <v>45992.0</v>
      </c>
      <c r="AA208" s="3"/>
    </row>
    <row r="209">
      <c r="A209" s="3">
        <v>6.777760284931E12</v>
      </c>
      <c r="B209" s="2" t="s">
        <v>1355</v>
      </c>
      <c r="C209" s="2" t="s">
        <v>1356</v>
      </c>
      <c r="D209" s="169">
        <v>45993.0</v>
      </c>
      <c r="E209" s="2">
        <v>3.232051965E9</v>
      </c>
      <c r="F209" s="2" t="s">
        <v>1357</v>
      </c>
      <c r="G209" s="2" t="s">
        <v>493</v>
      </c>
      <c r="H209" s="2">
        <v>2694.0</v>
      </c>
      <c r="I209" s="2">
        <v>2.0120050019928E13</v>
      </c>
      <c r="J209" s="3">
        <v>1.0</v>
      </c>
      <c r="L209" s="2" t="s">
        <v>512</v>
      </c>
      <c r="M209" s="174" t="s">
        <v>409</v>
      </c>
      <c r="N209" s="2" t="s">
        <v>462</v>
      </c>
      <c r="O209" s="3">
        <v>0.5</v>
      </c>
      <c r="P209" s="2" t="s">
        <v>363</v>
      </c>
      <c r="Q209" s="3">
        <v>850.0</v>
      </c>
      <c r="T209" s="2" t="s">
        <v>486</v>
      </c>
      <c r="U209" s="171">
        <v>2694.0</v>
      </c>
      <c r="V209" s="172">
        <v>46000.0</v>
      </c>
      <c r="W209" s="3">
        <v>335.0</v>
      </c>
      <c r="X209" s="172">
        <v>45996.59819444444</v>
      </c>
      <c r="Y209" s="172"/>
      <c r="Z209" s="3">
        <v>45993.0</v>
      </c>
      <c r="AA209" s="3"/>
    </row>
    <row r="210">
      <c r="A210" s="3">
        <v>6.777780797699E12</v>
      </c>
      <c r="B210" s="2" t="s">
        <v>1358</v>
      </c>
      <c r="C210" s="2" t="s">
        <v>1359</v>
      </c>
      <c r="D210" s="169">
        <v>45993.0</v>
      </c>
      <c r="E210" s="2">
        <v>3.258920836E9</v>
      </c>
      <c r="F210" s="2" t="s">
        <v>1360</v>
      </c>
      <c r="G210" s="2" t="s">
        <v>1361</v>
      </c>
      <c r="H210" s="2">
        <v>3445.0</v>
      </c>
      <c r="I210" s="2">
        <v>2.9120050019927E13</v>
      </c>
      <c r="J210" s="3">
        <v>1.0</v>
      </c>
      <c r="L210" s="2" t="s">
        <v>1362</v>
      </c>
      <c r="M210" s="174" t="s">
        <v>409</v>
      </c>
      <c r="N210" s="2" t="s">
        <v>462</v>
      </c>
      <c r="O210" s="3">
        <v>0.5</v>
      </c>
      <c r="P210" s="2" t="s">
        <v>363</v>
      </c>
      <c r="Q210" s="3">
        <v>2300.0</v>
      </c>
      <c r="T210" s="2" t="s">
        <v>463</v>
      </c>
      <c r="U210" s="171">
        <v>3445.0</v>
      </c>
      <c r="V210" s="172">
        <v>45996.0</v>
      </c>
      <c r="W210" s="3">
        <v>365.0</v>
      </c>
      <c r="X210" s="172">
        <v>45995.59049768519</v>
      </c>
      <c r="Y210" s="172"/>
      <c r="Z210" s="3">
        <v>45993.0</v>
      </c>
      <c r="AA210" s="3"/>
    </row>
    <row r="211">
      <c r="A211" s="3">
        <v>6.777785909507E12</v>
      </c>
      <c r="B211" s="2" t="s">
        <v>1363</v>
      </c>
      <c r="C211" s="2" t="s">
        <v>1364</v>
      </c>
      <c r="D211" s="169">
        <v>45993.0</v>
      </c>
      <c r="E211" s="2">
        <v>3.055577328E9</v>
      </c>
      <c r="F211" s="2" t="s">
        <v>1365</v>
      </c>
      <c r="G211" s="2" t="s">
        <v>1366</v>
      </c>
      <c r="H211" s="2">
        <v>2694.0</v>
      </c>
      <c r="I211" s="2">
        <v>2.7120050019926E13</v>
      </c>
      <c r="J211" s="3">
        <v>1.0</v>
      </c>
      <c r="L211" s="2" t="s">
        <v>512</v>
      </c>
      <c r="M211" s="174" t="s">
        <v>409</v>
      </c>
      <c r="N211" s="2" t="s">
        <v>462</v>
      </c>
      <c r="O211" s="3">
        <v>0.5</v>
      </c>
      <c r="P211" s="2" t="s">
        <v>363</v>
      </c>
      <c r="Q211" s="3">
        <v>850.0</v>
      </c>
      <c r="T211" s="2" t="s">
        <v>463</v>
      </c>
      <c r="U211" s="171">
        <v>2694.0</v>
      </c>
      <c r="V211" s="172">
        <v>45996.0</v>
      </c>
      <c r="W211" s="3">
        <v>328.0</v>
      </c>
      <c r="X211" s="172">
        <v>45995.64619212963</v>
      </c>
      <c r="Y211" s="172"/>
      <c r="Z211" s="3">
        <v>45993.0</v>
      </c>
      <c r="AA211" s="3"/>
    </row>
    <row r="212">
      <c r="A212" s="3">
        <v>6.777837682947E12</v>
      </c>
      <c r="B212" s="2" t="s">
        <v>1367</v>
      </c>
      <c r="C212" s="2" t="s">
        <v>988</v>
      </c>
      <c r="D212" s="169">
        <v>45993.0</v>
      </c>
      <c r="E212" s="2">
        <v>3.062971714E9</v>
      </c>
      <c r="F212" s="2" t="s">
        <v>1368</v>
      </c>
      <c r="G212" s="2" t="s">
        <v>493</v>
      </c>
      <c r="H212" s="2">
        <v>0.0</v>
      </c>
      <c r="J212" s="3">
        <v>0.0</v>
      </c>
      <c r="K212" s="2" t="s">
        <v>571</v>
      </c>
      <c r="L212" s="2"/>
      <c r="M212" s="2" t="s">
        <v>468</v>
      </c>
      <c r="N212" s="2" t="s">
        <v>406</v>
      </c>
      <c r="O212" s="3">
        <v>0.5</v>
      </c>
      <c r="Q212" s="3">
        <v>0.0</v>
      </c>
      <c r="U212" s="141"/>
      <c r="X212" s="172">
        <v>46057.642782650466</v>
      </c>
      <c r="Y212" s="172"/>
      <c r="Z212" s="3">
        <v>45993.0</v>
      </c>
      <c r="AA212" s="3"/>
    </row>
    <row r="213">
      <c r="A213" s="3">
        <v>6.777890636035E12</v>
      </c>
      <c r="B213" s="2" t="s">
        <v>1369</v>
      </c>
      <c r="C213" s="2" t="s">
        <v>1370</v>
      </c>
      <c r="D213" s="169">
        <v>45993.0</v>
      </c>
      <c r="E213" s="2">
        <v>3.03208237E9</v>
      </c>
      <c r="F213" s="2" t="s">
        <v>1371</v>
      </c>
      <c r="G213" s="2" t="s">
        <v>493</v>
      </c>
      <c r="H213" s="2">
        <v>0.0</v>
      </c>
      <c r="I213" s="2">
        <v>2.9120050019925E13</v>
      </c>
      <c r="J213" s="3">
        <v>0.0</v>
      </c>
      <c r="K213" s="2" t="s">
        <v>1372</v>
      </c>
      <c r="L213" s="2"/>
      <c r="M213" s="170" t="s">
        <v>455</v>
      </c>
      <c r="N213" s="2" t="s">
        <v>406</v>
      </c>
      <c r="O213" s="3">
        <v>0.5</v>
      </c>
      <c r="P213" s="2" t="s">
        <v>363</v>
      </c>
      <c r="Q213" s="3">
        <v>0.0</v>
      </c>
      <c r="T213" s="2" t="s">
        <v>599</v>
      </c>
      <c r="U213" s="171">
        <v>0.0</v>
      </c>
      <c r="V213" s="172">
        <v>46010.0</v>
      </c>
      <c r="W213" s="3">
        <v>227.0</v>
      </c>
      <c r="X213" s="172">
        <v>46057.642782650466</v>
      </c>
      <c r="Y213" s="172"/>
      <c r="Z213" s="3">
        <v>45993.0</v>
      </c>
      <c r="AA213" s="3"/>
    </row>
    <row r="214">
      <c r="A214" s="3">
        <v>6.777904431363E12</v>
      </c>
      <c r="B214" s="2" t="s">
        <v>1373</v>
      </c>
      <c r="C214" s="2" t="s">
        <v>1374</v>
      </c>
      <c r="D214" s="169">
        <v>45993.0</v>
      </c>
      <c r="E214" s="2">
        <v>3.202243322E9</v>
      </c>
      <c r="F214" s="2" t="s">
        <v>1375</v>
      </c>
      <c r="G214" s="2" t="s">
        <v>1376</v>
      </c>
      <c r="H214" s="2">
        <v>0.0</v>
      </c>
      <c r="I214" s="2">
        <v>2.8120050019924E13</v>
      </c>
      <c r="J214" s="3">
        <v>0.0</v>
      </c>
      <c r="K214" s="2" t="s">
        <v>1377</v>
      </c>
      <c r="L214" s="2"/>
      <c r="M214" s="170" t="s">
        <v>455</v>
      </c>
      <c r="N214" s="2" t="s">
        <v>406</v>
      </c>
      <c r="O214" s="3">
        <v>0.5</v>
      </c>
      <c r="P214" s="2" t="s">
        <v>73</v>
      </c>
      <c r="Q214" s="3">
        <v>0.0</v>
      </c>
      <c r="T214" s="2" t="s">
        <v>456</v>
      </c>
      <c r="U214" s="171">
        <v>0.0</v>
      </c>
      <c r="V214" s="172">
        <v>46003.0</v>
      </c>
      <c r="W214" s="3">
        <v>407.0</v>
      </c>
      <c r="X214" s="172">
        <v>46057.642782650466</v>
      </c>
      <c r="Y214" s="172"/>
      <c r="Z214" s="3">
        <v>45993.0</v>
      </c>
      <c r="AA214" s="3"/>
    </row>
    <row r="215">
      <c r="A215" s="3">
        <v>6.778008338691E12</v>
      </c>
      <c r="B215" s="2" t="s">
        <v>1378</v>
      </c>
      <c r="C215" s="2" t="s">
        <v>1379</v>
      </c>
      <c r="D215" s="169">
        <v>45993.0</v>
      </c>
      <c r="E215" s="2">
        <v>3.115771151E9</v>
      </c>
      <c r="F215" s="2" t="s">
        <v>1380</v>
      </c>
      <c r="G215" s="2" t="s">
        <v>366</v>
      </c>
      <c r="H215" s="2">
        <v>195.0</v>
      </c>
      <c r="I215" s="2">
        <v>2.7120050019923E13</v>
      </c>
      <c r="J215" s="3">
        <v>0.0</v>
      </c>
      <c r="L215" s="2"/>
      <c r="M215" s="174" t="s">
        <v>409</v>
      </c>
      <c r="N215" s="2" t="s">
        <v>462</v>
      </c>
      <c r="O215" s="3">
        <v>0.5</v>
      </c>
      <c r="P215" s="2" t="s">
        <v>363</v>
      </c>
      <c r="Q215" s="3">
        <v>0.0</v>
      </c>
      <c r="T215" s="2" t="s">
        <v>486</v>
      </c>
      <c r="U215" s="3">
        <v>195.0</v>
      </c>
      <c r="V215" s="172">
        <v>46000.0</v>
      </c>
      <c r="W215" s="3">
        <v>404.0</v>
      </c>
      <c r="X215" s="172">
        <v>45996.546053240745</v>
      </c>
      <c r="Y215" s="172"/>
      <c r="Z215" s="3">
        <v>45993.0</v>
      </c>
      <c r="AA215" s="3"/>
    </row>
    <row r="216">
      <c r="A216" s="3">
        <v>6.778017218819E12</v>
      </c>
      <c r="B216" s="2" t="s">
        <v>1381</v>
      </c>
      <c r="C216" s="2" t="s">
        <v>1382</v>
      </c>
      <c r="D216" s="169">
        <v>45993.0</v>
      </c>
      <c r="E216" s="2">
        <v>3.084630214E9</v>
      </c>
      <c r="F216" s="2" t="s">
        <v>1383</v>
      </c>
      <c r="G216" s="2" t="s">
        <v>368</v>
      </c>
      <c r="H216" s="2">
        <v>2694.0</v>
      </c>
      <c r="I216" s="2">
        <v>2.2120050019984E13</v>
      </c>
      <c r="J216" s="3">
        <v>1.0</v>
      </c>
      <c r="L216" s="2" t="s">
        <v>500</v>
      </c>
      <c r="M216" s="174" t="s">
        <v>409</v>
      </c>
      <c r="N216" s="2" t="s">
        <v>462</v>
      </c>
      <c r="O216" s="3">
        <v>0.5</v>
      </c>
      <c r="P216" s="2" t="s">
        <v>363</v>
      </c>
      <c r="Q216" s="3">
        <v>850.0</v>
      </c>
      <c r="T216" s="2" t="s">
        <v>463</v>
      </c>
      <c r="U216" s="171">
        <v>2694.0</v>
      </c>
      <c r="V216" s="172">
        <v>45996.0</v>
      </c>
      <c r="W216" s="3">
        <v>214.0</v>
      </c>
      <c r="X216" s="172">
        <v>45995.548125</v>
      </c>
      <c r="Y216" s="172"/>
      <c r="Z216" s="3">
        <v>45993.0</v>
      </c>
      <c r="AA216" s="3"/>
    </row>
    <row r="217">
      <c r="A217" s="3">
        <v>6.778035142915E12</v>
      </c>
      <c r="B217" s="2" t="s">
        <v>1384</v>
      </c>
      <c r="C217" s="2" t="s">
        <v>1385</v>
      </c>
      <c r="D217" s="169">
        <v>45993.0</v>
      </c>
      <c r="E217" s="2">
        <v>3.123396336E9</v>
      </c>
      <c r="F217" s="2" t="s">
        <v>1386</v>
      </c>
      <c r="G217" s="2" t="s">
        <v>493</v>
      </c>
      <c r="H217" s="2">
        <v>1094.0</v>
      </c>
      <c r="I217" s="2">
        <v>2.9120050019944E13</v>
      </c>
      <c r="J217" s="3">
        <v>1.0</v>
      </c>
      <c r="L217" s="2" t="s">
        <v>1324</v>
      </c>
      <c r="M217" s="174" t="s">
        <v>409</v>
      </c>
      <c r="N217" s="2" t="s">
        <v>462</v>
      </c>
      <c r="O217" s="3">
        <v>0.5</v>
      </c>
      <c r="P217" s="2" t="s">
        <v>363</v>
      </c>
      <c r="Q217" s="3">
        <v>550.0</v>
      </c>
      <c r="T217" s="2" t="s">
        <v>486</v>
      </c>
      <c r="U217" s="171">
        <v>1094.0</v>
      </c>
      <c r="V217" s="172">
        <v>46000.0</v>
      </c>
      <c r="W217" s="3">
        <v>257.0</v>
      </c>
      <c r="X217" s="172">
        <v>45996.747094907405</v>
      </c>
      <c r="Y217" s="172"/>
      <c r="Z217" s="3">
        <v>45993.0</v>
      </c>
      <c r="AA217" s="3"/>
    </row>
    <row r="218">
      <c r="A218" s="3">
        <v>6.778040549635E12</v>
      </c>
      <c r="B218" s="2" t="s">
        <v>1387</v>
      </c>
      <c r="C218" s="2" t="s">
        <v>1388</v>
      </c>
      <c r="D218" s="169">
        <v>45993.0</v>
      </c>
      <c r="E218" s="2">
        <v>3.306836536E9</v>
      </c>
      <c r="F218" s="2" t="s">
        <v>1389</v>
      </c>
      <c r="G218" s="2" t="s">
        <v>1390</v>
      </c>
      <c r="H218" s="2">
        <v>0.0</v>
      </c>
      <c r="I218" s="2">
        <v>2.7120050019922E13</v>
      </c>
      <c r="J218" s="3">
        <v>0.0</v>
      </c>
      <c r="K218" s="2" t="s">
        <v>1026</v>
      </c>
      <c r="L218" s="2"/>
      <c r="M218" s="170" t="s">
        <v>455</v>
      </c>
      <c r="N218" s="2" t="s">
        <v>406</v>
      </c>
      <c r="O218" s="3">
        <v>0.5</v>
      </c>
      <c r="P218" s="2" t="s">
        <v>363</v>
      </c>
      <c r="Q218" s="3">
        <v>0.0</v>
      </c>
      <c r="T218" s="2" t="s">
        <v>456</v>
      </c>
      <c r="U218" s="171">
        <v>0.0</v>
      </c>
      <c r="V218" s="172">
        <v>46003.0</v>
      </c>
      <c r="W218" s="3">
        <v>220.0</v>
      </c>
      <c r="X218" s="172">
        <v>46057.642782650466</v>
      </c>
      <c r="Y218" s="172"/>
      <c r="Z218" s="3">
        <v>45993.0</v>
      </c>
      <c r="AA218" s="3"/>
    </row>
    <row r="219">
      <c r="A219" s="3">
        <v>6.778044580099E12</v>
      </c>
      <c r="B219" s="2" t="s">
        <v>1391</v>
      </c>
      <c r="C219" s="2" t="s">
        <v>1392</v>
      </c>
      <c r="D219" s="169">
        <v>45993.0</v>
      </c>
      <c r="E219" s="173" t="s">
        <v>1393</v>
      </c>
      <c r="F219" s="2" t="s">
        <v>1394</v>
      </c>
      <c r="G219" s="2" t="s">
        <v>1395</v>
      </c>
      <c r="H219" s="2">
        <v>0.0</v>
      </c>
      <c r="I219" s="2">
        <v>2.1120050019978E13</v>
      </c>
      <c r="J219" s="3">
        <v>0.0</v>
      </c>
      <c r="K219" s="2" t="s">
        <v>1396</v>
      </c>
      <c r="L219" s="2"/>
      <c r="M219" s="170" t="s">
        <v>455</v>
      </c>
      <c r="N219" s="2" t="s">
        <v>406</v>
      </c>
      <c r="O219" s="3">
        <v>0.5</v>
      </c>
      <c r="P219" s="2" t="s">
        <v>73</v>
      </c>
      <c r="Q219" s="3">
        <v>0.0</v>
      </c>
      <c r="T219" s="2" t="s">
        <v>456</v>
      </c>
      <c r="U219" s="171">
        <v>0.0</v>
      </c>
      <c r="V219" s="172">
        <v>46003.0</v>
      </c>
      <c r="W219" s="3">
        <v>227.0</v>
      </c>
      <c r="X219" s="172">
        <v>46057.642782650466</v>
      </c>
      <c r="Y219" s="172"/>
      <c r="Z219" s="3">
        <v>45993.0</v>
      </c>
      <c r="AA219" s="3"/>
    </row>
    <row r="220">
      <c r="A220" s="3">
        <v>6.778232570115E12</v>
      </c>
      <c r="B220" s="2" t="s">
        <v>1397</v>
      </c>
      <c r="C220" s="2" t="s">
        <v>1398</v>
      </c>
      <c r="D220" s="169">
        <v>45993.0</v>
      </c>
      <c r="E220" s="2">
        <v>3.320655561E9</v>
      </c>
      <c r="F220" s="2" t="s">
        <v>1399</v>
      </c>
      <c r="G220" s="2" t="s">
        <v>368</v>
      </c>
      <c r="H220" s="2">
        <v>4595.0</v>
      </c>
      <c r="I220" s="2">
        <v>2.8120050019921E13</v>
      </c>
      <c r="J220" s="3">
        <v>2.0</v>
      </c>
      <c r="L220" s="2" t="s">
        <v>913</v>
      </c>
      <c r="M220" s="174" t="s">
        <v>409</v>
      </c>
      <c r="N220" s="2" t="s">
        <v>462</v>
      </c>
      <c r="O220" s="3">
        <v>0.5</v>
      </c>
      <c r="P220" s="2" t="s">
        <v>73</v>
      </c>
      <c r="Q220" s="3">
        <v>1700.0</v>
      </c>
      <c r="T220" s="2" t="s">
        <v>463</v>
      </c>
      <c r="U220" s="171">
        <v>4595.0</v>
      </c>
      <c r="V220" s="172">
        <v>45996.0</v>
      </c>
      <c r="W220" s="3">
        <v>371.0</v>
      </c>
      <c r="X220" s="172">
        <v>45994.46134259259</v>
      </c>
      <c r="Y220" s="172"/>
      <c r="Z220" s="3">
        <v>45993.0</v>
      </c>
      <c r="AA220" s="3"/>
    </row>
    <row r="221">
      <c r="A221" s="3">
        <v>6.778344014083E12</v>
      </c>
      <c r="B221" s="2" t="s">
        <v>1400</v>
      </c>
      <c r="C221" s="2" t="s">
        <v>1401</v>
      </c>
      <c r="D221" s="169">
        <v>45993.0</v>
      </c>
      <c r="E221" s="2">
        <v>3.000057343E9</v>
      </c>
      <c r="F221" s="2" t="s">
        <v>1402</v>
      </c>
      <c r="G221" s="2" t="s">
        <v>1016</v>
      </c>
      <c r="H221" s="2">
        <v>0.0</v>
      </c>
      <c r="J221" s="3">
        <v>0.0</v>
      </c>
      <c r="K221" s="2" t="s">
        <v>1403</v>
      </c>
      <c r="L221" s="2"/>
      <c r="M221" s="2" t="s">
        <v>468</v>
      </c>
      <c r="N221" s="2" t="s">
        <v>406</v>
      </c>
      <c r="O221" s="3">
        <v>0.5</v>
      </c>
      <c r="Q221" s="3">
        <v>0.0</v>
      </c>
      <c r="U221" s="141"/>
      <c r="X221" s="172">
        <v>46057.642782650466</v>
      </c>
      <c r="Y221" s="172"/>
      <c r="Z221" s="3">
        <v>45993.0</v>
      </c>
      <c r="AA221" s="3"/>
    </row>
    <row r="222">
      <c r="A222" s="3">
        <v>6.778577748227E12</v>
      </c>
      <c r="B222" s="2" t="s">
        <v>1404</v>
      </c>
      <c r="C222" s="2" t="s">
        <v>1405</v>
      </c>
      <c r="D222" s="169">
        <v>45993.0</v>
      </c>
      <c r="E222" s="2">
        <v>3.03940389E9</v>
      </c>
      <c r="F222" s="2" t="s">
        <v>1406</v>
      </c>
      <c r="G222" s="2" t="s">
        <v>541</v>
      </c>
      <c r="H222" s="2">
        <v>2694.0</v>
      </c>
      <c r="I222" s="2">
        <v>2.412005001992E13</v>
      </c>
      <c r="J222" s="3">
        <v>1.0</v>
      </c>
      <c r="L222" s="2" t="s">
        <v>519</v>
      </c>
      <c r="M222" s="174" t="s">
        <v>409</v>
      </c>
      <c r="N222" s="2" t="s">
        <v>462</v>
      </c>
      <c r="O222" s="3">
        <v>0.5</v>
      </c>
      <c r="P222" s="2" t="s">
        <v>363</v>
      </c>
      <c r="Q222" s="3">
        <v>850.0</v>
      </c>
      <c r="T222" s="2" t="s">
        <v>486</v>
      </c>
      <c r="U222" s="171">
        <v>2694.0</v>
      </c>
      <c r="V222" s="172">
        <v>46000.0</v>
      </c>
      <c r="W222" s="3">
        <v>328.0</v>
      </c>
      <c r="X222" s="172">
        <v>45998.587685185186</v>
      </c>
      <c r="Y222" s="172"/>
      <c r="Z222" s="3">
        <v>45993.0</v>
      </c>
      <c r="AA222" s="3"/>
    </row>
    <row r="223">
      <c r="A223" s="3">
        <v>6.778685980931E12</v>
      </c>
      <c r="B223" s="2" t="s">
        <v>1407</v>
      </c>
      <c r="C223" s="2" t="s">
        <v>1408</v>
      </c>
      <c r="D223" s="169">
        <v>45993.0</v>
      </c>
      <c r="E223" s="173" t="s">
        <v>1409</v>
      </c>
      <c r="F223" s="2" t="s">
        <v>1410</v>
      </c>
      <c r="G223" s="2" t="s">
        <v>368</v>
      </c>
      <c r="H223" s="2">
        <v>2694.0</v>
      </c>
      <c r="I223" s="2">
        <v>2.5120050019919E13</v>
      </c>
      <c r="J223" s="3">
        <v>1.0</v>
      </c>
      <c r="L223" s="2" t="s">
        <v>519</v>
      </c>
      <c r="M223" s="174" t="s">
        <v>409</v>
      </c>
      <c r="N223" s="2" t="s">
        <v>462</v>
      </c>
      <c r="O223" s="3">
        <v>0.5</v>
      </c>
      <c r="P223" s="2" t="s">
        <v>363</v>
      </c>
      <c r="Q223" s="3">
        <v>850.0</v>
      </c>
      <c r="T223" s="2" t="s">
        <v>463</v>
      </c>
      <c r="U223" s="171">
        <v>2694.0</v>
      </c>
      <c r="V223" s="172">
        <v>45996.0</v>
      </c>
      <c r="W223" s="3">
        <v>214.0</v>
      </c>
      <c r="X223" s="172">
        <v>45995.599490740744</v>
      </c>
      <c r="Y223" s="172"/>
      <c r="Z223" s="3">
        <v>45993.0</v>
      </c>
      <c r="AA223" s="3"/>
    </row>
    <row r="224">
      <c r="A224" s="3">
        <v>6.778788937987E12</v>
      </c>
      <c r="B224" s="2" t="s">
        <v>1411</v>
      </c>
      <c r="C224" s="2" t="s">
        <v>1412</v>
      </c>
      <c r="D224" s="169">
        <v>45993.0</v>
      </c>
      <c r="E224" s="2">
        <v>3.474065437E9</v>
      </c>
      <c r="F224" s="2" t="s">
        <v>1413</v>
      </c>
      <c r="G224" s="2" t="s">
        <v>368</v>
      </c>
      <c r="H224" s="2">
        <v>195.0</v>
      </c>
      <c r="I224" s="2">
        <v>2.1120050019918E13</v>
      </c>
      <c r="J224" s="3">
        <v>0.0</v>
      </c>
      <c r="K224" s="2" t="s">
        <v>1414</v>
      </c>
      <c r="L224" s="2"/>
      <c r="M224" s="174" t="s">
        <v>409</v>
      </c>
      <c r="N224" s="2" t="s">
        <v>406</v>
      </c>
      <c r="O224" s="3">
        <v>0.5</v>
      </c>
      <c r="P224" s="2" t="s">
        <v>73</v>
      </c>
      <c r="Q224" s="3">
        <v>0.0</v>
      </c>
      <c r="T224" s="2" t="s">
        <v>463</v>
      </c>
      <c r="U224" s="2">
        <v>195.0</v>
      </c>
      <c r="V224" s="172">
        <v>45996.0</v>
      </c>
      <c r="W224" s="3">
        <v>282.0</v>
      </c>
      <c r="X224" s="172">
        <v>45994.56408564815</v>
      </c>
      <c r="Y224" s="172"/>
      <c r="Z224" s="3">
        <v>45993.0</v>
      </c>
      <c r="AA224" s="3"/>
    </row>
    <row r="225">
      <c r="A225" s="3">
        <v>6.778905133315E12</v>
      </c>
      <c r="B225" s="2" t="s">
        <v>1415</v>
      </c>
      <c r="C225" s="2" t="s">
        <v>1416</v>
      </c>
      <c r="D225" s="169">
        <v>45993.0</v>
      </c>
      <c r="E225" s="173" t="s">
        <v>1417</v>
      </c>
      <c r="F225" s="2" t="s">
        <v>1418</v>
      </c>
      <c r="G225" s="2" t="s">
        <v>506</v>
      </c>
      <c r="H225" s="2">
        <v>4045.0</v>
      </c>
      <c r="I225" s="2">
        <v>2.1120050019985E13</v>
      </c>
      <c r="J225" s="3">
        <v>1.0</v>
      </c>
      <c r="K225" s="2" t="s">
        <v>511</v>
      </c>
      <c r="L225" s="2" t="s">
        <v>782</v>
      </c>
      <c r="M225" s="174" t="s">
        <v>409</v>
      </c>
      <c r="N225" s="2" t="s">
        <v>462</v>
      </c>
      <c r="O225" s="3">
        <v>0.5</v>
      </c>
      <c r="P225" s="2" t="s">
        <v>73</v>
      </c>
      <c r="Q225" s="3">
        <v>1600.0</v>
      </c>
      <c r="T225" s="2" t="s">
        <v>486</v>
      </c>
      <c r="U225" s="171">
        <v>4045.0</v>
      </c>
      <c r="V225" s="172">
        <v>46000.0</v>
      </c>
      <c r="W225" s="3">
        <v>382.0</v>
      </c>
      <c r="X225" s="172">
        <v>45996.68010416666</v>
      </c>
      <c r="Y225" s="172"/>
      <c r="Z225" s="3">
        <v>45993.0</v>
      </c>
      <c r="AA225" s="3"/>
    </row>
    <row r="226">
      <c r="A226" s="3">
        <v>6.778976567555E12</v>
      </c>
      <c r="B226" s="2" t="s">
        <v>1419</v>
      </c>
      <c r="C226" s="2" t="s">
        <v>1420</v>
      </c>
      <c r="D226" s="169">
        <v>45993.0</v>
      </c>
      <c r="E226" s="2">
        <v>3.216696678E9</v>
      </c>
      <c r="F226" s="2" t="s">
        <v>1421</v>
      </c>
      <c r="G226" s="2" t="s">
        <v>493</v>
      </c>
      <c r="H226" s="2">
        <v>2694.0</v>
      </c>
      <c r="I226" s="2">
        <v>2.7120050019917E13</v>
      </c>
      <c r="J226" s="3">
        <v>1.0</v>
      </c>
      <c r="L226" s="2" t="s">
        <v>519</v>
      </c>
      <c r="M226" s="174" t="s">
        <v>409</v>
      </c>
      <c r="N226" s="2" t="s">
        <v>462</v>
      </c>
      <c r="O226" s="3">
        <v>0.5</v>
      </c>
      <c r="P226" s="2" t="s">
        <v>363</v>
      </c>
      <c r="Q226" s="3">
        <v>850.0</v>
      </c>
      <c r="T226" s="2" t="s">
        <v>486</v>
      </c>
      <c r="U226" s="171">
        <v>2694.0</v>
      </c>
      <c r="V226" s="172">
        <v>46000.0</v>
      </c>
      <c r="W226" s="3">
        <v>335.0</v>
      </c>
      <c r="X226" s="172">
        <v>45997.534907407404</v>
      </c>
      <c r="Y226" s="172"/>
      <c r="Z226" s="3">
        <v>45993.0</v>
      </c>
      <c r="AA226" s="3"/>
    </row>
    <row r="227">
      <c r="A227" s="3">
        <v>6.778984595715E12</v>
      </c>
      <c r="B227" s="2" t="s">
        <v>1422</v>
      </c>
      <c r="C227" s="2" t="s">
        <v>1423</v>
      </c>
      <c r="D227" s="169">
        <v>45993.0</v>
      </c>
      <c r="E227" s="2">
        <v>9.23153404952E11</v>
      </c>
      <c r="F227" s="2" t="s">
        <v>1424</v>
      </c>
      <c r="G227" s="2" t="s">
        <v>1425</v>
      </c>
      <c r="H227" s="2">
        <v>0.0</v>
      </c>
      <c r="J227" s="3">
        <v>0.0</v>
      </c>
      <c r="K227" s="2" t="s">
        <v>1426</v>
      </c>
      <c r="L227" s="2"/>
      <c r="M227" s="2" t="s">
        <v>468</v>
      </c>
      <c r="N227" s="2" t="s">
        <v>406</v>
      </c>
      <c r="O227" s="3">
        <v>0.5</v>
      </c>
      <c r="Q227" s="3">
        <v>0.0</v>
      </c>
      <c r="U227" s="141"/>
      <c r="X227" s="172">
        <v>46057.642782650466</v>
      </c>
      <c r="Y227" s="172"/>
      <c r="Z227" s="3">
        <v>45993.0</v>
      </c>
      <c r="AA227" s="3"/>
    </row>
    <row r="228">
      <c r="A228" s="3">
        <v>6.778995998979E12</v>
      </c>
      <c r="B228" s="2" t="s">
        <v>1427</v>
      </c>
      <c r="C228" s="2" t="s">
        <v>1428</v>
      </c>
      <c r="D228" s="169">
        <v>45993.0</v>
      </c>
      <c r="E228" s="2">
        <v>3.004206086E9</v>
      </c>
      <c r="F228" s="2" t="s">
        <v>1429</v>
      </c>
      <c r="G228" s="2" t="s">
        <v>461</v>
      </c>
      <c r="H228" s="2">
        <v>3045.0</v>
      </c>
      <c r="I228" s="2">
        <v>2.8120050019943E13</v>
      </c>
      <c r="J228" s="3">
        <v>2.0</v>
      </c>
      <c r="L228" s="2" t="s">
        <v>40</v>
      </c>
      <c r="M228" s="174" t="s">
        <v>409</v>
      </c>
      <c r="N228" s="2" t="s">
        <v>462</v>
      </c>
      <c r="O228" s="3">
        <v>0.5</v>
      </c>
      <c r="P228" s="2" t="s">
        <v>73</v>
      </c>
      <c r="Q228" s="3">
        <v>920.0</v>
      </c>
      <c r="T228" s="2" t="s">
        <v>463</v>
      </c>
      <c r="U228" s="171">
        <v>3045.0</v>
      </c>
      <c r="V228" s="172">
        <v>45996.0</v>
      </c>
      <c r="W228" s="3">
        <v>342.0</v>
      </c>
      <c r="X228" s="172">
        <v>45995.61966435185</v>
      </c>
      <c r="Y228" s="172"/>
      <c r="Z228" s="3">
        <v>45993.0</v>
      </c>
      <c r="AA228" s="3"/>
    </row>
    <row r="229">
      <c r="A229" s="3">
        <v>6.778996883715E12</v>
      </c>
      <c r="B229" s="2" t="s">
        <v>1430</v>
      </c>
      <c r="C229" s="2" t="s">
        <v>1431</v>
      </c>
      <c r="D229" s="169">
        <v>45993.0</v>
      </c>
      <c r="E229" s="173" t="s">
        <v>1432</v>
      </c>
      <c r="F229" s="2" t="s">
        <v>1433</v>
      </c>
      <c r="G229" s="2" t="s">
        <v>1434</v>
      </c>
      <c r="H229" s="2">
        <v>3045.0</v>
      </c>
      <c r="I229" s="2">
        <v>2.2120050019942E13</v>
      </c>
      <c r="J229" s="3">
        <v>2.0</v>
      </c>
      <c r="K229" s="2" t="s">
        <v>241</v>
      </c>
      <c r="L229" s="2" t="s">
        <v>50</v>
      </c>
      <c r="M229" s="174" t="s">
        <v>409</v>
      </c>
      <c r="N229" s="2" t="s">
        <v>462</v>
      </c>
      <c r="O229" s="3">
        <v>0.5</v>
      </c>
      <c r="P229" s="2" t="s">
        <v>363</v>
      </c>
      <c r="Q229" s="3">
        <v>920.0</v>
      </c>
      <c r="T229" s="2" t="s">
        <v>486</v>
      </c>
      <c r="U229" s="171">
        <v>3045.0</v>
      </c>
      <c r="V229" s="172">
        <v>46000.0</v>
      </c>
      <c r="W229" s="3">
        <v>322.0</v>
      </c>
      <c r="X229" s="172">
        <v>45997.60990740741</v>
      </c>
      <c r="Y229" s="172"/>
      <c r="Z229" s="3">
        <v>45993.0</v>
      </c>
      <c r="AA229" s="3"/>
    </row>
    <row r="230">
      <c r="A230" s="3">
        <v>6.779043447043E12</v>
      </c>
      <c r="B230" s="2" t="s">
        <v>1435</v>
      </c>
      <c r="C230" s="2" t="s">
        <v>1436</v>
      </c>
      <c r="D230" s="169">
        <v>45993.0</v>
      </c>
      <c r="E230" s="173" t="s">
        <v>1437</v>
      </c>
      <c r="F230" s="2" t="s">
        <v>1438</v>
      </c>
      <c r="G230" s="2" t="s">
        <v>1439</v>
      </c>
      <c r="H230" s="2">
        <v>0.0</v>
      </c>
      <c r="I230" s="2" t="s">
        <v>1440</v>
      </c>
      <c r="J230" s="3">
        <v>0.0</v>
      </c>
      <c r="K230" s="2" t="s">
        <v>1441</v>
      </c>
      <c r="L230" s="2"/>
      <c r="M230" s="170" t="s">
        <v>455</v>
      </c>
      <c r="N230" s="2" t="s">
        <v>406</v>
      </c>
      <c r="O230" s="3">
        <v>0.5</v>
      </c>
      <c r="P230" s="2" t="s">
        <v>640</v>
      </c>
      <c r="Q230" s="3">
        <v>0.0</v>
      </c>
      <c r="T230" s="2" t="s">
        <v>805</v>
      </c>
      <c r="U230" s="141"/>
      <c r="W230" s="3">
        <v>292.2</v>
      </c>
      <c r="X230" s="172">
        <v>46057.69265182871</v>
      </c>
      <c r="Y230" s="172"/>
      <c r="Z230" s="3">
        <v>45993.0</v>
      </c>
      <c r="AA230" s="3"/>
    </row>
    <row r="231">
      <c r="A231" s="3">
        <v>6.779104985347E12</v>
      </c>
      <c r="B231" s="2" t="s">
        <v>1442</v>
      </c>
      <c r="C231" s="2" t="s">
        <v>1443</v>
      </c>
      <c r="D231" s="169">
        <v>45993.0</v>
      </c>
      <c r="E231" s="173" t="s">
        <v>1444</v>
      </c>
      <c r="F231" s="2" t="s">
        <v>1445</v>
      </c>
      <c r="G231" s="2" t="s">
        <v>368</v>
      </c>
      <c r="H231" s="2">
        <v>3045.0</v>
      </c>
      <c r="I231" s="2">
        <v>2.4120050019941E13</v>
      </c>
      <c r="J231" s="3">
        <v>2.0</v>
      </c>
      <c r="L231" s="2" t="s">
        <v>1446</v>
      </c>
      <c r="M231" s="174" t="s">
        <v>409</v>
      </c>
      <c r="N231" s="2" t="s">
        <v>462</v>
      </c>
      <c r="O231" s="3">
        <v>0.5</v>
      </c>
      <c r="P231" s="2" t="s">
        <v>363</v>
      </c>
      <c r="Q231" s="3">
        <v>920.0</v>
      </c>
      <c r="T231" s="2" t="s">
        <v>463</v>
      </c>
      <c r="U231" s="171">
        <v>3045.0</v>
      </c>
      <c r="V231" s="172">
        <v>45996.0</v>
      </c>
      <c r="W231" s="3">
        <v>342.0</v>
      </c>
      <c r="X231" s="172">
        <v>45994.541921296295</v>
      </c>
      <c r="Y231" s="172"/>
      <c r="Z231" s="3">
        <v>45993.0</v>
      </c>
      <c r="AA231" s="3"/>
    </row>
    <row r="232">
      <c r="A232" s="3">
        <v>6.779127333123E12</v>
      </c>
      <c r="B232" s="2" t="s">
        <v>1447</v>
      </c>
      <c r="C232" s="2" t="s">
        <v>1448</v>
      </c>
      <c r="D232" s="169">
        <v>45993.0</v>
      </c>
      <c r="E232" s="2">
        <v>3.360021851E9</v>
      </c>
      <c r="F232" s="2" t="s">
        <v>1449</v>
      </c>
      <c r="G232" s="2" t="s">
        <v>493</v>
      </c>
      <c r="H232" s="2">
        <v>2695.0</v>
      </c>
      <c r="I232" s="2">
        <v>2.412005001994E13</v>
      </c>
      <c r="J232" s="3">
        <v>2.0</v>
      </c>
      <c r="L232" s="2" t="s">
        <v>35</v>
      </c>
      <c r="M232" s="174" t="s">
        <v>409</v>
      </c>
      <c r="N232" s="2" t="s">
        <v>462</v>
      </c>
      <c r="O232" s="3">
        <v>0.5</v>
      </c>
      <c r="P232" s="2" t="s">
        <v>363</v>
      </c>
      <c r="Q232" s="3">
        <v>980.0</v>
      </c>
      <c r="T232" s="2" t="s">
        <v>486</v>
      </c>
      <c r="U232" s="171">
        <v>2695.0</v>
      </c>
      <c r="V232" s="172">
        <v>46000.0</v>
      </c>
      <c r="W232" s="3">
        <v>335.0</v>
      </c>
      <c r="X232" s="172">
        <v>45997.64886574074</v>
      </c>
      <c r="Y232" s="172"/>
      <c r="Z232" s="3">
        <v>45993.0</v>
      </c>
      <c r="AA232" s="3"/>
    </row>
    <row r="233">
      <c r="A233" s="3">
        <v>6.779158757635E12</v>
      </c>
      <c r="B233" s="2" t="s">
        <v>1450</v>
      </c>
      <c r="C233" s="2" t="s">
        <v>1451</v>
      </c>
      <c r="D233" s="169">
        <v>45993.0</v>
      </c>
      <c r="E233" s="2">
        <v>3.089232808E9</v>
      </c>
      <c r="F233" s="2" t="s">
        <v>1452</v>
      </c>
      <c r="G233" s="2" t="s">
        <v>850</v>
      </c>
      <c r="H233" s="2">
        <v>0.0</v>
      </c>
      <c r="I233" s="2">
        <v>2.9120050019916E13</v>
      </c>
      <c r="J233" s="3">
        <v>0.0</v>
      </c>
      <c r="K233" s="2" t="s">
        <v>1453</v>
      </c>
      <c r="L233" s="2"/>
      <c r="M233" s="170" t="s">
        <v>455</v>
      </c>
      <c r="N233" s="2" t="s">
        <v>406</v>
      </c>
      <c r="O233" s="3">
        <v>0.5</v>
      </c>
      <c r="P233" s="2" t="s">
        <v>363</v>
      </c>
      <c r="Q233" s="3">
        <v>0.0</v>
      </c>
      <c r="T233" s="2" t="s">
        <v>456</v>
      </c>
      <c r="U233" s="171">
        <v>0.0</v>
      </c>
      <c r="V233" s="172">
        <v>46003.0</v>
      </c>
      <c r="W233" s="3">
        <v>220.0</v>
      </c>
      <c r="X233" s="172">
        <v>46057.642782650466</v>
      </c>
      <c r="Y233" s="172"/>
      <c r="Z233" s="3">
        <v>45993.0</v>
      </c>
      <c r="AA233" s="3"/>
    </row>
    <row r="234">
      <c r="A234" s="3">
        <v>6.779181629699E12</v>
      </c>
      <c r="B234" s="2" t="s">
        <v>1454</v>
      </c>
      <c r="C234" s="2" t="s">
        <v>1455</v>
      </c>
      <c r="D234" s="169">
        <v>45993.0</v>
      </c>
      <c r="E234" s="2">
        <v>3.214704664E9</v>
      </c>
      <c r="F234" s="2" t="s">
        <v>1456</v>
      </c>
      <c r="G234" s="2" t="s">
        <v>368</v>
      </c>
      <c r="H234" s="2">
        <v>0.0</v>
      </c>
      <c r="I234" s="2">
        <v>2.7120050019915E13</v>
      </c>
      <c r="J234" s="3">
        <v>0.0</v>
      </c>
      <c r="K234" s="2" t="s">
        <v>1457</v>
      </c>
      <c r="L234" s="2"/>
      <c r="M234" s="170" t="s">
        <v>455</v>
      </c>
      <c r="N234" s="2" t="s">
        <v>406</v>
      </c>
      <c r="O234" s="3">
        <v>0.5</v>
      </c>
      <c r="P234" s="2" t="s">
        <v>363</v>
      </c>
      <c r="Q234" s="3">
        <v>0.0</v>
      </c>
      <c r="T234" s="2" t="s">
        <v>456</v>
      </c>
      <c r="U234" s="171">
        <v>0.0</v>
      </c>
      <c r="V234" s="172">
        <v>46003.0</v>
      </c>
      <c r="W234" s="3">
        <v>120.0</v>
      </c>
      <c r="X234" s="172">
        <v>46057.642782650466</v>
      </c>
      <c r="Y234" s="172"/>
      <c r="Z234" s="3">
        <v>45993.0</v>
      </c>
      <c r="AA234" s="3"/>
    </row>
    <row r="235">
      <c r="A235" s="3">
        <v>6.779233698051E12</v>
      </c>
      <c r="B235" s="2" t="s">
        <v>1458</v>
      </c>
      <c r="C235" s="2" t="s">
        <v>1459</v>
      </c>
      <c r="D235" s="169">
        <v>45993.0</v>
      </c>
      <c r="E235" s="2">
        <v>3.018800094E9</v>
      </c>
      <c r="F235" s="2" t="s">
        <v>1460</v>
      </c>
      <c r="G235" s="2" t="s">
        <v>1461</v>
      </c>
      <c r="H235" s="2">
        <v>2695.0</v>
      </c>
      <c r="I235" s="2">
        <v>2.6120050019939E13</v>
      </c>
      <c r="J235" s="3">
        <v>2.0</v>
      </c>
      <c r="L235" s="2" t="s">
        <v>926</v>
      </c>
      <c r="M235" s="174" t="s">
        <v>409</v>
      </c>
      <c r="N235" s="2" t="s">
        <v>462</v>
      </c>
      <c r="O235" s="3">
        <v>0.5</v>
      </c>
      <c r="P235" s="2" t="s">
        <v>363</v>
      </c>
      <c r="Q235" s="3">
        <v>980.0</v>
      </c>
      <c r="T235" s="2" t="s">
        <v>463</v>
      </c>
      <c r="U235" s="171">
        <v>2695.0</v>
      </c>
      <c r="V235" s="172">
        <v>45996.0</v>
      </c>
      <c r="W235" s="3">
        <v>328.0</v>
      </c>
      <c r="X235" s="172">
        <v>45995.608553240745</v>
      </c>
      <c r="Y235" s="172"/>
      <c r="Z235" s="3">
        <v>45993.0</v>
      </c>
      <c r="AA235" s="3"/>
    </row>
    <row r="236">
      <c r="A236" s="3">
        <v>6.779240186115E12</v>
      </c>
      <c r="B236" s="2" t="s">
        <v>1462</v>
      </c>
      <c r="C236" s="2" t="s">
        <v>1463</v>
      </c>
      <c r="D236" s="169">
        <v>45993.0</v>
      </c>
      <c r="E236" s="173" t="s">
        <v>1464</v>
      </c>
      <c r="F236" s="2" t="s">
        <v>1465</v>
      </c>
      <c r="G236" s="2" t="s">
        <v>1466</v>
      </c>
      <c r="H236" s="2">
        <v>0.0</v>
      </c>
      <c r="I236" s="2">
        <v>2.5120050019938E13</v>
      </c>
      <c r="J236" s="3">
        <v>0.0</v>
      </c>
      <c r="K236" s="2" t="s">
        <v>1467</v>
      </c>
      <c r="L236" s="2"/>
      <c r="M236" s="170" t="s">
        <v>455</v>
      </c>
      <c r="N236" s="2" t="s">
        <v>406</v>
      </c>
      <c r="O236" s="3">
        <v>0.5</v>
      </c>
      <c r="P236" s="2" t="s">
        <v>363</v>
      </c>
      <c r="Q236" s="3">
        <v>0.0</v>
      </c>
      <c r="T236" s="2" t="s">
        <v>1468</v>
      </c>
      <c r="U236" s="171">
        <v>0.0</v>
      </c>
      <c r="V236" s="172">
        <v>46017.0</v>
      </c>
      <c r="W236" s="3">
        <v>227.0</v>
      </c>
      <c r="X236" s="172">
        <v>46057.642782650466</v>
      </c>
      <c r="Y236" s="172"/>
      <c r="Z236" s="3">
        <v>45993.0</v>
      </c>
      <c r="AA236" s="3"/>
    </row>
    <row r="237">
      <c r="A237" s="3">
        <v>6.779241267459E12</v>
      </c>
      <c r="B237" s="2" t="s">
        <v>1469</v>
      </c>
      <c r="C237" s="2" t="s">
        <v>1470</v>
      </c>
      <c r="D237" s="169">
        <v>45993.0</v>
      </c>
      <c r="E237" s="2">
        <v>8.652579915E9</v>
      </c>
      <c r="F237" s="2" t="s">
        <v>1471</v>
      </c>
      <c r="G237" s="2" t="s">
        <v>1472</v>
      </c>
      <c r="H237" s="2">
        <v>0.0</v>
      </c>
      <c r="J237" s="3">
        <v>0.0</v>
      </c>
      <c r="L237" s="2"/>
      <c r="M237" s="2" t="s">
        <v>468</v>
      </c>
      <c r="N237" s="2" t="s">
        <v>406</v>
      </c>
      <c r="O237" s="3">
        <v>0.5</v>
      </c>
      <c r="Q237" s="3">
        <v>0.0</v>
      </c>
      <c r="U237" s="141"/>
      <c r="X237" s="172">
        <v>46057.642782650466</v>
      </c>
      <c r="Y237" s="172"/>
      <c r="Z237" s="3">
        <v>45993.0</v>
      </c>
      <c r="AA237" s="3"/>
    </row>
    <row r="238">
      <c r="A238" s="3">
        <v>6.779248836867E12</v>
      </c>
      <c r="B238" s="2" t="s">
        <v>1473</v>
      </c>
      <c r="C238" s="2" t="s">
        <v>1474</v>
      </c>
      <c r="D238" s="169">
        <v>45993.0</v>
      </c>
      <c r="E238" s="2">
        <v>3.00849745E9</v>
      </c>
      <c r="F238" s="2" t="s">
        <v>1475</v>
      </c>
      <c r="G238" s="2" t="s">
        <v>368</v>
      </c>
      <c r="H238" s="2">
        <v>3045.0</v>
      </c>
      <c r="I238" s="2">
        <v>2.7120050019937E13</v>
      </c>
      <c r="J238" s="3">
        <v>2.0</v>
      </c>
      <c r="L238" s="2" t="s">
        <v>50</v>
      </c>
      <c r="M238" s="174" t="s">
        <v>409</v>
      </c>
      <c r="N238" s="2" t="s">
        <v>462</v>
      </c>
      <c r="O238" s="3">
        <v>0.5</v>
      </c>
      <c r="P238" s="2" t="s">
        <v>363</v>
      </c>
      <c r="Q238" s="3">
        <v>920.0</v>
      </c>
      <c r="T238" s="2" t="s">
        <v>463</v>
      </c>
      <c r="U238" s="171">
        <v>3045.0</v>
      </c>
      <c r="V238" s="172">
        <v>45996.0</v>
      </c>
      <c r="W238" s="3">
        <v>229.0</v>
      </c>
      <c r="X238" s="172">
        <v>45994.47864583333</v>
      </c>
      <c r="Y238" s="172"/>
      <c r="Z238" s="3">
        <v>45993.0</v>
      </c>
      <c r="AA238" s="3"/>
    </row>
    <row r="239">
      <c r="A239" s="3">
        <v>6.779261812995E12</v>
      </c>
      <c r="B239" s="2" t="s">
        <v>1476</v>
      </c>
      <c r="C239" s="2" t="s">
        <v>1477</v>
      </c>
      <c r="D239" s="169">
        <v>45993.0</v>
      </c>
      <c r="E239" s="2">
        <v>3.058080763E9</v>
      </c>
      <c r="F239" s="2" t="s">
        <v>1478</v>
      </c>
      <c r="G239" s="2" t="s">
        <v>1479</v>
      </c>
      <c r="H239" s="2">
        <v>4595.0</v>
      </c>
      <c r="I239" s="2">
        <v>2.4120050019914E13</v>
      </c>
      <c r="J239" s="3">
        <v>2.0</v>
      </c>
      <c r="L239" s="2" t="s">
        <v>994</v>
      </c>
      <c r="M239" s="174" t="s">
        <v>409</v>
      </c>
      <c r="N239" s="2" t="s">
        <v>462</v>
      </c>
      <c r="O239" s="3">
        <v>0.5</v>
      </c>
      <c r="P239" s="2" t="s">
        <v>363</v>
      </c>
      <c r="Q239" s="3">
        <v>1700.0</v>
      </c>
      <c r="T239" s="2" t="s">
        <v>486</v>
      </c>
      <c r="U239" s="171">
        <v>4595.0</v>
      </c>
      <c r="V239" s="172">
        <v>46000.0</v>
      </c>
      <c r="W239" s="3">
        <v>404.0</v>
      </c>
      <c r="X239" s="172">
        <v>45997.56759259259</v>
      </c>
      <c r="Y239" s="172"/>
      <c r="Z239" s="3">
        <v>45993.0</v>
      </c>
      <c r="AA239" s="3"/>
    </row>
    <row r="240">
      <c r="A240" s="3">
        <v>6.779263418627E12</v>
      </c>
      <c r="B240" s="2" t="s">
        <v>1480</v>
      </c>
      <c r="C240" s="2" t="s">
        <v>1481</v>
      </c>
      <c r="D240" s="169">
        <v>45993.0</v>
      </c>
      <c r="E240" s="173" t="s">
        <v>1482</v>
      </c>
      <c r="F240" s="2" t="s">
        <v>1483</v>
      </c>
      <c r="G240" s="2" t="s">
        <v>749</v>
      </c>
      <c r="H240" s="2">
        <v>0.0</v>
      </c>
      <c r="I240" s="2">
        <v>2.5120050019913E13</v>
      </c>
      <c r="J240" s="3">
        <v>0.0</v>
      </c>
      <c r="K240" s="2" t="s">
        <v>1484</v>
      </c>
      <c r="L240" s="2"/>
      <c r="M240" s="170" t="s">
        <v>455</v>
      </c>
      <c r="N240" s="2" t="s">
        <v>406</v>
      </c>
      <c r="O240" s="3">
        <v>0.5</v>
      </c>
      <c r="P240" s="2" t="s">
        <v>363</v>
      </c>
      <c r="Q240" s="3">
        <v>0.0</v>
      </c>
      <c r="T240" s="2" t="s">
        <v>456</v>
      </c>
      <c r="U240" s="171">
        <v>0.0</v>
      </c>
      <c r="V240" s="172">
        <v>46003.0</v>
      </c>
      <c r="W240" s="3">
        <v>200.0</v>
      </c>
      <c r="X240" s="172">
        <v>46057.642782650466</v>
      </c>
      <c r="Y240" s="172"/>
      <c r="Z240" s="3">
        <v>45993.0</v>
      </c>
      <c r="AA240" s="3"/>
    </row>
    <row r="241">
      <c r="A241" s="3">
        <v>6.779269742851E12</v>
      </c>
      <c r="B241" s="2" t="s">
        <v>1485</v>
      </c>
      <c r="C241" s="2" t="s">
        <v>1486</v>
      </c>
      <c r="D241" s="169">
        <v>45993.0</v>
      </c>
      <c r="E241" s="173" t="s">
        <v>1487</v>
      </c>
      <c r="F241" s="2" t="s">
        <v>1488</v>
      </c>
      <c r="G241" s="2" t="s">
        <v>368</v>
      </c>
      <c r="H241" s="2">
        <v>4275.0</v>
      </c>
      <c r="I241" s="2">
        <v>2.8120050019936E13</v>
      </c>
      <c r="J241" s="3">
        <v>3.0</v>
      </c>
      <c r="K241" s="2" t="s">
        <v>1489</v>
      </c>
      <c r="L241" s="2" t="s">
        <v>1490</v>
      </c>
      <c r="M241" s="174" t="s">
        <v>409</v>
      </c>
      <c r="N241" s="2" t="s">
        <v>406</v>
      </c>
      <c r="O241" s="3">
        <v>0.5</v>
      </c>
      <c r="P241" s="2" t="s">
        <v>73</v>
      </c>
      <c r="Q241" s="3">
        <v>1530.0</v>
      </c>
      <c r="T241" s="2" t="s">
        <v>463</v>
      </c>
      <c r="U241" s="2">
        <v>4275.0</v>
      </c>
      <c r="V241" s="172">
        <v>45996.0</v>
      </c>
      <c r="W241" s="3">
        <v>348.0</v>
      </c>
      <c r="X241" s="172">
        <v>45994.60928240741</v>
      </c>
      <c r="Y241" s="172"/>
      <c r="Z241" s="3">
        <v>45993.0</v>
      </c>
      <c r="AA241" s="3"/>
    </row>
    <row r="242">
      <c r="A242" s="3">
        <v>6.779272921347E12</v>
      </c>
      <c r="B242" s="2" t="s">
        <v>1491</v>
      </c>
      <c r="C242" s="2" t="s">
        <v>1492</v>
      </c>
      <c r="D242" s="169">
        <v>45993.0</v>
      </c>
      <c r="E242" s="2">
        <v>9.23133114023E11</v>
      </c>
      <c r="F242" s="2" t="s">
        <v>1493</v>
      </c>
      <c r="G242" s="2" t="s">
        <v>693</v>
      </c>
      <c r="H242" s="2">
        <v>1094.0</v>
      </c>
      <c r="I242" s="2">
        <v>2.6120050019956E13</v>
      </c>
      <c r="J242" s="3">
        <v>1.0</v>
      </c>
      <c r="L242" s="2" t="s">
        <v>1494</v>
      </c>
      <c r="M242" s="174" t="s">
        <v>409</v>
      </c>
      <c r="N242" s="2" t="s">
        <v>462</v>
      </c>
      <c r="O242" s="3">
        <v>0.5</v>
      </c>
      <c r="P242" s="2" t="s">
        <v>363</v>
      </c>
      <c r="Q242" s="3">
        <v>550.0</v>
      </c>
      <c r="T242" s="2" t="s">
        <v>486</v>
      </c>
      <c r="U242" s="171">
        <v>1094.0</v>
      </c>
      <c r="V242" s="172">
        <v>46000.0</v>
      </c>
      <c r="W242" s="3">
        <v>257.0</v>
      </c>
      <c r="X242" s="172">
        <v>45997.52601851852</v>
      </c>
      <c r="Y242" s="172"/>
      <c r="Z242" s="3">
        <v>45993.0</v>
      </c>
      <c r="AA242" s="3"/>
    </row>
    <row r="243">
      <c r="A243" s="3">
        <v>6.779301396739E12</v>
      </c>
      <c r="B243" s="2" t="s">
        <v>1495</v>
      </c>
      <c r="C243" s="2" t="s">
        <v>1496</v>
      </c>
      <c r="D243" s="169">
        <v>45993.0</v>
      </c>
      <c r="E243" s="2">
        <v>3.002507438E9</v>
      </c>
      <c r="F243" s="2" t="s">
        <v>1497</v>
      </c>
      <c r="G243" s="2" t="s">
        <v>1498</v>
      </c>
      <c r="H243" s="2">
        <v>0.0</v>
      </c>
      <c r="I243" s="2">
        <v>2.5120050019957E13</v>
      </c>
      <c r="J243" s="3">
        <v>0.0</v>
      </c>
      <c r="K243" s="2" t="s">
        <v>1499</v>
      </c>
      <c r="L243" s="2"/>
      <c r="M243" s="170" t="s">
        <v>455</v>
      </c>
      <c r="N243" s="2" t="s">
        <v>406</v>
      </c>
      <c r="O243" s="3">
        <v>0.5</v>
      </c>
      <c r="P243" s="2" t="s">
        <v>363</v>
      </c>
      <c r="Q243" s="3">
        <v>0.0</v>
      </c>
      <c r="T243" s="2" t="s">
        <v>599</v>
      </c>
      <c r="U243" s="171">
        <v>0.0</v>
      </c>
      <c r="V243" s="172">
        <v>46010.0</v>
      </c>
      <c r="W243" s="3">
        <v>213.0</v>
      </c>
      <c r="X243" s="172">
        <v>46057.642782650466</v>
      </c>
      <c r="Y243" s="172"/>
      <c r="Z243" s="3">
        <v>45993.0</v>
      </c>
      <c r="AA243" s="3"/>
    </row>
    <row r="244">
      <c r="A244" s="3">
        <v>6.779321549059E12</v>
      </c>
      <c r="B244" s="2" t="s">
        <v>1500</v>
      </c>
      <c r="C244" s="2" t="s">
        <v>1501</v>
      </c>
      <c r="D244" s="169">
        <v>45993.0</v>
      </c>
      <c r="E244" s="173" t="s">
        <v>1502</v>
      </c>
      <c r="F244" s="2" t="s">
        <v>1503</v>
      </c>
      <c r="G244" s="2" t="s">
        <v>1323</v>
      </c>
      <c r="H244" s="2">
        <v>3045.0</v>
      </c>
      <c r="I244" s="2">
        <v>2.5120050019958E13</v>
      </c>
      <c r="J244" s="3">
        <v>2.0</v>
      </c>
      <c r="K244" s="2" t="s">
        <v>1284</v>
      </c>
      <c r="L244" s="2" t="s">
        <v>218</v>
      </c>
      <c r="M244" s="174" t="s">
        <v>409</v>
      </c>
      <c r="N244" s="2" t="s">
        <v>462</v>
      </c>
      <c r="O244" s="3">
        <v>0.5</v>
      </c>
      <c r="P244" s="2" t="s">
        <v>363</v>
      </c>
      <c r="Q244" s="3">
        <v>920.0</v>
      </c>
      <c r="T244" s="2" t="s">
        <v>463</v>
      </c>
      <c r="U244" s="171">
        <v>3045.0</v>
      </c>
      <c r="V244" s="172">
        <v>45996.0</v>
      </c>
      <c r="W244" s="3">
        <v>322.0</v>
      </c>
      <c r="X244" s="172">
        <v>45995.721238425926</v>
      </c>
      <c r="Y244" s="172"/>
      <c r="Z244" s="3">
        <v>45993.0</v>
      </c>
      <c r="AA244" s="3"/>
    </row>
    <row r="245">
      <c r="A245" s="3">
        <v>6.779323285763E12</v>
      </c>
      <c r="B245" s="2" t="s">
        <v>1504</v>
      </c>
      <c r="C245" s="2" t="s">
        <v>1505</v>
      </c>
      <c r="D245" s="169">
        <v>45993.0</v>
      </c>
      <c r="E245" s="2">
        <v>3.14495291E9</v>
      </c>
      <c r="F245" s="2" t="s">
        <v>1506</v>
      </c>
      <c r="G245" s="2" t="s">
        <v>506</v>
      </c>
      <c r="H245" s="2">
        <v>3695.0</v>
      </c>
      <c r="I245" s="2">
        <v>2.8120050019959E13</v>
      </c>
      <c r="J245" s="3">
        <v>2.0</v>
      </c>
      <c r="L245" s="2" t="s">
        <v>275</v>
      </c>
      <c r="M245" s="174" t="s">
        <v>409</v>
      </c>
      <c r="N245" s="2" t="s">
        <v>462</v>
      </c>
      <c r="O245" s="3">
        <v>0.5</v>
      </c>
      <c r="P245" s="2" t="s">
        <v>73</v>
      </c>
      <c r="Q245" s="3">
        <v>960.0</v>
      </c>
      <c r="T245" s="2" t="s">
        <v>486</v>
      </c>
      <c r="U245" s="171">
        <v>3695.0</v>
      </c>
      <c r="V245" s="172">
        <v>46000.0</v>
      </c>
      <c r="W245" s="3">
        <v>348.0</v>
      </c>
      <c r="X245" s="172">
        <v>45996.6502199074</v>
      </c>
      <c r="Y245" s="172"/>
      <c r="Z245" s="3">
        <v>45993.0</v>
      </c>
      <c r="AA245" s="3"/>
    </row>
    <row r="246">
      <c r="A246" s="3">
        <v>6.779349270787E12</v>
      </c>
      <c r="B246" s="2" t="s">
        <v>1507</v>
      </c>
      <c r="C246" s="2" t="s">
        <v>1508</v>
      </c>
      <c r="D246" s="169">
        <v>45993.0</v>
      </c>
      <c r="E246" s="2">
        <v>3.21866667E9</v>
      </c>
      <c r="F246" s="2" t="s">
        <v>1509</v>
      </c>
      <c r="G246" s="2" t="s">
        <v>374</v>
      </c>
      <c r="H246" s="2">
        <v>0.0</v>
      </c>
      <c r="I246" s="2">
        <v>2.412005001996E13</v>
      </c>
      <c r="J246" s="3">
        <v>0.0</v>
      </c>
      <c r="K246" s="2" t="s">
        <v>1510</v>
      </c>
      <c r="L246" s="2"/>
      <c r="M246" s="170" t="s">
        <v>455</v>
      </c>
      <c r="N246" s="2" t="s">
        <v>406</v>
      </c>
      <c r="O246" s="3">
        <v>0.5</v>
      </c>
      <c r="P246" s="2" t="s">
        <v>363</v>
      </c>
      <c r="Q246" s="3">
        <v>0.0</v>
      </c>
      <c r="T246" s="2" t="s">
        <v>456</v>
      </c>
      <c r="U246" s="171">
        <v>0.0</v>
      </c>
      <c r="V246" s="172">
        <v>46003.0</v>
      </c>
      <c r="W246" s="3">
        <v>200.0</v>
      </c>
      <c r="X246" s="172">
        <v>46057.642782650466</v>
      </c>
      <c r="Y246" s="172"/>
      <c r="Z246" s="3">
        <v>45993.0</v>
      </c>
      <c r="AA246" s="3"/>
    </row>
    <row r="247">
      <c r="A247" s="3">
        <v>6.779414544643E12</v>
      </c>
      <c r="B247" s="2" t="s">
        <v>1511</v>
      </c>
      <c r="C247" s="2" t="s">
        <v>1512</v>
      </c>
      <c r="D247" s="169">
        <v>45993.0</v>
      </c>
      <c r="E247" s="2">
        <v>3.209265296E9</v>
      </c>
      <c r="F247" s="2" t="s">
        <v>1513</v>
      </c>
      <c r="G247" s="2" t="s">
        <v>493</v>
      </c>
      <c r="H247" s="2">
        <v>3695.0</v>
      </c>
      <c r="I247" s="2">
        <v>2.1120050019961E13</v>
      </c>
      <c r="J247" s="3">
        <v>2.0</v>
      </c>
      <c r="L247" s="2" t="s">
        <v>1258</v>
      </c>
      <c r="M247" s="174" t="s">
        <v>409</v>
      </c>
      <c r="N247" s="2" t="s">
        <v>462</v>
      </c>
      <c r="O247" s="3">
        <v>0.5</v>
      </c>
      <c r="P247" s="2" t="s">
        <v>73</v>
      </c>
      <c r="Q247" s="3">
        <v>960.0</v>
      </c>
      <c r="T247" s="2" t="s">
        <v>456</v>
      </c>
      <c r="U247" s="171">
        <v>3695.0</v>
      </c>
      <c r="V247" s="172">
        <v>46003.0</v>
      </c>
      <c r="W247" s="3">
        <v>361.0</v>
      </c>
      <c r="X247" s="172">
        <v>46000.716875</v>
      </c>
      <c r="Y247" s="172"/>
      <c r="Z247" s="3">
        <v>45993.0</v>
      </c>
      <c r="AA247" s="3"/>
    </row>
    <row r="248">
      <c r="A248" s="3">
        <v>6.779518484739E12</v>
      </c>
      <c r="B248" s="2" t="s">
        <v>1514</v>
      </c>
      <c r="C248" s="2" t="s">
        <v>1515</v>
      </c>
      <c r="D248" s="169">
        <v>45993.0</v>
      </c>
      <c r="E248" s="173" t="s">
        <v>1516</v>
      </c>
      <c r="F248" s="2" t="s">
        <v>1517</v>
      </c>
      <c r="G248" s="2" t="s">
        <v>368</v>
      </c>
      <c r="H248" s="2">
        <v>3045.0</v>
      </c>
      <c r="I248" s="2">
        <v>2.2120050019962E13</v>
      </c>
      <c r="J248" s="3">
        <v>2.0</v>
      </c>
      <c r="K248" s="2" t="s">
        <v>511</v>
      </c>
      <c r="L248" s="2" t="s">
        <v>1518</v>
      </c>
      <c r="M248" s="174" t="s">
        <v>409</v>
      </c>
      <c r="N248" s="2" t="s">
        <v>462</v>
      </c>
      <c r="O248" s="3">
        <v>0.5</v>
      </c>
      <c r="P248" s="2" t="s">
        <v>363</v>
      </c>
      <c r="Q248" s="3">
        <v>920.0</v>
      </c>
      <c r="T248" s="2" t="s">
        <v>463</v>
      </c>
      <c r="U248" s="171">
        <v>3045.0</v>
      </c>
      <c r="V248" s="172">
        <v>45996.0</v>
      </c>
      <c r="W248" s="3">
        <v>229.0</v>
      </c>
      <c r="X248" s="172">
        <v>45995.63710648148</v>
      </c>
      <c r="Y248" s="172"/>
      <c r="Z248" s="3">
        <v>45993.0</v>
      </c>
      <c r="AA248" s="3"/>
    </row>
    <row r="249">
      <c r="A249" s="3">
        <v>6.779545944323E12</v>
      </c>
      <c r="B249" s="2" t="s">
        <v>1519</v>
      </c>
      <c r="C249" s="2" t="s">
        <v>1520</v>
      </c>
      <c r="D249" s="169">
        <v>45993.0</v>
      </c>
      <c r="E249" s="2">
        <v>3.007023729E9</v>
      </c>
      <c r="F249" s="2" t="s">
        <v>1521</v>
      </c>
      <c r="G249" s="2" t="s">
        <v>493</v>
      </c>
      <c r="H249" s="2">
        <v>2694.0</v>
      </c>
      <c r="I249" s="2">
        <v>2.9120050019977E13</v>
      </c>
      <c r="J249" s="3">
        <v>1.0</v>
      </c>
      <c r="L249" s="2" t="s">
        <v>557</v>
      </c>
      <c r="M249" s="174" t="s">
        <v>409</v>
      </c>
      <c r="N249" s="2" t="s">
        <v>462</v>
      </c>
      <c r="O249" s="3">
        <v>0.5</v>
      </c>
      <c r="P249" s="2" t="s">
        <v>363</v>
      </c>
      <c r="Q249" s="3">
        <v>850.0</v>
      </c>
      <c r="T249" s="2" t="s">
        <v>486</v>
      </c>
      <c r="U249" s="171">
        <v>2694.0</v>
      </c>
      <c r="V249" s="172">
        <v>46000.0</v>
      </c>
      <c r="W249" s="3">
        <v>335.0</v>
      </c>
      <c r="X249" s="172">
        <v>45997.68082175926</v>
      </c>
      <c r="Y249" s="172"/>
      <c r="Z249" s="3">
        <v>45993.0</v>
      </c>
      <c r="AA249" s="3"/>
    </row>
    <row r="250">
      <c r="A250" s="3">
        <v>6.779559084291E12</v>
      </c>
      <c r="B250" s="2" t="s">
        <v>1522</v>
      </c>
      <c r="C250" s="2" t="s">
        <v>1523</v>
      </c>
      <c r="D250" s="169">
        <v>45993.0</v>
      </c>
      <c r="E250" s="2">
        <v>3.09887283E9</v>
      </c>
      <c r="F250" s="2" t="s">
        <v>1524</v>
      </c>
      <c r="G250" s="2" t="s">
        <v>688</v>
      </c>
      <c r="H250" s="2">
        <v>4595.0</v>
      </c>
      <c r="I250" s="2">
        <v>2.4120050019986E13</v>
      </c>
      <c r="J250" s="3">
        <v>2.0</v>
      </c>
      <c r="L250" s="2" t="s">
        <v>479</v>
      </c>
      <c r="M250" s="174" t="s">
        <v>409</v>
      </c>
      <c r="N250" s="2" t="s">
        <v>462</v>
      </c>
      <c r="O250" s="3">
        <v>0.5</v>
      </c>
      <c r="P250" s="2" t="s">
        <v>363</v>
      </c>
      <c r="Q250" s="3">
        <v>1700.0</v>
      </c>
      <c r="T250" s="2" t="s">
        <v>486</v>
      </c>
      <c r="U250" s="171">
        <v>4595.0</v>
      </c>
      <c r="V250" s="172">
        <v>46000.0</v>
      </c>
      <c r="W250" s="3">
        <v>404.0</v>
      </c>
      <c r="X250" s="172">
        <v>45996.62732638889</v>
      </c>
      <c r="Y250" s="172"/>
      <c r="Z250" s="3">
        <v>45993.0</v>
      </c>
      <c r="AA250" s="3"/>
    </row>
    <row r="251">
      <c r="A251" s="3">
        <v>6.779751858435E12</v>
      </c>
      <c r="B251" s="2" t="s">
        <v>1525</v>
      </c>
      <c r="C251" s="2" t="s">
        <v>1526</v>
      </c>
      <c r="D251" s="169">
        <v>45993.0</v>
      </c>
      <c r="E251" s="173" t="s">
        <v>1527</v>
      </c>
      <c r="F251" s="2" t="s">
        <v>1528</v>
      </c>
      <c r="G251" s="2" t="s">
        <v>1012</v>
      </c>
      <c r="H251" s="2">
        <v>0.0</v>
      </c>
      <c r="J251" s="3">
        <v>0.0</v>
      </c>
      <c r="K251" s="2" t="s">
        <v>1529</v>
      </c>
      <c r="L251" s="2"/>
      <c r="M251" s="2" t="s">
        <v>468</v>
      </c>
      <c r="N251" s="2" t="s">
        <v>406</v>
      </c>
      <c r="O251" s="3">
        <v>0.5</v>
      </c>
      <c r="Q251" s="3">
        <v>0.0</v>
      </c>
      <c r="U251" s="141"/>
      <c r="X251" s="172">
        <v>46057.642782650466</v>
      </c>
      <c r="Y251" s="172"/>
      <c r="Z251" s="3">
        <v>45993.0</v>
      </c>
      <c r="AA251" s="3"/>
    </row>
    <row r="252">
      <c r="A252" s="3">
        <v>6.779773747459E12</v>
      </c>
      <c r="B252" s="2" t="s">
        <v>1530</v>
      </c>
      <c r="C252" s="2" t="s">
        <v>1531</v>
      </c>
      <c r="D252" s="169">
        <v>45993.0</v>
      </c>
      <c r="E252" s="2">
        <v>3.048992992E9</v>
      </c>
      <c r="F252" s="2" t="s">
        <v>1532</v>
      </c>
      <c r="G252" s="2" t="s">
        <v>1533</v>
      </c>
      <c r="H252" s="2">
        <v>1245.0</v>
      </c>
      <c r="I252" s="2">
        <v>2.6120050019976E13</v>
      </c>
      <c r="J252" s="3">
        <v>1.0</v>
      </c>
      <c r="L252" s="2" t="s">
        <v>1534</v>
      </c>
      <c r="M252" s="174" t="s">
        <v>409</v>
      </c>
      <c r="N252" s="2" t="s">
        <v>462</v>
      </c>
      <c r="O252" s="3">
        <v>0.5</v>
      </c>
      <c r="P252" s="2" t="s">
        <v>363</v>
      </c>
      <c r="Q252" s="3">
        <v>550.0</v>
      </c>
      <c r="T252" s="2" t="s">
        <v>486</v>
      </c>
      <c r="U252" s="171">
        <v>1245.0</v>
      </c>
      <c r="V252" s="172">
        <v>46000.0</v>
      </c>
      <c r="W252" s="3">
        <v>250.0</v>
      </c>
      <c r="X252" s="172">
        <v>45997.77106481481</v>
      </c>
      <c r="Y252" s="172"/>
      <c r="Z252" s="3">
        <v>45993.0</v>
      </c>
      <c r="AA252" s="3"/>
    </row>
    <row r="253">
      <c r="A253" s="3">
        <v>6.779870445827E12</v>
      </c>
      <c r="B253" s="2" t="s">
        <v>1535</v>
      </c>
      <c r="C253" s="2" t="s">
        <v>1536</v>
      </c>
      <c r="D253" s="169">
        <v>45993.0</v>
      </c>
      <c r="E253" s="2">
        <v>3.005564829E9</v>
      </c>
      <c r="F253" s="2" t="s">
        <v>1537</v>
      </c>
      <c r="G253" s="2" t="s">
        <v>1538</v>
      </c>
      <c r="H253" s="2">
        <v>0.0</v>
      </c>
      <c r="J253" s="3">
        <v>0.0</v>
      </c>
      <c r="K253" s="2" t="s">
        <v>571</v>
      </c>
      <c r="L253" s="2"/>
      <c r="M253" s="2" t="s">
        <v>468</v>
      </c>
      <c r="N253" s="2" t="s">
        <v>406</v>
      </c>
      <c r="O253" s="3">
        <v>0.5</v>
      </c>
      <c r="Q253" s="3">
        <v>0.0</v>
      </c>
      <c r="U253" s="141"/>
      <c r="X253" s="172">
        <v>46057.642782650466</v>
      </c>
      <c r="Y253" s="172"/>
      <c r="Z253" s="3">
        <v>45993.0</v>
      </c>
      <c r="AA253" s="3"/>
    </row>
    <row r="254">
      <c r="A254" s="3">
        <v>6.779885486339E12</v>
      </c>
      <c r="B254" s="2" t="s">
        <v>1539</v>
      </c>
      <c r="C254" s="2" t="s">
        <v>1536</v>
      </c>
      <c r="D254" s="169">
        <v>45993.0</v>
      </c>
      <c r="E254" s="173" t="s">
        <v>1540</v>
      </c>
      <c r="F254" s="2" t="s">
        <v>1537</v>
      </c>
      <c r="G254" s="2" t="s">
        <v>1538</v>
      </c>
      <c r="H254" s="2">
        <v>4045.0</v>
      </c>
      <c r="I254" s="2">
        <v>2.7120050019987E13</v>
      </c>
      <c r="J254" s="3">
        <v>1.0</v>
      </c>
      <c r="K254" s="2" t="s">
        <v>511</v>
      </c>
      <c r="L254" s="2" t="s">
        <v>782</v>
      </c>
      <c r="M254" s="174" t="s">
        <v>409</v>
      </c>
      <c r="N254" s="2" t="s">
        <v>462</v>
      </c>
      <c r="O254" s="3">
        <v>0.5</v>
      </c>
      <c r="P254" s="2" t="s">
        <v>363</v>
      </c>
      <c r="Q254" s="3">
        <v>1600.0</v>
      </c>
      <c r="T254" s="2" t="s">
        <v>456</v>
      </c>
      <c r="U254" s="171">
        <v>4045.0</v>
      </c>
      <c r="V254" s="172">
        <v>46003.0</v>
      </c>
      <c r="W254" s="3">
        <v>382.0</v>
      </c>
      <c r="X254" s="172">
        <v>46000.746932870374</v>
      </c>
      <c r="Y254" s="172"/>
      <c r="Z254" s="3">
        <v>45993.0</v>
      </c>
      <c r="AA254" s="3"/>
    </row>
    <row r="255">
      <c r="A255" s="3">
        <v>6.779900559619E12</v>
      </c>
      <c r="B255" s="2" t="s">
        <v>1541</v>
      </c>
      <c r="C255" s="2" t="s">
        <v>1542</v>
      </c>
      <c r="D255" s="169">
        <v>45993.0</v>
      </c>
      <c r="E255" s="2">
        <v>3.214347005E9</v>
      </c>
      <c r="F255" s="2" t="s">
        <v>1543</v>
      </c>
      <c r="G255" s="2" t="s">
        <v>368</v>
      </c>
      <c r="H255" s="2">
        <v>2295.0</v>
      </c>
      <c r="I255" s="2">
        <v>2.6120050019975E13</v>
      </c>
      <c r="J255" s="3">
        <v>2.0</v>
      </c>
      <c r="L255" s="2" t="s">
        <v>1544</v>
      </c>
      <c r="M255" s="174" t="s">
        <v>409</v>
      </c>
      <c r="N255" s="2" t="s">
        <v>462</v>
      </c>
      <c r="O255" s="3">
        <v>0.5</v>
      </c>
      <c r="P255" s="2" t="s">
        <v>363</v>
      </c>
      <c r="Q255" s="3">
        <v>1100.0</v>
      </c>
      <c r="T255" s="2" t="s">
        <v>463</v>
      </c>
      <c r="U255" s="171">
        <v>2295.0</v>
      </c>
      <c r="V255" s="172">
        <v>45996.0</v>
      </c>
      <c r="W255" s="3">
        <v>212.0</v>
      </c>
      <c r="X255" s="172">
        <v>45995.701574074075</v>
      </c>
      <c r="Y255" s="172"/>
      <c r="Z255" s="3">
        <v>45993.0</v>
      </c>
      <c r="AA255" s="3"/>
    </row>
    <row r="256">
      <c r="A256" s="3">
        <v>6.779927462147E12</v>
      </c>
      <c r="B256" s="2" t="s">
        <v>1545</v>
      </c>
      <c r="C256" s="2" t="s">
        <v>1546</v>
      </c>
      <c r="D256" s="169">
        <v>45993.0</v>
      </c>
      <c r="E256" s="173" t="s">
        <v>1547</v>
      </c>
      <c r="F256" s="2" t="s">
        <v>1548</v>
      </c>
      <c r="G256" s="2" t="s">
        <v>1549</v>
      </c>
      <c r="H256" s="2">
        <v>0.0</v>
      </c>
      <c r="I256" s="2">
        <v>2.7120050019974E13</v>
      </c>
      <c r="J256" s="3">
        <v>0.0</v>
      </c>
      <c r="K256" s="2" t="s">
        <v>1550</v>
      </c>
      <c r="L256" s="2"/>
      <c r="M256" s="170" t="s">
        <v>455</v>
      </c>
      <c r="N256" s="2" t="s">
        <v>406</v>
      </c>
      <c r="O256" s="3">
        <v>0.5</v>
      </c>
      <c r="P256" s="2" t="s">
        <v>363</v>
      </c>
      <c r="Q256" s="3">
        <v>0.0</v>
      </c>
      <c r="T256" s="2" t="s">
        <v>456</v>
      </c>
      <c r="U256" s="171">
        <v>0.0</v>
      </c>
      <c r="V256" s="172">
        <v>46003.0</v>
      </c>
      <c r="W256" s="3">
        <v>227.0</v>
      </c>
      <c r="X256" s="172">
        <v>46057.642782650466</v>
      </c>
      <c r="Y256" s="172"/>
      <c r="Z256" s="3">
        <v>45993.0</v>
      </c>
      <c r="AA256" s="3"/>
    </row>
    <row r="257">
      <c r="A257" s="3">
        <v>6.779928019203E12</v>
      </c>
      <c r="B257" s="2" t="s">
        <v>1551</v>
      </c>
      <c r="C257" s="2" t="s">
        <v>1552</v>
      </c>
      <c r="D257" s="169">
        <v>45993.0</v>
      </c>
      <c r="E257" s="2">
        <v>3.347867923E9</v>
      </c>
      <c r="F257" s="2" t="s">
        <v>1553</v>
      </c>
      <c r="G257" s="2" t="s">
        <v>1323</v>
      </c>
      <c r="H257" s="2">
        <v>0.0</v>
      </c>
      <c r="I257" s="2">
        <v>2.6120050019973E13</v>
      </c>
      <c r="J257" s="3">
        <v>0.0</v>
      </c>
      <c r="K257" s="2" t="s">
        <v>1026</v>
      </c>
      <c r="L257" s="2"/>
      <c r="M257" s="170" t="s">
        <v>455</v>
      </c>
      <c r="N257" s="2" t="s">
        <v>406</v>
      </c>
      <c r="O257" s="3">
        <v>0.5</v>
      </c>
      <c r="P257" s="2" t="s">
        <v>363</v>
      </c>
      <c r="Q257" s="3">
        <v>0.0</v>
      </c>
      <c r="T257" s="2" t="s">
        <v>456</v>
      </c>
      <c r="U257" s="171">
        <v>0.0</v>
      </c>
      <c r="V257" s="172">
        <v>46003.0</v>
      </c>
      <c r="W257" s="3">
        <v>220.0</v>
      </c>
      <c r="X257" s="172">
        <v>46057.642782650466</v>
      </c>
      <c r="Y257" s="172"/>
      <c r="Z257" s="3">
        <v>45993.0</v>
      </c>
      <c r="AA257" s="3"/>
    </row>
    <row r="258">
      <c r="A258" s="3">
        <v>6.779933131011E12</v>
      </c>
      <c r="B258" s="2" t="s">
        <v>1554</v>
      </c>
      <c r="C258" s="2" t="s">
        <v>1555</v>
      </c>
      <c r="D258" s="169">
        <v>45993.0</v>
      </c>
      <c r="E258" s="2">
        <v>3.024563307E9</v>
      </c>
      <c r="F258" s="2" t="s">
        <v>1556</v>
      </c>
      <c r="G258" s="2" t="s">
        <v>368</v>
      </c>
      <c r="H258" s="2">
        <v>2694.0</v>
      </c>
      <c r="I258" s="2">
        <v>2.7120050019972E13</v>
      </c>
      <c r="J258" s="3">
        <v>1.0</v>
      </c>
      <c r="L258" s="2" t="s">
        <v>946</v>
      </c>
      <c r="M258" s="174" t="s">
        <v>409</v>
      </c>
      <c r="N258" s="2" t="s">
        <v>462</v>
      </c>
      <c r="O258" s="3">
        <v>0.5</v>
      </c>
      <c r="P258" s="2" t="s">
        <v>363</v>
      </c>
      <c r="Q258" s="3">
        <v>850.0</v>
      </c>
      <c r="T258" s="2" t="s">
        <v>463</v>
      </c>
      <c r="U258" s="171">
        <v>2694.0</v>
      </c>
      <c r="V258" s="172">
        <v>45996.0</v>
      </c>
      <c r="W258" s="3">
        <v>214.0</v>
      </c>
      <c r="X258" s="172">
        <v>45995.559224537035</v>
      </c>
      <c r="Y258" s="172"/>
      <c r="Z258" s="3">
        <v>45993.0</v>
      </c>
      <c r="AA258" s="3"/>
    </row>
    <row r="259">
      <c r="A259" s="3">
        <v>6.779955446019E12</v>
      </c>
      <c r="B259" s="2" t="s">
        <v>1557</v>
      </c>
      <c r="C259" s="2" t="s">
        <v>1558</v>
      </c>
      <c r="D259" s="169">
        <v>45994.0</v>
      </c>
      <c r="E259" s="2">
        <v>3.214273329E9</v>
      </c>
      <c r="F259" s="2" t="s">
        <v>1559</v>
      </c>
      <c r="G259" s="2" t="s">
        <v>506</v>
      </c>
      <c r="H259" s="2">
        <v>2694.0</v>
      </c>
      <c r="I259" s="2">
        <v>2.0120050019971E13</v>
      </c>
      <c r="J259" s="3">
        <v>1.0</v>
      </c>
      <c r="L259" s="2" t="s">
        <v>557</v>
      </c>
      <c r="M259" s="174" t="s">
        <v>409</v>
      </c>
      <c r="N259" s="2" t="s">
        <v>462</v>
      </c>
      <c r="O259" s="3">
        <v>0.5</v>
      </c>
      <c r="P259" s="2" t="s">
        <v>363</v>
      </c>
      <c r="Q259" s="3">
        <v>850.0</v>
      </c>
      <c r="T259" s="2" t="s">
        <v>486</v>
      </c>
      <c r="U259" s="171">
        <v>2694.0</v>
      </c>
      <c r="V259" s="172">
        <v>46000.0</v>
      </c>
      <c r="W259" s="3">
        <v>328.0</v>
      </c>
      <c r="X259" s="172">
        <v>45996.60997685185</v>
      </c>
      <c r="Y259" s="172"/>
      <c r="Z259" s="3">
        <v>45994.0</v>
      </c>
      <c r="AA259" s="3"/>
    </row>
    <row r="260">
      <c r="A260" s="3">
        <v>6.780001648899E12</v>
      </c>
      <c r="B260" s="2" t="s">
        <v>1560</v>
      </c>
      <c r="C260" s="2" t="s">
        <v>1561</v>
      </c>
      <c r="D260" s="169">
        <v>45994.0</v>
      </c>
      <c r="E260" s="2">
        <v>3.37510485E9</v>
      </c>
      <c r="F260" s="2" t="s">
        <v>1562</v>
      </c>
      <c r="G260" s="2" t="s">
        <v>506</v>
      </c>
      <c r="H260" s="2">
        <v>0.0</v>
      </c>
      <c r="I260" s="2">
        <v>2.7120050019988E13</v>
      </c>
      <c r="J260" s="3">
        <v>0.0</v>
      </c>
      <c r="K260" s="2" t="s">
        <v>1563</v>
      </c>
      <c r="L260" s="2"/>
      <c r="M260" s="170" t="s">
        <v>455</v>
      </c>
      <c r="N260" s="2" t="s">
        <v>406</v>
      </c>
      <c r="O260" s="3">
        <v>0.5</v>
      </c>
      <c r="P260" s="2" t="s">
        <v>363</v>
      </c>
      <c r="Q260" s="3">
        <v>0.0</v>
      </c>
      <c r="T260" s="2" t="s">
        <v>456</v>
      </c>
      <c r="U260" s="171">
        <v>0.0</v>
      </c>
      <c r="V260" s="172">
        <v>46003.0</v>
      </c>
      <c r="W260" s="3">
        <v>220.0</v>
      </c>
      <c r="X260" s="172">
        <v>46057.642782650466</v>
      </c>
      <c r="Y260" s="172"/>
      <c r="Z260" s="3">
        <v>45994.0</v>
      </c>
      <c r="AA260" s="3"/>
    </row>
    <row r="261">
      <c r="A261" s="3">
        <v>6.780006596867E12</v>
      </c>
      <c r="B261" s="2" t="s">
        <v>1564</v>
      </c>
      <c r="C261" s="2" t="s">
        <v>1565</v>
      </c>
      <c r="D261" s="169">
        <v>45994.0</v>
      </c>
      <c r="E261" s="2">
        <v>3.013451659E9</v>
      </c>
      <c r="F261" s="2" t="s">
        <v>1566</v>
      </c>
      <c r="G261" s="2" t="s">
        <v>1567</v>
      </c>
      <c r="H261" s="2">
        <v>0.0</v>
      </c>
      <c r="I261" s="2">
        <v>2.012005001997E13</v>
      </c>
      <c r="J261" s="3">
        <v>0.0</v>
      </c>
      <c r="K261" s="2" t="s">
        <v>1568</v>
      </c>
      <c r="L261" s="2"/>
      <c r="M261" s="170" t="s">
        <v>455</v>
      </c>
      <c r="N261" s="2" t="s">
        <v>406</v>
      </c>
      <c r="O261" s="3">
        <v>0.5</v>
      </c>
      <c r="P261" s="2" t="s">
        <v>363</v>
      </c>
      <c r="Q261" s="3">
        <v>0.0</v>
      </c>
      <c r="T261" s="2" t="s">
        <v>599</v>
      </c>
      <c r="U261" s="171">
        <v>0.0</v>
      </c>
      <c r="V261" s="172">
        <v>46010.0</v>
      </c>
      <c r="W261" s="3">
        <v>213.0</v>
      </c>
      <c r="X261" s="172">
        <v>46057.642782650466</v>
      </c>
      <c r="Y261" s="172"/>
      <c r="Z261" s="3">
        <v>45994.0</v>
      </c>
      <c r="AA261" s="3"/>
    </row>
    <row r="262">
      <c r="A262" s="3">
        <v>6.780045295875E12</v>
      </c>
      <c r="B262" s="2" t="s">
        <v>1569</v>
      </c>
      <c r="C262" s="2" t="s">
        <v>1570</v>
      </c>
      <c r="D262" s="169">
        <v>45994.0</v>
      </c>
      <c r="E262" s="2">
        <v>3.218201712E9</v>
      </c>
      <c r="F262" s="2" t="s">
        <v>1571</v>
      </c>
      <c r="G262" s="2" t="s">
        <v>493</v>
      </c>
      <c r="H262" s="2">
        <v>0.0</v>
      </c>
      <c r="I262" s="2">
        <v>2.9120050019969E13</v>
      </c>
      <c r="J262" s="3">
        <v>0.0</v>
      </c>
      <c r="K262" s="2" t="s">
        <v>1572</v>
      </c>
      <c r="L262" s="2"/>
      <c r="M262" s="170" t="s">
        <v>455</v>
      </c>
      <c r="N262" s="2" t="s">
        <v>406</v>
      </c>
      <c r="O262" s="3">
        <v>0.5</v>
      </c>
      <c r="P262" s="2" t="s">
        <v>363</v>
      </c>
      <c r="Q262" s="3">
        <v>0.0</v>
      </c>
      <c r="T262" s="2" t="s">
        <v>777</v>
      </c>
      <c r="U262" s="171">
        <v>0.0</v>
      </c>
      <c r="V262" s="172">
        <v>46014.0</v>
      </c>
      <c r="W262" s="3">
        <v>227.0</v>
      </c>
      <c r="X262" s="172">
        <v>46057.642782650466</v>
      </c>
      <c r="Y262" s="172"/>
      <c r="Z262" s="3">
        <v>45994.0</v>
      </c>
      <c r="AA262" s="3"/>
    </row>
    <row r="263">
      <c r="A263" s="3">
        <v>6.780100477187E12</v>
      </c>
      <c r="B263" s="2" t="s">
        <v>1573</v>
      </c>
      <c r="C263" s="2" t="s">
        <v>1574</v>
      </c>
      <c r="D263" s="169">
        <v>45994.0</v>
      </c>
      <c r="E263" s="2">
        <v>3.333263223E9</v>
      </c>
      <c r="F263" s="2" t="s">
        <v>1575</v>
      </c>
      <c r="G263" s="2" t="s">
        <v>506</v>
      </c>
      <c r="H263" s="2">
        <v>1945.0</v>
      </c>
      <c r="I263" s="2">
        <v>2.1120050019968E13</v>
      </c>
      <c r="J263" s="3">
        <v>1.0</v>
      </c>
      <c r="L263" s="2" t="s">
        <v>1576</v>
      </c>
      <c r="M263" s="174" t="s">
        <v>409</v>
      </c>
      <c r="N263" s="2" t="s">
        <v>462</v>
      </c>
      <c r="O263" s="3">
        <v>0.5</v>
      </c>
      <c r="P263" s="2" t="s">
        <v>73</v>
      </c>
      <c r="Q263" s="3">
        <v>1095.0</v>
      </c>
      <c r="T263" s="2" t="s">
        <v>486</v>
      </c>
      <c r="U263" s="171">
        <v>1945.0</v>
      </c>
      <c r="V263" s="172">
        <v>46000.0</v>
      </c>
      <c r="W263" s="3">
        <v>278.0</v>
      </c>
      <c r="X263" s="172">
        <v>45996.58143518519</v>
      </c>
      <c r="Y263" s="172"/>
      <c r="Z263" s="3">
        <v>45994.0</v>
      </c>
      <c r="AA263" s="3"/>
    </row>
    <row r="264">
      <c r="A264" s="3">
        <v>6.780142027011E12</v>
      </c>
      <c r="B264" s="2" t="s">
        <v>1577</v>
      </c>
      <c r="C264" s="2" t="s">
        <v>1578</v>
      </c>
      <c r="D264" s="169">
        <v>45994.0</v>
      </c>
      <c r="E264" s="2">
        <v>3.174380264E9</v>
      </c>
      <c r="F264" s="2" t="s">
        <v>1579</v>
      </c>
      <c r="G264" s="2" t="s">
        <v>1580</v>
      </c>
      <c r="H264" s="2">
        <v>195.0</v>
      </c>
      <c r="I264" s="2">
        <v>2.3120050019967E13</v>
      </c>
      <c r="J264" s="3">
        <v>0.0</v>
      </c>
      <c r="K264" s="2" t="s">
        <v>1284</v>
      </c>
      <c r="L264" s="2"/>
      <c r="M264" s="174" t="s">
        <v>409</v>
      </c>
      <c r="N264" s="2" t="s">
        <v>462</v>
      </c>
      <c r="O264" s="3">
        <v>0.5</v>
      </c>
      <c r="P264" s="2" t="s">
        <v>363</v>
      </c>
      <c r="Q264" s="3">
        <v>0.0</v>
      </c>
      <c r="T264" s="2" t="s">
        <v>463</v>
      </c>
      <c r="U264" s="3">
        <v>195.0</v>
      </c>
      <c r="V264" s="172">
        <v>45996.0</v>
      </c>
      <c r="W264" s="3">
        <v>228.0</v>
      </c>
      <c r="X264" s="172">
        <v>45995.64195601852</v>
      </c>
      <c r="Y264" s="172"/>
      <c r="Z264" s="3">
        <v>45994.0</v>
      </c>
      <c r="AA264" s="3"/>
    </row>
    <row r="265">
      <c r="A265" s="3">
        <v>6.780329656579E12</v>
      </c>
      <c r="B265" s="2" t="s">
        <v>1581</v>
      </c>
      <c r="C265" s="2" t="s">
        <v>1582</v>
      </c>
      <c r="D265" s="169">
        <v>45994.0</v>
      </c>
      <c r="E265" s="2">
        <v>3.002707907E9</v>
      </c>
      <c r="F265" s="2" t="s">
        <v>1583</v>
      </c>
      <c r="G265" s="2" t="s">
        <v>493</v>
      </c>
      <c r="H265" s="2">
        <v>3045.0</v>
      </c>
      <c r="I265" s="2">
        <v>2.8120050019966E13</v>
      </c>
      <c r="J265" s="3">
        <v>2.0</v>
      </c>
      <c r="L265" s="2" t="s">
        <v>40</v>
      </c>
      <c r="M265" s="174" t="s">
        <v>409</v>
      </c>
      <c r="N265" s="2" t="s">
        <v>462</v>
      </c>
      <c r="O265" s="3">
        <v>0.5</v>
      </c>
      <c r="P265" s="2" t="s">
        <v>73</v>
      </c>
      <c r="Q265" s="3">
        <v>920.0</v>
      </c>
      <c r="T265" s="2" t="s">
        <v>486</v>
      </c>
      <c r="U265" s="171">
        <v>3045.0</v>
      </c>
      <c r="V265" s="172">
        <v>46000.0</v>
      </c>
      <c r="W265" s="3">
        <v>335.0</v>
      </c>
      <c r="X265" s="172">
        <v>45997.72185185185</v>
      </c>
      <c r="Y265" s="172"/>
      <c r="Z265" s="3">
        <v>45994.0</v>
      </c>
      <c r="AA265" s="3"/>
    </row>
    <row r="266">
      <c r="A266" s="3">
        <v>6.780475375875E12</v>
      </c>
      <c r="B266" s="2" t="s">
        <v>1584</v>
      </c>
      <c r="C266" s="2" t="s">
        <v>1585</v>
      </c>
      <c r="D266" s="169">
        <v>45994.0</v>
      </c>
      <c r="E266" s="2">
        <v>3.431489237E9</v>
      </c>
      <c r="F266" s="2" t="s">
        <v>1586</v>
      </c>
      <c r="G266" s="2" t="s">
        <v>1587</v>
      </c>
      <c r="H266" s="2">
        <v>0.0</v>
      </c>
      <c r="J266" s="3">
        <v>0.0</v>
      </c>
      <c r="K266" s="2" t="s">
        <v>1588</v>
      </c>
      <c r="L266" s="2"/>
      <c r="M266" s="2" t="s">
        <v>468</v>
      </c>
      <c r="N266" s="2" t="s">
        <v>406</v>
      </c>
      <c r="O266" s="3">
        <v>0.5</v>
      </c>
      <c r="Q266" s="3">
        <v>0.0</v>
      </c>
      <c r="U266" s="141"/>
      <c r="X266" s="172">
        <v>46057.642782650466</v>
      </c>
      <c r="Y266" s="172"/>
      <c r="Z266" s="3">
        <v>45994.0</v>
      </c>
      <c r="AA266" s="3"/>
    </row>
    <row r="267">
      <c r="A267" s="3">
        <v>6.780550971651E12</v>
      </c>
      <c r="B267" s="2" t="s">
        <v>1589</v>
      </c>
      <c r="C267" s="2" t="s">
        <v>1590</v>
      </c>
      <c r="D267" s="169">
        <v>45994.0</v>
      </c>
      <c r="E267" s="173" t="s">
        <v>1591</v>
      </c>
      <c r="F267" s="2" t="s">
        <v>1592</v>
      </c>
      <c r="G267" s="2" t="s">
        <v>368</v>
      </c>
      <c r="H267" s="2">
        <v>2694.0</v>
      </c>
      <c r="I267" s="2" t="s">
        <v>1593</v>
      </c>
      <c r="J267" s="3">
        <v>1.0</v>
      </c>
      <c r="K267" s="2" t="s">
        <v>1594</v>
      </c>
      <c r="L267" s="2" t="s">
        <v>519</v>
      </c>
      <c r="M267" s="174" t="s">
        <v>409</v>
      </c>
      <c r="N267" s="2" t="s">
        <v>462</v>
      </c>
      <c r="O267" s="3">
        <v>0.5</v>
      </c>
      <c r="P267" s="2" t="s">
        <v>640</v>
      </c>
      <c r="Q267" s="3">
        <v>850.0</v>
      </c>
      <c r="T267" s="2" t="s">
        <v>805</v>
      </c>
      <c r="U267" s="3">
        <v>2694.0</v>
      </c>
      <c r="W267" s="3">
        <v>270.16</v>
      </c>
      <c r="X267" s="172">
        <v>46057.692885173616</v>
      </c>
      <c r="Y267" s="172"/>
      <c r="Z267" s="3">
        <v>45994.0</v>
      </c>
      <c r="AA267" s="3"/>
    </row>
    <row r="268">
      <c r="A268" s="3">
        <v>6.780712517891E12</v>
      </c>
      <c r="B268" s="2" t="s">
        <v>1595</v>
      </c>
      <c r="C268" s="2" t="s">
        <v>1596</v>
      </c>
      <c r="D268" s="169">
        <v>45994.0</v>
      </c>
      <c r="E268" s="2">
        <v>3.362460271E9</v>
      </c>
      <c r="F268" s="2" t="s">
        <v>1597</v>
      </c>
      <c r="G268" s="2" t="s">
        <v>493</v>
      </c>
      <c r="H268" s="2">
        <v>1945.0</v>
      </c>
      <c r="I268" s="2">
        <v>2.7120050019965E13</v>
      </c>
      <c r="J268" s="3">
        <v>1.0</v>
      </c>
      <c r="L268" s="2" t="s">
        <v>1598</v>
      </c>
      <c r="M268" s="174" t="s">
        <v>409</v>
      </c>
      <c r="N268" s="2" t="s">
        <v>462</v>
      </c>
      <c r="O268" s="3">
        <v>0.5</v>
      </c>
      <c r="P268" s="2" t="s">
        <v>363</v>
      </c>
      <c r="Q268" s="3">
        <v>1000.0</v>
      </c>
      <c r="T268" s="2" t="s">
        <v>486</v>
      </c>
      <c r="U268" s="171">
        <v>1945.0</v>
      </c>
      <c r="V268" s="172">
        <v>46000.0</v>
      </c>
      <c r="W268" s="3">
        <v>291.0</v>
      </c>
      <c r="X268" s="172">
        <v>45997.613379629634</v>
      </c>
      <c r="Y268" s="172"/>
      <c r="Z268" s="3">
        <v>45994.0</v>
      </c>
      <c r="AA268" s="3"/>
    </row>
    <row r="269">
      <c r="A269" s="3">
        <v>6.780729065731E12</v>
      </c>
      <c r="B269" s="2" t="s">
        <v>1599</v>
      </c>
      <c r="C269" s="2" t="s">
        <v>1600</v>
      </c>
      <c r="D269" s="169">
        <v>45994.0</v>
      </c>
      <c r="E269" s="2">
        <v>3.319298889E9</v>
      </c>
      <c r="F269" s="2" t="s">
        <v>1601</v>
      </c>
      <c r="G269" s="2" t="s">
        <v>493</v>
      </c>
      <c r="H269" s="2">
        <v>4595.0</v>
      </c>
      <c r="I269" s="2">
        <v>2.1120050019989E13</v>
      </c>
      <c r="J269" s="3">
        <v>2.0</v>
      </c>
      <c r="L269" s="2" t="s">
        <v>994</v>
      </c>
      <c r="M269" s="174" t="s">
        <v>409</v>
      </c>
      <c r="N269" s="2" t="s">
        <v>462</v>
      </c>
      <c r="O269" s="3">
        <v>0.5</v>
      </c>
      <c r="P269" s="2" t="s">
        <v>73</v>
      </c>
      <c r="Q269" s="3">
        <v>1700.0</v>
      </c>
      <c r="T269" s="2" t="s">
        <v>486</v>
      </c>
      <c r="U269" s="171">
        <v>4595.0</v>
      </c>
      <c r="V269" s="172">
        <v>46000.0</v>
      </c>
      <c r="W269" s="3">
        <v>411.0</v>
      </c>
      <c r="X269" s="172">
        <v>45997.61267361111</v>
      </c>
      <c r="Y269" s="172"/>
      <c r="Z269" s="3">
        <v>45994.0</v>
      </c>
      <c r="AA269" s="3"/>
    </row>
    <row r="270">
      <c r="A270" s="3">
        <v>6.780749447427E12</v>
      </c>
      <c r="B270" s="2" t="s">
        <v>1602</v>
      </c>
      <c r="C270" s="2" t="s">
        <v>1603</v>
      </c>
      <c r="D270" s="169">
        <v>45994.0</v>
      </c>
      <c r="E270" s="173" t="s">
        <v>1604</v>
      </c>
      <c r="F270" s="2" t="s">
        <v>1605</v>
      </c>
      <c r="G270" s="2" t="s">
        <v>781</v>
      </c>
      <c r="H270" s="2">
        <v>0.0</v>
      </c>
      <c r="J270" s="3">
        <v>0.0</v>
      </c>
      <c r="K270" s="2" t="s">
        <v>760</v>
      </c>
      <c r="L270" s="2"/>
      <c r="M270" s="2" t="s">
        <v>468</v>
      </c>
      <c r="N270" s="2" t="s">
        <v>406</v>
      </c>
      <c r="O270" s="3">
        <v>0.5</v>
      </c>
      <c r="Q270" s="3">
        <v>0.0</v>
      </c>
      <c r="U270" s="141"/>
      <c r="X270" s="172">
        <v>46057.64278273148</v>
      </c>
      <c r="Y270" s="172"/>
      <c r="Z270" s="3">
        <v>45994.0</v>
      </c>
      <c r="AA270" s="3"/>
    </row>
    <row r="271">
      <c r="A271" s="3">
        <v>6.780765339907E12</v>
      </c>
      <c r="B271" s="2" t="s">
        <v>1606</v>
      </c>
      <c r="C271" s="2" t="s">
        <v>1607</v>
      </c>
      <c r="D271" s="169">
        <v>45994.0</v>
      </c>
      <c r="E271" s="2">
        <v>3.212027447E9</v>
      </c>
      <c r="F271" s="2" t="s">
        <v>1608</v>
      </c>
      <c r="G271" s="2" t="s">
        <v>368</v>
      </c>
      <c r="H271" s="2">
        <v>3045.0</v>
      </c>
      <c r="I271" s="2">
        <v>2.9120050019964E13</v>
      </c>
      <c r="J271" s="3">
        <v>2.0</v>
      </c>
      <c r="L271" s="2" t="s">
        <v>1329</v>
      </c>
      <c r="M271" s="174" t="s">
        <v>409</v>
      </c>
      <c r="N271" s="2" t="s">
        <v>462</v>
      </c>
      <c r="O271" s="3">
        <v>0.5</v>
      </c>
      <c r="P271" s="2" t="s">
        <v>363</v>
      </c>
      <c r="Q271" s="3">
        <v>960.0</v>
      </c>
      <c r="T271" s="2" t="s">
        <v>463</v>
      </c>
      <c r="U271" s="171">
        <v>3045.0</v>
      </c>
      <c r="V271" s="172">
        <v>45996.0</v>
      </c>
      <c r="W271" s="3">
        <v>229.0</v>
      </c>
      <c r="X271" s="172">
        <v>45995.558541666665</v>
      </c>
      <c r="Y271" s="172"/>
      <c r="Z271" s="3">
        <v>45994.0</v>
      </c>
      <c r="AA271" s="3"/>
    </row>
    <row r="272">
      <c r="A272" s="3">
        <v>6.780830515459E12</v>
      </c>
      <c r="B272" s="2" t="s">
        <v>1609</v>
      </c>
      <c r="C272" s="2" t="s">
        <v>1603</v>
      </c>
      <c r="D272" s="169">
        <v>45994.0</v>
      </c>
      <c r="E272" s="173" t="s">
        <v>1604</v>
      </c>
      <c r="F272" s="2" t="s">
        <v>1605</v>
      </c>
      <c r="G272" s="2" t="s">
        <v>781</v>
      </c>
      <c r="H272" s="2">
        <v>0.0</v>
      </c>
      <c r="J272" s="3">
        <v>0.0</v>
      </c>
      <c r="K272" s="2" t="s">
        <v>1610</v>
      </c>
      <c r="L272" s="2"/>
      <c r="M272" s="2" t="s">
        <v>468</v>
      </c>
      <c r="N272" s="2" t="s">
        <v>406</v>
      </c>
      <c r="O272" s="3">
        <v>0.5</v>
      </c>
      <c r="Q272" s="3">
        <v>0.0</v>
      </c>
      <c r="U272" s="141"/>
      <c r="X272" s="172">
        <v>46057.64278273148</v>
      </c>
      <c r="Y272" s="172"/>
      <c r="Z272" s="3">
        <v>45994.0</v>
      </c>
      <c r="AA272" s="3"/>
    </row>
    <row r="273">
      <c r="A273" s="3">
        <v>6.780835889411E12</v>
      </c>
      <c r="B273" s="2" t="s">
        <v>1611</v>
      </c>
      <c r="C273" s="2" t="s">
        <v>1612</v>
      </c>
      <c r="D273" s="169">
        <v>45994.0</v>
      </c>
      <c r="E273" s="2">
        <v>3.162197149E9</v>
      </c>
      <c r="F273" s="2" t="s">
        <v>1613</v>
      </c>
      <c r="G273" s="2" t="s">
        <v>461</v>
      </c>
      <c r="H273" s="2">
        <v>0.0</v>
      </c>
      <c r="I273" s="2">
        <v>2.5120050019995E13</v>
      </c>
      <c r="J273" s="3">
        <v>0.0</v>
      </c>
      <c r="K273" s="2" t="s">
        <v>1614</v>
      </c>
      <c r="L273" s="2"/>
      <c r="M273" s="170" t="s">
        <v>455</v>
      </c>
      <c r="N273" s="2" t="s">
        <v>406</v>
      </c>
      <c r="O273" s="3">
        <v>0.5</v>
      </c>
      <c r="P273" s="2" t="s">
        <v>363</v>
      </c>
      <c r="Q273" s="3">
        <v>0.0</v>
      </c>
      <c r="T273" s="2" t="s">
        <v>674</v>
      </c>
      <c r="U273" s="171">
        <v>0.0</v>
      </c>
      <c r="V273" s="172">
        <v>46007.0</v>
      </c>
      <c r="W273" s="3">
        <v>200.0</v>
      </c>
      <c r="X273" s="172">
        <v>46057.64278273148</v>
      </c>
      <c r="Y273" s="172"/>
      <c r="Z273" s="3">
        <v>45994.0</v>
      </c>
      <c r="AA273" s="3"/>
    </row>
    <row r="274">
      <c r="A274" s="3">
        <v>6.780842803459E12</v>
      </c>
      <c r="B274" s="2" t="s">
        <v>1615</v>
      </c>
      <c r="C274" s="2" t="s">
        <v>1616</v>
      </c>
      <c r="D274" s="169">
        <v>45994.0</v>
      </c>
      <c r="E274" s="173" t="s">
        <v>1617</v>
      </c>
      <c r="F274" s="2" t="s">
        <v>1618</v>
      </c>
      <c r="G274" s="2" t="s">
        <v>1619</v>
      </c>
      <c r="H274" s="2">
        <v>4595.0</v>
      </c>
      <c r="I274" s="2">
        <v>2.5120050019963E13</v>
      </c>
      <c r="J274" s="3">
        <v>2.0</v>
      </c>
      <c r="K274" s="2" t="s">
        <v>1284</v>
      </c>
      <c r="L274" s="2" t="s">
        <v>1620</v>
      </c>
      <c r="M274" s="174" t="s">
        <v>409</v>
      </c>
      <c r="N274" s="2" t="s">
        <v>462</v>
      </c>
      <c r="O274" s="3">
        <v>0.5</v>
      </c>
      <c r="P274" s="2" t="s">
        <v>363</v>
      </c>
      <c r="Q274" s="3">
        <v>2200.0</v>
      </c>
      <c r="T274" s="2" t="s">
        <v>463</v>
      </c>
      <c r="U274" s="171">
        <v>4595.0</v>
      </c>
      <c r="V274" s="172">
        <v>45996.0</v>
      </c>
      <c r="W274" s="3">
        <v>371.0</v>
      </c>
      <c r="X274" s="172">
        <v>45995.63699074074</v>
      </c>
      <c r="Y274" s="172"/>
      <c r="Z274" s="3">
        <v>45994.0</v>
      </c>
      <c r="AA274" s="3"/>
    </row>
    <row r="275">
      <c r="A275" s="3">
        <v>6.780851552515E12</v>
      </c>
      <c r="B275" s="2" t="s">
        <v>1621</v>
      </c>
      <c r="C275" s="2" t="s">
        <v>1622</v>
      </c>
      <c r="D275" s="169">
        <v>45994.0</v>
      </c>
      <c r="E275" s="173" t="s">
        <v>1623</v>
      </c>
      <c r="F275" s="2" t="s">
        <v>1624</v>
      </c>
      <c r="G275" s="2" t="s">
        <v>493</v>
      </c>
      <c r="H275" s="2">
        <v>0.0</v>
      </c>
      <c r="I275" s="2">
        <v>2.4120050019994E13</v>
      </c>
      <c r="J275" s="3">
        <v>0.0</v>
      </c>
      <c r="K275" s="2" t="s">
        <v>1625</v>
      </c>
      <c r="L275" s="2"/>
      <c r="M275" s="170" t="s">
        <v>455</v>
      </c>
      <c r="N275" s="2" t="s">
        <v>406</v>
      </c>
      <c r="O275" s="3">
        <v>0.5</v>
      </c>
      <c r="P275" s="2" t="s">
        <v>363</v>
      </c>
      <c r="Q275" s="3">
        <v>0.0</v>
      </c>
      <c r="T275" s="2" t="s">
        <v>674</v>
      </c>
      <c r="U275" s="171">
        <v>0.0</v>
      </c>
      <c r="V275" s="172">
        <v>46007.0</v>
      </c>
      <c r="W275" s="3">
        <v>227.0</v>
      </c>
      <c r="X275" s="172">
        <v>46057.64278273148</v>
      </c>
      <c r="Y275" s="172"/>
      <c r="Z275" s="3">
        <v>45994.0</v>
      </c>
      <c r="AA275" s="3"/>
    </row>
    <row r="276">
      <c r="A276" s="3">
        <v>6.780853027075E12</v>
      </c>
      <c r="B276" s="2" t="s">
        <v>1626</v>
      </c>
      <c r="C276" s="2" t="s">
        <v>1622</v>
      </c>
      <c r="D276" s="169">
        <v>45994.0</v>
      </c>
      <c r="E276" s="2">
        <v>3.112319491E9</v>
      </c>
      <c r="F276" s="2" t="s">
        <v>1624</v>
      </c>
      <c r="G276" s="2" t="s">
        <v>493</v>
      </c>
      <c r="H276" s="2">
        <v>0.0</v>
      </c>
      <c r="J276" s="3">
        <v>0.0</v>
      </c>
      <c r="K276" s="2" t="s">
        <v>760</v>
      </c>
      <c r="L276" s="2"/>
      <c r="M276" s="2" t="s">
        <v>468</v>
      </c>
      <c r="N276" s="2" t="s">
        <v>406</v>
      </c>
      <c r="O276" s="3">
        <v>0.5</v>
      </c>
      <c r="Q276" s="3">
        <v>0.0</v>
      </c>
      <c r="U276" s="141"/>
      <c r="X276" s="172">
        <v>46057.64278273148</v>
      </c>
      <c r="Y276" s="172"/>
      <c r="Z276" s="3">
        <v>45994.0</v>
      </c>
      <c r="AA276" s="3"/>
    </row>
    <row r="277">
      <c r="A277" s="3">
        <v>6.780859252995E12</v>
      </c>
      <c r="B277" s="2" t="s">
        <v>1627</v>
      </c>
      <c r="C277" s="2" t="s">
        <v>1628</v>
      </c>
      <c r="D277" s="169">
        <v>45994.0</v>
      </c>
      <c r="E277" s="2">
        <v>3.032452617E9</v>
      </c>
      <c r="F277" s="2" t="s">
        <v>1629</v>
      </c>
      <c r="G277" s="2" t="s">
        <v>1630</v>
      </c>
      <c r="H277" s="2">
        <v>0.0</v>
      </c>
      <c r="J277" s="3">
        <v>0.0</v>
      </c>
      <c r="K277" s="2" t="s">
        <v>571</v>
      </c>
      <c r="L277" s="2"/>
      <c r="M277" s="2" t="s">
        <v>468</v>
      </c>
      <c r="N277" s="2" t="s">
        <v>406</v>
      </c>
      <c r="O277" s="3">
        <v>0.5</v>
      </c>
      <c r="Q277" s="3">
        <v>0.0</v>
      </c>
      <c r="U277" s="141"/>
      <c r="X277" s="172">
        <v>46057.64278273148</v>
      </c>
      <c r="Y277" s="172"/>
      <c r="Z277" s="3">
        <v>45994.0</v>
      </c>
      <c r="AA277" s="3"/>
    </row>
    <row r="278">
      <c r="A278" s="3">
        <v>6.780859810051E12</v>
      </c>
      <c r="B278" s="2" t="s">
        <v>1631</v>
      </c>
      <c r="C278" s="2" t="s">
        <v>1628</v>
      </c>
      <c r="D278" s="169">
        <v>45994.0</v>
      </c>
      <c r="E278" s="173" t="s">
        <v>1632</v>
      </c>
      <c r="F278" s="2" t="s">
        <v>1629</v>
      </c>
      <c r="G278" s="2" t="s">
        <v>1630</v>
      </c>
      <c r="H278" s="2">
        <v>3045.0</v>
      </c>
      <c r="I278" s="2">
        <v>2.012005001999E13</v>
      </c>
      <c r="J278" s="3">
        <v>2.0</v>
      </c>
      <c r="K278" s="2" t="s">
        <v>1633</v>
      </c>
      <c r="L278" s="2" t="s">
        <v>906</v>
      </c>
      <c r="M278" s="174" t="s">
        <v>409</v>
      </c>
      <c r="N278" s="2" t="s">
        <v>462</v>
      </c>
      <c r="O278" s="3">
        <v>0.5</v>
      </c>
      <c r="P278" s="2" t="s">
        <v>363</v>
      </c>
      <c r="Q278" s="3">
        <v>920.0</v>
      </c>
      <c r="T278" s="2" t="s">
        <v>456</v>
      </c>
      <c r="U278" s="171">
        <v>3045.0</v>
      </c>
      <c r="V278" s="172">
        <v>46003.0</v>
      </c>
      <c r="W278" s="3">
        <v>322.0</v>
      </c>
      <c r="X278" s="172">
        <v>46000.58907407407</v>
      </c>
      <c r="Y278" s="172"/>
      <c r="Z278" s="3">
        <v>45994.0</v>
      </c>
      <c r="AA278" s="3"/>
    </row>
    <row r="279">
      <c r="A279" s="3">
        <v>6.780861284611E12</v>
      </c>
      <c r="B279" s="2" t="s">
        <v>1634</v>
      </c>
      <c r="C279" s="2" t="s">
        <v>1635</v>
      </c>
      <c r="D279" s="169">
        <v>45994.0</v>
      </c>
      <c r="E279" s="2">
        <v>3.028176229E9</v>
      </c>
      <c r="F279" s="2" t="s">
        <v>1636</v>
      </c>
      <c r="G279" s="2" t="s">
        <v>1637</v>
      </c>
      <c r="H279" s="2">
        <v>2694.0</v>
      </c>
      <c r="I279" s="2">
        <v>2.1120050019991E13</v>
      </c>
      <c r="J279" s="3">
        <v>1.0</v>
      </c>
      <c r="L279" s="2" t="s">
        <v>557</v>
      </c>
      <c r="M279" s="174" t="s">
        <v>409</v>
      </c>
      <c r="N279" s="2" t="s">
        <v>462</v>
      </c>
      <c r="O279" s="3">
        <v>0.5</v>
      </c>
      <c r="P279" s="2" t="s">
        <v>73</v>
      </c>
      <c r="Q279" s="3">
        <v>850.0</v>
      </c>
      <c r="T279" s="2" t="s">
        <v>463</v>
      </c>
      <c r="U279" s="171">
        <v>2694.0</v>
      </c>
      <c r="V279" s="172">
        <v>45996.0</v>
      </c>
      <c r="W279" s="3">
        <v>328.0</v>
      </c>
      <c r="X279" s="172">
        <v>45995.69394675926</v>
      </c>
      <c r="Y279" s="172"/>
      <c r="Z279" s="3">
        <v>45994.0</v>
      </c>
      <c r="AA279" s="3"/>
    </row>
    <row r="280">
      <c r="A280" s="3">
        <v>6.780903948547E12</v>
      </c>
      <c r="B280" s="2" t="s">
        <v>1638</v>
      </c>
      <c r="C280" s="2" t="s">
        <v>1603</v>
      </c>
      <c r="D280" s="169">
        <v>45994.0</v>
      </c>
      <c r="E280" s="173" t="s">
        <v>1604</v>
      </c>
      <c r="F280" s="2" t="s">
        <v>1605</v>
      </c>
      <c r="G280" s="2" t="s">
        <v>781</v>
      </c>
      <c r="H280" s="2">
        <v>4595.0</v>
      </c>
      <c r="I280" s="2">
        <v>2.2120050019992E13</v>
      </c>
      <c r="J280" s="3">
        <v>2.0</v>
      </c>
      <c r="K280" s="2" t="s">
        <v>1639</v>
      </c>
      <c r="L280" s="2" t="s">
        <v>1640</v>
      </c>
      <c r="M280" s="174" t="s">
        <v>409</v>
      </c>
      <c r="N280" s="2" t="s">
        <v>406</v>
      </c>
      <c r="O280" s="3">
        <v>0.5</v>
      </c>
      <c r="P280" s="2" t="s">
        <v>363</v>
      </c>
      <c r="Q280" s="3">
        <v>1700.0</v>
      </c>
      <c r="T280" s="2" t="s">
        <v>486</v>
      </c>
      <c r="U280" s="2">
        <v>4595.0</v>
      </c>
      <c r="V280" s="172">
        <v>46000.0</v>
      </c>
      <c r="W280" s="3">
        <v>403.0</v>
      </c>
      <c r="X280" s="172">
        <v>45996.63353009259</v>
      </c>
      <c r="Y280" s="172"/>
      <c r="Z280" s="3">
        <v>45994.0</v>
      </c>
      <c r="AA280" s="3"/>
    </row>
    <row r="281">
      <c r="A281" s="3">
        <v>6.780914991363E12</v>
      </c>
      <c r="B281" s="2" t="s">
        <v>1641</v>
      </c>
      <c r="C281" s="2" t="s">
        <v>1642</v>
      </c>
      <c r="D281" s="169">
        <v>45994.0</v>
      </c>
      <c r="E281" s="2">
        <v>3.245494349E9</v>
      </c>
      <c r="F281" s="2" t="s">
        <v>1643</v>
      </c>
      <c r="G281" s="2" t="s">
        <v>506</v>
      </c>
      <c r="H281" s="2">
        <v>0.0</v>
      </c>
      <c r="I281" s="2">
        <v>2.3120050019997E13</v>
      </c>
      <c r="J281" s="3">
        <v>0.0</v>
      </c>
      <c r="K281" s="2" t="s">
        <v>1644</v>
      </c>
      <c r="L281" s="2"/>
      <c r="M281" s="170" t="s">
        <v>455</v>
      </c>
      <c r="N281" s="2" t="s">
        <v>406</v>
      </c>
      <c r="O281" s="3">
        <v>0.5</v>
      </c>
      <c r="P281" s="2" t="s">
        <v>363</v>
      </c>
      <c r="Q281" s="3">
        <v>0.0</v>
      </c>
      <c r="T281" s="2" t="s">
        <v>674</v>
      </c>
      <c r="U281" s="171">
        <v>0.0</v>
      </c>
      <c r="V281" s="172">
        <v>46007.0</v>
      </c>
      <c r="W281" s="3">
        <v>200.0</v>
      </c>
      <c r="X281" s="172">
        <v>46057.64278273148</v>
      </c>
      <c r="Y281" s="172"/>
      <c r="Z281" s="3">
        <v>45994.0</v>
      </c>
      <c r="AA281" s="3"/>
    </row>
    <row r="282">
      <c r="A282" s="3">
        <v>6.781048160515E12</v>
      </c>
      <c r="B282" s="2" t="s">
        <v>1645</v>
      </c>
      <c r="C282" s="2" t="s">
        <v>1646</v>
      </c>
      <c r="D282" s="169">
        <v>45994.0</v>
      </c>
      <c r="E282" s="2">
        <v>3.212270094E9</v>
      </c>
      <c r="F282" s="2" t="s">
        <v>1647</v>
      </c>
      <c r="G282" s="2" t="s">
        <v>368</v>
      </c>
      <c r="H282" s="2">
        <v>4045.0</v>
      </c>
      <c r="I282" s="2">
        <v>2.512005002002E13</v>
      </c>
      <c r="J282" s="3">
        <v>1.0</v>
      </c>
      <c r="L282" s="2" t="s">
        <v>809</v>
      </c>
      <c r="M282" s="174" t="s">
        <v>409</v>
      </c>
      <c r="N282" s="2" t="s">
        <v>462</v>
      </c>
      <c r="O282" s="3">
        <v>0.5</v>
      </c>
      <c r="P282" s="2" t="s">
        <v>363</v>
      </c>
      <c r="Q282" s="3">
        <v>1600.0</v>
      </c>
      <c r="T282" s="2" t="s">
        <v>486</v>
      </c>
      <c r="U282" s="171">
        <v>4045.0</v>
      </c>
      <c r="V282" s="172">
        <v>46000.0</v>
      </c>
      <c r="W282" s="3">
        <v>282.0</v>
      </c>
      <c r="X282" s="172">
        <v>45997.68009259259</v>
      </c>
      <c r="Y282" s="172"/>
      <c r="Z282" s="3">
        <v>45994.0</v>
      </c>
      <c r="AA282" s="3"/>
    </row>
    <row r="283">
      <c r="A283" s="3">
        <v>6.781078470915E12</v>
      </c>
      <c r="B283" s="2" t="s">
        <v>1648</v>
      </c>
      <c r="C283" s="2" t="s">
        <v>1649</v>
      </c>
      <c r="D283" s="169">
        <v>45994.0</v>
      </c>
      <c r="E283" s="173" t="s">
        <v>1650</v>
      </c>
      <c r="F283" s="2" t="s">
        <v>1651</v>
      </c>
      <c r="G283" s="2" t="s">
        <v>493</v>
      </c>
      <c r="H283" s="2">
        <v>0.0</v>
      </c>
      <c r="I283" s="2">
        <v>2.8120050020069E13</v>
      </c>
      <c r="J283" s="3">
        <v>0.0</v>
      </c>
      <c r="K283" s="2" t="s">
        <v>1652</v>
      </c>
      <c r="L283" s="2"/>
      <c r="M283" s="170" t="s">
        <v>455</v>
      </c>
      <c r="N283" s="2" t="s">
        <v>406</v>
      </c>
      <c r="O283" s="3">
        <v>0.5</v>
      </c>
      <c r="P283" s="2" t="s">
        <v>73</v>
      </c>
      <c r="Q283" s="3">
        <v>0.0</v>
      </c>
      <c r="T283" s="2" t="s">
        <v>777</v>
      </c>
      <c r="U283" s="171">
        <v>0.0</v>
      </c>
      <c r="V283" s="172">
        <v>46014.0</v>
      </c>
      <c r="W283" s="3">
        <v>227.0</v>
      </c>
      <c r="X283" s="172">
        <v>46057.64278273148</v>
      </c>
      <c r="Y283" s="172"/>
      <c r="Z283" s="3">
        <v>45994.0</v>
      </c>
      <c r="AA283" s="3"/>
    </row>
    <row r="284">
      <c r="A284" s="3">
        <v>6.781080305923E12</v>
      </c>
      <c r="B284" s="2" t="s">
        <v>1653</v>
      </c>
      <c r="C284" s="2" t="s">
        <v>1649</v>
      </c>
      <c r="D284" s="169">
        <v>45994.0</v>
      </c>
      <c r="E284" s="2">
        <v>3.001561116E9</v>
      </c>
      <c r="F284" s="2" t="s">
        <v>1651</v>
      </c>
      <c r="G284" s="2" t="s">
        <v>493</v>
      </c>
      <c r="H284" s="2">
        <v>0.0</v>
      </c>
      <c r="J284" s="3">
        <v>0.0</v>
      </c>
      <c r="K284" s="2" t="s">
        <v>760</v>
      </c>
      <c r="L284" s="2"/>
      <c r="M284" s="2" t="s">
        <v>468</v>
      </c>
      <c r="N284" s="2" t="s">
        <v>406</v>
      </c>
      <c r="O284" s="3">
        <v>0.5</v>
      </c>
      <c r="Q284" s="3">
        <v>0.0</v>
      </c>
      <c r="U284" s="141"/>
      <c r="X284" s="172">
        <v>46057.64278273148</v>
      </c>
      <c r="Y284" s="172"/>
      <c r="Z284" s="3">
        <v>45994.0</v>
      </c>
      <c r="AA284" s="3"/>
    </row>
    <row r="285">
      <c r="A285" s="3">
        <v>6.781093773571E12</v>
      </c>
      <c r="B285" s="2" t="s">
        <v>1654</v>
      </c>
      <c r="C285" s="2" t="s">
        <v>1655</v>
      </c>
      <c r="D285" s="169">
        <v>45994.0</v>
      </c>
      <c r="E285" s="2">
        <v>3.222883626E9</v>
      </c>
      <c r="F285" s="2" t="s">
        <v>1656</v>
      </c>
      <c r="G285" s="2" t="s">
        <v>493</v>
      </c>
      <c r="H285" s="2">
        <v>2694.0</v>
      </c>
      <c r="I285" s="2">
        <v>2.0120050019998E13</v>
      </c>
      <c r="J285" s="3">
        <v>1.0</v>
      </c>
      <c r="L285" s="2" t="s">
        <v>557</v>
      </c>
      <c r="M285" s="174" t="s">
        <v>409</v>
      </c>
      <c r="N285" s="2" t="s">
        <v>462</v>
      </c>
      <c r="O285" s="3">
        <v>0.5</v>
      </c>
      <c r="P285" s="2" t="s">
        <v>363</v>
      </c>
      <c r="Q285" s="3">
        <v>850.0</v>
      </c>
      <c r="T285" s="2" t="s">
        <v>456</v>
      </c>
      <c r="U285" s="171">
        <v>2694.0</v>
      </c>
      <c r="V285" s="172">
        <v>46003.0</v>
      </c>
      <c r="W285" s="3">
        <v>335.0</v>
      </c>
      <c r="X285" s="172">
        <v>46000.568298611106</v>
      </c>
      <c r="Y285" s="172"/>
      <c r="Z285" s="3">
        <v>45994.0</v>
      </c>
      <c r="AA285" s="3"/>
    </row>
    <row r="286">
      <c r="A286" s="3">
        <v>6.781153345795E12</v>
      </c>
      <c r="B286" s="2" t="s">
        <v>1657</v>
      </c>
      <c r="C286" s="2" t="s">
        <v>1658</v>
      </c>
      <c r="D286" s="169">
        <v>45994.0</v>
      </c>
      <c r="E286" s="2">
        <v>3.315067844E9</v>
      </c>
      <c r="F286" s="2" t="s">
        <v>1659</v>
      </c>
      <c r="G286" s="2" t="s">
        <v>506</v>
      </c>
      <c r="H286" s="2">
        <v>1245.0</v>
      </c>
      <c r="I286" s="2">
        <v>2.5120050020007E13</v>
      </c>
      <c r="J286" s="3">
        <v>1.0</v>
      </c>
      <c r="L286" s="2" t="s">
        <v>1660</v>
      </c>
      <c r="M286" s="174" t="s">
        <v>409</v>
      </c>
      <c r="N286" s="2" t="s">
        <v>462</v>
      </c>
      <c r="O286" s="3">
        <v>0.5</v>
      </c>
      <c r="P286" s="2" t="s">
        <v>363</v>
      </c>
      <c r="Q286" s="3">
        <v>550.0</v>
      </c>
      <c r="T286" s="2" t="s">
        <v>486</v>
      </c>
      <c r="U286" s="171">
        <v>1245.0</v>
      </c>
      <c r="V286" s="172">
        <v>46000.0</v>
      </c>
      <c r="W286" s="3">
        <v>250.0</v>
      </c>
      <c r="X286" s="172">
        <v>45997.728854166664</v>
      </c>
      <c r="Y286" s="172"/>
      <c r="Z286" s="3">
        <v>45994.0</v>
      </c>
      <c r="AA286" s="3"/>
    </row>
    <row r="287">
      <c r="A287" s="3">
        <v>6.781187293443E12</v>
      </c>
      <c r="B287" s="2" t="s">
        <v>1661</v>
      </c>
      <c r="C287" s="2" t="s">
        <v>1662</v>
      </c>
      <c r="D287" s="169">
        <v>45994.0</v>
      </c>
      <c r="E287" s="2">
        <v>3.235248577E9</v>
      </c>
      <c r="F287" s="2" t="s">
        <v>1663</v>
      </c>
      <c r="G287" s="2" t="s">
        <v>506</v>
      </c>
      <c r="H287" s="2">
        <v>3045.0</v>
      </c>
      <c r="I287" s="2">
        <v>2.2120050020008E13</v>
      </c>
      <c r="J287" s="3">
        <v>2.0</v>
      </c>
      <c r="L287" s="2" t="s">
        <v>1129</v>
      </c>
      <c r="M287" s="174" t="s">
        <v>409</v>
      </c>
      <c r="N287" s="2" t="s">
        <v>462</v>
      </c>
      <c r="O287" s="3">
        <v>0.5</v>
      </c>
      <c r="P287" s="2" t="s">
        <v>363</v>
      </c>
      <c r="Q287" s="3">
        <v>960.0</v>
      </c>
      <c r="T287" s="2" t="s">
        <v>486</v>
      </c>
      <c r="U287" s="171">
        <v>3045.0</v>
      </c>
      <c r="V287" s="172">
        <v>46000.0</v>
      </c>
      <c r="W287" s="3">
        <v>322.0</v>
      </c>
      <c r="X287" s="172">
        <v>45997.7009837963</v>
      </c>
      <c r="Y287" s="172"/>
      <c r="Z287" s="3">
        <v>45994.0</v>
      </c>
      <c r="AA287" s="3"/>
    </row>
    <row r="288">
      <c r="A288" s="3">
        <v>6.781257908483E12</v>
      </c>
      <c r="B288" s="2" t="s">
        <v>1664</v>
      </c>
      <c r="C288" s="2" t="s">
        <v>1665</v>
      </c>
      <c r="D288" s="169">
        <v>45994.0</v>
      </c>
      <c r="E288" s="2">
        <v>3.33510137E9</v>
      </c>
      <c r="F288" s="2" t="s">
        <v>1666</v>
      </c>
      <c r="G288" s="2" t="s">
        <v>506</v>
      </c>
      <c r="H288" s="2">
        <v>3045.0</v>
      </c>
      <c r="I288" s="2">
        <v>2.6120050020009E13</v>
      </c>
      <c r="J288" s="3">
        <v>2.0</v>
      </c>
      <c r="L288" s="2" t="s">
        <v>906</v>
      </c>
      <c r="M288" s="174" t="s">
        <v>409</v>
      </c>
      <c r="N288" s="2" t="s">
        <v>462</v>
      </c>
      <c r="O288" s="3">
        <v>0.5</v>
      </c>
      <c r="P288" s="2" t="s">
        <v>363</v>
      </c>
      <c r="Q288" s="3">
        <v>920.0</v>
      </c>
      <c r="T288" s="2" t="s">
        <v>486</v>
      </c>
      <c r="U288" s="171">
        <v>3045.0</v>
      </c>
      <c r="V288" s="172">
        <v>46000.0</v>
      </c>
      <c r="W288" s="3">
        <v>322.0</v>
      </c>
      <c r="X288" s="172">
        <v>45997.61829861111</v>
      </c>
      <c r="Y288" s="172"/>
      <c r="Z288" s="3">
        <v>45994.0</v>
      </c>
      <c r="AA288" s="3"/>
    </row>
    <row r="289">
      <c r="A289" s="3">
        <v>6.781290283267E12</v>
      </c>
      <c r="B289" s="2" t="s">
        <v>1667</v>
      </c>
      <c r="C289" s="2" t="s">
        <v>1668</v>
      </c>
      <c r="D289" s="169">
        <v>45994.0</v>
      </c>
      <c r="E289" s="2">
        <v>3.433469514E9</v>
      </c>
      <c r="F289" s="2" t="s">
        <v>1669</v>
      </c>
      <c r="G289" s="2" t="s">
        <v>493</v>
      </c>
      <c r="H289" s="2">
        <v>2295.0</v>
      </c>
      <c r="I289" s="2">
        <v>2.212005002001E13</v>
      </c>
      <c r="J289" s="3">
        <v>2.0</v>
      </c>
      <c r="L289" s="2" t="s">
        <v>1670</v>
      </c>
      <c r="M289" s="174" t="s">
        <v>409</v>
      </c>
      <c r="N289" s="2" t="s">
        <v>462</v>
      </c>
      <c r="O289" s="3">
        <v>0.5</v>
      </c>
      <c r="P289" s="2" t="s">
        <v>363</v>
      </c>
      <c r="Q289" s="3">
        <v>1100.0</v>
      </c>
      <c r="T289" s="2" t="s">
        <v>486</v>
      </c>
      <c r="U289" s="171">
        <v>2295.0</v>
      </c>
      <c r="V289" s="172">
        <v>46000.0</v>
      </c>
      <c r="W289" s="3">
        <v>319.0</v>
      </c>
      <c r="X289" s="172">
        <v>45999.861909722225</v>
      </c>
      <c r="Y289" s="172"/>
      <c r="Z289" s="3">
        <v>45994.0</v>
      </c>
      <c r="AA289" s="3"/>
    </row>
    <row r="290">
      <c r="A290" s="3">
        <v>6.781299097859E12</v>
      </c>
      <c r="B290" s="2" t="s">
        <v>1671</v>
      </c>
      <c r="C290" s="2" t="s">
        <v>1672</v>
      </c>
      <c r="D290" s="169">
        <v>45994.0</v>
      </c>
      <c r="E290" s="2">
        <v>3.022918472E9</v>
      </c>
      <c r="F290" s="2" t="s">
        <v>1673</v>
      </c>
      <c r="G290" s="2" t="s">
        <v>493</v>
      </c>
      <c r="H290" s="2">
        <v>0.0</v>
      </c>
      <c r="J290" s="3">
        <v>0.0</v>
      </c>
      <c r="K290" s="2" t="s">
        <v>1674</v>
      </c>
      <c r="L290" s="2"/>
      <c r="M290" s="2" t="s">
        <v>468</v>
      </c>
      <c r="N290" s="2" t="s">
        <v>406</v>
      </c>
      <c r="O290" s="3">
        <v>0.5</v>
      </c>
      <c r="Q290" s="3">
        <v>0.0</v>
      </c>
      <c r="U290" s="141"/>
      <c r="X290" s="172">
        <v>46057.64278273148</v>
      </c>
      <c r="Y290" s="172"/>
      <c r="Z290" s="3">
        <v>45994.0</v>
      </c>
      <c r="AA290" s="3"/>
    </row>
    <row r="291">
      <c r="A291" s="3">
        <v>6.781401596163E12</v>
      </c>
      <c r="B291" s="2" t="s">
        <v>1675</v>
      </c>
      <c r="C291" s="2" t="s">
        <v>1676</v>
      </c>
      <c r="D291" s="169">
        <v>45994.0</v>
      </c>
      <c r="E291" s="2">
        <v>3.15606796E9</v>
      </c>
      <c r="F291" s="2" t="s">
        <v>1677</v>
      </c>
      <c r="G291" s="2" t="s">
        <v>1678</v>
      </c>
      <c r="H291" s="2">
        <v>3445.0</v>
      </c>
      <c r="I291" s="2">
        <v>2.7120050019999E13</v>
      </c>
      <c r="J291" s="3">
        <v>1.0</v>
      </c>
      <c r="L291" s="2" t="s">
        <v>719</v>
      </c>
      <c r="M291" s="174" t="s">
        <v>409</v>
      </c>
      <c r="N291" s="2" t="s">
        <v>462</v>
      </c>
      <c r="O291" s="3">
        <v>0.5</v>
      </c>
      <c r="P291" s="2" t="s">
        <v>363</v>
      </c>
      <c r="Q291" s="3">
        <v>2300.0</v>
      </c>
      <c r="T291" s="2" t="s">
        <v>486</v>
      </c>
      <c r="U291" s="171">
        <v>3445.0</v>
      </c>
      <c r="V291" s="172">
        <v>46000.0</v>
      </c>
      <c r="W291" s="3">
        <v>358.0</v>
      </c>
      <c r="X291" s="172">
        <v>45996.54256944444</v>
      </c>
      <c r="Y291" s="172"/>
      <c r="Z291" s="3">
        <v>45994.0</v>
      </c>
      <c r="AA291" s="3"/>
    </row>
    <row r="292">
      <c r="A292" s="3">
        <v>6.781417324803E12</v>
      </c>
      <c r="B292" s="2" t="s">
        <v>1679</v>
      </c>
      <c r="C292" s="2" t="s">
        <v>1680</v>
      </c>
      <c r="D292" s="169">
        <v>45994.0</v>
      </c>
      <c r="E292" s="2">
        <v>3.457522172E9</v>
      </c>
      <c r="F292" s="2" t="s">
        <v>1681</v>
      </c>
      <c r="G292" s="2" t="s">
        <v>1682</v>
      </c>
      <c r="H292" s="2">
        <v>0.0</v>
      </c>
      <c r="I292" s="2">
        <v>2.312005002E13</v>
      </c>
      <c r="J292" s="3">
        <v>0.0</v>
      </c>
      <c r="K292" s="2" t="s">
        <v>1026</v>
      </c>
      <c r="L292" s="2"/>
      <c r="M292" s="170" t="s">
        <v>455</v>
      </c>
      <c r="N292" s="2" t="s">
        <v>406</v>
      </c>
      <c r="O292" s="3">
        <v>0.5</v>
      </c>
      <c r="P292" s="2" t="s">
        <v>363</v>
      </c>
      <c r="Q292" s="3">
        <v>0.0</v>
      </c>
      <c r="T292" s="2" t="s">
        <v>456</v>
      </c>
      <c r="U292" s="171">
        <v>0.0</v>
      </c>
      <c r="V292" s="172">
        <v>46003.0</v>
      </c>
      <c r="W292" s="3">
        <v>220.0</v>
      </c>
      <c r="X292" s="172">
        <v>46057.64278273148</v>
      </c>
      <c r="Y292" s="172"/>
      <c r="Z292" s="3">
        <v>45994.0</v>
      </c>
      <c r="AA292" s="3"/>
    </row>
    <row r="293">
      <c r="A293" s="3">
        <v>6.781439377667E12</v>
      </c>
      <c r="B293" s="2" t="s">
        <v>1683</v>
      </c>
      <c r="C293" s="2" t="s">
        <v>1684</v>
      </c>
      <c r="D293" s="169">
        <v>45994.0</v>
      </c>
      <c r="E293" s="2">
        <v>3.494121258E9</v>
      </c>
      <c r="F293" s="2" t="s">
        <v>1685</v>
      </c>
      <c r="G293" s="2" t="s">
        <v>368</v>
      </c>
      <c r="H293" s="2">
        <v>195.0</v>
      </c>
      <c r="I293" s="2">
        <v>2.9120050020011E13</v>
      </c>
      <c r="J293" s="3">
        <v>0.0</v>
      </c>
      <c r="K293" s="2" t="s">
        <v>1686</v>
      </c>
      <c r="L293" s="2"/>
      <c r="M293" s="174" t="s">
        <v>409</v>
      </c>
      <c r="N293" s="2" t="s">
        <v>406</v>
      </c>
      <c r="O293" s="3">
        <v>0.5</v>
      </c>
      <c r="P293" s="2" t="s">
        <v>363</v>
      </c>
      <c r="Q293" s="3">
        <v>0.0</v>
      </c>
      <c r="T293" s="2" t="s">
        <v>463</v>
      </c>
      <c r="U293" s="2">
        <v>195.0</v>
      </c>
      <c r="V293" s="172">
        <v>45996.0</v>
      </c>
      <c r="W293" s="3">
        <v>229.0</v>
      </c>
      <c r="X293" s="172">
        <v>45996.45444444445</v>
      </c>
      <c r="Y293" s="172"/>
      <c r="Z293" s="3">
        <v>45994.0</v>
      </c>
      <c r="AA293" s="3"/>
    </row>
    <row r="294">
      <c r="A294" s="3">
        <v>6.781462741251E12</v>
      </c>
      <c r="B294" s="2" t="s">
        <v>1687</v>
      </c>
      <c r="C294" s="2" t="s">
        <v>1688</v>
      </c>
      <c r="D294" s="169">
        <v>45994.0</v>
      </c>
      <c r="E294" s="173" t="s">
        <v>1689</v>
      </c>
      <c r="F294" s="2" t="s">
        <v>1690</v>
      </c>
      <c r="G294" s="2" t="s">
        <v>1691</v>
      </c>
      <c r="H294" s="2">
        <v>0.0</v>
      </c>
      <c r="J294" s="3">
        <v>0.0</v>
      </c>
      <c r="K294" s="2" t="s">
        <v>634</v>
      </c>
      <c r="L294" s="2"/>
      <c r="M294" s="2" t="s">
        <v>468</v>
      </c>
      <c r="N294" s="2" t="s">
        <v>406</v>
      </c>
      <c r="O294" s="3">
        <v>0.5</v>
      </c>
      <c r="Q294" s="3">
        <v>0.0</v>
      </c>
      <c r="U294" s="141"/>
      <c r="X294" s="172">
        <v>46057.64278273148</v>
      </c>
      <c r="Y294" s="172"/>
      <c r="Z294" s="3">
        <v>45994.0</v>
      </c>
      <c r="AA294" s="3"/>
    </row>
    <row r="295">
      <c r="A295" s="3">
        <v>6.781502128387E12</v>
      </c>
      <c r="B295" s="2" t="s">
        <v>1692</v>
      </c>
      <c r="C295" s="2" t="s">
        <v>1693</v>
      </c>
      <c r="D295" s="169">
        <v>45994.0</v>
      </c>
      <c r="E295" s="173" t="s">
        <v>1694</v>
      </c>
      <c r="F295" s="2" t="s">
        <v>1695</v>
      </c>
      <c r="G295" s="2" t="s">
        <v>1696</v>
      </c>
      <c r="H295" s="2">
        <v>0.0</v>
      </c>
      <c r="I295" s="2">
        <v>2.9120050020021E13</v>
      </c>
      <c r="J295" s="3">
        <v>0.0</v>
      </c>
      <c r="K295" s="2" t="s">
        <v>1697</v>
      </c>
      <c r="L295" s="2"/>
      <c r="M295" s="170" t="s">
        <v>455</v>
      </c>
      <c r="N295" s="2" t="s">
        <v>406</v>
      </c>
      <c r="O295" s="3">
        <v>0.5</v>
      </c>
      <c r="P295" s="2" t="s">
        <v>363</v>
      </c>
      <c r="Q295" s="3">
        <v>0.0</v>
      </c>
      <c r="T295" s="2" t="s">
        <v>674</v>
      </c>
      <c r="U295" s="171">
        <v>0.0</v>
      </c>
      <c r="V295" s="172">
        <v>46007.0</v>
      </c>
      <c r="W295" s="3">
        <v>220.0</v>
      </c>
      <c r="X295" s="172">
        <v>46057.64278273148</v>
      </c>
      <c r="Y295" s="172"/>
      <c r="Z295" s="3">
        <v>45994.0</v>
      </c>
      <c r="AA295" s="3"/>
    </row>
    <row r="296">
      <c r="A296" s="3">
        <v>6.781516120323E12</v>
      </c>
      <c r="B296" s="2" t="s">
        <v>1698</v>
      </c>
      <c r="C296" s="2" t="s">
        <v>1699</v>
      </c>
      <c r="D296" s="169">
        <v>45994.0</v>
      </c>
      <c r="E296" s="2">
        <v>3.324446593E9</v>
      </c>
      <c r="F296" s="2" t="s">
        <v>1700</v>
      </c>
      <c r="G296" s="2" t="s">
        <v>1701</v>
      </c>
      <c r="H296" s="2">
        <v>2694.0</v>
      </c>
      <c r="I296" s="2">
        <v>2.9120050020022E13</v>
      </c>
      <c r="J296" s="3">
        <v>1.0</v>
      </c>
      <c r="L296" s="2" t="s">
        <v>1289</v>
      </c>
      <c r="M296" s="174" t="s">
        <v>409</v>
      </c>
      <c r="N296" s="2" t="s">
        <v>462</v>
      </c>
      <c r="O296" s="3">
        <v>0.5</v>
      </c>
      <c r="P296" s="2" t="s">
        <v>363</v>
      </c>
      <c r="Q296" s="3">
        <v>850.0</v>
      </c>
      <c r="T296" s="2" t="s">
        <v>486</v>
      </c>
      <c r="U296" s="171">
        <v>2694.0</v>
      </c>
      <c r="V296" s="172">
        <v>46000.0</v>
      </c>
      <c r="W296" s="3">
        <v>335.0</v>
      </c>
      <c r="X296" s="172">
        <v>45999.764699074076</v>
      </c>
      <c r="Y296" s="172"/>
      <c r="Z296" s="3">
        <v>45994.0</v>
      </c>
      <c r="AA296" s="3"/>
    </row>
    <row r="297">
      <c r="A297" s="3">
        <v>6.781517398275E12</v>
      </c>
      <c r="B297" s="2" t="s">
        <v>1702</v>
      </c>
      <c r="C297" s="2" t="s">
        <v>1703</v>
      </c>
      <c r="D297" s="169">
        <v>45994.0</v>
      </c>
      <c r="E297" s="2">
        <v>3.136413462E9</v>
      </c>
      <c r="F297" s="2" t="s">
        <v>1704</v>
      </c>
      <c r="G297" s="2" t="s">
        <v>1705</v>
      </c>
      <c r="H297" s="2">
        <v>0.0</v>
      </c>
      <c r="I297" s="2">
        <v>2.9120050020053E13</v>
      </c>
      <c r="J297" s="3">
        <v>0.0</v>
      </c>
      <c r="K297" s="2" t="s">
        <v>1706</v>
      </c>
      <c r="L297" s="2"/>
      <c r="M297" s="170" t="s">
        <v>455</v>
      </c>
      <c r="N297" s="2" t="s">
        <v>406</v>
      </c>
      <c r="O297" s="3">
        <v>0.5</v>
      </c>
      <c r="P297" s="2" t="s">
        <v>363</v>
      </c>
      <c r="Q297" s="3">
        <v>0.0</v>
      </c>
      <c r="T297" s="2" t="s">
        <v>674</v>
      </c>
      <c r="U297" s="171">
        <v>0.0</v>
      </c>
      <c r="V297" s="172">
        <v>46007.0</v>
      </c>
      <c r="W297" s="3">
        <v>200.0</v>
      </c>
      <c r="X297" s="172">
        <v>46057.64278273148</v>
      </c>
      <c r="Y297" s="172"/>
      <c r="Z297" s="3">
        <v>45994.0</v>
      </c>
      <c r="AA297" s="3"/>
    </row>
    <row r="298">
      <c r="A298" s="3">
        <v>6.781527589123E12</v>
      </c>
      <c r="B298" s="2" t="s">
        <v>1707</v>
      </c>
      <c r="C298" s="2" t="s">
        <v>1708</v>
      </c>
      <c r="D298" s="169">
        <v>45994.0</v>
      </c>
      <c r="E298" s="2">
        <v>3.09619025E9</v>
      </c>
      <c r="F298" s="2" t="s">
        <v>1709</v>
      </c>
      <c r="G298" s="2" t="s">
        <v>1710</v>
      </c>
      <c r="H298" s="2">
        <v>0.0</v>
      </c>
      <c r="I298" s="2">
        <v>2.7120050020023E13</v>
      </c>
      <c r="J298" s="3">
        <v>0.0</v>
      </c>
      <c r="K298" s="2" t="s">
        <v>1711</v>
      </c>
      <c r="L298" s="2"/>
      <c r="M298" s="170" t="s">
        <v>455</v>
      </c>
      <c r="N298" s="2" t="s">
        <v>406</v>
      </c>
      <c r="O298" s="3">
        <v>0.5</v>
      </c>
      <c r="P298" s="2" t="s">
        <v>363</v>
      </c>
      <c r="Q298" s="3">
        <v>0.0</v>
      </c>
      <c r="T298" s="2" t="s">
        <v>674</v>
      </c>
      <c r="U298" s="171">
        <v>0.0</v>
      </c>
      <c r="V298" s="172">
        <v>46007.0</v>
      </c>
      <c r="W298" s="3">
        <v>200.0</v>
      </c>
      <c r="X298" s="172">
        <v>46057.64278273148</v>
      </c>
      <c r="Y298" s="172"/>
      <c r="Z298" s="3">
        <v>45994.0</v>
      </c>
      <c r="AA298" s="3"/>
    </row>
    <row r="299">
      <c r="A299" s="3">
        <v>6.781532766467E12</v>
      </c>
      <c r="B299" s="2" t="s">
        <v>1712</v>
      </c>
      <c r="C299" s="2" t="s">
        <v>376</v>
      </c>
      <c r="D299" s="169">
        <v>45994.0</v>
      </c>
      <c r="E299" s="173" t="s">
        <v>1713</v>
      </c>
      <c r="F299" s="2" t="s">
        <v>1714</v>
      </c>
      <c r="G299" s="2" t="s">
        <v>368</v>
      </c>
      <c r="H299" s="2">
        <v>0.0</v>
      </c>
      <c r="I299" s="2">
        <v>2.1120050020024E13</v>
      </c>
      <c r="J299" s="3">
        <v>0.0</v>
      </c>
      <c r="K299" s="2" t="s">
        <v>1715</v>
      </c>
      <c r="L299" s="2"/>
      <c r="M299" s="170" t="s">
        <v>455</v>
      </c>
      <c r="N299" s="2" t="s">
        <v>406</v>
      </c>
      <c r="O299" s="3">
        <v>0.5</v>
      </c>
      <c r="P299" s="2" t="s">
        <v>73</v>
      </c>
      <c r="Q299" s="3">
        <v>0.0</v>
      </c>
      <c r="T299" s="2" t="s">
        <v>456</v>
      </c>
      <c r="U299" s="171">
        <v>0.0</v>
      </c>
      <c r="V299" s="172">
        <v>46003.0</v>
      </c>
      <c r="W299" s="3">
        <v>120.0</v>
      </c>
      <c r="X299" s="172">
        <v>46057.64278273148</v>
      </c>
      <c r="Y299" s="172"/>
      <c r="Z299" s="3">
        <v>45994.0</v>
      </c>
      <c r="AA299" s="3"/>
    </row>
    <row r="300">
      <c r="A300" s="3">
        <v>6.781694050563E12</v>
      </c>
      <c r="B300" s="2" t="s">
        <v>1716</v>
      </c>
      <c r="C300" s="2" t="s">
        <v>1717</v>
      </c>
      <c r="D300" s="169">
        <v>45995.0</v>
      </c>
      <c r="E300" s="2">
        <v>3.314107638E9</v>
      </c>
      <c r="F300" s="2" t="s">
        <v>1718</v>
      </c>
      <c r="G300" s="2" t="s">
        <v>1719</v>
      </c>
      <c r="H300" s="2">
        <v>1745.0</v>
      </c>
      <c r="I300" s="2">
        <v>2.6120050020054E13</v>
      </c>
      <c r="J300" s="3">
        <v>1.0</v>
      </c>
      <c r="L300" s="2" t="s">
        <v>1720</v>
      </c>
      <c r="M300" s="174" t="s">
        <v>409</v>
      </c>
      <c r="N300" s="2" t="s">
        <v>462</v>
      </c>
      <c r="O300" s="3">
        <v>0.5</v>
      </c>
      <c r="P300" s="2" t="s">
        <v>363</v>
      </c>
      <c r="Q300" s="3">
        <v>490.0</v>
      </c>
      <c r="T300" s="2" t="s">
        <v>456</v>
      </c>
      <c r="U300" s="171">
        <v>1745.0</v>
      </c>
      <c r="V300" s="172">
        <v>46003.0</v>
      </c>
      <c r="W300" s="3">
        <v>283.0</v>
      </c>
      <c r="X300" s="172">
        <v>46000.68502314815</v>
      </c>
      <c r="Y300" s="172"/>
      <c r="Z300" s="3">
        <v>45995.0</v>
      </c>
      <c r="AA300" s="3"/>
    </row>
    <row r="301">
      <c r="A301" s="3">
        <v>6.781703618819E12</v>
      </c>
      <c r="B301" s="2" t="s">
        <v>1721</v>
      </c>
      <c r="C301" s="2" t="s">
        <v>1722</v>
      </c>
      <c r="D301" s="169">
        <v>45995.0</v>
      </c>
      <c r="E301" s="2">
        <v>3.226178379E9</v>
      </c>
      <c r="F301" s="2" t="s">
        <v>1723</v>
      </c>
      <c r="G301" s="2" t="s">
        <v>541</v>
      </c>
      <c r="H301" s="2">
        <v>6349.0</v>
      </c>
      <c r="I301" s="2">
        <v>2.6120050020001E13</v>
      </c>
      <c r="J301" s="3">
        <v>2.0</v>
      </c>
      <c r="L301" s="2" t="s">
        <v>1724</v>
      </c>
      <c r="M301" s="174" t="s">
        <v>409</v>
      </c>
      <c r="N301" s="2" t="s">
        <v>462</v>
      </c>
      <c r="O301" s="3">
        <v>0.5</v>
      </c>
      <c r="P301" s="2" t="s">
        <v>363</v>
      </c>
      <c r="Q301" s="3">
        <v>2700.0</v>
      </c>
      <c r="T301" s="2" t="s">
        <v>486</v>
      </c>
      <c r="U301" s="171">
        <v>6349.0</v>
      </c>
      <c r="V301" s="172">
        <v>46000.0</v>
      </c>
      <c r="W301" s="3">
        <v>567.0</v>
      </c>
      <c r="X301" s="172">
        <v>45999.77260416667</v>
      </c>
      <c r="Y301" s="172"/>
      <c r="Z301" s="3">
        <v>45995.0</v>
      </c>
      <c r="AA301" s="3"/>
    </row>
    <row r="302">
      <c r="A302" s="3">
        <v>6.781729079555E12</v>
      </c>
      <c r="B302" s="2" t="s">
        <v>1725</v>
      </c>
      <c r="C302" s="2" t="s">
        <v>1726</v>
      </c>
      <c r="D302" s="169">
        <v>45995.0</v>
      </c>
      <c r="E302" s="2">
        <v>3.364811835E9</v>
      </c>
      <c r="F302" s="2" t="s">
        <v>1727</v>
      </c>
      <c r="G302" s="2" t="s">
        <v>368</v>
      </c>
      <c r="H302" s="2">
        <v>4595.0</v>
      </c>
      <c r="I302" s="2">
        <v>2.6120050020002E13</v>
      </c>
      <c r="J302" s="3">
        <v>2.0</v>
      </c>
      <c r="L302" s="2" t="s">
        <v>532</v>
      </c>
      <c r="M302" s="174" t="s">
        <v>409</v>
      </c>
      <c r="N302" s="2" t="s">
        <v>462</v>
      </c>
      <c r="O302" s="3">
        <v>0.5</v>
      </c>
      <c r="P302" s="2" t="s">
        <v>363</v>
      </c>
      <c r="Q302" s="3">
        <v>1700.0</v>
      </c>
      <c r="T302" s="2" t="s">
        <v>463</v>
      </c>
      <c r="U302" s="171">
        <v>4595.0</v>
      </c>
      <c r="V302" s="172">
        <v>45996.0</v>
      </c>
      <c r="W302" s="3">
        <v>371.0</v>
      </c>
      <c r="X302" s="172">
        <v>45996.47378472222</v>
      </c>
      <c r="Y302" s="172"/>
      <c r="Z302" s="3">
        <v>45995.0</v>
      </c>
      <c r="AA302" s="3"/>
    </row>
    <row r="303">
      <c r="A303" s="3">
        <v>6.781765255427E12</v>
      </c>
      <c r="B303" s="2" t="s">
        <v>1728</v>
      </c>
      <c r="C303" s="2" t="s">
        <v>1729</v>
      </c>
      <c r="D303" s="169">
        <v>45995.0</v>
      </c>
      <c r="E303" s="173" t="s">
        <v>1730</v>
      </c>
      <c r="F303" s="2" t="s">
        <v>1731</v>
      </c>
      <c r="G303" s="2" t="s">
        <v>1732</v>
      </c>
      <c r="H303" s="2">
        <v>4595.0</v>
      </c>
      <c r="I303" s="2">
        <v>2.8120050020025E13</v>
      </c>
      <c r="J303" s="3">
        <v>2.0</v>
      </c>
      <c r="L303" s="2" t="s">
        <v>479</v>
      </c>
      <c r="M303" s="174" t="s">
        <v>409</v>
      </c>
      <c r="N303" s="2" t="s">
        <v>462</v>
      </c>
      <c r="O303" s="3">
        <v>0.5</v>
      </c>
      <c r="P303" s="2" t="s">
        <v>73</v>
      </c>
      <c r="Q303" s="3">
        <v>1700.0</v>
      </c>
      <c r="T303" s="2" t="s">
        <v>486</v>
      </c>
      <c r="U303" s="171">
        <v>4595.0</v>
      </c>
      <c r="V303" s="172">
        <v>46000.0</v>
      </c>
      <c r="W303" s="3">
        <v>411.0</v>
      </c>
      <c r="X303" s="172">
        <v>45999.799664351856</v>
      </c>
      <c r="Y303" s="172"/>
      <c r="Z303" s="3">
        <v>45995.0</v>
      </c>
      <c r="AA303" s="3"/>
    </row>
    <row r="304">
      <c r="A304" s="3">
        <v>6.781792682243E12</v>
      </c>
      <c r="B304" s="2" t="s">
        <v>1733</v>
      </c>
      <c r="C304" s="2" t="s">
        <v>1734</v>
      </c>
      <c r="D304" s="169">
        <v>45995.0</v>
      </c>
      <c r="E304" s="2">
        <v>3.104782864E9</v>
      </c>
      <c r="F304" s="2" t="s">
        <v>1735</v>
      </c>
      <c r="G304" s="2" t="s">
        <v>1257</v>
      </c>
      <c r="H304" s="2">
        <v>0.0</v>
      </c>
      <c r="J304" s="3">
        <v>0.0</v>
      </c>
      <c r="K304" s="2" t="s">
        <v>1736</v>
      </c>
      <c r="L304" s="2"/>
      <c r="M304" s="2" t="s">
        <v>468</v>
      </c>
      <c r="N304" s="2" t="s">
        <v>406</v>
      </c>
      <c r="O304" s="3">
        <v>0.5</v>
      </c>
      <c r="Q304" s="3">
        <v>0.0</v>
      </c>
      <c r="U304" s="141"/>
      <c r="X304" s="172">
        <v>46057.64278273148</v>
      </c>
      <c r="Y304" s="172"/>
      <c r="Z304" s="3">
        <v>45995.0</v>
      </c>
      <c r="AA304" s="3"/>
    </row>
    <row r="305">
      <c r="A305" s="3">
        <v>6.781815685379E12</v>
      </c>
      <c r="B305" s="2" t="s">
        <v>1737</v>
      </c>
      <c r="C305" s="2" t="s">
        <v>1738</v>
      </c>
      <c r="D305" s="169">
        <v>45995.0</v>
      </c>
      <c r="E305" s="2">
        <v>3.452903911E9</v>
      </c>
      <c r="F305" s="2" t="s">
        <v>1739</v>
      </c>
      <c r="G305" s="2" t="s">
        <v>493</v>
      </c>
      <c r="H305" s="2">
        <v>2694.0</v>
      </c>
      <c r="I305" s="2">
        <v>2.6120050020003E13</v>
      </c>
      <c r="J305" s="3">
        <v>1.0</v>
      </c>
      <c r="L305" s="2" t="s">
        <v>519</v>
      </c>
      <c r="M305" s="174" t="s">
        <v>409</v>
      </c>
      <c r="N305" s="2" t="s">
        <v>462</v>
      </c>
      <c r="O305" s="3">
        <v>0.5</v>
      </c>
      <c r="P305" s="2" t="s">
        <v>363</v>
      </c>
      <c r="Q305" s="3">
        <v>850.0</v>
      </c>
      <c r="T305" s="2" t="s">
        <v>486</v>
      </c>
      <c r="U305" s="171">
        <v>2694.0</v>
      </c>
      <c r="V305" s="172">
        <v>46000.0</v>
      </c>
      <c r="W305" s="3">
        <v>321.0</v>
      </c>
      <c r="X305" s="172">
        <v>45999.8618287037</v>
      </c>
      <c r="Y305" s="172"/>
      <c r="Z305" s="3">
        <v>45995.0</v>
      </c>
      <c r="AA305" s="3"/>
    </row>
    <row r="306">
      <c r="A306" s="3">
        <v>6.782013505795E12</v>
      </c>
      <c r="B306" s="2" t="s">
        <v>1740</v>
      </c>
      <c r="C306" s="2" t="s">
        <v>1741</v>
      </c>
      <c r="D306" s="169">
        <v>45995.0</v>
      </c>
      <c r="E306" s="2">
        <v>3.242498181E9</v>
      </c>
      <c r="F306" s="2" t="s">
        <v>1742</v>
      </c>
      <c r="G306" s="2" t="s">
        <v>368</v>
      </c>
      <c r="H306" s="2">
        <v>0.0</v>
      </c>
      <c r="J306" s="3">
        <v>0.0</v>
      </c>
      <c r="K306" s="2" t="s">
        <v>1743</v>
      </c>
      <c r="L306" s="2"/>
      <c r="M306" s="2" t="s">
        <v>468</v>
      </c>
      <c r="N306" s="2" t="s">
        <v>406</v>
      </c>
      <c r="O306" s="3">
        <v>0.5</v>
      </c>
      <c r="Q306" s="3">
        <v>0.0</v>
      </c>
      <c r="U306" s="141"/>
      <c r="X306" s="172">
        <v>46057.64278273148</v>
      </c>
      <c r="Y306" s="172"/>
      <c r="Z306" s="3">
        <v>45995.0</v>
      </c>
      <c r="AA306" s="3"/>
    </row>
    <row r="307">
      <c r="A307" s="3">
        <v>6.782076649731E12</v>
      </c>
      <c r="B307" s="2" t="s">
        <v>1744</v>
      </c>
      <c r="C307" s="2" t="s">
        <v>1745</v>
      </c>
      <c r="D307" s="169">
        <v>45995.0</v>
      </c>
      <c r="E307" s="2">
        <v>3.260433334E9</v>
      </c>
      <c r="F307" s="2" t="s">
        <v>1746</v>
      </c>
      <c r="G307" s="2" t="s">
        <v>541</v>
      </c>
      <c r="H307" s="2">
        <v>2694.0</v>
      </c>
      <c r="I307" s="2">
        <v>2.1120050020004E13</v>
      </c>
      <c r="J307" s="3">
        <v>1.0</v>
      </c>
      <c r="L307" s="2" t="s">
        <v>500</v>
      </c>
      <c r="M307" s="174" t="s">
        <v>409</v>
      </c>
      <c r="N307" s="2" t="s">
        <v>462</v>
      </c>
      <c r="O307" s="3">
        <v>0.5</v>
      </c>
      <c r="P307" s="2" t="s">
        <v>73</v>
      </c>
      <c r="Q307" s="3">
        <v>850.0</v>
      </c>
      <c r="T307" s="2" t="s">
        <v>486</v>
      </c>
      <c r="U307" s="171">
        <v>2694.0</v>
      </c>
      <c r="V307" s="172">
        <v>46000.0</v>
      </c>
      <c r="W307" s="3">
        <v>308.0</v>
      </c>
      <c r="X307" s="172">
        <v>45997.5987962963</v>
      </c>
      <c r="Y307" s="172"/>
      <c r="Z307" s="3">
        <v>45995.0</v>
      </c>
      <c r="AA307" s="3"/>
    </row>
    <row r="308">
      <c r="A308" s="3">
        <v>6.782108991747E12</v>
      </c>
      <c r="B308" s="2" t="s">
        <v>1747</v>
      </c>
      <c r="C308" s="2" t="s">
        <v>1748</v>
      </c>
      <c r="D308" s="169">
        <v>45995.0</v>
      </c>
      <c r="E308" s="2">
        <v>3.104320004E9</v>
      </c>
      <c r="F308" s="2" t="s">
        <v>1749</v>
      </c>
      <c r="G308" s="2" t="s">
        <v>1044</v>
      </c>
      <c r="H308" s="2">
        <v>2695.0</v>
      </c>
      <c r="I308" s="2">
        <v>1.73008735987E11</v>
      </c>
      <c r="J308" s="3">
        <v>2.0</v>
      </c>
      <c r="K308" s="2" t="s">
        <v>499</v>
      </c>
      <c r="L308" s="2" t="s">
        <v>35</v>
      </c>
      <c r="M308" s="174" t="s">
        <v>409</v>
      </c>
      <c r="N308" s="2" t="s">
        <v>462</v>
      </c>
      <c r="O308" s="3">
        <v>0.5</v>
      </c>
      <c r="P308" s="2" t="s">
        <v>501</v>
      </c>
      <c r="Q308" s="3">
        <v>980.0</v>
      </c>
      <c r="T308" s="2" t="s">
        <v>805</v>
      </c>
      <c r="U308" s="171">
        <v>2695.0</v>
      </c>
      <c r="W308" s="3">
        <v>400.0</v>
      </c>
      <c r="X308" s="172">
        <v>46057.69311800926</v>
      </c>
      <c r="Y308" s="172"/>
      <c r="Z308" s="3">
        <v>45995.0</v>
      </c>
      <c r="AA308" s="3"/>
    </row>
    <row r="309">
      <c r="A309" s="3">
        <v>6.782130749699E12</v>
      </c>
      <c r="B309" s="2" t="s">
        <v>1750</v>
      </c>
      <c r="C309" s="2" t="s">
        <v>1751</v>
      </c>
      <c r="D309" s="169">
        <v>45995.0</v>
      </c>
      <c r="E309" s="2">
        <v>3.334819133E9</v>
      </c>
      <c r="F309" s="2" t="s">
        <v>1752</v>
      </c>
      <c r="G309" s="2" t="s">
        <v>1753</v>
      </c>
      <c r="H309" s="2">
        <v>11650.0</v>
      </c>
      <c r="I309" s="2"/>
      <c r="J309" s="3">
        <v>7.0</v>
      </c>
      <c r="K309" s="2" t="s">
        <v>241</v>
      </c>
      <c r="L309" s="2" t="s">
        <v>1754</v>
      </c>
      <c r="M309" s="174" t="s">
        <v>409</v>
      </c>
      <c r="N309" s="2" t="s">
        <v>462</v>
      </c>
      <c r="O309" s="3">
        <v>0.5</v>
      </c>
      <c r="P309" s="2"/>
      <c r="Q309" s="3">
        <v>4070.0</v>
      </c>
      <c r="U309" s="3">
        <v>11650.0</v>
      </c>
      <c r="X309" s="172">
        <v>46065.737527453704</v>
      </c>
      <c r="Y309" s="172"/>
      <c r="Z309" s="3">
        <v>45995.0</v>
      </c>
      <c r="AA309" s="3"/>
    </row>
    <row r="310">
      <c r="A310" s="3">
        <v>6.782230135043E12</v>
      </c>
      <c r="B310" s="2" t="s">
        <v>1755</v>
      </c>
      <c r="C310" s="2" t="s">
        <v>1756</v>
      </c>
      <c r="D310" s="169">
        <v>45995.0</v>
      </c>
      <c r="E310" s="2">
        <v>3.45305241E9</v>
      </c>
      <c r="F310" s="2" t="s">
        <v>1757</v>
      </c>
      <c r="G310" s="2" t="s">
        <v>493</v>
      </c>
      <c r="H310" s="2">
        <v>2295.0</v>
      </c>
      <c r="I310" s="2">
        <v>2.1120050020012E13</v>
      </c>
      <c r="J310" s="3">
        <v>2.0</v>
      </c>
      <c r="L310" s="2" t="s">
        <v>1758</v>
      </c>
      <c r="M310" s="174" t="s">
        <v>409</v>
      </c>
      <c r="N310" s="2" t="s">
        <v>462</v>
      </c>
      <c r="O310" s="3">
        <v>0.5</v>
      </c>
      <c r="P310" s="2" t="s">
        <v>73</v>
      </c>
      <c r="Q310" s="3">
        <v>1100.0</v>
      </c>
      <c r="T310" s="2" t="s">
        <v>486</v>
      </c>
      <c r="U310" s="171">
        <v>2295.0</v>
      </c>
      <c r="V310" s="172">
        <v>46000.0</v>
      </c>
      <c r="W310" s="3">
        <v>319.0</v>
      </c>
      <c r="X310" s="172">
        <v>45999.79420138889</v>
      </c>
      <c r="Y310" s="172"/>
      <c r="Z310" s="3">
        <v>45995.0</v>
      </c>
      <c r="AA310" s="3"/>
    </row>
    <row r="311">
      <c r="A311" s="3">
        <v>6.782262575363E12</v>
      </c>
      <c r="B311" s="2" t="s">
        <v>1759</v>
      </c>
      <c r="C311" s="2" t="s">
        <v>1760</v>
      </c>
      <c r="D311" s="169">
        <v>45995.0</v>
      </c>
      <c r="E311" s="2">
        <v>3.133355204E9</v>
      </c>
      <c r="F311" s="2" t="s">
        <v>1761</v>
      </c>
      <c r="G311" s="2" t="s">
        <v>1762</v>
      </c>
      <c r="H311" s="2">
        <v>0.0</v>
      </c>
      <c r="I311" s="2">
        <v>2.5120050020005E13</v>
      </c>
      <c r="J311" s="3">
        <v>0.0</v>
      </c>
      <c r="K311" s="2" t="s">
        <v>1763</v>
      </c>
      <c r="L311" s="2"/>
      <c r="M311" s="170" t="s">
        <v>455</v>
      </c>
      <c r="N311" s="2" t="s">
        <v>406</v>
      </c>
      <c r="O311" s="3">
        <v>0.5</v>
      </c>
      <c r="P311" s="2" t="s">
        <v>363</v>
      </c>
      <c r="Q311" s="3">
        <v>0.0</v>
      </c>
      <c r="T311" s="2" t="s">
        <v>599</v>
      </c>
      <c r="U311" s="171">
        <v>0.0</v>
      </c>
      <c r="V311" s="172">
        <v>46010.0</v>
      </c>
      <c r="W311" s="3">
        <v>213.0</v>
      </c>
      <c r="X311" s="172">
        <v>46057.64278273148</v>
      </c>
      <c r="Y311" s="172"/>
      <c r="Z311" s="3">
        <v>45995.0</v>
      </c>
      <c r="AA311" s="3"/>
    </row>
    <row r="312">
      <c r="A312" s="3">
        <v>6.782264410371E12</v>
      </c>
      <c r="B312" s="2" t="s">
        <v>1764</v>
      </c>
      <c r="C312" s="2" t="s">
        <v>1765</v>
      </c>
      <c r="D312" s="169">
        <v>45995.0</v>
      </c>
      <c r="E312" s="173" t="s">
        <v>1766</v>
      </c>
      <c r="F312" s="2" t="s">
        <v>1767</v>
      </c>
      <c r="G312" s="2" t="s">
        <v>368</v>
      </c>
      <c r="H312" s="2">
        <v>0.0</v>
      </c>
      <c r="I312" s="2">
        <v>2.9120050020026E13</v>
      </c>
      <c r="J312" s="3">
        <v>0.0</v>
      </c>
      <c r="K312" s="2" t="s">
        <v>1768</v>
      </c>
      <c r="L312" s="2"/>
      <c r="M312" s="170" t="s">
        <v>455</v>
      </c>
      <c r="N312" s="2" t="s">
        <v>406</v>
      </c>
      <c r="O312" s="3">
        <v>0.5</v>
      </c>
      <c r="P312" s="2" t="s">
        <v>363</v>
      </c>
      <c r="Q312" s="3">
        <v>0.0</v>
      </c>
      <c r="T312" s="2" t="s">
        <v>456</v>
      </c>
      <c r="U312" s="171">
        <v>0.0</v>
      </c>
      <c r="V312" s="172">
        <v>46003.0</v>
      </c>
      <c r="W312" s="3">
        <v>120.0</v>
      </c>
      <c r="X312" s="172">
        <v>46057.64278273148</v>
      </c>
      <c r="Y312" s="172"/>
      <c r="Z312" s="3">
        <v>45995.0</v>
      </c>
      <c r="AA312" s="3"/>
    </row>
    <row r="313">
      <c r="A313" s="3">
        <v>6.782287184131E12</v>
      </c>
      <c r="B313" s="2" t="s">
        <v>1769</v>
      </c>
      <c r="C313" s="2" t="s">
        <v>1770</v>
      </c>
      <c r="D313" s="169">
        <v>45995.0</v>
      </c>
      <c r="E313" s="2">
        <v>3.485750373E9</v>
      </c>
      <c r="F313" s="2" t="s">
        <v>1771</v>
      </c>
      <c r="G313" s="2" t="s">
        <v>366</v>
      </c>
      <c r="H313" s="2">
        <v>1245.0</v>
      </c>
      <c r="I313" s="2">
        <v>2.2120050020013E13</v>
      </c>
      <c r="J313" s="3">
        <v>1.0</v>
      </c>
      <c r="L313" s="2" t="s">
        <v>1772</v>
      </c>
      <c r="M313" s="174" t="s">
        <v>409</v>
      </c>
      <c r="N313" s="2" t="s">
        <v>462</v>
      </c>
      <c r="O313" s="3">
        <v>0.5</v>
      </c>
      <c r="P313" s="2" t="s">
        <v>363</v>
      </c>
      <c r="Q313" s="3">
        <v>550.0</v>
      </c>
      <c r="T313" s="2" t="s">
        <v>456</v>
      </c>
      <c r="U313" s="171">
        <v>1245.0</v>
      </c>
      <c r="V313" s="172">
        <v>46003.0</v>
      </c>
      <c r="W313" s="3">
        <v>250.0</v>
      </c>
      <c r="X313" s="172">
        <v>46000.585625</v>
      </c>
      <c r="Y313" s="172"/>
      <c r="Z313" s="3">
        <v>45995.0</v>
      </c>
      <c r="AA313" s="3"/>
    </row>
    <row r="314">
      <c r="A314" s="3">
        <v>6.782355341571E12</v>
      </c>
      <c r="B314" s="2" t="s">
        <v>1773</v>
      </c>
      <c r="C314" s="2" t="s">
        <v>1774</v>
      </c>
      <c r="D314" s="169">
        <v>45995.0</v>
      </c>
      <c r="E314" s="2">
        <v>3.456128777E9</v>
      </c>
      <c r="F314" s="2" t="s">
        <v>1775</v>
      </c>
      <c r="G314" s="2" t="s">
        <v>1016</v>
      </c>
      <c r="H314" s="2">
        <v>0.0</v>
      </c>
      <c r="I314" s="2">
        <v>2.9120050020019E13</v>
      </c>
      <c r="J314" s="3">
        <v>0.0</v>
      </c>
      <c r="K314" s="2" t="s">
        <v>1776</v>
      </c>
      <c r="L314" s="2"/>
      <c r="M314" s="170" t="s">
        <v>455</v>
      </c>
      <c r="N314" s="2" t="s">
        <v>406</v>
      </c>
      <c r="O314" s="3">
        <v>0.5</v>
      </c>
      <c r="P314" s="2" t="s">
        <v>363</v>
      </c>
      <c r="Q314" s="3">
        <v>0.0</v>
      </c>
      <c r="T314" s="2" t="s">
        <v>674</v>
      </c>
      <c r="U314" s="171">
        <v>0.0</v>
      </c>
      <c r="V314" s="172">
        <v>46007.0</v>
      </c>
      <c r="W314" s="3">
        <v>220.0</v>
      </c>
      <c r="X314" s="172">
        <v>46057.64278273148</v>
      </c>
      <c r="Y314" s="172"/>
      <c r="Z314" s="3">
        <v>45995.0</v>
      </c>
      <c r="AA314" s="3"/>
    </row>
    <row r="315">
      <c r="A315" s="3">
        <v>6.782369792259E12</v>
      </c>
      <c r="B315" s="2" t="s">
        <v>1777</v>
      </c>
      <c r="C315" s="2" t="s">
        <v>1508</v>
      </c>
      <c r="D315" s="169">
        <v>45995.0</v>
      </c>
      <c r="E315" s="173" t="s">
        <v>1778</v>
      </c>
      <c r="F315" s="2" t="s">
        <v>1509</v>
      </c>
      <c r="G315" s="2" t="s">
        <v>374</v>
      </c>
      <c r="H315" s="2">
        <v>0.0</v>
      </c>
      <c r="I315" s="2">
        <v>2.212005002008E13</v>
      </c>
      <c r="J315" s="3">
        <v>0.0</v>
      </c>
      <c r="K315" s="2" t="s">
        <v>1779</v>
      </c>
      <c r="L315" s="2"/>
      <c r="M315" s="170" t="s">
        <v>455</v>
      </c>
      <c r="N315" s="2" t="s">
        <v>406</v>
      </c>
      <c r="O315" s="3">
        <v>0.5</v>
      </c>
      <c r="P315" s="2" t="s">
        <v>363</v>
      </c>
      <c r="Q315" s="3">
        <v>0.0</v>
      </c>
      <c r="T315" s="2" t="s">
        <v>674</v>
      </c>
      <c r="U315" s="171">
        <v>0.0</v>
      </c>
      <c r="V315" s="172">
        <v>46007.0</v>
      </c>
      <c r="W315" s="3">
        <v>220.0</v>
      </c>
      <c r="X315" s="172">
        <v>46057.64278273148</v>
      </c>
      <c r="Y315" s="172"/>
      <c r="Z315" s="3">
        <v>45995.0</v>
      </c>
      <c r="AA315" s="3"/>
    </row>
    <row r="316">
      <c r="A316" s="3">
        <v>6.782380671235E12</v>
      </c>
      <c r="B316" s="2" t="s">
        <v>1780</v>
      </c>
      <c r="C316" s="2" t="s">
        <v>1781</v>
      </c>
      <c r="D316" s="169">
        <v>45995.0</v>
      </c>
      <c r="E316" s="173" t="s">
        <v>1782</v>
      </c>
      <c r="F316" s="2" t="s">
        <v>1783</v>
      </c>
      <c r="G316" s="2" t="s">
        <v>506</v>
      </c>
      <c r="H316" s="2">
        <v>0.0</v>
      </c>
      <c r="I316" s="2">
        <v>2.2120050020027E13</v>
      </c>
      <c r="J316" s="3">
        <v>0.0</v>
      </c>
      <c r="K316" s="2" t="s">
        <v>1784</v>
      </c>
      <c r="L316" s="2"/>
      <c r="M316" s="170" t="s">
        <v>455</v>
      </c>
      <c r="N316" s="2" t="s">
        <v>406</v>
      </c>
      <c r="O316" s="3">
        <v>0.5</v>
      </c>
      <c r="P316" s="2" t="s">
        <v>363</v>
      </c>
      <c r="Q316" s="3">
        <v>0.0</v>
      </c>
      <c r="T316" s="2" t="s">
        <v>599</v>
      </c>
      <c r="U316" s="171">
        <v>0.0</v>
      </c>
      <c r="V316" s="172">
        <v>46010.0</v>
      </c>
      <c r="W316" s="3">
        <v>220.0</v>
      </c>
      <c r="X316" s="172">
        <v>46057.64278273148</v>
      </c>
      <c r="Y316" s="172"/>
      <c r="Z316" s="3">
        <v>45995.0</v>
      </c>
      <c r="AA316" s="3"/>
    </row>
    <row r="317">
      <c r="A317" s="3">
        <v>6.782391353603E12</v>
      </c>
      <c r="B317" s="2" t="s">
        <v>1785</v>
      </c>
      <c r="C317" s="2" t="s">
        <v>1786</v>
      </c>
      <c r="D317" s="169">
        <v>45995.0</v>
      </c>
      <c r="E317" s="173" t="s">
        <v>1787</v>
      </c>
      <c r="F317" s="2" t="s">
        <v>1788</v>
      </c>
      <c r="G317" s="2" t="s">
        <v>688</v>
      </c>
      <c r="H317" s="2">
        <v>2245.0</v>
      </c>
      <c r="I317" s="2">
        <v>2.6120050020006E13</v>
      </c>
      <c r="J317" s="3">
        <v>1.0</v>
      </c>
      <c r="L317" s="2" t="s">
        <v>1789</v>
      </c>
      <c r="M317" s="174" t="s">
        <v>409</v>
      </c>
      <c r="N317" s="2" t="s">
        <v>462</v>
      </c>
      <c r="O317" s="3">
        <v>0.5</v>
      </c>
      <c r="P317" s="2" t="s">
        <v>363</v>
      </c>
      <c r="Q317" s="3">
        <v>850.0</v>
      </c>
      <c r="T317" s="2" t="s">
        <v>486</v>
      </c>
      <c r="U317" s="171">
        <v>2245.0</v>
      </c>
      <c r="V317" s="172">
        <v>46000.0</v>
      </c>
      <c r="W317" s="3">
        <v>290.0</v>
      </c>
      <c r="X317" s="172">
        <v>45997.5362962963</v>
      </c>
      <c r="Y317" s="172"/>
      <c r="Z317" s="3">
        <v>45995.0</v>
      </c>
      <c r="AA317" s="3"/>
    </row>
    <row r="318">
      <c r="A318" s="3">
        <v>6.782411702531E12</v>
      </c>
      <c r="B318" s="2" t="s">
        <v>1790</v>
      </c>
      <c r="C318" s="2" t="s">
        <v>1791</v>
      </c>
      <c r="D318" s="169">
        <v>45995.0</v>
      </c>
      <c r="E318" s="2">
        <v>3.363175552E9</v>
      </c>
      <c r="F318" s="2" t="s">
        <v>1792</v>
      </c>
      <c r="G318" s="2" t="s">
        <v>368</v>
      </c>
      <c r="H318" s="2">
        <v>0.0</v>
      </c>
      <c r="J318" s="3">
        <v>0.0</v>
      </c>
      <c r="K318" s="2" t="s">
        <v>1793</v>
      </c>
      <c r="L318" s="2"/>
      <c r="M318" s="2" t="s">
        <v>468</v>
      </c>
      <c r="N318" s="2" t="s">
        <v>406</v>
      </c>
      <c r="O318" s="3">
        <v>0.5</v>
      </c>
      <c r="Q318" s="3">
        <v>0.0</v>
      </c>
      <c r="U318" s="141"/>
      <c r="X318" s="172">
        <v>46057.64278273148</v>
      </c>
      <c r="Y318" s="172"/>
      <c r="Z318" s="3">
        <v>45995.0</v>
      </c>
      <c r="AA318" s="3"/>
    </row>
    <row r="319">
      <c r="A319" s="3">
        <v>6.782423433475E12</v>
      </c>
      <c r="B319" s="2" t="s">
        <v>1794</v>
      </c>
      <c r="C319" s="2" t="s">
        <v>1791</v>
      </c>
      <c r="D319" s="169">
        <v>45995.0</v>
      </c>
      <c r="E319" s="2">
        <v>3.363175552E9</v>
      </c>
      <c r="F319" s="2" t="s">
        <v>1795</v>
      </c>
      <c r="G319" s="2" t="s">
        <v>368</v>
      </c>
      <c r="H319" s="2">
        <v>0.0</v>
      </c>
      <c r="J319" s="3">
        <v>0.0</v>
      </c>
      <c r="K319" s="2" t="s">
        <v>1793</v>
      </c>
      <c r="L319" s="2"/>
      <c r="M319" s="2" t="s">
        <v>468</v>
      </c>
      <c r="N319" s="2" t="s">
        <v>406</v>
      </c>
      <c r="O319" s="3">
        <v>0.5</v>
      </c>
      <c r="Q319" s="3">
        <v>0.0</v>
      </c>
      <c r="U319" s="141"/>
      <c r="X319" s="172">
        <v>46057.64278273148</v>
      </c>
      <c r="Y319" s="172"/>
      <c r="Z319" s="3">
        <v>45995.0</v>
      </c>
      <c r="AA319" s="3"/>
    </row>
    <row r="320">
      <c r="A320" s="3">
        <v>6.782437851395E12</v>
      </c>
      <c r="B320" s="2" t="s">
        <v>1796</v>
      </c>
      <c r="C320" s="2" t="s">
        <v>1797</v>
      </c>
      <c r="D320" s="169">
        <v>45995.0</v>
      </c>
      <c r="E320" s="173" t="s">
        <v>1798</v>
      </c>
      <c r="F320" s="2" t="s">
        <v>1799</v>
      </c>
      <c r="G320" s="2" t="s">
        <v>855</v>
      </c>
      <c r="H320" s="2">
        <v>2343.0</v>
      </c>
      <c r="I320" s="2">
        <v>2.1120050020028E13</v>
      </c>
      <c r="J320" s="3">
        <v>1.0</v>
      </c>
      <c r="L320" s="2" t="s">
        <v>512</v>
      </c>
      <c r="M320" s="174" t="s">
        <v>409</v>
      </c>
      <c r="N320" s="2" t="s">
        <v>462</v>
      </c>
      <c r="O320" s="3">
        <v>0.5</v>
      </c>
      <c r="P320" s="2" t="s">
        <v>73</v>
      </c>
      <c r="Q320" s="3">
        <v>850.0</v>
      </c>
      <c r="T320" s="2" t="s">
        <v>486</v>
      </c>
      <c r="U320" s="3">
        <v>2343.0</v>
      </c>
      <c r="V320" s="172">
        <v>46000.0</v>
      </c>
      <c r="W320" s="3">
        <v>328.0</v>
      </c>
      <c r="X320" s="172">
        <v>45999.784317129626</v>
      </c>
      <c r="Y320" s="172"/>
      <c r="Z320" s="3">
        <v>45995.0</v>
      </c>
      <c r="AA320" s="3"/>
    </row>
    <row r="321">
      <c r="A321" s="3">
        <v>6.782445289731E12</v>
      </c>
      <c r="B321" s="2" t="s">
        <v>1800</v>
      </c>
      <c r="C321" s="2" t="s">
        <v>1801</v>
      </c>
      <c r="D321" s="169">
        <v>45995.0</v>
      </c>
      <c r="E321" s="173" t="s">
        <v>1802</v>
      </c>
      <c r="F321" s="2" t="s">
        <v>1803</v>
      </c>
      <c r="G321" s="2" t="s">
        <v>493</v>
      </c>
      <c r="H321" s="2">
        <v>0.0</v>
      </c>
      <c r="I321" s="2">
        <v>2.3120050020018E13</v>
      </c>
      <c r="J321" s="3">
        <v>1.0</v>
      </c>
      <c r="K321" s="2" t="s">
        <v>1804</v>
      </c>
      <c r="L321" s="2" t="s">
        <v>512</v>
      </c>
      <c r="M321" s="174" t="s">
        <v>409</v>
      </c>
      <c r="N321" s="2" t="s">
        <v>462</v>
      </c>
      <c r="O321" s="3">
        <v>0.5</v>
      </c>
      <c r="P321" s="2" t="s">
        <v>363</v>
      </c>
      <c r="Q321" s="3">
        <v>850.0</v>
      </c>
      <c r="T321" s="2" t="s">
        <v>456</v>
      </c>
      <c r="U321" s="171">
        <v>0.0</v>
      </c>
      <c r="V321" s="172">
        <v>46003.0</v>
      </c>
      <c r="W321" s="3">
        <v>227.0</v>
      </c>
      <c r="X321" s="172">
        <v>46000.62451388889</v>
      </c>
      <c r="Y321" s="172"/>
      <c r="Z321" s="3">
        <v>45995.0</v>
      </c>
      <c r="AA321" s="3"/>
    </row>
    <row r="322">
      <c r="A322" s="3">
        <v>6.782461509891E12</v>
      </c>
      <c r="B322" s="2" t="s">
        <v>1805</v>
      </c>
      <c r="C322" s="2" t="s">
        <v>1806</v>
      </c>
      <c r="D322" s="169">
        <v>45995.0</v>
      </c>
      <c r="E322" s="173" t="s">
        <v>1807</v>
      </c>
      <c r="F322" s="2" t="s">
        <v>1808</v>
      </c>
      <c r="G322" s="2" t="s">
        <v>1809</v>
      </c>
      <c r="H322" s="2">
        <v>0.0</v>
      </c>
      <c r="I322" s="2">
        <v>2.8120050020029E13</v>
      </c>
      <c r="J322" s="3">
        <v>0.0</v>
      </c>
      <c r="K322" s="2" t="s">
        <v>1810</v>
      </c>
      <c r="L322" s="2"/>
      <c r="M322" s="170" t="s">
        <v>455</v>
      </c>
      <c r="N322" s="2" t="s">
        <v>406</v>
      </c>
      <c r="O322" s="3">
        <v>0.5</v>
      </c>
      <c r="P322" s="2" t="s">
        <v>73</v>
      </c>
      <c r="Q322" s="3">
        <v>0.0</v>
      </c>
      <c r="T322" s="2" t="s">
        <v>674</v>
      </c>
      <c r="U322" s="171">
        <v>0.0</v>
      </c>
      <c r="V322" s="172">
        <v>46007.0</v>
      </c>
      <c r="W322" s="3">
        <v>220.0</v>
      </c>
      <c r="X322" s="172">
        <v>46057.64278273148</v>
      </c>
      <c r="Y322" s="172"/>
      <c r="Z322" s="3">
        <v>45995.0</v>
      </c>
      <c r="AA322" s="3"/>
    </row>
    <row r="323">
      <c r="A323" s="3">
        <v>6.782463017219E12</v>
      </c>
      <c r="B323" s="2" t="s">
        <v>1811</v>
      </c>
      <c r="C323" s="2" t="s">
        <v>1812</v>
      </c>
      <c r="D323" s="169">
        <v>45995.0</v>
      </c>
      <c r="E323" s="2">
        <v>3.002122159E9</v>
      </c>
      <c r="F323" s="2" t="s">
        <v>1813</v>
      </c>
      <c r="G323" s="2" t="s">
        <v>817</v>
      </c>
      <c r="H323" s="2">
        <v>2695.0</v>
      </c>
      <c r="I323" s="2">
        <v>2.3120050020017E13</v>
      </c>
      <c r="J323" s="3">
        <v>2.0</v>
      </c>
      <c r="L323" s="2" t="s">
        <v>16</v>
      </c>
      <c r="M323" s="174" t="s">
        <v>409</v>
      </c>
      <c r="N323" s="2" t="s">
        <v>462</v>
      </c>
      <c r="O323" s="3">
        <v>0.5</v>
      </c>
      <c r="P323" s="2" t="s">
        <v>363</v>
      </c>
      <c r="Q323" s="3">
        <v>980.0</v>
      </c>
      <c r="T323" s="2" t="s">
        <v>486</v>
      </c>
      <c r="U323" s="171">
        <v>2695.0</v>
      </c>
      <c r="V323" s="172">
        <v>46000.0</v>
      </c>
      <c r="W323" s="3">
        <v>321.0</v>
      </c>
      <c r="X323" s="172">
        <v>45999.77790509259</v>
      </c>
      <c r="Y323" s="172"/>
      <c r="Z323" s="3">
        <v>45995.0</v>
      </c>
      <c r="AA323" s="3"/>
    </row>
    <row r="324">
      <c r="A324" s="3">
        <v>6.782504206595E12</v>
      </c>
      <c r="B324" s="2" t="s">
        <v>1814</v>
      </c>
      <c r="C324" s="2" t="s">
        <v>1815</v>
      </c>
      <c r="D324" s="169">
        <v>45995.0</v>
      </c>
      <c r="E324" s="2">
        <v>3.013239538E9</v>
      </c>
      <c r="F324" s="2" t="s">
        <v>1816</v>
      </c>
      <c r="G324" s="2" t="s">
        <v>1817</v>
      </c>
      <c r="H324" s="2">
        <v>0.0</v>
      </c>
      <c r="I324" s="2">
        <v>2.8120050020016E13</v>
      </c>
      <c r="J324" s="3">
        <v>0.0</v>
      </c>
      <c r="K324" s="2" t="s">
        <v>1202</v>
      </c>
      <c r="L324" s="2"/>
      <c r="M324" s="170" t="s">
        <v>455</v>
      </c>
      <c r="N324" s="2" t="s">
        <v>406</v>
      </c>
      <c r="O324" s="3">
        <v>0.5</v>
      </c>
      <c r="P324" s="2" t="s">
        <v>73</v>
      </c>
      <c r="Q324" s="3">
        <v>0.0</v>
      </c>
      <c r="T324" s="2" t="s">
        <v>599</v>
      </c>
      <c r="U324" s="171">
        <v>0.0</v>
      </c>
      <c r="V324" s="172">
        <v>46010.0</v>
      </c>
      <c r="W324" s="3">
        <v>220.0</v>
      </c>
      <c r="X324" s="172">
        <v>46057.64278273148</v>
      </c>
      <c r="Y324" s="172"/>
      <c r="Z324" s="3">
        <v>45995.0</v>
      </c>
      <c r="AA324" s="3"/>
    </row>
    <row r="325">
      <c r="A325" s="3">
        <v>6.782509646083E12</v>
      </c>
      <c r="B325" s="2" t="s">
        <v>1818</v>
      </c>
      <c r="C325" s="2" t="s">
        <v>1819</v>
      </c>
      <c r="D325" s="169">
        <v>45995.0</v>
      </c>
      <c r="E325" s="173" t="s">
        <v>1820</v>
      </c>
      <c r="F325" s="2" t="s">
        <v>1821</v>
      </c>
      <c r="G325" s="2" t="s">
        <v>368</v>
      </c>
      <c r="H325" s="2">
        <v>3045.0</v>
      </c>
      <c r="I325" s="2">
        <v>2.0120050020014E13</v>
      </c>
      <c r="J325" s="3">
        <v>2.0</v>
      </c>
      <c r="L325" s="2" t="s">
        <v>906</v>
      </c>
      <c r="M325" s="174" t="s">
        <v>409</v>
      </c>
      <c r="N325" s="2" t="s">
        <v>462</v>
      </c>
      <c r="O325" s="3">
        <v>0.5</v>
      </c>
      <c r="P325" s="2" t="s">
        <v>363</v>
      </c>
      <c r="Q325" s="3">
        <v>920.0</v>
      </c>
      <c r="T325" s="2" t="s">
        <v>486</v>
      </c>
      <c r="U325" s="171">
        <v>3045.0</v>
      </c>
      <c r="V325" s="172">
        <v>46000.0</v>
      </c>
      <c r="W325" s="3">
        <v>229.0</v>
      </c>
      <c r="X325" s="172">
        <v>45996.55510416666</v>
      </c>
      <c r="Y325" s="172"/>
      <c r="Z325" s="3">
        <v>45995.0</v>
      </c>
      <c r="AA325" s="3"/>
    </row>
    <row r="326">
      <c r="A326" s="3">
        <v>6.782542446851E12</v>
      </c>
      <c r="B326" s="2" t="s">
        <v>1822</v>
      </c>
      <c r="C326" s="2" t="s">
        <v>1823</v>
      </c>
      <c r="D326" s="169">
        <v>45995.0</v>
      </c>
      <c r="E326" s="173" t="s">
        <v>1824</v>
      </c>
      <c r="F326" s="2" t="s">
        <v>1825</v>
      </c>
      <c r="G326" s="2" t="s">
        <v>368</v>
      </c>
      <c r="H326" s="2">
        <v>0.0</v>
      </c>
      <c r="I326" s="2">
        <v>2.2120050020031E13</v>
      </c>
      <c r="J326" s="3">
        <v>0.0</v>
      </c>
      <c r="K326" s="2" t="s">
        <v>1826</v>
      </c>
      <c r="L326" s="2"/>
      <c r="M326" s="170" t="s">
        <v>455</v>
      </c>
      <c r="N326" s="2" t="s">
        <v>406</v>
      </c>
      <c r="O326" s="3">
        <v>0.5</v>
      </c>
      <c r="P326" s="2" t="s">
        <v>363</v>
      </c>
      <c r="Q326" s="3">
        <v>0.0</v>
      </c>
      <c r="T326" s="2" t="s">
        <v>674</v>
      </c>
      <c r="U326" s="171">
        <v>0.0</v>
      </c>
      <c r="V326" s="172">
        <v>46007.0</v>
      </c>
      <c r="W326" s="3">
        <v>107.0</v>
      </c>
      <c r="X326" s="172">
        <v>46057.64278273148</v>
      </c>
      <c r="Y326" s="172"/>
      <c r="Z326" s="3">
        <v>45995.0</v>
      </c>
      <c r="AA326" s="3"/>
    </row>
    <row r="327">
      <c r="A327" s="3">
        <v>6.782550114563E12</v>
      </c>
      <c r="B327" s="2" t="s">
        <v>1827</v>
      </c>
      <c r="C327" s="2" t="s">
        <v>1828</v>
      </c>
      <c r="D327" s="169">
        <v>45995.0</v>
      </c>
      <c r="E327" s="2">
        <v>3.216066681E9</v>
      </c>
      <c r="F327" s="2" t="s">
        <v>1829</v>
      </c>
      <c r="G327" s="2" t="s">
        <v>374</v>
      </c>
      <c r="H327" s="2">
        <v>2694.0</v>
      </c>
      <c r="I327" s="2">
        <v>2.2120050020032E13</v>
      </c>
      <c r="J327" s="3">
        <v>1.0</v>
      </c>
      <c r="K327" s="2" t="s">
        <v>1830</v>
      </c>
      <c r="L327" s="2" t="s">
        <v>519</v>
      </c>
      <c r="M327" s="174" t="s">
        <v>409</v>
      </c>
      <c r="N327" s="2" t="s">
        <v>462</v>
      </c>
      <c r="O327" s="3">
        <v>0.5</v>
      </c>
      <c r="P327" s="2" t="s">
        <v>363</v>
      </c>
      <c r="Q327" s="3">
        <v>850.0</v>
      </c>
      <c r="T327" s="2" t="s">
        <v>456</v>
      </c>
      <c r="U327" s="171">
        <v>2694.0</v>
      </c>
      <c r="V327" s="172">
        <v>46003.0</v>
      </c>
      <c r="W327" s="3">
        <v>328.0</v>
      </c>
      <c r="X327" s="172">
        <v>46000.726006944446</v>
      </c>
      <c r="Y327" s="172"/>
      <c r="Z327" s="3">
        <v>45995.0</v>
      </c>
      <c r="AA327" s="3"/>
    </row>
    <row r="328">
      <c r="A328" s="3">
        <v>6.782555619587E12</v>
      </c>
      <c r="B328" s="2" t="s">
        <v>1831</v>
      </c>
      <c r="C328" s="2" t="s">
        <v>1832</v>
      </c>
      <c r="D328" s="169">
        <v>45995.0</v>
      </c>
      <c r="E328" s="173" t="s">
        <v>1833</v>
      </c>
      <c r="F328" s="2" t="s">
        <v>1834</v>
      </c>
      <c r="G328" s="2" t="s">
        <v>1835</v>
      </c>
      <c r="H328" s="2">
        <v>3195.0</v>
      </c>
      <c r="I328" s="2">
        <v>2.1120050020015E13</v>
      </c>
      <c r="J328" s="3">
        <v>3.0</v>
      </c>
      <c r="L328" s="2" t="s">
        <v>1836</v>
      </c>
      <c r="M328" s="174" t="s">
        <v>409</v>
      </c>
      <c r="N328" s="2" t="s">
        <v>462</v>
      </c>
      <c r="O328" s="3">
        <v>0.5</v>
      </c>
      <c r="P328" s="2" t="s">
        <v>73</v>
      </c>
      <c r="Q328" s="3">
        <v>1400.0</v>
      </c>
      <c r="T328" s="2" t="s">
        <v>674</v>
      </c>
      <c r="U328" s="171">
        <v>3195.0</v>
      </c>
      <c r="V328" s="172">
        <v>46007.0</v>
      </c>
      <c r="W328" s="3">
        <v>341.0</v>
      </c>
      <c r="X328" s="172">
        <v>46006.653067129635</v>
      </c>
      <c r="Y328" s="172"/>
      <c r="Z328" s="3">
        <v>45995.0</v>
      </c>
      <c r="AA328" s="3"/>
    </row>
    <row r="329">
      <c r="A329" s="3">
        <v>6.782560928003E12</v>
      </c>
      <c r="B329" s="2" t="s">
        <v>1837</v>
      </c>
      <c r="C329" s="2" t="s">
        <v>1838</v>
      </c>
      <c r="D329" s="169">
        <v>45995.0</v>
      </c>
      <c r="E329" s="2">
        <v>3.464039394E9</v>
      </c>
      <c r="F329" s="2" t="s">
        <v>1839</v>
      </c>
      <c r="G329" s="2" t="s">
        <v>688</v>
      </c>
      <c r="H329" s="2">
        <v>2694.0</v>
      </c>
      <c r="I329" s="2">
        <v>2.9120050020033E13</v>
      </c>
      <c r="J329" s="3">
        <v>1.0</v>
      </c>
      <c r="K329" s="2" t="s">
        <v>1840</v>
      </c>
      <c r="L329" s="2" t="s">
        <v>519</v>
      </c>
      <c r="M329" s="174" t="s">
        <v>409</v>
      </c>
      <c r="N329" s="2" t="s">
        <v>462</v>
      </c>
      <c r="O329" s="3">
        <v>0.5</v>
      </c>
      <c r="P329" s="2" t="s">
        <v>363</v>
      </c>
      <c r="Q329" s="3">
        <v>850.0</v>
      </c>
      <c r="T329" s="2" t="s">
        <v>456</v>
      </c>
      <c r="U329" s="171">
        <v>2694.0</v>
      </c>
      <c r="V329" s="172">
        <v>46003.0</v>
      </c>
      <c r="W329" s="3">
        <v>328.0</v>
      </c>
      <c r="X329" s="172">
        <v>46000.684953703705</v>
      </c>
      <c r="Y329" s="172"/>
      <c r="Z329" s="3">
        <v>45995.0</v>
      </c>
      <c r="AA329" s="3"/>
    </row>
    <row r="330">
      <c r="A330" s="3">
        <v>6.782604476675E12</v>
      </c>
      <c r="B330" s="2" t="s">
        <v>1841</v>
      </c>
      <c r="C330" s="2" t="s">
        <v>1842</v>
      </c>
      <c r="D330" s="169">
        <v>45995.0</v>
      </c>
      <c r="E330" s="2">
        <v>3.008960929E9</v>
      </c>
      <c r="F330" s="2" t="s">
        <v>1843</v>
      </c>
      <c r="G330" s="2" t="s">
        <v>493</v>
      </c>
      <c r="H330" s="2">
        <v>2694.0</v>
      </c>
      <c r="I330" s="2">
        <v>2.2120050020034E13</v>
      </c>
      <c r="J330" s="3">
        <v>1.0</v>
      </c>
      <c r="L330" s="2" t="s">
        <v>519</v>
      </c>
      <c r="M330" s="174" t="s">
        <v>409</v>
      </c>
      <c r="N330" s="2" t="s">
        <v>462</v>
      </c>
      <c r="O330" s="3">
        <v>0.5</v>
      </c>
      <c r="P330" s="2" t="s">
        <v>363</v>
      </c>
      <c r="Q330" s="3">
        <v>850.0</v>
      </c>
      <c r="T330" s="2" t="s">
        <v>486</v>
      </c>
      <c r="U330" s="171">
        <v>2694.0</v>
      </c>
      <c r="V330" s="172">
        <v>46000.0</v>
      </c>
      <c r="W330" s="3">
        <v>335.0</v>
      </c>
      <c r="X330" s="172">
        <v>45999.77673611111</v>
      </c>
      <c r="Y330" s="172"/>
      <c r="Z330" s="3">
        <v>45995.0</v>
      </c>
      <c r="AA330" s="3"/>
    </row>
    <row r="331">
      <c r="A331" s="3">
        <v>6.782604837123E12</v>
      </c>
      <c r="B331" s="2" t="s">
        <v>1844</v>
      </c>
      <c r="C331" s="2" t="s">
        <v>1845</v>
      </c>
      <c r="D331" s="169">
        <v>45995.0</v>
      </c>
      <c r="E331" s="2">
        <v>3.02427699E9</v>
      </c>
      <c r="F331" s="2" t="s">
        <v>1846</v>
      </c>
      <c r="G331" s="2" t="s">
        <v>1847</v>
      </c>
      <c r="H331" s="2">
        <v>2694.0</v>
      </c>
      <c r="I331" s="2">
        <v>2.6120050020035E13</v>
      </c>
      <c r="J331" s="3">
        <v>1.0</v>
      </c>
      <c r="L331" s="2" t="s">
        <v>519</v>
      </c>
      <c r="M331" s="174" t="s">
        <v>409</v>
      </c>
      <c r="N331" s="2" t="s">
        <v>462</v>
      </c>
      <c r="O331" s="3">
        <v>0.5</v>
      </c>
      <c r="P331" s="2" t="s">
        <v>363</v>
      </c>
      <c r="Q331" s="3">
        <v>850.0</v>
      </c>
      <c r="T331" s="2" t="s">
        <v>486</v>
      </c>
      <c r="U331" s="171">
        <v>2694.0</v>
      </c>
      <c r="V331" s="172">
        <v>46000.0</v>
      </c>
      <c r="W331" s="3">
        <v>328.0</v>
      </c>
      <c r="X331" s="172">
        <v>45999.78658564815</v>
      </c>
      <c r="Y331" s="172"/>
      <c r="Z331" s="3">
        <v>45995.0</v>
      </c>
      <c r="AA331" s="3"/>
    </row>
    <row r="332">
      <c r="A332" s="3">
        <v>6.782628626691E12</v>
      </c>
      <c r="B332" s="2" t="s">
        <v>1848</v>
      </c>
      <c r="C332" s="2" t="s">
        <v>1849</v>
      </c>
      <c r="D332" s="169">
        <v>45995.0</v>
      </c>
      <c r="E332" s="2">
        <v>3.22160057E9</v>
      </c>
      <c r="F332" s="2" t="s">
        <v>1850</v>
      </c>
      <c r="G332" s="2" t="s">
        <v>368</v>
      </c>
      <c r="H332" s="2">
        <v>0.0</v>
      </c>
      <c r="J332" s="3">
        <v>0.0</v>
      </c>
      <c r="K332" s="2" t="s">
        <v>1851</v>
      </c>
      <c r="L332" s="2"/>
      <c r="M332" s="2" t="s">
        <v>468</v>
      </c>
      <c r="N332" s="2" t="s">
        <v>406</v>
      </c>
      <c r="O332" s="3">
        <v>0.5</v>
      </c>
      <c r="Q332" s="3">
        <v>0.0</v>
      </c>
      <c r="U332" s="141"/>
      <c r="X332" s="172">
        <v>46057.64278274306</v>
      </c>
      <c r="Y332" s="172"/>
      <c r="Z332" s="3">
        <v>45995.0</v>
      </c>
      <c r="AA332" s="3"/>
    </row>
    <row r="333">
      <c r="A333" s="3">
        <v>6.782647730435E12</v>
      </c>
      <c r="B333" s="2" t="s">
        <v>1852</v>
      </c>
      <c r="C333" s="2" t="s">
        <v>1853</v>
      </c>
      <c r="D333" s="169">
        <v>45995.0</v>
      </c>
      <c r="E333" s="2">
        <v>3.455532509E9</v>
      </c>
      <c r="F333" s="2" t="s">
        <v>1854</v>
      </c>
      <c r="G333" s="2" t="s">
        <v>366</v>
      </c>
      <c r="H333" s="2">
        <v>1999.0</v>
      </c>
      <c r="I333" s="2">
        <v>2.6120050020057E13</v>
      </c>
      <c r="J333" s="3">
        <v>1.0</v>
      </c>
      <c r="L333" s="2" t="s">
        <v>1855</v>
      </c>
      <c r="M333" s="174" t="s">
        <v>409</v>
      </c>
      <c r="N333" s="2" t="s">
        <v>462</v>
      </c>
      <c r="O333" s="3">
        <v>0.5</v>
      </c>
      <c r="P333" s="2" t="s">
        <v>363</v>
      </c>
      <c r="Q333" s="3">
        <v>1100.0</v>
      </c>
      <c r="T333" s="2" t="s">
        <v>486</v>
      </c>
      <c r="U333" s="171">
        <v>1999.0</v>
      </c>
      <c r="V333" s="172">
        <v>46000.0</v>
      </c>
      <c r="W333" s="3">
        <v>280.0</v>
      </c>
      <c r="X333" s="172">
        <v>45998.77101851851</v>
      </c>
      <c r="Y333" s="172"/>
      <c r="Z333" s="3">
        <v>45995.0</v>
      </c>
      <c r="AA333" s="3"/>
    </row>
    <row r="334">
      <c r="A334" s="3">
        <v>6.782659068163E12</v>
      </c>
      <c r="B334" s="2" t="s">
        <v>1856</v>
      </c>
      <c r="C334" s="2" t="s">
        <v>876</v>
      </c>
      <c r="D334" s="169">
        <v>45995.0</v>
      </c>
      <c r="E334" s="173" t="s">
        <v>1857</v>
      </c>
      <c r="F334" s="2" t="s">
        <v>877</v>
      </c>
      <c r="G334" s="2" t="s">
        <v>506</v>
      </c>
      <c r="H334" s="2">
        <v>0.0</v>
      </c>
      <c r="I334" s="2">
        <v>2.6120050020036E13</v>
      </c>
      <c r="J334" s="3">
        <v>0.0</v>
      </c>
      <c r="K334" s="2" t="s">
        <v>1858</v>
      </c>
      <c r="L334" s="2"/>
      <c r="M334" s="170" t="s">
        <v>455</v>
      </c>
      <c r="N334" s="2" t="s">
        <v>406</v>
      </c>
      <c r="O334" s="3">
        <v>0.5</v>
      </c>
      <c r="P334" s="2" t="s">
        <v>363</v>
      </c>
      <c r="Q334" s="3">
        <v>0.0</v>
      </c>
      <c r="T334" s="2" t="s">
        <v>456</v>
      </c>
      <c r="U334" s="171">
        <v>0.0</v>
      </c>
      <c r="V334" s="172">
        <v>46003.0</v>
      </c>
      <c r="W334" s="3">
        <v>200.0</v>
      </c>
      <c r="X334" s="172">
        <v>46057.64278274306</v>
      </c>
      <c r="Y334" s="172"/>
      <c r="Z334" s="3">
        <v>45995.0</v>
      </c>
      <c r="AA334" s="3"/>
    </row>
    <row r="335">
      <c r="A335" s="3">
        <v>6.782683873539E12</v>
      </c>
      <c r="B335" s="2" t="s">
        <v>1859</v>
      </c>
      <c r="C335" s="2" t="s">
        <v>1860</v>
      </c>
      <c r="D335" s="169">
        <v>45995.0</v>
      </c>
      <c r="E335" s="2">
        <v>3.002258597E9</v>
      </c>
      <c r="F335" s="2" t="s">
        <v>1861</v>
      </c>
      <c r="G335" s="2" t="s">
        <v>493</v>
      </c>
      <c r="H335" s="2">
        <v>9497.0</v>
      </c>
      <c r="I335" s="2">
        <v>2.012005002032E13</v>
      </c>
      <c r="J335" s="3">
        <v>3.0</v>
      </c>
      <c r="K335" s="2" t="s">
        <v>241</v>
      </c>
      <c r="L335" s="2" t="s">
        <v>1862</v>
      </c>
      <c r="M335" s="174" t="s">
        <v>409</v>
      </c>
      <c r="N335" s="2" t="s">
        <v>462</v>
      </c>
      <c r="O335" s="3">
        <v>0.5</v>
      </c>
      <c r="P335" s="2" t="s">
        <v>363</v>
      </c>
      <c r="Q335" s="3">
        <v>3650.0</v>
      </c>
      <c r="T335" s="2" t="s">
        <v>777</v>
      </c>
      <c r="U335" s="171">
        <v>9497.0</v>
      </c>
      <c r="V335" s="172">
        <v>46014.0</v>
      </c>
      <c r="W335" s="3">
        <v>700.0</v>
      </c>
      <c r="X335" s="172">
        <v>46010.78350694444</v>
      </c>
      <c r="Y335" s="172"/>
      <c r="Z335" s="3">
        <v>45995.0</v>
      </c>
      <c r="AA335" s="3"/>
    </row>
    <row r="336">
      <c r="A336" s="3">
        <v>6.782742495491E12</v>
      </c>
      <c r="B336" s="2" t="s">
        <v>1863</v>
      </c>
      <c r="C336" s="2" t="s">
        <v>1864</v>
      </c>
      <c r="D336" s="169">
        <v>45995.0</v>
      </c>
      <c r="E336" s="173" t="s">
        <v>1865</v>
      </c>
      <c r="F336" s="2" t="s">
        <v>1866</v>
      </c>
      <c r="G336" s="2" t="s">
        <v>1867</v>
      </c>
      <c r="H336" s="2">
        <v>2300.0</v>
      </c>
      <c r="J336" s="3">
        <v>2.0</v>
      </c>
      <c r="K336" s="2" t="s">
        <v>1868</v>
      </c>
      <c r="L336" s="2" t="s">
        <v>1869</v>
      </c>
      <c r="M336" s="2" t="s">
        <v>468</v>
      </c>
      <c r="N336" s="2" t="s">
        <v>406</v>
      </c>
      <c r="O336" s="3">
        <v>0.5</v>
      </c>
      <c r="Q336" s="3">
        <v>980.0</v>
      </c>
      <c r="U336" s="141"/>
      <c r="X336" s="172">
        <v>46057.64278274306</v>
      </c>
      <c r="Y336" s="172"/>
      <c r="Z336" s="3">
        <v>45995.0</v>
      </c>
      <c r="AA336" s="3"/>
    </row>
    <row r="337">
      <c r="A337" s="3">
        <v>6.782795383043E12</v>
      </c>
      <c r="B337" s="2" t="s">
        <v>1870</v>
      </c>
      <c r="C337" s="2" t="s">
        <v>1871</v>
      </c>
      <c r="D337" s="169">
        <v>45995.0</v>
      </c>
      <c r="E337" s="2">
        <v>3.306322422E9</v>
      </c>
      <c r="F337" s="2" t="s">
        <v>1872</v>
      </c>
      <c r="G337" s="2" t="s">
        <v>1873</v>
      </c>
      <c r="H337" s="2">
        <v>0.0</v>
      </c>
      <c r="J337" s="3">
        <v>0.0</v>
      </c>
      <c r="K337" s="2" t="s">
        <v>1874</v>
      </c>
      <c r="L337" s="2"/>
      <c r="M337" s="2" t="s">
        <v>468</v>
      </c>
      <c r="N337" s="2" t="s">
        <v>406</v>
      </c>
      <c r="O337" s="3">
        <v>0.5</v>
      </c>
      <c r="Q337" s="3">
        <v>0.0</v>
      </c>
      <c r="U337" s="141"/>
      <c r="X337" s="172">
        <v>46057.64278274306</v>
      </c>
      <c r="Y337" s="172"/>
      <c r="Z337" s="3">
        <v>45995.0</v>
      </c>
      <c r="AA337" s="3"/>
    </row>
    <row r="338">
      <c r="A338" s="3">
        <v>6.782822973699E12</v>
      </c>
      <c r="B338" s="2" t="s">
        <v>1875</v>
      </c>
      <c r="C338" s="2" t="s">
        <v>1876</v>
      </c>
      <c r="D338" s="169">
        <v>45995.0</v>
      </c>
      <c r="E338" s="2">
        <v>3.480263874E9</v>
      </c>
      <c r="F338" s="2" t="s">
        <v>1877</v>
      </c>
      <c r="G338" s="2" t="s">
        <v>493</v>
      </c>
      <c r="H338" s="2">
        <v>2748.0</v>
      </c>
      <c r="I338" s="2">
        <v>2.3120050020037E13</v>
      </c>
      <c r="J338" s="3">
        <v>1.0</v>
      </c>
      <c r="L338" s="2" t="s">
        <v>519</v>
      </c>
      <c r="M338" s="174" t="s">
        <v>409</v>
      </c>
      <c r="N338" s="2" t="s">
        <v>462</v>
      </c>
      <c r="O338" s="3">
        <v>0.5</v>
      </c>
      <c r="P338" s="2" t="s">
        <v>363</v>
      </c>
      <c r="Q338" s="3">
        <v>850.0</v>
      </c>
      <c r="T338" s="2" t="s">
        <v>486</v>
      </c>
      <c r="U338" s="171">
        <v>2748.0</v>
      </c>
      <c r="V338" s="172">
        <v>46000.0</v>
      </c>
      <c r="W338" s="3">
        <v>337.0</v>
      </c>
      <c r="X338" s="172">
        <v>45999.818391203706</v>
      </c>
      <c r="Y338" s="172"/>
      <c r="Z338" s="3">
        <v>45995.0</v>
      </c>
      <c r="AA338" s="3"/>
    </row>
    <row r="339">
      <c r="A339" s="3">
        <v>6.782904631555E12</v>
      </c>
      <c r="B339" s="2" t="s">
        <v>1878</v>
      </c>
      <c r="C339" s="2" t="s">
        <v>1496</v>
      </c>
      <c r="D339" s="169">
        <v>45995.0</v>
      </c>
      <c r="E339" s="2">
        <v>3.002507438E9</v>
      </c>
      <c r="F339" s="2" t="s">
        <v>1497</v>
      </c>
      <c r="G339" s="2" t="s">
        <v>1498</v>
      </c>
      <c r="H339" s="2">
        <v>0.0</v>
      </c>
      <c r="J339" s="3">
        <v>0.0</v>
      </c>
      <c r="K339" s="2" t="s">
        <v>1879</v>
      </c>
      <c r="L339" s="2"/>
      <c r="M339" s="2" t="s">
        <v>468</v>
      </c>
      <c r="N339" s="2" t="s">
        <v>406</v>
      </c>
      <c r="O339" s="3">
        <v>0.5</v>
      </c>
      <c r="Q339" s="3">
        <v>0.0</v>
      </c>
      <c r="U339" s="141"/>
      <c r="X339" s="172">
        <v>46057.64278274306</v>
      </c>
      <c r="Y339" s="172"/>
      <c r="Z339" s="3">
        <v>45995.0</v>
      </c>
      <c r="AA339" s="3"/>
    </row>
    <row r="340">
      <c r="A340" s="3">
        <v>6.782991794435E12</v>
      </c>
      <c r="B340" s="2" t="s">
        <v>1880</v>
      </c>
      <c r="C340" s="2" t="s">
        <v>1496</v>
      </c>
      <c r="D340" s="169">
        <v>45995.0</v>
      </c>
      <c r="E340" s="2">
        <v>3.002507438E9</v>
      </c>
      <c r="F340" s="2" t="s">
        <v>1497</v>
      </c>
      <c r="G340" s="2" t="s">
        <v>1498</v>
      </c>
      <c r="H340" s="2">
        <v>0.0</v>
      </c>
      <c r="I340" s="2">
        <v>2.4120050020098E13</v>
      </c>
      <c r="J340" s="3">
        <v>0.0</v>
      </c>
      <c r="K340" s="2" t="s">
        <v>1881</v>
      </c>
      <c r="L340" s="2"/>
      <c r="M340" s="170" t="s">
        <v>455</v>
      </c>
      <c r="N340" s="2" t="s">
        <v>406</v>
      </c>
      <c r="O340" s="3">
        <v>0.5</v>
      </c>
      <c r="P340" s="2" t="s">
        <v>363</v>
      </c>
      <c r="Q340" s="3">
        <v>0.0</v>
      </c>
      <c r="T340" s="2" t="s">
        <v>1468</v>
      </c>
      <c r="U340" s="171">
        <v>0.0</v>
      </c>
      <c r="V340" s="172">
        <v>46017.0</v>
      </c>
      <c r="W340" s="3">
        <v>213.0</v>
      </c>
      <c r="X340" s="172">
        <v>46057.64278274306</v>
      </c>
      <c r="Y340" s="172"/>
      <c r="Z340" s="3">
        <v>45995.0</v>
      </c>
      <c r="AA340" s="3"/>
    </row>
    <row r="341">
      <c r="A341" s="3">
        <v>6.783009751299E12</v>
      </c>
      <c r="B341" s="2" t="s">
        <v>1882</v>
      </c>
      <c r="C341" s="2" t="s">
        <v>1883</v>
      </c>
      <c r="D341" s="169">
        <v>45995.0</v>
      </c>
      <c r="E341" s="2">
        <v>3.1179429E9</v>
      </c>
      <c r="F341" s="2" t="s">
        <v>1884</v>
      </c>
      <c r="G341" s="2" t="s">
        <v>1587</v>
      </c>
      <c r="H341" s="2">
        <v>0.0</v>
      </c>
      <c r="I341" s="2">
        <v>2.2120050020058E13</v>
      </c>
      <c r="J341" s="3">
        <v>0.0</v>
      </c>
      <c r="K341" s="2" t="s">
        <v>1885</v>
      </c>
      <c r="L341" s="2"/>
      <c r="M341" s="170" t="s">
        <v>455</v>
      </c>
      <c r="N341" s="2" t="s">
        <v>406</v>
      </c>
      <c r="O341" s="3">
        <v>0.5</v>
      </c>
      <c r="P341" s="2" t="s">
        <v>363</v>
      </c>
      <c r="Q341" s="3">
        <v>0.0</v>
      </c>
      <c r="T341" s="2" t="s">
        <v>599</v>
      </c>
      <c r="U341" s="171">
        <v>0.0</v>
      </c>
      <c r="V341" s="172">
        <v>46010.0</v>
      </c>
      <c r="W341" s="3">
        <v>220.0</v>
      </c>
      <c r="X341" s="172">
        <v>46057.64278274306</v>
      </c>
      <c r="Y341" s="172"/>
      <c r="Z341" s="3">
        <v>45995.0</v>
      </c>
      <c r="AA341" s="3"/>
    </row>
    <row r="342">
      <c r="A342" s="3">
        <v>6.783011324163E12</v>
      </c>
      <c r="B342" s="2" t="s">
        <v>1886</v>
      </c>
      <c r="C342" s="2" t="s">
        <v>1887</v>
      </c>
      <c r="D342" s="169">
        <v>45995.0</v>
      </c>
      <c r="E342" s="2">
        <v>3.018079885E9</v>
      </c>
      <c r="F342" s="2" t="s">
        <v>1888</v>
      </c>
      <c r="G342" s="2" t="s">
        <v>1889</v>
      </c>
      <c r="H342" s="2">
        <v>0.0</v>
      </c>
      <c r="J342" s="3">
        <v>0.0</v>
      </c>
      <c r="K342" s="2" t="s">
        <v>1890</v>
      </c>
      <c r="L342" s="2"/>
      <c r="M342" s="2" t="s">
        <v>468</v>
      </c>
      <c r="N342" s="2" t="s">
        <v>406</v>
      </c>
      <c r="O342" s="3">
        <v>0.5</v>
      </c>
      <c r="Q342" s="3">
        <v>0.0</v>
      </c>
      <c r="U342" s="141"/>
      <c r="X342" s="172">
        <v>46057.64278274306</v>
      </c>
      <c r="Y342" s="172"/>
      <c r="Z342" s="3">
        <v>45995.0</v>
      </c>
      <c r="AA342" s="3"/>
    </row>
    <row r="343">
      <c r="A343" s="3">
        <v>6.783016993027E12</v>
      </c>
      <c r="B343" s="2" t="s">
        <v>1891</v>
      </c>
      <c r="C343" s="2" t="s">
        <v>1892</v>
      </c>
      <c r="D343" s="169">
        <v>45995.0</v>
      </c>
      <c r="E343" s="2">
        <v>3.412474377E9</v>
      </c>
      <c r="F343" s="2" t="s">
        <v>1893</v>
      </c>
      <c r="G343" s="2" t="s">
        <v>1894</v>
      </c>
      <c r="H343" s="2">
        <v>0.0</v>
      </c>
      <c r="I343" s="2">
        <v>2.9120050020038E13</v>
      </c>
      <c r="J343" s="3">
        <v>0.0</v>
      </c>
      <c r="K343" s="2" t="s">
        <v>1198</v>
      </c>
      <c r="L343" s="2"/>
      <c r="M343" s="170" t="s">
        <v>455</v>
      </c>
      <c r="N343" s="2" t="s">
        <v>406</v>
      </c>
      <c r="O343" s="3">
        <v>0.5</v>
      </c>
      <c r="P343" s="2" t="s">
        <v>363</v>
      </c>
      <c r="Q343" s="3">
        <v>0.0</v>
      </c>
      <c r="T343" s="2" t="s">
        <v>599</v>
      </c>
      <c r="U343" s="171">
        <v>0.0</v>
      </c>
      <c r="V343" s="172">
        <v>46010.0</v>
      </c>
      <c r="W343" s="3">
        <v>227.0</v>
      </c>
      <c r="X343" s="172">
        <v>46057.64278274306</v>
      </c>
      <c r="Y343" s="172"/>
      <c r="Z343" s="3">
        <v>45995.0</v>
      </c>
      <c r="AA343" s="3"/>
    </row>
    <row r="344">
      <c r="A344" s="3">
        <v>6.783025905923E12</v>
      </c>
      <c r="B344" s="2" t="s">
        <v>1895</v>
      </c>
      <c r="C344" s="2" t="s">
        <v>1896</v>
      </c>
      <c r="D344" s="169">
        <v>45995.0</v>
      </c>
      <c r="E344" s="2">
        <v>3.244103295E9</v>
      </c>
      <c r="F344" s="2" t="s">
        <v>1897</v>
      </c>
      <c r="G344" s="2" t="s">
        <v>368</v>
      </c>
      <c r="H344" s="2">
        <v>0.0</v>
      </c>
      <c r="I344" s="2">
        <v>2.9120050020039E13</v>
      </c>
      <c r="J344" s="3">
        <v>0.0</v>
      </c>
      <c r="K344" s="2" t="s">
        <v>1898</v>
      </c>
      <c r="L344" s="2"/>
      <c r="M344" s="170" t="s">
        <v>455</v>
      </c>
      <c r="N344" s="2" t="s">
        <v>406</v>
      </c>
      <c r="O344" s="3">
        <v>0.5</v>
      </c>
      <c r="P344" s="2" t="s">
        <v>363</v>
      </c>
      <c r="Q344" s="3">
        <v>0.0</v>
      </c>
      <c r="T344" s="2" t="s">
        <v>456</v>
      </c>
      <c r="U344" s="171">
        <v>0.0</v>
      </c>
      <c r="V344" s="172">
        <v>46003.0</v>
      </c>
      <c r="W344" s="3">
        <v>120.0</v>
      </c>
      <c r="X344" s="172">
        <v>46057.64278274306</v>
      </c>
      <c r="Y344" s="172"/>
      <c r="Z344" s="3">
        <v>45995.0</v>
      </c>
      <c r="AA344" s="3"/>
    </row>
    <row r="345">
      <c r="A345" s="3">
        <v>6.783069454595E12</v>
      </c>
      <c r="B345" s="2" t="s">
        <v>1899</v>
      </c>
      <c r="C345" s="2" t="s">
        <v>1900</v>
      </c>
      <c r="D345" s="169">
        <v>45995.0</v>
      </c>
      <c r="E345" s="2">
        <v>3.216401036E9</v>
      </c>
      <c r="F345" s="2" t="s">
        <v>1901</v>
      </c>
      <c r="G345" s="2" t="s">
        <v>506</v>
      </c>
      <c r="H345" s="2">
        <v>4649.0</v>
      </c>
      <c r="I345" s="2">
        <v>2.512005002004E13</v>
      </c>
      <c r="J345" s="3">
        <v>2.0</v>
      </c>
      <c r="L345" s="2" t="s">
        <v>479</v>
      </c>
      <c r="M345" s="174" t="s">
        <v>409</v>
      </c>
      <c r="N345" s="2" t="s">
        <v>462</v>
      </c>
      <c r="O345" s="3">
        <v>0.5</v>
      </c>
      <c r="P345" s="2" t="s">
        <v>363</v>
      </c>
      <c r="Q345" s="3">
        <v>1700.0</v>
      </c>
      <c r="T345" s="2" t="s">
        <v>486</v>
      </c>
      <c r="U345" s="171">
        <v>4649.0</v>
      </c>
      <c r="V345" s="172">
        <v>46000.0</v>
      </c>
      <c r="W345" s="3">
        <v>406.0</v>
      </c>
      <c r="X345" s="172">
        <v>45999.879895833335</v>
      </c>
      <c r="Y345" s="172"/>
      <c r="Z345" s="3">
        <v>45995.0</v>
      </c>
      <c r="AA345" s="3"/>
    </row>
    <row r="346">
      <c r="A346" s="3">
        <v>6.783180833027E12</v>
      </c>
      <c r="B346" s="2" t="s">
        <v>1902</v>
      </c>
      <c r="C346" s="2" t="s">
        <v>508</v>
      </c>
      <c r="D346" s="169">
        <v>45995.0</v>
      </c>
      <c r="E346" s="2">
        <v>3.065806256E9</v>
      </c>
      <c r="F346" s="2" t="s">
        <v>1903</v>
      </c>
      <c r="G346" s="2" t="s">
        <v>541</v>
      </c>
      <c r="H346" s="2">
        <v>3099.0</v>
      </c>
      <c r="I346" s="2">
        <v>2.9120050020041E13</v>
      </c>
      <c r="J346" s="3">
        <v>2.0</v>
      </c>
      <c r="L346" s="2" t="s">
        <v>228</v>
      </c>
      <c r="M346" s="174" t="s">
        <v>409</v>
      </c>
      <c r="N346" s="2" t="s">
        <v>462</v>
      </c>
      <c r="O346" s="3">
        <v>0.5</v>
      </c>
      <c r="P346" s="2" t="s">
        <v>363</v>
      </c>
      <c r="Q346" s="3">
        <v>920.0</v>
      </c>
      <c r="T346" s="2" t="s">
        <v>599</v>
      </c>
      <c r="U346" s="171">
        <v>3099.0</v>
      </c>
      <c r="V346" s="172">
        <v>46010.0</v>
      </c>
      <c r="W346" s="3">
        <v>324.0</v>
      </c>
      <c r="X346" s="172">
        <v>46008.55092592593</v>
      </c>
      <c r="Y346" s="172"/>
      <c r="Z346" s="3">
        <v>45995.0</v>
      </c>
      <c r="AA346" s="3"/>
    </row>
    <row r="347">
      <c r="A347" s="3">
        <v>6.783185420547E12</v>
      </c>
      <c r="B347" s="2" t="s">
        <v>1904</v>
      </c>
      <c r="C347" s="2" t="s">
        <v>1905</v>
      </c>
      <c r="D347" s="169">
        <v>45996.0</v>
      </c>
      <c r="E347" s="2">
        <v>3.07977006E9</v>
      </c>
      <c r="F347" s="2" t="s">
        <v>1906</v>
      </c>
      <c r="G347" s="2" t="s">
        <v>1016</v>
      </c>
      <c r="H347" s="2">
        <v>0.0</v>
      </c>
      <c r="I347" s="2">
        <v>2.1120050020042E13</v>
      </c>
      <c r="J347" s="3">
        <v>0.0</v>
      </c>
      <c r="K347" s="2" t="s">
        <v>1907</v>
      </c>
      <c r="L347" s="2"/>
      <c r="M347" s="170" t="s">
        <v>455</v>
      </c>
      <c r="N347" s="2" t="s">
        <v>406</v>
      </c>
      <c r="O347" s="3">
        <v>0.5</v>
      </c>
      <c r="P347" s="2" t="s">
        <v>73</v>
      </c>
      <c r="Q347" s="3">
        <v>0.0</v>
      </c>
      <c r="T347" s="2" t="s">
        <v>674</v>
      </c>
      <c r="U347" s="171">
        <v>0.0</v>
      </c>
      <c r="V347" s="172">
        <v>46007.0</v>
      </c>
      <c r="W347" s="3">
        <v>220.0</v>
      </c>
      <c r="X347" s="172">
        <v>46057.64278274306</v>
      </c>
      <c r="Y347" s="172"/>
      <c r="Z347" s="3">
        <v>45996.0</v>
      </c>
      <c r="AA347" s="3"/>
    </row>
    <row r="348">
      <c r="A348" s="3">
        <v>6.783192105219E12</v>
      </c>
      <c r="B348" s="2" t="s">
        <v>1908</v>
      </c>
      <c r="C348" s="2" t="s">
        <v>1909</v>
      </c>
      <c r="D348" s="169">
        <v>45996.0</v>
      </c>
      <c r="E348" s="2">
        <v>3.477299121E9</v>
      </c>
      <c r="F348" s="2" t="s">
        <v>1910</v>
      </c>
      <c r="G348" s="2" t="s">
        <v>993</v>
      </c>
      <c r="H348" s="2">
        <v>2748.0</v>
      </c>
      <c r="I348" s="2">
        <v>2.3120050020043E13</v>
      </c>
      <c r="J348" s="3">
        <v>1.0</v>
      </c>
      <c r="L348" s="2" t="s">
        <v>519</v>
      </c>
      <c r="M348" s="174" t="s">
        <v>409</v>
      </c>
      <c r="N348" s="2" t="s">
        <v>462</v>
      </c>
      <c r="O348" s="3">
        <v>0.5</v>
      </c>
      <c r="P348" s="2" t="s">
        <v>363</v>
      </c>
      <c r="Q348" s="3">
        <v>850.0</v>
      </c>
      <c r="T348" s="2" t="s">
        <v>486</v>
      </c>
      <c r="U348" s="171">
        <v>2748.0</v>
      </c>
      <c r="V348" s="172">
        <v>46000.0</v>
      </c>
      <c r="W348" s="3">
        <v>330.0</v>
      </c>
      <c r="X348" s="172">
        <v>45999.78127314815</v>
      </c>
      <c r="Y348" s="172"/>
      <c r="Z348" s="3">
        <v>45996.0</v>
      </c>
      <c r="AA348" s="3"/>
    </row>
    <row r="349">
      <c r="A349" s="3">
        <v>6.783295422723E12</v>
      </c>
      <c r="B349" s="2" t="s">
        <v>1911</v>
      </c>
      <c r="C349" s="2" t="s">
        <v>1912</v>
      </c>
      <c r="D349" s="169">
        <v>45996.0</v>
      </c>
      <c r="E349" s="2">
        <v>3.00391508E9</v>
      </c>
      <c r="F349" s="2" t="s">
        <v>1913</v>
      </c>
      <c r="G349" s="2" t="s">
        <v>1914</v>
      </c>
      <c r="H349" s="2">
        <v>3099.0</v>
      </c>
      <c r="I349" s="2">
        <v>2.7120050020045E13</v>
      </c>
      <c r="J349" s="3">
        <v>2.0</v>
      </c>
      <c r="L349" s="2" t="s">
        <v>1446</v>
      </c>
      <c r="M349" s="174" t="s">
        <v>409</v>
      </c>
      <c r="N349" s="2" t="s">
        <v>462</v>
      </c>
      <c r="O349" s="3">
        <v>0.5</v>
      </c>
      <c r="P349" s="2" t="s">
        <v>363</v>
      </c>
      <c r="Q349" s="3">
        <v>920.0</v>
      </c>
      <c r="T349" s="2" t="s">
        <v>456</v>
      </c>
      <c r="U349" s="171">
        <v>3099.0</v>
      </c>
      <c r="V349" s="172">
        <v>46003.0</v>
      </c>
      <c r="W349" s="3">
        <v>231.0</v>
      </c>
      <c r="X349" s="172">
        <v>46000.64811342592</v>
      </c>
      <c r="Y349" s="172"/>
      <c r="Z349" s="3">
        <v>45996.0</v>
      </c>
      <c r="AA349" s="3"/>
    </row>
    <row r="350">
      <c r="A350" s="3">
        <v>6.783381176579E12</v>
      </c>
      <c r="B350" s="2" t="s">
        <v>1915</v>
      </c>
      <c r="C350" s="2" t="s">
        <v>279</v>
      </c>
      <c r="D350" s="169">
        <v>45996.0</v>
      </c>
      <c r="E350" s="2">
        <v>3.195972476E9</v>
      </c>
      <c r="F350" s="2" t="s">
        <v>1916</v>
      </c>
      <c r="G350" s="2" t="s">
        <v>506</v>
      </c>
      <c r="H350" s="2">
        <v>4649.0</v>
      </c>
      <c r="I350" s="2">
        <v>2.4120050020044E13</v>
      </c>
      <c r="J350" s="3">
        <v>2.0</v>
      </c>
      <c r="L350" s="2" t="s">
        <v>479</v>
      </c>
      <c r="M350" s="174" t="s">
        <v>409</v>
      </c>
      <c r="N350" s="2" t="s">
        <v>462</v>
      </c>
      <c r="O350" s="3">
        <v>0.5</v>
      </c>
      <c r="P350" s="2" t="s">
        <v>363</v>
      </c>
      <c r="Q350" s="3">
        <v>1700.0</v>
      </c>
      <c r="T350" s="2" t="s">
        <v>486</v>
      </c>
      <c r="U350" s="171">
        <v>4649.0</v>
      </c>
      <c r="V350" s="172">
        <v>46000.0</v>
      </c>
      <c r="W350" s="3">
        <v>499.0</v>
      </c>
      <c r="X350" s="172">
        <v>45998.52240740741</v>
      </c>
      <c r="Y350" s="172"/>
      <c r="Z350" s="3">
        <v>45996.0</v>
      </c>
      <c r="AA350" s="3"/>
    </row>
    <row r="351">
      <c r="A351" s="3">
        <v>6.783383503107E12</v>
      </c>
      <c r="B351" s="2" t="s">
        <v>1917</v>
      </c>
      <c r="C351" s="2" t="s">
        <v>1918</v>
      </c>
      <c r="D351" s="169">
        <v>45996.0</v>
      </c>
      <c r="E351" s="2">
        <v>3.008383816E9</v>
      </c>
      <c r="F351" s="2" t="s">
        <v>1919</v>
      </c>
      <c r="G351" s="2" t="s">
        <v>368</v>
      </c>
      <c r="H351" s="2">
        <v>2849.0</v>
      </c>
      <c r="I351" s="2">
        <v>2.9120050020059E13</v>
      </c>
      <c r="J351" s="3">
        <v>2.0</v>
      </c>
      <c r="L351" s="2" t="s">
        <v>1920</v>
      </c>
      <c r="M351" s="174" t="s">
        <v>409</v>
      </c>
      <c r="N351" s="2" t="s">
        <v>462</v>
      </c>
      <c r="O351" s="3">
        <v>0.5</v>
      </c>
      <c r="P351" s="2" t="s">
        <v>363</v>
      </c>
      <c r="Q351" s="3">
        <v>1050.0</v>
      </c>
      <c r="T351" s="2" t="s">
        <v>486</v>
      </c>
      <c r="U351" s="171">
        <v>2849.0</v>
      </c>
      <c r="V351" s="172">
        <v>46000.0</v>
      </c>
      <c r="W351" s="3">
        <v>234.0</v>
      </c>
      <c r="X351" s="172">
        <v>45997.51064814815</v>
      </c>
      <c r="Y351" s="172"/>
      <c r="Z351" s="3">
        <v>45996.0</v>
      </c>
      <c r="AA351" s="3"/>
    </row>
    <row r="352">
      <c r="A352" s="3">
        <v>6.783441207555E12</v>
      </c>
      <c r="B352" s="2" t="s">
        <v>1921</v>
      </c>
      <c r="C352" s="2" t="s">
        <v>1922</v>
      </c>
      <c r="D352" s="169">
        <v>45996.0</v>
      </c>
      <c r="E352" s="2">
        <v>3.214638601E9</v>
      </c>
      <c r="F352" s="2" t="s">
        <v>1923</v>
      </c>
      <c r="G352" s="2" t="s">
        <v>678</v>
      </c>
      <c r="H352" s="2">
        <v>3099.0</v>
      </c>
      <c r="I352" s="2">
        <v>2.112005002006E13</v>
      </c>
      <c r="J352" s="3">
        <v>2.0</v>
      </c>
      <c r="L352" s="2" t="s">
        <v>50</v>
      </c>
      <c r="M352" s="174" t="s">
        <v>409</v>
      </c>
      <c r="N352" s="2" t="s">
        <v>462</v>
      </c>
      <c r="O352" s="3">
        <v>0.5</v>
      </c>
      <c r="P352" s="2" t="s">
        <v>73</v>
      </c>
      <c r="Q352" s="3">
        <v>920.0</v>
      </c>
      <c r="T352" s="2" t="s">
        <v>486</v>
      </c>
      <c r="U352" s="171">
        <v>3099.0</v>
      </c>
      <c r="V352" s="172">
        <v>46000.0</v>
      </c>
      <c r="W352" s="3">
        <v>231.0</v>
      </c>
      <c r="X352" s="172">
        <v>45997.57800925926</v>
      </c>
      <c r="Y352" s="172"/>
      <c r="Z352" s="3">
        <v>45996.0</v>
      </c>
      <c r="AA352" s="3"/>
    </row>
    <row r="353">
      <c r="A353" s="3">
        <v>6.783470141699E12</v>
      </c>
      <c r="B353" s="2" t="s">
        <v>1924</v>
      </c>
      <c r="C353" s="2" t="s">
        <v>1925</v>
      </c>
      <c r="D353" s="169">
        <v>45996.0</v>
      </c>
      <c r="E353" s="2">
        <v>3.31350117E9</v>
      </c>
      <c r="F353" s="2" t="s">
        <v>1926</v>
      </c>
      <c r="G353" s="2" t="s">
        <v>693</v>
      </c>
      <c r="H353" s="2">
        <v>3099.0</v>
      </c>
      <c r="I353" s="2" t="s">
        <v>1927</v>
      </c>
      <c r="J353" s="3">
        <v>2.0</v>
      </c>
      <c r="K353" s="2" t="s">
        <v>1928</v>
      </c>
      <c r="L353" s="2" t="s">
        <v>228</v>
      </c>
      <c r="M353" s="174" t="s">
        <v>409</v>
      </c>
      <c r="N353" s="2" t="s">
        <v>462</v>
      </c>
      <c r="O353" s="3">
        <v>0.5</v>
      </c>
      <c r="P353" s="2" t="s">
        <v>640</v>
      </c>
      <c r="Q353" s="3">
        <v>920.0</v>
      </c>
      <c r="T353" s="2" t="s">
        <v>1929</v>
      </c>
      <c r="U353" s="171">
        <v>3099.0</v>
      </c>
      <c r="W353" s="3">
        <v>387.15999999999997</v>
      </c>
      <c r="X353" s="172">
        <v>46057.693369016204</v>
      </c>
      <c r="Y353" s="172"/>
      <c r="Z353" s="3">
        <v>45996.0</v>
      </c>
      <c r="AA353" s="3"/>
    </row>
    <row r="354">
      <c r="A354" s="3">
        <v>6.783568249091E12</v>
      </c>
      <c r="B354" s="2" t="s">
        <v>1930</v>
      </c>
      <c r="C354" s="2" t="s">
        <v>1931</v>
      </c>
      <c r="D354" s="169">
        <v>45996.0</v>
      </c>
      <c r="E354" s="2">
        <v>3.458283434E9</v>
      </c>
      <c r="F354" s="2" t="s">
        <v>1932</v>
      </c>
      <c r="G354" s="2" t="s">
        <v>493</v>
      </c>
      <c r="H354" s="2">
        <v>3099.0</v>
      </c>
      <c r="I354" s="2">
        <v>2.7120050020061E13</v>
      </c>
      <c r="J354" s="3">
        <v>2.0</v>
      </c>
      <c r="L354" s="2" t="s">
        <v>296</v>
      </c>
      <c r="M354" s="174" t="s">
        <v>409</v>
      </c>
      <c r="N354" s="2" t="s">
        <v>462</v>
      </c>
      <c r="O354" s="3">
        <v>0.5</v>
      </c>
      <c r="P354" s="2" t="s">
        <v>363</v>
      </c>
      <c r="Q354" s="3">
        <v>920.0</v>
      </c>
      <c r="T354" s="2" t="s">
        <v>486</v>
      </c>
      <c r="U354" s="171">
        <v>3099.0</v>
      </c>
      <c r="V354" s="172">
        <v>46000.0</v>
      </c>
      <c r="W354" s="3">
        <v>337.0</v>
      </c>
      <c r="X354" s="172">
        <v>45999.83478009259</v>
      </c>
      <c r="Y354" s="172"/>
      <c r="Z354" s="3">
        <v>45996.0</v>
      </c>
      <c r="AA354" s="3"/>
    </row>
    <row r="355">
      <c r="A355" s="3">
        <v>6.783589286147E12</v>
      </c>
      <c r="B355" s="2" t="s">
        <v>1933</v>
      </c>
      <c r="C355" s="2" t="s">
        <v>1934</v>
      </c>
      <c r="D355" s="169">
        <v>45996.0</v>
      </c>
      <c r="E355" s="173" t="s">
        <v>1935</v>
      </c>
      <c r="F355" s="2" t="s">
        <v>1936</v>
      </c>
      <c r="G355" s="2" t="s">
        <v>493</v>
      </c>
      <c r="H355" s="2">
        <v>2449.0</v>
      </c>
      <c r="I355" s="2">
        <v>2.4120050020046E13</v>
      </c>
      <c r="J355" s="3">
        <v>1.0</v>
      </c>
      <c r="K355" s="2" t="s">
        <v>511</v>
      </c>
      <c r="L355" s="2" t="s">
        <v>1289</v>
      </c>
      <c r="M355" s="174" t="s">
        <v>409</v>
      </c>
      <c r="N355" s="2" t="s">
        <v>406</v>
      </c>
      <c r="O355" s="3">
        <v>0.5</v>
      </c>
      <c r="P355" s="2" t="s">
        <v>363</v>
      </c>
      <c r="Q355" s="3">
        <v>850.0</v>
      </c>
      <c r="T355" s="2" t="s">
        <v>486</v>
      </c>
      <c r="U355" s="3">
        <v>2449.0</v>
      </c>
      <c r="V355" s="172">
        <v>46000.0</v>
      </c>
      <c r="W355" s="3">
        <v>227.0</v>
      </c>
      <c r="X355" s="172">
        <v>45999.7987037037</v>
      </c>
      <c r="Y355" s="172"/>
      <c r="Z355" s="3">
        <v>45996.0</v>
      </c>
      <c r="AA355" s="3"/>
    </row>
    <row r="356">
      <c r="A356" s="3">
        <v>6.783603147011E12</v>
      </c>
      <c r="B356" s="2" t="s">
        <v>1937</v>
      </c>
      <c r="C356" s="2" t="s">
        <v>1938</v>
      </c>
      <c r="D356" s="169">
        <v>45996.0</v>
      </c>
      <c r="E356" s="173" t="s">
        <v>1939</v>
      </c>
      <c r="F356" s="2" t="s">
        <v>1940</v>
      </c>
      <c r="G356" s="2" t="s">
        <v>855</v>
      </c>
      <c r="H356" s="2">
        <v>6049.0</v>
      </c>
      <c r="I356" s="2">
        <v>2.1120050020062E13</v>
      </c>
      <c r="J356" s="3">
        <v>2.0</v>
      </c>
      <c r="L356" s="2" t="s">
        <v>1941</v>
      </c>
      <c r="M356" s="174" t="s">
        <v>409</v>
      </c>
      <c r="N356" s="2" t="s">
        <v>462</v>
      </c>
      <c r="O356" s="3">
        <v>0.5</v>
      </c>
      <c r="P356" s="2" t="s">
        <v>73</v>
      </c>
      <c r="Q356" s="3">
        <v>2650.0</v>
      </c>
      <c r="T356" s="2" t="s">
        <v>486</v>
      </c>
      <c r="U356" s="171">
        <v>6049.0</v>
      </c>
      <c r="V356" s="172">
        <v>46000.0</v>
      </c>
      <c r="W356" s="3">
        <v>555.0</v>
      </c>
      <c r="X356" s="172">
        <v>45997.67350694444</v>
      </c>
      <c r="Y356" s="172"/>
      <c r="Z356" s="3">
        <v>45996.0</v>
      </c>
      <c r="AA356" s="3"/>
    </row>
    <row r="357">
      <c r="A357" s="3">
        <v>6.783628247299E12</v>
      </c>
      <c r="B357" s="2" t="s">
        <v>1942</v>
      </c>
      <c r="C357" s="2" t="s">
        <v>1943</v>
      </c>
      <c r="D357" s="169">
        <v>45996.0</v>
      </c>
      <c r="E357" s="2">
        <v>3.008710842E9</v>
      </c>
      <c r="F357" s="2" t="s">
        <v>1944</v>
      </c>
      <c r="G357" s="2" t="s">
        <v>1055</v>
      </c>
      <c r="H357" s="2">
        <v>4649.0</v>
      </c>
      <c r="I357" s="2">
        <v>2.8120050020047E13</v>
      </c>
      <c r="J357" s="3">
        <v>2.0</v>
      </c>
      <c r="L357" s="2" t="s">
        <v>994</v>
      </c>
      <c r="M357" s="174" t="s">
        <v>409</v>
      </c>
      <c r="N357" s="2" t="s">
        <v>462</v>
      </c>
      <c r="O357" s="3">
        <v>0.5</v>
      </c>
      <c r="P357" s="2" t="s">
        <v>73</v>
      </c>
      <c r="Q357" s="3">
        <v>1700.0</v>
      </c>
      <c r="T357" s="2" t="s">
        <v>456</v>
      </c>
      <c r="U357" s="171">
        <v>4649.0</v>
      </c>
      <c r="V357" s="172">
        <v>46003.0</v>
      </c>
      <c r="W357" s="3">
        <v>499.0</v>
      </c>
      <c r="X357" s="172">
        <v>46000.56355324074</v>
      </c>
      <c r="Y357" s="172"/>
      <c r="Z357" s="3">
        <v>45996.0</v>
      </c>
      <c r="AA357" s="3"/>
    </row>
    <row r="358">
      <c r="A358" s="3">
        <v>6.783820300547E12</v>
      </c>
      <c r="B358" s="2" t="s">
        <v>1945</v>
      </c>
      <c r="C358" s="2" t="s">
        <v>1946</v>
      </c>
      <c r="D358" s="169">
        <v>45996.0</v>
      </c>
      <c r="E358" s="2">
        <v>3.060007471E9</v>
      </c>
      <c r="F358" s="2" t="s">
        <v>1947</v>
      </c>
      <c r="G358" s="2" t="s">
        <v>1948</v>
      </c>
      <c r="H358" s="2">
        <v>0.0</v>
      </c>
      <c r="I358" s="2">
        <v>2.4120050020048E13</v>
      </c>
      <c r="J358" s="3">
        <v>0.0</v>
      </c>
      <c r="K358" s="2" t="s">
        <v>1949</v>
      </c>
      <c r="L358" s="2"/>
      <c r="M358" s="170" t="s">
        <v>455</v>
      </c>
      <c r="N358" s="2" t="s">
        <v>406</v>
      </c>
      <c r="O358" s="3">
        <v>0.5</v>
      </c>
      <c r="P358" s="2" t="s">
        <v>363</v>
      </c>
      <c r="Q358" s="3">
        <v>0.0</v>
      </c>
      <c r="T358" s="2" t="s">
        <v>674</v>
      </c>
      <c r="U358" s="171">
        <v>0.0</v>
      </c>
      <c r="V358" s="172">
        <v>46007.0</v>
      </c>
      <c r="W358" s="3">
        <v>200.0</v>
      </c>
      <c r="X358" s="172">
        <v>46057.64278274306</v>
      </c>
      <c r="Y358" s="172"/>
      <c r="Z358" s="3">
        <v>45996.0</v>
      </c>
      <c r="AA358" s="3"/>
    </row>
    <row r="359">
      <c r="A359" s="3">
        <v>6.783849595139E12</v>
      </c>
      <c r="B359" s="2" t="s">
        <v>1950</v>
      </c>
      <c r="C359" s="2" t="s">
        <v>1951</v>
      </c>
      <c r="D359" s="169">
        <v>45996.0</v>
      </c>
      <c r="E359" s="2">
        <v>3.12705757E9</v>
      </c>
      <c r="F359" s="2" t="s">
        <v>1952</v>
      </c>
      <c r="G359" s="2" t="s">
        <v>1067</v>
      </c>
      <c r="H359" s="2">
        <v>2299.0</v>
      </c>
      <c r="I359" s="2">
        <v>2.2120050020049E13</v>
      </c>
      <c r="J359" s="3">
        <v>1.0</v>
      </c>
      <c r="L359" s="2" t="s">
        <v>1953</v>
      </c>
      <c r="M359" s="174" t="s">
        <v>409</v>
      </c>
      <c r="N359" s="2" t="s">
        <v>462</v>
      </c>
      <c r="O359" s="3">
        <v>0.5</v>
      </c>
      <c r="P359" s="2" t="s">
        <v>363</v>
      </c>
      <c r="Q359" s="3">
        <v>850.0</v>
      </c>
      <c r="T359" s="2" t="s">
        <v>486</v>
      </c>
      <c r="U359" s="171">
        <v>2299.0</v>
      </c>
      <c r="V359" s="172">
        <v>46000.0</v>
      </c>
      <c r="W359" s="3">
        <v>305.0</v>
      </c>
      <c r="X359" s="172">
        <v>45999.797118055554</v>
      </c>
      <c r="Y359" s="172"/>
      <c r="Z359" s="3">
        <v>45996.0</v>
      </c>
      <c r="AA359" s="3"/>
    </row>
    <row r="360">
      <c r="A360" s="3">
        <v>6.783885869315E12</v>
      </c>
      <c r="B360" s="2" t="s">
        <v>1954</v>
      </c>
      <c r="C360" s="2" t="s">
        <v>1955</v>
      </c>
      <c r="D360" s="169">
        <v>45996.0</v>
      </c>
      <c r="E360" s="2">
        <v>3.369777508E9</v>
      </c>
      <c r="F360" s="2" t="s">
        <v>1956</v>
      </c>
      <c r="G360" s="2" t="s">
        <v>781</v>
      </c>
      <c r="H360" s="2">
        <v>2748.0</v>
      </c>
      <c r="I360" s="2">
        <v>2.512005002005E13</v>
      </c>
      <c r="J360" s="3">
        <v>1.0</v>
      </c>
      <c r="L360" s="2" t="s">
        <v>512</v>
      </c>
      <c r="M360" s="174" t="s">
        <v>409</v>
      </c>
      <c r="N360" s="2" t="s">
        <v>462</v>
      </c>
      <c r="O360" s="3">
        <v>0.5</v>
      </c>
      <c r="P360" s="2" t="s">
        <v>363</v>
      </c>
      <c r="Q360" s="3">
        <v>850.0</v>
      </c>
      <c r="T360" s="2" t="s">
        <v>486</v>
      </c>
      <c r="U360" s="171">
        <v>2748.0</v>
      </c>
      <c r="V360" s="172">
        <v>46000.0</v>
      </c>
      <c r="W360" s="3">
        <v>337.0</v>
      </c>
      <c r="X360" s="172">
        <v>45998.51685185185</v>
      </c>
      <c r="Y360" s="172"/>
      <c r="Z360" s="3">
        <v>45996.0</v>
      </c>
      <c r="AA360" s="3"/>
    </row>
    <row r="361">
      <c r="A361" s="3">
        <v>6.783890882819E12</v>
      </c>
      <c r="B361" s="2" t="s">
        <v>1957</v>
      </c>
      <c r="C361" s="2" t="s">
        <v>1958</v>
      </c>
      <c r="D361" s="169">
        <v>45996.0</v>
      </c>
      <c r="E361" s="173" t="s">
        <v>1959</v>
      </c>
      <c r="F361" s="2" t="s">
        <v>1960</v>
      </c>
      <c r="G361" s="2" t="s">
        <v>368</v>
      </c>
      <c r="H361" s="2">
        <v>2849.0</v>
      </c>
      <c r="I361" s="2">
        <v>2.6120050020081E13</v>
      </c>
      <c r="J361" s="3">
        <v>2.0</v>
      </c>
      <c r="K361" s="2" t="s">
        <v>1961</v>
      </c>
      <c r="L361" s="2" t="s">
        <v>1920</v>
      </c>
      <c r="M361" s="174" t="s">
        <v>409</v>
      </c>
      <c r="N361" s="2" t="s">
        <v>406</v>
      </c>
      <c r="O361" s="3">
        <v>0.5</v>
      </c>
      <c r="P361" s="2" t="s">
        <v>363</v>
      </c>
      <c r="Q361" s="3">
        <v>1050.0</v>
      </c>
      <c r="T361" s="2" t="s">
        <v>486</v>
      </c>
      <c r="U361" s="2">
        <v>2849.0</v>
      </c>
      <c r="V361" s="172">
        <v>46000.0</v>
      </c>
      <c r="W361" s="3">
        <v>213.0</v>
      </c>
      <c r="X361" s="172">
        <v>45999.771574074075</v>
      </c>
      <c r="Y361" s="172"/>
      <c r="Z361" s="3">
        <v>45996.0</v>
      </c>
      <c r="AA361" s="3"/>
    </row>
    <row r="362">
      <c r="A362" s="3">
        <v>6.783901204739E12</v>
      </c>
      <c r="B362" s="2" t="s">
        <v>1962</v>
      </c>
      <c r="C362" s="2" t="s">
        <v>1963</v>
      </c>
      <c r="D362" s="169">
        <v>45996.0</v>
      </c>
      <c r="E362" s="2">
        <v>3.276594814E9</v>
      </c>
      <c r="F362" s="2" t="s">
        <v>1964</v>
      </c>
      <c r="G362" s="2" t="s">
        <v>1257</v>
      </c>
      <c r="H362" s="2">
        <v>0.0</v>
      </c>
      <c r="I362" s="2">
        <v>2.4120050020051E13</v>
      </c>
      <c r="J362" s="3">
        <v>0.0</v>
      </c>
      <c r="K362" s="2" t="s">
        <v>1965</v>
      </c>
      <c r="L362" s="2"/>
      <c r="M362" s="170" t="s">
        <v>455</v>
      </c>
      <c r="N362" s="2" t="s">
        <v>406</v>
      </c>
      <c r="O362" s="3">
        <v>0.5</v>
      </c>
      <c r="P362" s="2" t="s">
        <v>363</v>
      </c>
      <c r="Q362" s="3">
        <v>0.0</v>
      </c>
      <c r="T362" s="2" t="s">
        <v>674</v>
      </c>
      <c r="U362" s="171">
        <v>0.0</v>
      </c>
      <c r="V362" s="172">
        <v>46007.0</v>
      </c>
      <c r="W362" s="3">
        <v>200.0</v>
      </c>
      <c r="X362" s="172">
        <v>46057.64278274306</v>
      </c>
      <c r="Y362" s="172"/>
      <c r="Z362" s="3">
        <v>45996.0</v>
      </c>
      <c r="AA362" s="3"/>
    </row>
    <row r="363">
      <c r="A363" s="3">
        <v>6.783960482051E12</v>
      </c>
      <c r="B363" s="2" t="s">
        <v>1966</v>
      </c>
      <c r="C363" s="2" t="s">
        <v>1967</v>
      </c>
      <c r="D363" s="169">
        <v>45996.0</v>
      </c>
      <c r="E363" s="2">
        <v>3.01179E9</v>
      </c>
      <c r="F363" s="2" t="s">
        <v>1968</v>
      </c>
      <c r="G363" s="2" t="s">
        <v>1969</v>
      </c>
      <c r="H363" s="2">
        <v>2349.0</v>
      </c>
      <c r="I363" s="2" t="s">
        <v>1970</v>
      </c>
      <c r="J363" s="3">
        <v>2.0</v>
      </c>
      <c r="K363" s="2" t="s">
        <v>1971</v>
      </c>
      <c r="L363" s="2" t="s">
        <v>1972</v>
      </c>
      <c r="M363" s="174" t="s">
        <v>409</v>
      </c>
      <c r="N363" s="2" t="s">
        <v>462</v>
      </c>
      <c r="O363" s="3">
        <v>0.5</v>
      </c>
      <c r="P363" s="2" t="s">
        <v>640</v>
      </c>
      <c r="Q363" s="3">
        <v>1100.0</v>
      </c>
      <c r="T363" s="2" t="s">
        <v>1973</v>
      </c>
      <c r="U363" s="171">
        <v>2349.0</v>
      </c>
      <c r="W363" s="3">
        <v>386.15999999999997</v>
      </c>
      <c r="X363" s="172">
        <v>46057.693434189816</v>
      </c>
      <c r="Y363" s="172"/>
      <c r="Z363" s="3">
        <v>45996.0</v>
      </c>
      <c r="AA363" s="3"/>
    </row>
    <row r="364">
      <c r="A364" s="3">
        <v>6.783968084227E12</v>
      </c>
      <c r="B364" s="2" t="s">
        <v>1974</v>
      </c>
      <c r="C364" s="2" t="s">
        <v>1975</v>
      </c>
      <c r="D364" s="169">
        <v>45996.0</v>
      </c>
      <c r="E364" s="2">
        <v>3.006385208E9</v>
      </c>
      <c r="F364" s="2" t="s">
        <v>1976</v>
      </c>
      <c r="G364" s="2" t="s">
        <v>541</v>
      </c>
      <c r="H364" s="2">
        <v>3099.0</v>
      </c>
      <c r="I364" s="2">
        <v>2.7120050020063E13</v>
      </c>
      <c r="J364" s="3">
        <v>2.0</v>
      </c>
      <c r="L364" s="2" t="s">
        <v>1258</v>
      </c>
      <c r="M364" s="174" t="s">
        <v>409</v>
      </c>
      <c r="N364" s="2" t="s">
        <v>462</v>
      </c>
      <c r="O364" s="3">
        <v>0.5</v>
      </c>
      <c r="P364" s="2" t="s">
        <v>363</v>
      </c>
      <c r="Q364" s="3">
        <v>960.0</v>
      </c>
      <c r="T364" s="2" t="s">
        <v>486</v>
      </c>
      <c r="U364" s="171">
        <v>3099.0</v>
      </c>
      <c r="V364" s="172">
        <v>46000.0</v>
      </c>
      <c r="W364" s="3">
        <v>324.0</v>
      </c>
      <c r="X364" s="172">
        <v>45998.65226851852</v>
      </c>
      <c r="Y364" s="172"/>
      <c r="Z364" s="3">
        <v>45996.0</v>
      </c>
      <c r="AA364" s="3"/>
    </row>
    <row r="365">
      <c r="A365" s="3">
        <v>6.783993970947E12</v>
      </c>
      <c r="B365" s="2" t="s">
        <v>1977</v>
      </c>
      <c r="C365" s="2" t="s">
        <v>1978</v>
      </c>
      <c r="D365" s="169">
        <v>45996.0</v>
      </c>
      <c r="E365" s="2">
        <v>3.065592661E9</v>
      </c>
      <c r="F365" s="2" t="s">
        <v>1979</v>
      </c>
      <c r="G365" s="2" t="s">
        <v>855</v>
      </c>
      <c r="H365" s="2">
        <v>0.0</v>
      </c>
      <c r="I365" s="2">
        <v>2.9120050020064E13</v>
      </c>
      <c r="J365" s="3">
        <v>0.0</v>
      </c>
      <c r="K365" s="2" t="s">
        <v>1347</v>
      </c>
      <c r="L365" s="2"/>
      <c r="M365" s="170" t="s">
        <v>455</v>
      </c>
      <c r="N365" s="2" t="s">
        <v>406</v>
      </c>
      <c r="O365" s="3">
        <v>0.5</v>
      </c>
      <c r="P365" s="2" t="s">
        <v>363</v>
      </c>
      <c r="Q365" s="3">
        <v>0.0</v>
      </c>
      <c r="T365" s="2" t="s">
        <v>599</v>
      </c>
      <c r="U365" s="171">
        <v>0.0</v>
      </c>
      <c r="V365" s="172">
        <v>46010.0</v>
      </c>
      <c r="W365" s="3">
        <v>200.0</v>
      </c>
      <c r="X365" s="172">
        <v>46057.64278274306</v>
      </c>
      <c r="Y365" s="172"/>
      <c r="Z365" s="3">
        <v>45996.0</v>
      </c>
      <c r="AA365" s="3"/>
    </row>
    <row r="366">
      <c r="A366" s="3">
        <v>6.784037421315E12</v>
      </c>
      <c r="B366" s="2" t="s">
        <v>1980</v>
      </c>
      <c r="C366" s="2" t="s">
        <v>1981</v>
      </c>
      <c r="D366" s="169">
        <v>45996.0</v>
      </c>
      <c r="E366" s="2">
        <v>3.029846449E9</v>
      </c>
      <c r="F366" s="2" t="s">
        <v>1982</v>
      </c>
      <c r="G366" s="2" t="s">
        <v>1983</v>
      </c>
      <c r="H366" s="2">
        <v>0.0</v>
      </c>
      <c r="I366" s="2">
        <v>1.73008767686E11</v>
      </c>
      <c r="J366" s="3">
        <v>0.0</v>
      </c>
      <c r="K366" s="2" t="s">
        <v>1984</v>
      </c>
      <c r="L366" s="2"/>
      <c r="M366" s="170" t="s">
        <v>455</v>
      </c>
      <c r="N366" s="2" t="s">
        <v>406</v>
      </c>
      <c r="O366" s="3">
        <v>0.5</v>
      </c>
      <c r="P366" s="2" t="s">
        <v>501</v>
      </c>
      <c r="Q366" s="3">
        <v>0.0</v>
      </c>
      <c r="T366" s="2" t="s">
        <v>805</v>
      </c>
      <c r="U366" s="141"/>
      <c r="W366" s="3">
        <v>292.2</v>
      </c>
      <c r="X366" s="172">
        <v>46057.69345773148</v>
      </c>
      <c r="Y366" s="172"/>
      <c r="Z366" s="3">
        <v>45996.0</v>
      </c>
      <c r="AA366" s="3"/>
    </row>
    <row r="367">
      <c r="A367" s="3">
        <v>6.784052297987E12</v>
      </c>
      <c r="B367" s="2" t="s">
        <v>1985</v>
      </c>
      <c r="C367" s="2" t="s">
        <v>1986</v>
      </c>
      <c r="D367" s="169">
        <v>45996.0</v>
      </c>
      <c r="E367" s="173" t="s">
        <v>1987</v>
      </c>
      <c r="F367" s="2" t="s">
        <v>1988</v>
      </c>
      <c r="G367" s="2" t="s">
        <v>506</v>
      </c>
      <c r="H367" s="2">
        <v>4595.0</v>
      </c>
      <c r="I367" s="2">
        <v>2.6120050020068E13</v>
      </c>
      <c r="J367" s="3">
        <v>2.0</v>
      </c>
      <c r="K367" s="2" t="s">
        <v>1989</v>
      </c>
      <c r="L367" s="2" t="s">
        <v>1990</v>
      </c>
      <c r="M367" s="174" t="s">
        <v>409</v>
      </c>
      <c r="N367" s="2" t="s">
        <v>462</v>
      </c>
      <c r="O367" s="3">
        <v>0.5</v>
      </c>
      <c r="P367" s="2" t="s">
        <v>363</v>
      </c>
      <c r="Q367" s="3">
        <v>1700.0</v>
      </c>
      <c r="T367" s="2" t="s">
        <v>486</v>
      </c>
      <c r="U367" s="171">
        <v>4595.0</v>
      </c>
      <c r="V367" s="172">
        <v>46000.0</v>
      </c>
      <c r="W367" s="3">
        <v>404.0</v>
      </c>
      <c r="X367" s="172">
        <v>45999.77850694444</v>
      </c>
      <c r="Y367" s="172"/>
      <c r="Z367" s="3">
        <v>45996.0</v>
      </c>
      <c r="AA367" s="3"/>
    </row>
    <row r="368">
      <c r="A368" s="3">
        <v>6.784056590595E12</v>
      </c>
      <c r="B368" s="2" t="s">
        <v>1991</v>
      </c>
      <c r="C368" s="2" t="s">
        <v>1992</v>
      </c>
      <c r="D368" s="169">
        <v>45996.0</v>
      </c>
      <c r="E368" s="2">
        <v>3.270930564E9</v>
      </c>
      <c r="F368" s="2" t="s">
        <v>1993</v>
      </c>
      <c r="G368" s="2" t="s">
        <v>1994</v>
      </c>
      <c r="H368" s="2">
        <v>0.0</v>
      </c>
      <c r="I368" s="2" t="s">
        <v>1995</v>
      </c>
      <c r="J368" s="3">
        <v>0.0</v>
      </c>
      <c r="K368" s="2" t="s">
        <v>1996</v>
      </c>
      <c r="L368" s="2"/>
      <c r="M368" s="170" t="s">
        <v>455</v>
      </c>
      <c r="N368" s="2" t="s">
        <v>406</v>
      </c>
      <c r="O368" s="3">
        <v>0.5</v>
      </c>
      <c r="P368" s="2" t="s">
        <v>640</v>
      </c>
      <c r="Q368" s="3">
        <v>0.0</v>
      </c>
      <c r="T368" s="2" t="s">
        <v>805</v>
      </c>
      <c r="U368" s="141"/>
      <c r="W368" s="3">
        <v>292.2</v>
      </c>
      <c r="X368" s="172">
        <v>46057.69346859954</v>
      </c>
      <c r="Y368" s="172"/>
      <c r="Z368" s="3">
        <v>45996.0</v>
      </c>
      <c r="AA368" s="3"/>
    </row>
    <row r="369">
      <c r="A369" s="3">
        <v>6.784057671939E12</v>
      </c>
      <c r="B369" s="2" t="s">
        <v>1997</v>
      </c>
      <c r="C369" s="2" t="s">
        <v>1486</v>
      </c>
      <c r="D369" s="169">
        <v>45996.0</v>
      </c>
      <c r="E369" s="173" t="s">
        <v>1487</v>
      </c>
      <c r="F369" s="2" t="s">
        <v>1488</v>
      </c>
      <c r="G369" s="2" t="s">
        <v>368</v>
      </c>
      <c r="H369" s="2">
        <v>1425.0</v>
      </c>
      <c r="I369" s="2">
        <v>2.5120050020067E13</v>
      </c>
      <c r="J369" s="3">
        <v>1.0</v>
      </c>
      <c r="K369" s="2" t="s">
        <v>1998</v>
      </c>
      <c r="L369" s="2" t="s">
        <v>1999</v>
      </c>
      <c r="M369" s="174" t="s">
        <v>409</v>
      </c>
      <c r="N369" s="2" t="s">
        <v>462</v>
      </c>
      <c r="O369" s="3">
        <v>0.5</v>
      </c>
      <c r="P369" s="2" t="s">
        <v>363</v>
      </c>
      <c r="Q369" s="3">
        <v>480.0</v>
      </c>
      <c r="T369" s="2" t="s">
        <v>486</v>
      </c>
      <c r="U369" s="3">
        <v>1425.0</v>
      </c>
      <c r="V369" s="172">
        <v>46000.0</v>
      </c>
      <c r="W369" s="3">
        <v>107.0</v>
      </c>
      <c r="X369" s="172">
        <v>45997.650868055556</v>
      </c>
      <c r="Y369" s="172"/>
      <c r="Z369" s="3">
        <v>45996.0</v>
      </c>
      <c r="AA369" s="3"/>
    </row>
    <row r="370">
      <c r="A370" s="3">
        <v>6.784064815363E12</v>
      </c>
      <c r="B370" s="2" t="s">
        <v>2000</v>
      </c>
      <c r="C370" s="2" t="s">
        <v>1299</v>
      </c>
      <c r="D370" s="169">
        <v>45996.0</v>
      </c>
      <c r="E370" s="2">
        <v>3.004325576E9</v>
      </c>
      <c r="F370" s="2" t="s">
        <v>2001</v>
      </c>
      <c r="G370" s="2" t="s">
        <v>368</v>
      </c>
      <c r="H370" s="2">
        <v>249.0</v>
      </c>
      <c r="I370" s="2">
        <v>2.5120050020052E13</v>
      </c>
      <c r="J370" s="3">
        <v>0.0</v>
      </c>
      <c r="L370" s="2"/>
      <c r="M370" s="174" t="s">
        <v>409</v>
      </c>
      <c r="N370" s="2" t="s">
        <v>462</v>
      </c>
      <c r="O370" s="3">
        <v>0.5</v>
      </c>
      <c r="P370" s="2" t="s">
        <v>363</v>
      </c>
      <c r="Q370" s="3">
        <v>0.0</v>
      </c>
      <c r="T370" s="2" t="s">
        <v>486</v>
      </c>
      <c r="U370" s="3">
        <v>249.0</v>
      </c>
      <c r="V370" s="172">
        <v>46000.0</v>
      </c>
      <c r="W370" s="3">
        <v>199.0</v>
      </c>
      <c r="X370" s="172">
        <v>45997.54045138889</v>
      </c>
      <c r="Y370" s="172"/>
      <c r="Z370" s="3">
        <v>45996.0</v>
      </c>
      <c r="AA370" s="3"/>
    </row>
    <row r="371">
      <c r="A371" s="3">
        <v>6.784080806147E12</v>
      </c>
      <c r="B371" s="2" t="s">
        <v>2002</v>
      </c>
      <c r="C371" s="2" t="s">
        <v>2003</v>
      </c>
      <c r="D371" s="169">
        <v>45996.0</v>
      </c>
      <c r="E371" s="173" t="s">
        <v>2004</v>
      </c>
      <c r="F371" s="2" t="s">
        <v>2005</v>
      </c>
      <c r="G371" s="2" t="s">
        <v>506</v>
      </c>
      <c r="H371" s="2">
        <v>3099.0</v>
      </c>
      <c r="I371" s="2">
        <v>2.7120050020066E13</v>
      </c>
      <c r="J371" s="3">
        <v>2.0</v>
      </c>
      <c r="L371" s="2" t="s">
        <v>228</v>
      </c>
      <c r="M371" s="174" t="s">
        <v>409</v>
      </c>
      <c r="N371" s="2" t="s">
        <v>462</v>
      </c>
      <c r="O371" s="3">
        <v>0.5</v>
      </c>
      <c r="P371" s="2" t="s">
        <v>363</v>
      </c>
      <c r="Q371" s="3">
        <v>920.0</v>
      </c>
      <c r="T371" s="2" t="s">
        <v>599</v>
      </c>
      <c r="U371" s="171">
        <v>3099.0</v>
      </c>
      <c r="V371" s="172">
        <v>46010.0</v>
      </c>
      <c r="W371" s="3">
        <v>324.0</v>
      </c>
      <c r="X371" s="172">
        <v>46008.600266203706</v>
      </c>
      <c r="Y371" s="172"/>
      <c r="Z371" s="3">
        <v>45996.0</v>
      </c>
      <c r="AA371" s="3"/>
    </row>
    <row r="372">
      <c r="A372" s="3">
        <v>6.784083755267E12</v>
      </c>
      <c r="B372" s="2" t="s">
        <v>2006</v>
      </c>
      <c r="C372" s="2" t="s">
        <v>2007</v>
      </c>
      <c r="D372" s="169">
        <v>45996.0</v>
      </c>
      <c r="E372" s="2">
        <v>3.009208777E9</v>
      </c>
      <c r="F372" s="2" t="s">
        <v>2008</v>
      </c>
      <c r="G372" s="2" t="s">
        <v>493</v>
      </c>
      <c r="H372" s="2">
        <v>2749.0</v>
      </c>
      <c r="I372" s="2">
        <v>2.3120050020065E13</v>
      </c>
      <c r="J372" s="3">
        <v>2.0</v>
      </c>
      <c r="L372" s="2" t="s">
        <v>35</v>
      </c>
      <c r="M372" s="174" t="s">
        <v>409</v>
      </c>
      <c r="N372" s="2" t="s">
        <v>462</v>
      </c>
      <c r="O372" s="3">
        <v>0.5</v>
      </c>
      <c r="P372" s="2" t="s">
        <v>363</v>
      </c>
      <c r="Q372" s="3">
        <v>980.0</v>
      </c>
      <c r="T372" s="2" t="s">
        <v>486</v>
      </c>
      <c r="U372" s="171">
        <v>2749.0</v>
      </c>
      <c r="V372" s="172">
        <v>46000.0</v>
      </c>
      <c r="W372" s="3">
        <v>323.0</v>
      </c>
      <c r="X372" s="172">
        <v>45999.77505787037</v>
      </c>
      <c r="Y372" s="172"/>
      <c r="Z372" s="3">
        <v>45996.0</v>
      </c>
      <c r="AA372" s="3"/>
    </row>
    <row r="373">
      <c r="A373" s="3">
        <v>6.784090931459E12</v>
      </c>
      <c r="B373" s="2" t="s">
        <v>2009</v>
      </c>
      <c r="C373" s="2" t="s">
        <v>1508</v>
      </c>
      <c r="D373" s="169">
        <v>45996.0</v>
      </c>
      <c r="E373" s="2">
        <v>3.21866667E9</v>
      </c>
      <c r="F373" s="2" t="s">
        <v>1509</v>
      </c>
      <c r="G373" s="2" t="s">
        <v>374</v>
      </c>
      <c r="H373" s="2">
        <v>0.0</v>
      </c>
      <c r="J373" s="3">
        <v>0.0</v>
      </c>
      <c r="K373" s="2" t="s">
        <v>760</v>
      </c>
      <c r="L373" s="2"/>
      <c r="M373" s="2" t="s">
        <v>468</v>
      </c>
      <c r="N373" s="2" t="s">
        <v>406</v>
      </c>
      <c r="O373" s="3">
        <v>0.5</v>
      </c>
      <c r="Q373" s="3">
        <v>0.0</v>
      </c>
      <c r="U373" s="141"/>
      <c r="X373" s="172">
        <v>46057.64278274306</v>
      </c>
      <c r="Y373" s="172"/>
      <c r="Z373" s="3">
        <v>45996.0</v>
      </c>
      <c r="AA373" s="3"/>
    </row>
    <row r="374">
      <c r="A374" s="3">
        <v>6.784093683971E12</v>
      </c>
      <c r="B374" s="2" t="s">
        <v>2010</v>
      </c>
      <c r="C374" s="2" t="s">
        <v>2011</v>
      </c>
      <c r="D374" s="169">
        <v>45996.0</v>
      </c>
      <c r="E374" s="2">
        <v>3.004210436E9</v>
      </c>
      <c r="F374" s="2" t="s">
        <v>2012</v>
      </c>
      <c r="G374" s="2" t="s">
        <v>2013</v>
      </c>
      <c r="H374" s="2">
        <v>0.0</v>
      </c>
      <c r="J374" s="3">
        <v>0.0</v>
      </c>
      <c r="K374" s="2" t="s">
        <v>2014</v>
      </c>
      <c r="L374" s="2"/>
      <c r="M374" s="2" t="s">
        <v>468</v>
      </c>
      <c r="N374" s="2" t="s">
        <v>406</v>
      </c>
      <c r="O374" s="3">
        <v>0.5</v>
      </c>
      <c r="Q374" s="3">
        <v>0.0</v>
      </c>
      <c r="U374" s="141"/>
      <c r="X374" s="172">
        <v>46057.64278274306</v>
      </c>
      <c r="Y374" s="172"/>
      <c r="Z374" s="3">
        <v>45996.0</v>
      </c>
      <c r="AA374" s="3"/>
    </row>
    <row r="375">
      <c r="A375" s="3">
        <v>6.784133234947E12</v>
      </c>
      <c r="B375" s="2" t="s">
        <v>2015</v>
      </c>
      <c r="C375" s="2" t="s">
        <v>2016</v>
      </c>
      <c r="D375" s="169">
        <v>45996.0</v>
      </c>
      <c r="E375" s="2">
        <v>3.340803901E9</v>
      </c>
      <c r="F375" s="2" t="s">
        <v>2017</v>
      </c>
      <c r="G375" s="2" t="s">
        <v>855</v>
      </c>
      <c r="H375" s="2">
        <v>3099.0</v>
      </c>
      <c r="I375" s="2">
        <v>2.6120050020099E13</v>
      </c>
      <c r="J375" s="3">
        <v>2.0</v>
      </c>
      <c r="L375" s="2" t="s">
        <v>228</v>
      </c>
      <c r="M375" s="174" t="s">
        <v>409</v>
      </c>
      <c r="N375" s="2" t="s">
        <v>462</v>
      </c>
      <c r="O375" s="3">
        <v>0.5</v>
      </c>
      <c r="P375" s="2" t="s">
        <v>363</v>
      </c>
      <c r="Q375" s="3">
        <v>920.0</v>
      </c>
      <c r="T375" s="2" t="s">
        <v>599</v>
      </c>
      <c r="U375" s="171">
        <v>3099.0</v>
      </c>
      <c r="V375" s="172">
        <v>46010.0</v>
      </c>
      <c r="W375" s="3">
        <v>324.0</v>
      </c>
      <c r="X375" s="172">
        <v>46007.66835648148</v>
      </c>
      <c r="Y375" s="172"/>
      <c r="Z375" s="3">
        <v>45996.0</v>
      </c>
      <c r="AA375" s="3"/>
    </row>
    <row r="376">
      <c r="A376" s="3">
        <v>6.784139591939E12</v>
      </c>
      <c r="B376" s="2" t="s">
        <v>2018</v>
      </c>
      <c r="C376" s="2" t="s">
        <v>2019</v>
      </c>
      <c r="D376" s="169">
        <v>45996.0</v>
      </c>
      <c r="E376" s="173" t="s">
        <v>2020</v>
      </c>
      <c r="F376" s="2" t="s">
        <v>2021</v>
      </c>
      <c r="G376" s="2" t="s">
        <v>506</v>
      </c>
      <c r="H376" s="2">
        <v>2448.0</v>
      </c>
      <c r="I376" s="2">
        <v>2.81200500201E13</v>
      </c>
      <c r="J376" s="3">
        <v>1.0</v>
      </c>
      <c r="K376" s="2" t="s">
        <v>2022</v>
      </c>
      <c r="L376" s="2" t="s">
        <v>2023</v>
      </c>
      <c r="M376" s="174" t="s">
        <v>409</v>
      </c>
      <c r="N376" s="2" t="s">
        <v>406</v>
      </c>
      <c r="O376" s="3">
        <v>0.5</v>
      </c>
      <c r="P376" s="2" t="s">
        <v>73</v>
      </c>
      <c r="Q376" s="3">
        <v>1075.0</v>
      </c>
      <c r="T376" s="2" t="s">
        <v>456</v>
      </c>
      <c r="U376" s="2">
        <v>2448.0</v>
      </c>
      <c r="V376" s="172">
        <v>46003.0</v>
      </c>
      <c r="W376" s="3">
        <v>310.0</v>
      </c>
      <c r="X376" s="172">
        <v>46001.61828703704</v>
      </c>
      <c r="Y376" s="172"/>
      <c r="Z376" s="3">
        <v>45996.0</v>
      </c>
      <c r="AA376" s="3"/>
    </row>
    <row r="377">
      <c r="A377" s="3">
        <v>6.784161349891E12</v>
      </c>
      <c r="B377" s="2" t="s">
        <v>2024</v>
      </c>
      <c r="C377" s="2" t="s">
        <v>2025</v>
      </c>
      <c r="D377" s="169">
        <v>45996.0</v>
      </c>
      <c r="E377" s="2">
        <v>3.453428888E9</v>
      </c>
      <c r="F377" s="2" t="s">
        <v>2026</v>
      </c>
      <c r="G377" s="2" t="s">
        <v>2027</v>
      </c>
      <c r="H377" s="2">
        <v>3748.0</v>
      </c>
      <c r="I377" s="2">
        <v>2.9120050020321E13</v>
      </c>
      <c r="J377" s="3">
        <v>1.0</v>
      </c>
      <c r="L377" s="2" t="s">
        <v>2028</v>
      </c>
      <c r="M377" s="174" t="s">
        <v>409</v>
      </c>
      <c r="N377" s="2" t="s">
        <v>462</v>
      </c>
      <c r="O377" s="3">
        <v>0.5</v>
      </c>
      <c r="P377" s="2" t="s">
        <v>363</v>
      </c>
      <c r="Q377" s="3">
        <v>1400.0</v>
      </c>
      <c r="T377" s="2" t="s">
        <v>777</v>
      </c>
      <c r="U377" s="171">
        <v>3748.0</v>
      </c>
      <c r="V377" s="172">
        <v>46014.0</v>
      </c>
      <c r="W377" s="3">
        <v>363.0</v>
      </c>
      <c r="X377" s="172">
        <v>46011.74212962963</v>
      </c>
      <c r="Y377" s="172"/>
      <c r="Z377" s="3">
        <v>45996.0</v>
      </c>
      <c r="AA377" s="3"/>
    </row>
    <row r="378">
      <c r="A378" s="3">
        <v>6.784191168771E12</v>
      </c>
      <c r="B378" s="2" t="s">
        <v>2029</v>
      </c>
      <c r="C378" s="2" t="s">
        <v>2030</v>
      </c>
      <c r="D378" s="169">
        <v>45996.0</v>
      </c>
      <c r="E378" s="2">
        <v>3.333222456E9</v>
      </c>
      <c r="F378" s="2" t="s">
        <v>2031</v>
      </c>
      <c r="G378" s="2" t="s">
        <v>1323</v>
      </c>
      <c r="H378" s="2">
        <v>2749.0</v>
      </c>
      <c r="I378" s="2">
        <v>2.6120050020083E13</v>
      </c>
      <c r="J378" s="3">
        <v>2.0</v>
      </c>
      <c r="L378" s="2" t="s">
        <v>926</v>
      </c>
      <c r="M378" s="174" t="s">
        <v>409</v>
      </c>
      <c r="N378" s="2" t="s">
        <v>462</v>
      </c>
      <c r="O378" s="3">
        <v>0.5</v>
      </c>
      <c r="P378" s="2" t="s">
        <v>363</v>
      </c>
      <c r="Q378" s="3">
        <v>980.0</v>
      </c>
      <c r="T378" s="2" t="s">
        <v>486</v>
      </c>
      <c r="U378" s="171">
        <v>2749.0</v>
      </c>
      <c r="V378" s="172">
        <v>46000.0</v>
      </c>
      <c r="W378" s="3">
        <v>310.0</v>
      </c>
      <c r="X378" s="172">
        <v>45999.78337962963</v>
      </c>
      <c r="Y378" s="172"/>
      <c r="Z378" s="3">
        <v>45996.0</v>
      </c>
      <c r="AA378" s="3"/>
    </row>
    <row r="379">
      <c r="A379" s="3">
        <v>6.784216203523E12</v>
      </c>
      <c r="B379" s="2" t="s">
        <v>2032</v>
      </c>
      <c r="C379" s="2" t="s">
        <v>2033</v>
      </c>
      <c r="D379" s="169">
        <v>45996.0</v>
      </c>
      <c r="E379" s="2">
        <v>3.339882301E9</v>
      </c>
      <c r="F379" s="2" t="s">
        <v>2034</v>
      </c>
      <c r="G379" s="2" t="s">
        <v>541</v>
      </c>
      <c r="H379" s="2">
        <v>0.0</v>
      </c>
      <c r="I379" s="2">
        <v>2.0120050020071E13</v>
      </c>
      <c r="J379" s="3">
        <v>0.0</v>
      </c>
      <c r="K379" s="2" t="s">
        <v>1347</v>
      </c>
      <c r="L379" s="2"/>
      <c r="M379" s="170" t="s">
        <v>455</v>
      </c>
      <c r="N379" s="2" t="s">
        <v>406</v>
      </c>
      <c r="O379" s="3">
        <v>0.5</v>
      </c>
      <c r="P379" s="2" t="s">
        <v>363</v>
      </c>
      <c r="Q379" s="3">
        <v>0.0</v>
      </c>
      <c r="T379" s="2" t="s">
        <v>599</v>
      </c>
      <c r="U379" s="171">
        <v>0.0</v>
      </c>
      <c r="V379" s="172">
        <v>46010.0</v>
      </c>
      <c r="W379" s="3">
        <v>200.0</v>
      </c>
      <c r="X379" s="172">
        <v>46057.64278274306</v>
      </c>
      <c r="Y379" s="172"/>
      <c r="Z379" s="3">
        <v>45996.0</v>
      </c>
      <c r="AA379" s="3"/>
    </row>
    <row r="380">
      <c r="A380" s="3">
        <v>6.784229638403E12</v>
      </c>
      <c r="B380" s="2" t="s">
        <v>2035</v>
      </c>
      <c r="C380" s="2" t="s">
        <v>2036</v>
      </c>
      <c r="D380" s="169">
        <v>45996.0</v>
      </c>
      <c r="E380" s="2">
        <v>3.027933766E9</v>
      </c>
      <c r="F380" s="2" t="s">
        <v>2037</v>
      </c>
      <c r="G380" s="2" t="s">
        <v>374</v>
      </c>
      <c r="H380" s="2">
        <v>2749.0</v>
      </c>
      <c r="I380" s="2">
        <v>2.3120050020084E13</v>
      </c>
      <c r="J380" s="3">
        <v>2.0</v>
      </c>
      <c r="L380" s="2" t="s">
        <v>35</v>
      </c>
      <c r="M380" s="174" t="s">
        <v>409</v>
      </c>
      <c r="N380" s="2" t="s">
        <v>462</v>
      </c>
      <c r="O380" s="3">
        <v>0.5</v>
      </c>
      <c r="P380" s="2" t="s">
        <v>363</v>
      </c>
      <c r="Q380" s="3">
        <v>980.0</v>
      </c>
      <c r="T380" s="2" t="s">
        <v>456</v>
      </c>
      <c r="U380" s="171">
        <v>2749.0</v>
      </c>
      <c r="V380" s="172">
        <v>46003.0</v>
      </c>
      <c r="W380" s="3">
        <v>310.0</v>
      </c>
      <c r="X380" s="172">
        <v>46000.66666666667</v>
      </c>
      <c r="Y380" s="172"/>
      <c r="Z380" s="3">
        <v>45996.0</v>
      </c>
      <c r="AA380" s="3"/>
    </row>
    <row r="381">
      <c r="A381" s="3">
        <v>6.784330105091E12</v>
      </c>
      <c r="B381" s="2" t="s">
        <v>2038</v>
      </c>
      <c r="C381" s="2" t="s">
        <v>2039</v>
      </c>
      <c r="D381" s="169">
        <v>45996.0</v>
      </c>
      <c r="E381" s="2">
        <v>3.094911645E9</v>
      </c>
      <c r="F381" s="2" t="s">
        <v>2040</v>
      </c>
      <c r="G381" s="2" t="s">
        <v>2041</v>
      </c>
      <c r="H381" s="2">
        <v>0.0</v>
      </c>
      <c r="J381" s="3">
        <v>0.0</v>
      </c>
      <c r="K381" s="2" t="s">
        <v>2042</v>
      </c>
      <c r="L381" s="2"/>
      <c r="M381" s="2" t="s">
        <v>468</v>
      </c>
      <c r="N381" s="2" t="s">
        <v>406</v>
      </c>
      <c r="O381" s="3">
        <v>0.5</v>
      </c>
      <c r="Q381" s="3">
        <v>0.0</v>
      </c>
      <c r="U381" s="141"/>
      <c r="X381" s="172">
        <v>46057.64278274306</v>
      </c>
      <c r="Y381" s="172"/>
      <c r="Z381" s="3">
        <v>45996.0</v>
      </c>
      <c r="AA381" s="3"/>
    </row>
    <row r="382">
      <c r="A382" s="3">
        <v>6.784464683267E12</v>
      </c>
      <c r="B382" s="2" t="s">
        <v>2043</v>
      </c>
      <c r="C382" s="2" t="s">
        <v>2044</v>
      </c>
      <c r="D382" s="169">
        <v>45996.0</v>
      </c>
      <c r="E382" s="2">
        <v>3.458542202E9</v>
      </c>
      <c r="F382" s="2" t="s">
        <v>2045</v>
      </c>
      <c r="G382" s="2" t="s">
        <v>781</v>
      </c>
      <c r="H382" s="2">
        <v>1299.0</v>
      </c>
      <c r="I382" s="2">
        <v>2.1120050020085E13</v>
      </c>
      <c r="J382" s="3">
        <v>1.0</v>
      </c>
      <c r="L382" s="2" t="s">
        <v>2046</v>
      </c>
      <c r="M382" s="174" t="s">
        <v>409</v>
      </c>
      <c r="N382" s="2" t="s">
        <v>462</v>
      </c>
      <c r="O382" s="3">
        <v>0.5</v>
      </c>
      <c r="P382" s="2" t="s">
        <v>73</v>
      </c>
      <c r="Q382" s="3">
        <v>550.0</v>
      </c>
      <c r="T382" s="2" t="s">
        <v>456</v>
      </c>
      <c r="U382" s="171">
        <v>1299.0</v>
      </c>
      <c r="V382" s="172">
        <v>46003.0</v>
      </c>
      <c r="W382" s="3">
        <v>265.0</v>
      </c>
      <c r="X382" s="172">
        <v>46001.49256944444</v>
      </c>
      <c r="Y382" s="172"/>
      <c r="Z382" s="3">
        <v>45996.0</v>
      </c>
      <c r="AA382" s="3"/>
    </row>
    <row r="383">
      <c r="A383" s="3">
        <v>6.784687866115E12</v>
      </c>
      <c r="B383" s="2" t="s">
        <v>2047</v>
      </c>
      <c r="C383" s="2" t="s">
        <v>2048</v>
      </c>
      <c r="D383" s="169">
        <v>45996.0</v>
      </c>
      <c r="E383" s="2">
        <v>3.244057396E9</v>
      </c>
      <c r="F383" s="2" t="s">
        <v>2049</v>
      </c>
      <c r="G383" s="2" t="s">
        <v>368</v>
      </c>
      <c r="H383" s="2">
        <v>0.0</v>
      </c>
      <c r="I383" s="2">
        <v>2.0120050020072E13</v>
      </c>
      <c r="J383" s="3">
        <v>0.0</v>
      </c>
      <c r="K383" s="2" t="s">
        <v>2050</v>
      </c>
      <c r="L383" s="2"/>
      <c r="M383" s="170" t="s">
        <v>455</v>
      </c>
      <c r="N383" s="2" t="s">
        <v>406</v>
      </c>
      <c r="O383" s="3">
        <v>0.5</v>
      </c>
      <c r="P383" s="2" t="s">
        <v>363</v>
      </c>
      <c r="Q383" s="3">
        <v>0.0</v>
      </c>
      <c r="T383" s="2" t="s">
        <v>674</v>
      </c>
      <c r="U383" s="171">
        <v>0.0</v>
      </c>
      <c r="V383" s="172">
        <v>46007.0</v>
      </c>
      <c r="W383" s="3">
        <v>120.0</v>
      </c>
      <c r="X383" s="172">
        <v>46057.64278274306</v>
      </c>
      <c r="Y383" s="172"/>
      <c r="Z383" s="3">
        <v>45996.0</v>
      </c>
      <c r="AA383" s="3"/>
    </row>
    <row r="384">
      <c r="A384" s="3">
        <v>6.784748257539E12</v>
      </c>
      <c r="B384" s="2" t="s">
        <v>2051</v>
      </c>
      <c r="C384" s="2" t="s">
        <v>2052</v>
      </c>
      <c r="D384" s="169">
        <v>45996.0</v>
      </c>
      <c r="E384" s="2">
        <v>3.115479474E9</v>
      </c>
      <c r="F384" s="2" t="s">
        <v>2053</v>
      </c>
      <c r="G384" s="2" t="s">
        <v>1180</v>
      </c>
      <c r="H384" s="2">
        <v>3099.0</v>
      </c>
      <c r="I384" s="2" t="s">
        <v>2054</v>
      </c>
      <c r="J384" s="3">
        <v>2.0</v>
      </c>
      <c r="K384" s="2" t="s">
        <v>2055</v>
      </c>
      <c r="L384" s="2" t="s">
        <v>296</v>
      </c>
      <c r="M384" s="174" t="s">
        <v>409</v>
      </c>
      <c r="N384" s="2" t="s">
        <v>462</v>
      </c>
      <c r="O384" s="3">
        <v>0.5</v>
      </c>
      <c r="P384" s="2" t="s">
        <v>640</v>
      </c>
      <c r="Q384" s="3">
        <v>920.0</v>
      </c>
      <c r="T384" s="2" t="s">
        <v>805</v>
      </c>
      <c r="U384" s="171">
        <v>3099.0</v>
      </c>
      <c r="W384" s="3">
        <v>416.15999999999997</v>
      </c>
      <c r="X384" s="172">
        <v>46057.693552349534</v>
      </c>
      <c r="Y384" s="172"/>
      <c r="Z384" s="3">
        <v>45996.0</v>
      </c>
      <c r="AA384" s="3"/>
    </row>
    <row r="385">
      <c r="A385" s="3">
        <v>6.784848953603E12</v>
      </c>
      <c r="B385" s="2" t="s">
        <v>2056</v>
      </c>
      <c r="C385" s="2" t="s">
        <v>2057</v>
      </c>
      <c r="D385" s="169">
        <v>45997.0</v>
      </c>
      <c r="E385" s="2">
        <v>3.006282676E9</v>
      </c>
      <c r="F385" s="2" t="s">
        <v>2058</v>
      </c>
      <c r="G385" s="2" t="s">
        <v>855</v>
      </c>
      <c r="H385" s="2">
        <v>2748.0</v>
      </c>
      <c r="I385" s="2">
        <v>2.8120050020073E13</v>
      </c>
      <c r="J385" s="3">
        <v>1.0</v>
      </c>
      <c r="L385" s="2" t="s">
        <v>557</v>
      </c>
      <c r="M385" s="174" t="s">
        <v>409</v>
      </c>
      <c r="N385" s="2" t="s">
        <v>462</v>
      </c>
      <c r="O385" s="3">
        <v>0.5</v>
      </c>
      <c r="P385" s="2" t="s">
        <v>73</v>
      </c>
      <c r="Q385" s="3">
        <v>850.0</v>
      </c>
      <c r="T385" s="2" t="s">
        <v>486</v>
      </c>
      <c r="U385" s="171">
        <v>2748.0</v>
      </c>
      <c r="V385" s="172">
        <v>46000.0</v>
      </c>
      <c r="W385" s="3">
        <v>330.0</v>
      </c>
      <c r="X385" s="172">
        <v>45999.765752314815</v>
      </c>
      <c r="Y385" s="172"/>
      <c r="Z385" s="3">
        <v>45997.0</v>
      </c>
      <c r="AA385" s="3"/>
    </row>
    <row r="386">
      <c r="A386" s="3">
        <v>6.784894435587E12</v>
      </c>
      <c r="B386" s="2" t="s">
        <v>2059</v>
      </c>
      <c r="C386" s="2" t="s">
        <v>2060</v>
      </c>
      <c r="D386" s="169">
        <v>45997.0</v>
      </c>
      <c r="E386" s="2">
        <v>3.002058154E9</v>
      </c>
      <c r="F386" s="2" t="s">
        <v>2061</v>
      </c>
      <c r="G386" s="2" t="s">
        <v>368</v>
      </c>
      <c r="H386" s="2">
        <v>4649.0</v>
      </c>
      <c r="I386" s="2">
        <v>2.3120050020074E13</v>
      </c>
      <c r="J386" s="3">
        <v>2.0</v>
      </c>
      <c r="L386" s="2" t="s">
        <v>479</v>
      </c>
      <c r="M386" s="174" t="s">
        <v>409</v>
      </c>
      <c r="N386" s="2" t="s">
        <v>462</v>
      </c>
      <c r="O386" s="3">
        <v>0.5</v>
      </c>
      <c r="P386" s="2" t="s">
        <v>363</v>
      </c>
      <c r="Q386" s="3">
        <v>1700.0</v>
      </c>
      <c r="T386" s="2" t="s">
        <v>456</v>
      </c>
      <c r="U386" s="171">
        <v>4649.0</v>
      </c>
      <c r="V386" s="172">
        <v>46003.0</v>
      </c>
      <c r="W386" s="3">
        <v>306.0</v>
      </c>
      <c r="X386" s="172">
        <v>46002.46552083333</v>
      </c>
      <c r="Y386" s="172"/>
      <c r="Z386" s="3">
        <v>45997.0</v>
      </c>
      <c r="AA386" s="3"/>
    </row>
    <row r="387">
      <c r="A387" s="3">
        <v>6.784899547395E12</v>
      </c>
      <c r="B387" s="2" t="s">
        <v>2062</v>
      </c>
      <c r="C387" s="2" t="s">
        <v>2063</v>
      </c>
      <c r="D387" s="169">
        <v>45997.0</v>
      </c>
      <c r="E387" s="2">
        <v>3.337559948E9</v>
      </c>
      <c r="F387" s="2" t="s">
        <v>2064</v>
      </c>
      <c r="G387" s="2" t="s">
        <v>945</v>
      </c>
      <c r="H387" s="2">
        <v>2748.0</v>
      </c>
      <c r="I387" s="2">
        <v>2.4120050020075E13</v>
      </c>
      <c r="J387" s="3">
        <v>1.0</v>
      </c>
      <c r="L387" s="2" t="s">
        <v>512</v>
      </c>
      <c r="M387" s="174" t="s">
        <v>409</v>
      </c>
      <c r="N387" s="2" t="s">
        <v>462</v>
      </c>
      <c r="O387" s="3">
        <v>0.5</v>
      </c>
      <c r="P387" s="2" t="s">
        <v>363</v>
      </c>
      <c r="Q387" s="3">
        <v>850.0</v>
      </c>
      <c r="T387" s="2" t="s">
        <v>456</v>
      </c>
      <c r="U387" s="171">
        <v>2748.0</v>
      </c>
      <c r="V387" s="172">
        <v>46003.0</v>
      </c>
      <c r="W387" s="3">
        <v>337.0</v>
      </c>
      <c r="X387" s="172">
        <v>46000.582129629634</v>
      </c>
      <c r="Y387" s="172"/>
      <c r="Z387" s="3">
        <v>45997.0</v>
      </c>
      <c r="AA387" s="3"/>
    </row>
    <row r="388">
      <c r="A388" s="3">
        <v>6.785011843331E12</v>
      </c>
      <c r="B388" s="2" t="s">
        <v>2065</v>
      </c>
      <c r="C388" s="2" t="s">
        <v>2066</v>
      </c>
      <c r="D388" s="169">
        <v>45997.0</v>
      </c>
      <c r="E388" s="173" t="s">
        <v>2067</v>
      </c>
      <c r="F388" s="2" t="s">
        <v>2068</v>
      </c>
      <c r="G388" s="2" t="s">
        <v>493</v>
      </c>
      <c r="H388" s="2">
        <v>1748.0</v>
      </c>
      <c r="I388" s="2">
        <v>2.4120050020096E13</v>
      </c>
      <c r="J388" s="3">
        <v>1.0</v>
      </c>
      <c r="K388" s="2" t="s">
        <v>2069</v>
      </c>
      <c r="L388" s="2" t="s">
        <v>2070</v>
      </c>
      <c r="M388" s="174" t="s">
        <v>409</v>
      </c>
      <c r="N388" s="2" t="s">
        <v>462</v>
      </c>
      <c r="O388" s="3">
        <v>0.5</v>
      </c>
      <c r="P388" s="2" t="s">
        <v>363</v>
      </c>
      <c r="Q388" s="3">
        <v>600.0</v>
      </c>
      <c r="T388" s="2" t="s">
        <v>456</v>
      </c>
      <c r="U388" s="171">
        <v>1748.0</v>
      </c>
      <c r="V388" s="172">
        <v>46003.0</v>
      </c>
      <c r="W388" s="3">
        <v>283.0</v>
      </c>
      <c r="X388" s="172">
        <v>46001.79890046296</v>
      </c>
      <c r="Y388" s="172"/>
      <c r="Z388" s="3">
        <v>45997.0</v>
      </c>
      <c r="AA388" s="3"/>
    </row>
    <row r="389">
      <c r="A389" s="3">
        <v>6.785104937219E12</v>
      </c>
      <c r="B389" s="2" t="s">
        <v>2071</v>
      </c>
      <c r="C389" s="2" t="s">
        <v>2072</v>
      </c>
      <c r="D389" s="169">
        <v>45997.0</v>
      </c>
      <c r="E389" s="2">
        <v>3.244531372E9</v>
      </c>
      <c r="F389" s="2" t="s">
        <v>2073</v>
      </c>
      <c r="G389" s="2" t="s">
        <v>2074</v>
      </c>
      <c r="H389" s="2">
        <v>4199.0</v>
      </c>
      <c r="I389" s="2">
        <v>2.4120050020086E13</v>
      </c>
      <c r="J389" s="3">
        <v>1.0</v>
      </c>
      <c r="L389" s="2" t="s">
        <v>2075</v>
      </c>
      <c r="M389" s="174" t="s">
        <v>409</v>
      </c>
      <c r="N389" s="2" t="s">
        <v>462</v>
      </c>
      <c r="O389" s="3">
        <v>0.5</v>
      </c>
      <c r="P389" s="2" t="s">
        <v>363</v>
      </c>
      <c r="Q389" s="3">
        <v>1300.0</v>
      </c>
      <c r="T389" s="2" t="s">
        <v>486</v>
      </c>
      <c r="U389" s="171">
        <v>4199.0</v>
      </c>
      <c r="V389" s="172">
        <v>46000.0</v>
      </c>
      <c r="W389" s="3">
        <v>288.0</v>
      </c>
      <c r="X389" s="172">
        <v>45999.77167824074</v>
      </c>
      <c r="Y389" s="172"/>
      <c r="Z389" s="3">
        <v>45997.0</v>
      </c>
      <c r="AA389" s="3"/>
    </row>
    <row r="390">
      <c r="A390" s="3">
        <v>6.785110311171E12</v>
      </c>
      <c r="B390" s="2" t="s">
        <v>2076</v>
      </c>
      <c r="C390" s="2" t="s">
        <v>2077</v>
      </c>
      <c r="D390" s="169">
        <v>45997.0</v>
      </c>
      <c r="E390" s="2">
        <v>3.142256184E9</v>
      </c>
      <c r="F390" s="2" t="s">
        <v>2078</v>
      </c>
      <c r="G390" s="2" t="s">
        <v>493</v>
      </c>
      <c r="H390" s="2">
        <v>2748.0</v>
      </c>
      <c r="I390" s="2">
        <v>2.3120050020076E13</v>
      </c>
      <c r="J390" s="3">
        <v>1.0</v>
      </c>
      <c r="L390" s="2" t="s">
        <v>519</v>
      </c>
      <c r="M390" s="174" t="s">
        <v>409</v>
      </c>
      <c r="N390" s="2" t="s">
        <v>462</v>
      </c>
      <c r="O390" s="3">
        <v>0.5</v>
      </c>
      <c r="P390" s="2" t="s">
        <v>363</v>
      </c>
      <c r="Q390" s="3">
        <v>850.0</v>
      </c>
      <c r="T390" s="2" t="s">
        <v>456</v>
      </c>
      <c r="U390" s="171">
        <v>2748.0</v>
      </c>
      <c r="V390" s="172">
        <v>46003.0</v>
      </c>
      <c r="W390" s="3">
        <v>337.0</v>
      </c>
      <c r="X390" s="172">
        <v>46000.801574074074</v>
      </c>
      <c r="Y390" s="172"/>
      <c r="Z390" s="3">
        <v>45997.0</v>
      </c>
      <c r="AA390" s="3"/>
    </row>
    <row r="391">
      <c r="A391" s="3">
        <v>6.785142718723E12</v>
      </c>
      <c r="B391" s="2" t="s">
        <v>2079</v>
      </c>
      <c r="C391" s="2" t="s">
        <v>2080</v>
      </c>
      <c r="D391" s="169">
        <v>45997.0</v>
      </c>
      <c r="E391" s="173" t="s">
        <v>2081</v>
      </c>
      <c r="F391" s="2" t="s">
        <v>2082</v>
      </c>
      <c r="G391" s="2" t="s">
        <v>374</v>
      </c>
      <c r="H391" s="2">
        <v>0.0</v>
      </c>
      <c r="I391" s="2">
        <v>2.4120050020087E13</v>
      </c>
      <c r="J391" s="3">
        <v>0.0</v>
      </c>
      <c r="K391" s="2" t="s">
        <v>1202</v>
      </c>
      <c r="L391" s="2"/>
      <c r="M391" s="170" t="s">
        <v>455</v>
      </c>
      <c r="N391" s="2" t="s">
        <v>406</v>
      </c>
      <c r="O391" s="3">
        <v>0.5</v>
      </c>
      <c r="P391" s="2" t="s">
        <v>363</v>
      </c>
      <c r="Q391" s="3">
        <v>0.0</v>
      </c>
      <c r="T391" s="2" t="s">
        <v>599</v>
      </c>
      <c r="U391" s="171">
        <v>0.0</v>
      </c>
      <c r="V391" s="172">
        <v>46010.0</v>
      </c>
      <c r="W391" s="3">
        <v>220.0</v>
      </c>
      <c r="X391" s="172">
        <v>46057.64278274306</v>
      </c>
      <c r="Y391" s="172"/>
      <c r="Z391" s="3">
        <v>45997.0</v>
      </c>
      <c r="AA391" s="3"/>
    </row>
    <row r="392">
      <c r="A392" s="3">
        <v>6.785150845187E12</v>
      </c>
      <c r="B392" s="2" t="s">
        <v>2083</v>
      </c>
      <c r="C392" s="2" t="s">
        <v>2080</v>
      </c>
      <c r="D392" s="169">
        <v>45997.0</v>
      </c>
      <c r="E392" s="2">
        <v>3.202086688E9</v>
      </c>
      <c r="F392" s="2" t="s">
        <v>2084</v>
      </c>
      <c r="G392" s="2" t="s">
        <v>374</v>
      </c>
      <c r="H392" s="2">
        <v>0.0</v>
      </c>
      <c r="J392" s="3">
        <v>0.0</v>
      </c>
      <c r="K392" s="2" t="s">
        <v>760</v>
      </c>
      <c r="L392" s="2"/>
      <c r="M392" s="2" t="s">
        <v>468</v>
      </c>
      <c r="N392" s="2" t="s">
        <v>406</v>
      </c>
      <c r="O392" s="3">
        <v>0.5</v>
      </c>
      <c r="Q392" s="3">
        <v>0.0</v>
      </c>
      <c r="U392" s="141"/>
      <c r="X392" s="172">
        <v>46057.64278274306</v>
      </c>
      <c r="Y392" s="172"/>
      <c r="Z392" s="3">
        <v>45997.0</v>
      </c>
      <c r="AA392" s="3"/>
    </row>
    <row r="393">
      <c r="A393" s="3">
        <v>6.785158578435E12</v>
      </c>
      <c r="B393" s="2" t="s">
        <v>2085</v>
      </c>
      <c r="C393" s="2" t="s">
        <v>2086</v>
      </c>
      <c r="D393" s="169">
        <v>45997.0</v>
      </c>
      <c r="E393" s="173" t="s">
        <v>2087</v>
      </c>
      <c r="F393" s="2" t="s">
        <v>2088</v>
      </c>
      <c r="G393" s="2" t="s">
        <v>493</v>
      </c>
      <c r="H393" s="2">
        <v>1148.0</v>
      </c>
      <c r="I393" s="2">
        <v>2.3120050020088E13</v>
      </c>
      <c r="J393" s="3">
        <v>1.0</v>
      </c>
      <c r="L393" s="2" t="s">
        <v>1324</v>
      </c>
      <c r="M393" s="174" t="s">
        <v>409</v>
      </c>
      <c r="N393" s="2" t="s">
        <v>462</v>
      </c>
      <c r="O393" s="3">
        <v>0.5</v>
      </c>
      <c r="P393" s="2" t="s">
        <v>363</v>
      </c>
      <c r="Q393" s="3">
        <v>550.0</v>
      </c>
      <c r="T393" s="2" t="s">
        <v>456</v>
      </c>
      <c r="U393" s="171">
        <v>1148.0</v>
      </c>
      <c r="V393" s="172">
        <v>46003.0</v>
      </c>
      <c r="W393" s="3">
        <v>259.0</v>
      </c>
      <c r="X393" s="172">
        <v>46000.65515046296</v>
      </c>
      <c r="Y393" s="172"/>
      <c r="Z393" s="3">
        <v>45997.0</v>
      </c>
      <c r="AA393" s="3"/>
    </row>
    <row r="394">
      <c r="A394" s="3">
        <v>6.785301512451E12</v>
      </c>
      <c r="B394" s="2" t="s">
        <v>2089</v>
      </c>
      <c r="C394" s="2" t="s">
        <v>2090</v>
      </c>
      <c r="D394" s="169">
        <v>45997.0</v>
      </c>
      <c r="E394" s="173" t="s">
        <v>2091</v>
      </c>
      <c r="F394" s="2" t="s">
        <v>2092</v>
      </c>
      <c r="G394" s="2" t="s">
        <v>693</v>
      </c>
      <c r="H394" s="2">
        <v>1299.0</v>
      </c>
      <c r="I394" s="2">
        <v>2.7120050020477E13</v>
      </c>
      <c r="J394" s="3">
        <v>1.0</v>
      </c>
      <c r="K394" s="2" t="s">
        <v>2093</v>
      </c>
      <c r="L394" s="2" t="s">
        <v>2094</v>
      </c>
      <c r="M394" s="174" t="s">
        <v>409</v>
      </c>
      <c r="N394" s="2" t="s">
        <v>406</v>
      </c>
      <c r="O394" s="3">
        <v>0.5</v>
      </c>
      <c r="P394" s="2" t="s">
        <v>363</v>
      </c>
      <c r="Q394" s="3">
        <v>550.0</v>
      </c>
      <c r="T394" s="2" t="s">
        <v>777</v>
      </c>
      <c r="U394" s="2">
        <v>1299.0</v>
      </c>
      <c r="V394" s="172">
        <v>46014.0</v>
      </c>
      <c r="W394" s="3">
        <v>257.0</v>
      </c>
      <c r="X394" s="172">
        <v>46011.667719907404</v>
      </c>
      <c r="Y394" s="172"/>
      <c r="Z394" s="3">
        <v>45997.0</v>
      </c>
      <c r="AA394" s="3"/>
    </row>
    <row r="395">
      <c r="A395" s="3">
        <v>6.785418363139E12</v>
      </c>
      <c r="B395" s="2" t="s">
        <v>2095</v>
      </c>
      <c r="C395" s="2" t="s">
        <v>2096</v>
      </c>
      <c r="D395" s="169">
        <v>45997.0</v>
      </c>
      <c r="E395" s="2">
        <v>3.353307889E9</v>
      </c>
      <c r="F395" s="2" t="s">
        <v>2097</v>
      </c>
      <c r="G395" s="2" t="s">
        <v>493</v>
      </c>
      <c r="H395" s="2">
        <v>3099.0</v>
      </c>
      <c r="I395" s="2">
        <v>2.3120050020089E13</v>
      </c>
      <c r="J395" s="3">
        <v>2.0</v>
      </c>
      <c r="L395" s="2" t="s">
        <v>1329</v>
      </c>
      <c r="M395" s="174" t="s">
        <v>409</v>
      </c>
      <c r="N395" s="2" t="s">
        <v>462</v>
      </c>
      <c r="O395" s="3">
        <v>0.5</v>
      </c>
      <c r="P395" s="2" t="s">
        <v>363</v>
      </c>
      <c r="Q395" s="3">
        <v>960.0</v>
      </c>
      <c r="T395" s="2" t="s">
        <v>456</v>
      </c>
      <c r="U395" s="171">
        <v>3099.0</v>
      </c>
      <c r="V395" s="172">
        <v>46003.0</v>
      </c>
      <c r="W395" s="3">
        <v>351.0</v>
      </c>
      <c r="X395" s="172">
        <v>46000.73015046296</v>
      </c>
      <c r="Y395" s="172"/>
      <c r="Z395" s="3">
        <v>45997.0</v>
      </c>
      <c r="AA395" s="3"/>
    </row>
    <row r="396">
      <c r="A396" s="3">
        <v>6.785542291715E12</v>
      </c>
      <c r="B396" s="2" t="s">
        <v>2098</v>
      </c>
      <c r="C396" s="2" t="s">
        <v>2099</v>
      </c>
      <c r="D396" s="169">
        <v>45997.0</v>
      </c>
      <c r="E396" s="173" t="s">
        <v>2100</v>
      </c>
      <c r="F396" s="2" t="s">
        <v>2101</v>
      </c>
      <c r="G396" s="2" t="s">
        <v>850</v>
      </c>
      <c r="H396" s="2">
        <v>2397.0</v>
      </c>
      <c r="I396" s="2">
        <v>2.2120050020097E13</v>
      </c>
      <c r="J396" s="3">
        <v>1.0</v>
      </c>
      <c r="K396" s="2" t="s">
        <v>2102</v>
      </c>
      <c r="L396" s="2" t="s">
        <v>512</v>
      </c>
      <c r="M396" s="170" t="s">
        <v>455</v>
      </c>
      <c r="N396" s="2" t="s">
        <v>406</v>
      </c>
      <c r="O396" s="3">
        <v>0.5</v>
      </c>
      <c r="P396" s="2" t="s">
        <v>363</v>
      </c>
      <c r="Q396" s="3">
        <v>850.0</v>
      </c>
      <c r="T396" s="2" t="s">
        <v>674</v>
      </c>
      <c r="U396" s="171">
        <v>0.0</v>
      </c>
      <c r="V396" s="172">
        <v>46007.0</v>
      </c>
      <c r="W396" s="3">
        <v>220.0</v>
      </c>
      <c r="X396" s="172">
        <v>46057.64278274306</v>
      </c>
      <c r="Y396" s="172"/>
      <c r="Z396" s="3">
        <v>45997.0</v>
      </c>
      <c r="AA396" s="3"/>
    </row>
    <row r="397">
      <c r="A397" s="3">
        <v>6.785559101699E12</v>
      </c>
      <c r="B397" s="2" t="s">
        <v>2103</v>
      </c>
      <c r="C397" s="2" t="s">
        <v>2104</v>
      </c>
      <c r="D397" s="169">
        <v>45997.0</v>
      </c>
      <c r="E397" s="2">
        <v>3.159573786E9</v>
      </c>
      <c r="F397" s="2" t="s">
        <v>2105</v>
      </c>
      <c r="G397" s="2" t="s">
        <v>2106</v>
      </c>
      <c r="H397" s="2">
        <v>0.0</v>
      </c>
      <c r="I397" s="2" t="s">
        <v>2107</v>
      </c>
      <c r="J397" s="3">
        <v>0.0</v>
      </c>
      <c r="K397" s="2" t="s">
        <v>511</v>
      </c>
      <c r="L397" s="2"/>
      <c r="M397" s="170" t="s">
        <v>455</v>
      </c>
      <c r="N397" s="2" t="s">
        <v>406</v>
      </c>
      <c r="O397" s="3">
        <v>0.5</v>
      </c>
      <c r="P397" s="2" t="s">
        <v>640</v>
      </c>
      <c r="Q397" s="3">
        <v>0.0</v>
      </c>
      <c r="T397" s="2" t="s">
        <v>805</v>
      </c>
      <c r="U397" s="141"/>
      <c r="W397" s="3">
        <v>263.2</v>
      </c>
      <c r="X397" s="172">
        <v>46057.69363534723</v>
      </c>
      <c r="Y397" s="172"/>
      <c r="Z397" s="3">
        <v>45997.0</v>
      </c>
      <c r="AA397" s="3"/>
    </row>
    <row r="398">
      <c r="A398" s="3">
        <v>6.785565753603E12</v>
      </c>
      <c r="B398" s="2" t="s">
        <v>2108</v>
      </c>
      <c r="C398" s="175" t="s">
        <v>2109</v>
      </c>
      <c r="D398" s="169">
        <v>45997.0</v>
      </c>
      <c r="E398" s="2">
        <v>3.013767711E9</v>
      </c>
      <c r="F398" s="2" t="s">
        <v>2110</v>
      </c>
      <c r="G398" s="2" t="s">
        <v>617</v>
      </c>
      <c r="H398" s="2">
        <v>0.0</v>
      </c>
      <c r="I398" s="2">
        <v>2.4120050020077E13</v>
      </c>
      <c r="J398" s="3">
        <v>0.0</v>
      </c>
      <c r="K398" s="2" t="s">
        <v>1202</v>
      </c>
      <c r="L398" s="2"/>
      <c r="M398" s="170" t="s">
        <v>455</v>
      </c>
      <c r="N398" s="2" t="s">
        <v>406</v>
      </c>
      <c r="O398" s="3">
        <v>0.5</v>
      </c>
      <c r="P398" s="2" t="s">
        <v>363</v>
      </c>
      <c r="Q398" s="3">
        <v>0.0</v>
      </c>
      <c r="T398" s="2" t="s">
        <v>599</v>
      </c>
      <c r="U398" s="171">
        <v>0.0</v>
      </c>
      <c r="V398" s="172">
        <v>46010.0</v>
      </c>
      <c r="W398" s="3">
        <v>220.0</v>
      </c>
      <c r="X398" s="172">
        <v>46057.64278274306</v>
      </c>
      <c r="Y398" s="172"/>
      <c r="Z398" s="3">
        <v>45997.0</v>
      </c>
      <c r="AA398" s="3"/>
    </row>
    <row r="399">
      <c r="A399" s="3">
        <v>6.785580925187E12</v>
      </c>
      <c r="B399" s="2" t="s">
        <v>2111</v>
      </c>
      <c r="C399" s="2" t="s">
        <v>2112</v>
      </c>
      <c r="D399" s="169">
        <v>45997.0</v>
      </c>
      <c r="E399" s="173" t="s">
        <v>2113</v>
      </c>
      <c r="F399" s="2" t="s">
        <v>2114</v>
      </c>
      <c r="G399" s="2" t="s">
        <v>368</v>
      </c>
      <c r="H399" s="2">
        <v>8550.0</v>
      </c>
      <c r="I399" s="2">
        <v>2.612005002009E13</v>
      </c>
      <c r="J399" s="3">
        <v>6.0</v>
      </c>
      <c r="K399" s="2" t="s">
        <v>511</v>
      </c>
      <c r="L399" s="2" t="s">
        <v>2115</v>
      </c>
      <c r="M399" s="174" t="s">
        <v>409</v>
      </c>
      <c r="N399" s="2" t="s">
        <v>462</v>
      </c>
      <c r="O399" s="3">
        <v>0.5</v>
      </c>
      <c r="P399" s="2" t="s">
        <v>363</v>
      </c>
      <c r="Q399" s="3">
        <v>2800.0</v>
      </c>
      <c r="T399" s="2" t="s">
        <v>486</v>
      </c>
      <c r="U399" s="171">
        <v>8550.0</v>
      </c>
      <c r="V399" s="172">
        <v>46000.0</v>
      </c>
      <c r="W399" s="3">
        <v>462.0</v>
      </c>
      <c r="X399" s="172">
        <v>45999.76972222222</v>
      </c>
      <c r="Y399" s="172"/>
      <c r="Z399" s="3">
        <v>45997.0</v>
      </c>
      <c r="AA399" s="3"/>
    </row>
    <row r="400">
      <c r="A400" s="3">
        <v>6.785662484739E12</v>
      </c>
      <c r="B400" s="2" t="s">
        <v>2116</v>
      </c>
      <c r="C400" s="2" t="s">
        <v>2117</v>
      </c>
      <c r="D400" s="169">
        <v>45997.0</v>
      </c>
      <c r="E400" s="2">
        <v>3.002009837E9</v>
      </c>
      <c r="F400" s="2" t="s">
        <v>2118</v>
      </c>
      <c r="G400" s="2" t="s">
        <v>493</v>
      </c>
      <c r="H400" s="2">
        <v>2349.0</v>
      </c>
      <c r="I400" s="2">
        <v>2.3120050020091E13</v>
      </c>
      <c r="J400" s="3">
        <v>2.0</v>
      </c>
      <c r="L400" s="2" t="s">
        <v>2119</v>
      </c>
      <c r="M400" s="174" t="s">
        <v>409</v>
      </c>
      <c r="N400" s="2" t="s">
        <v>462</v>
      </c>
      <c r="O400" s="3">
        <v>0.5</v>
      </c>
      <c r="P400" s="2" t="s">
        <v>363</v>
      </c>
      <c r="Q400" s="3">
        <v>1100.0</v>
      </c>
      <c r="T400" s="2" t="s">
        <v>456</v>
      </c>
      <c r="U400" s="171">
        <v>2349.0</v>
      </c>
      <c r="V400" s="172">
        <v>46003.0</v>
      </c>
      <c r="W400" s="3">
        <v>321.0</v>
      </c>
      <c r="X400" s="172">
        <v>46000.72038194444</v>
      </c>
      <c r="Y400" s="172"/>
      <c r="Z400" s="3">
        <v>45997.0</v>
      </c>
      <c r="AA400" s="3"/>
    </row>
    <row r="401">
      <c r="A401" s="3">
        <v>6.785676771587E12</v>
      </c>
      <c r="B401" s="2" t="s">
        <v>2120</v>
      </c>
      <c r="C401" s="2" t="s">
        <v>2121</v>
      </c>
      <c r="D401" s="169">
        <v>45997.0</v>
      </c>
      <c r="E401" s="173" t="s">
        <v>2122</v>
      </c>
      <c r="F401" s="2" t="s">
        <v>2123</v>
      </c>
      <c r="G401" s="2" t="s">
        <v>2124</v>
      </c>
      <c r="H401" s="2">
        <v>0.0</v>
      </c>
      <c r="I401" s="2">
        <v>2.8120050020092E13</v>
      </c>
      <c r="J401" s="3">
        <v>0.0</v>
      </c>
      <c r="K401" s="2" t="s">
        <v>2125</v>
      </c>
      <c r="L401" s="2"/>
      <c r="M401" s="170" t="s">
        <v>455</v>
      </c>
      <c r="N401" s="2" t="s">
        <v>406</v>
      </c>
      <c r="O401" s="3">
        <v>0.5</v>
      </c>
      <c r="P401" s="2" t="s">
        <v>73</v>
      </c>
      <c r="Q401" s="3">
        <v>0.0</v>
      </c>
      <c r="T401" s="2" t="s">
        <v>599</v>
      </c>
      <c r="U401" s="171">
        <v>0.0</v>
      </c>
      <c r="V401" s="172">
        <v>46010.0</v>
      </c>
      <c r="W401" s="3">
        <v>213.0</v>
      </c>
      <c r="X401" s="172">
        <v>46057.64278274306</v>
      </c>
      <c r="Y401" s="172"/>
      <c r="Z401" s="3">
        <v>45997.0</v>
      </c>
      <c r="AA401" s="3"/>
    </row>
    <row r="402">
      <c r="A402" s="3">
        <v>6.785677033731E12</v>
      </c>
      <c r="B402" s="2" t="s">
        <v>2126</v>
      </c>
      <c r="C402" s="2" t="s">
        <v>2127</v>
      </c>
      <c r="D402" s="169">
        <v>45997.0</v>
      </c>
      <c r="E402" s="2">
        <v>3.122951131E9</v>
      </c>
      <c r="F402" s="2" t="s">
        <v>2128</v>
      </c>
      <c r="G402" s="2" t="s">
        <v>493</v>
      </c>
      <c r="H402" s="2">
        <v>2749.0</v>
      </c>
      <c r="I402" s="2">
        <v>2.3120050020093E13</v>
      </c>
      <c r="J402" s="3">
        <v>2.0</v>
      </c>
      <c r="L402" s="2" t="s">
        <v>35</v>
      </c>
      <c r="M402" s="174" t="s">
        <v>409</v>
      </c>
      <c r="N402" s="2" t="s">
        <v>462</v>
      </c>
      <c r="O402" s="3">
        <v>0.5</v>
      </c>
      <c r="P402" s="2" t="s">
        <v>363</v>
      </c>
      <c r="Q402" s="3">
        <v>980.0</v>
      </c>
      <c r="T402" s="2" t="s">
        <v>456</v>
      </c>
      <c r="U402" s="171">
        <v>2749.0</v>
      </c>
      <c r="V402" s="172">
        <v>46003.0</v>
      </c>
      <c r="W402" s="3">
        <v>323.0</v>
      </c>
      <c r="X402" s="172">
        <v>46000.65228009259</v>
      </c>
      <c r="Y402" s="172"/>
      <c r="Z402" s="3">
        <v>45997.0</v>
      </c>
      <c r="AA402" s="3"/>
    </row>
    <row r="403">
      <c r="A403" s="3">
        <v>6.785686896899E12</v>
      </c>
      <c r="B403" s="2" t="s">
        <v>2129</v>
      </c>
      <c r="C403" s="2" t="s">
        <v>1057</v>
      </c>
      <c r="D403" s="169">
        <v>45997.0</v>
      </c>
      <c r="E403" s="2">
        <v>3.011192727E9</v>
      </c>
      <c r="F403" s="2" t="s">
        <v>1058</v>
      </c>
      <c r="G403" s="2" t="s">
        <v>1059</v>
      </c>
      <c r="H403" s="2">
        <v>2499.0</v>
      </c>
      <c r="I403" s="2">
        <v>2.5120050020078E13</v>
      </c>
      <c r="J403" s="3">
        <v>1.0</v>
      </c>
      <c r="K403" s="2" t="s">
        <v>2130</v>
      </c>
      <c r="L403" s="2" t="s">
        <v>512</v>
      </c>
      <c r="M403" s="174" t="s">
        <v>409</v>
      </c>
      <c r="N403" s="2" t="s">
        <v>462</v>
      </c>
      <c r="O403" s="3">
        <v>0.5</v>
      </c>
      <c r="P403" s="2" t="s">
        <v>363</v>
      </c>
      <c r="Q403" s="3">
        <v>850.0</v>
      </c>
      <c r="T403" s="2" t="s">
        <v>456</v>
      </c>
      <c r="U403" s="3">
        <v>2499.0</v>
      </c>
      <c r="V403" s="172">
        <v>46003.0</v>
      </c>
      <c r="W403" s="3">
        <v>227.0</v>
      </c>
      <c r="X403" s="172">
        <v>46001.678668981476</v>
      </c>
      <c r="Y403" s="172"/>
      <c r="Z403" s="3">
        <v>45997.0</v>
      </c>
      <c r="AA403" s="3"/>
    </row>
    <row r="404">
      <c r="A404" s="3">
        <v>6.785754857731E12</v>
      </c>
      <c r="B404" s="2" t="s">
        <v>2131</v>
      </c>
      <c r="C404" s="2" t="s">
        <v>2132</v>
      </c>
      <c r="D404" s="169">
        <v>45997.0</v>
      </c>
      <c r="E404" s="173" t="s">
        <v>2133</v>
      </c>
      <c r="F404" s="2" t="s">
        <v>2134</v>
      </c>
      <c r="G404" s="2" t="s">
        <v>2135</v>
      </c>
      <c r="H404" s="2">
        <v>2395.0</v>
      </c>
      <c r="I404" s="2">
        <v>2.6120050020094E13</v>
      </c>
      <c r="J404" s="3">
        <v>2.0</v>
      </c>
      <c r="K404" s="2" t="s">
        <v>1989</v>
      </c>
      <c r="L404" s="2" t="s">
        <v>906</v>
      </c>
      <c r="M404" s="174" t="s">
        <v>409</v>
      </c>
      <c r="N404" s="2" t="s">
        <v>462</v>
      </c>
      <c r="O404" s="3">
        <v>0.5</v>
      </c>
      <c r="P404" s="2" t="s">
        <v>363</v>
      </c>
      <c r="Q404" s="3">
        <v>920.0</v>
      </c>
      <c r="T404" s="2" t="s">
        <v>486</v>
      </c>
      <c r="U404" s="171">
        <v>2395.0</v>
      </c>
      <c r="V404" s="172">
        <v>46000.0</v>
      </c>
      <c r="W404" s="3">
        <v>296.0</v>
      </c>
      <c r="X404" s="172">
        <v>45999.76824074074</v>
      </c>
      <c r="Y404" s="172"/>
      <c r="Z404" s="3">
        <v>45997.0</v>
      </c>
      <c r="AA404" s="3"/>
    </row>
    <row r="405">
      <c r="A405" s="3">
        <v>6.785778712835E12</v>
      </c>
      <c r="B405" s="2" t="s">
        <v>2136</v>
      </c>
      <c r="C405" s="2" t="s">
        <v>2137</v>
      </c>
      <c r="D405" s="169">
        <v>45997.0</v>
      </c>
      <c r="E405" s="2">
        <v>3.332030545E9</v>
      </c>
      <c r="F405" s="2" t="s">
        <v>2138</v>
      </c>
      <c r="G405" s="2" t="s">
        <v>493</v>
      </c>
      <c r="H405" s="2">
        <v>0.0</v>
      </c>
      <c r="I405" s="2">
        <v>2.6120050020101E13</v>
      </c>
      <c r="J405" s="3">
        <v>0.0</v>
      </c>
      <c r="K405" s="2" t="s">
        <v>2139</v>
      </c>
      <c r="L405" s="2"/>
      <c r="M405" s="170" t="s">
        <v>455</v>
      </c>
      <c r="N405" s="2" t="s">
        <v>406</v>
      </c>
      <c r="O405" s="3">
        <v>0.5</v>
      </c>
      <c r="P405" s="2" t="s">
        <v>363</v>
      </c>
      <c r="Q405" s="3">
        <v>0.0</v>
      </c>
      <c r="T405" s="2" t="s">
        <v>2140</v>
      </c>
      <c r="U405" s="171">
        <v>0.0</v>
      </c>
      <c r="V405" s="172">
        <v>46021.0</v>
      </c>
      <c r="W405" s="3">
        <v>213.0</v>
      </c>
      <c r="X405" s="172">
        <v>46057.64278274306</v>
      </c>
      <c r="Y405" s="172"/>
      <c r="Z405" s="3">
        <v>45997.0</v>
      </c>
      <c r="AA405" s="3"/>
    </row>
    <row r="406">
      <c r="A406" s="3">
        <v>6.785812496643E12</v>
      </c>
      <c r="B406" s="2" t="s">
        <v>2141</v>
      </c>
      <c r="C406" s="2" t="s">
        <v>2142</v>
      </c>
      <c r="D406" s="169">
        <v>45997.0</v>
      </c>
      <c r="E406" s="2">
        <v>3.193264803E9</v>
      </c>
      <c r="F406" s="2" t="s">
        <v>2143</v>
      </c>
      <c r="G406" s="2" t="s">
        <v>536</v>
      </c>
      <c r="H406" s="2">
        <v>0.0</v>
      </c>
      <c r="J406" s="3">
        <v>0.0</v>
      </c>
      <c r="K406" s="2" t="s">
        <v>1736</v>
      </c>
      <c r="L406" s="2"/>
      <c r="M406" s="2" t="s">
        <v>468</v>
      </c>
      <c r="N406" s="2" t="s">
        <v>406</v>
      </c>
      <c r="O406" s="3">
        <v>0.5</v>
      </c>
      <c r="Q406" s="3">
        <v>0.0</v>
      </c>
      <c r="U406" s="141"/>
      <c r="X406" s="172">
        <v>46057.64278274306</v>
      </c>
      <c r="Y406" s="172"/>
      <c r="Z406" s="3">
        <v>45997.0</v>
      </c>
      <c r="AA406" s="3"/>
    </row>
    <row r="407">
      <c r="A407" s="3">
        <v>6.785835237635E12</v>
      </c>
      <c r="B407" s="2" t="s">
        <v>2144</v>
      </c>
      <c r="C407" s="2" t="s">
        <v>2145</v>
      </c>
      <c r="D407" s="169">
        <v>45997.0</v>
      </c>
      <c r="E407" s="2">
        <v>3.328522114E9</v>
      </c>
      <c r="F407" s="2" t="s">
        <v>2146</v>
      </c>
      <c r="G407" s="2" t="s">
        <v>366</v>
      </c>
      <c r="H407" s="2">
        <v>2748.0</v>
      </c>
      <c r="I407" s="2">
        <v>2.8120050020102E13</v>
      </c>
      <c r="J407" s="3">
        <v>1.0</v>
      </c>
      <c r="L407" s="2" t="s">
        <v>500</v>
      </c>
      <c r="M407" s="174" t="s">
        <v>409</v>
      </c>
      <c r="N407" s="2" t="s">
        <v>462</v>
      </c>
      <c r="O407" s="3">
        <v>0.5</v>
      </c>
      <c r="P407" s="2" t="s">
        <v>73</v>
      </c>
      <c r="Q407" s="3">
        <v>850.0</v>
      </c>
      <c r="T407" s="2" t="s">
        <v>456</v>
      </c>
      <c r="U407" s="171">
        <v>2748.0</v>
      </c>
      <c r="V407" s="172">
        <v>46003.0</v>
      </c>
      <c r="W407" s="3">
        <v>310.0</v>
      </c>
      <c r="X407" s="172">
        <v>46001.529375</v>
      </c>
      <c r="Y407" s="172"/>
      <c r="Z407" s="3">
        <v>45997.0</v>
      </c>
      <c r="AA407" s="3"/>
    </row>
    <row r="408">
      <c r="A408" s="3">
        <v>6.785848213763E12</v>
      </c>
      <c r="B408" s="2" t="s">
        <v>2147</v>
      </c>
      <c r="C408" s="2" t="s">
        <v>2148</v>
      </c>
      <c r="D408" s="169">
        <v>45997.0</v>
      </c>
      <c r="E408" s="2">
        <v>3.458585359E9</v>
      </c>
      <c r="F408" s="2" t="s">
        <v>2149</v>
      </c>
      <c r="G408" s="2" t="s">
        <v>781</v>
      </c>
      <c r="H408" s="2">
        <v>0.0</v>
      </c>
      <c r="I408" s="2">
        <v>2.2120050020103E13</v>
      </c>
      <c r="J408" s="3">
        <v>0.0</v>
      </c>
      <c r="K408" s="2" t="s">
        <v>2150</v>
      </c>
      <c r="L408" s="2"/>
      <c r="M408" s="170" t="s">
        <v>455</v>
      </c>
      <c r="N408" s="2" t="s">
        <v>406</v>
      </c>
      <c r="O408" s="3">
        <v>0.5</v>
      </c>
      <c r="P408" s="2" t="s">
        <v>363</v>
      </c>
      <c r="Q408" s="3">
        <v>0.0</v>
      </c>
      <c r="T408" s="2" t="s">
        <v>599</v>
      </c>
      <c r="U408" s="171">
        <v>0.0</v>
      </c>
      <c r="V408" s="172">
        <v>46010.0</v>
      </c>
      <c r="W408" s="3">
        <v>227.0</v>
      </c>
      <c r="X408" s="172">
        <v>46057.64278274306</v>
      </c>
      <c r="Y408" s="172"/>
      <c r="Z408" s="3">
        <v>45997.0</v>
      </c>
      <c r="AA408" s="3"/>
    </row>
    <row r="409">
      <c r="A409" s="3">
        <v>6.786026897667E12</v>
      </c>
      <c r="B409" s="2" t="s">
        <v>2151</v>
      </c>
      <c r="C409" s="2" t="s">
        <v>2152</v>
      </c>
      <c r="D409" s="169">
        <v>45997.0</v>
      </c>
      <c r="E409" s="2">
        <v>3.035294464E9</v>
      </c>
      <c r="F409" s="2" t="s">
        <v>2153</v>
      </c>
      <c r="G409" s="2" t="s">
        <v>493</v>
      </c>
      <c r="H409" s="2">
        <v>1799.0</v>
      </c>
      <c r="I409" s="2">
        <v>2.6120050020145E13</v>
      </c>
      <c r="J409" s="3">
        <v>1.0</v>
      </c>
      <c r="L409" s="2" t="s">
        <v>2154</v>
      </c>
      <c r="M409" s="174" t="s">
        <v>409</v>
      </c>
      <c r="N409" s="2" t="s">
        <v>462</v>
      </c>
      <c r="O409" s="3">
        <v>0.5</v>
      </c>
      <c r="P409" s="2" t="s">
        <v>363</v>
      </c>
      <c r="Q409" s="3">
        <v>490.0</v>
      </c>
      <c r="T409" s="2" t="s">
        <v>456</v>
      </c>
      <c r="U409" s="171">
        <v>1799.0</v>
      </c>
      <c r="V409" s="172">
        <v>46003.0</v>
      </c>
      <c r="W409" s="3">
        <v>285.0</v>
      </c>
      <c r="X409" s="172">
        <v>46002.45091435185</v>
      </c>
      <c r="Y409" s="172"/>
      <c r="Z409" s="3">
        <v>45997.0</v>
      </c>
      <c r="AA409" s="3"/>
    </row>
    <row r="410">
      <c r="A410" s="3">
        <v>6.786121793795E12</v>
      </c>
      <c r="B410" s="2" t="s">
        <v>2155</v>
      </c>
      <c r="C410" s="2" t="s">
        <v>2156</v>
      </c>
      <c r="D410" s="169">
        <v>45997.0</v>
      </c>
      <c r="E410" s="2">
        <v>3.312413486E9</v>
      </c>
      <c r="F410" s="2" t="s">
        <v>2157</v>
      </c>
      <c r="G410" s="2" t="s">
        <v>493</v>
      </c>
      <c r="H410" s="2">
        <v>0.0</v>
      </c>
      <c r="J410" s="3">
        <v>0.0</v>
      </c>
      <c r="K410" s="2" t="s">
        <v>537</v>
      </c>
      <c r="L410" s="2"/>
      <c r="M410" s="2" t="s">
        <v>468</v>
      </c>
      <c r="N410" s="2" t="s">
        <v>406</v>
      </c>
      <c r="O410" s="3">
        <v>0.5</v>
      </c>
      <c r="Q410" s="3">
        <v>0.0</v>
      </c>
      <c r="U410" s="141"/>
      <c r="X410" s="172">
        <v>46057.64278274306</v>
      </c>
      <c r="Y410" s="172"/>
      <c r="Z410" s="3">
        <v>45997.0</v>
      </c>
      <c r="AA410" s="3"/>
    </row>
    <row r="411">
      <c r="A411" s="3">
        <v>6.786353725699E12</v>
      </c>
      <c r="B411" s="2" t="s">
        <v>2158</v>
      </c>
      <c r="C411" s="2" t="s">
        <v>2159</v>
      </c>
      <c r="D411" s="169">
        <v>45997.0</v>
      </c>
      <c r="E411" s="2">
        <v>3.331237204E9</v>
      </c>
      <c r="F411" s="2" t="s">
        <v>2160</v>
      </c>
      <c r="G411" s="2" t="s">
        <v>2161</v>
      </c>
      <c r="H411" s="2">
        <v>0.0</v>
      </c>
      <c r="J411" s="3">
        <v>0.0</v>
      </c>
      <c r="K411" s="2" t="s">
        <v>537</v>
      </c>
      <c r="L411" s="2"/>
      <c r="M411" s="2" t="s">
        <v>468</v>
      </c>
      <c r="N411" s="2" t="s">
        <v>406</v>
      </c>
      <c r="O411" s="3">
        <v>0.5</v>
      </c>
      <c r="Q411" s="3">
        <v>0.0</v>
      </c>
      <c r="U411" s="141"/>
      <c r="X411" s="172">
        <v>46057.64278274306</v>
      </c>
      <c r="Y411" s="172"/>
      <c r="Z411" s="3">
        <v>45997.0</v>
      </c>
      <c r="AA411" s="3"/>
    </row>
    <row r="412">
      <c r="A412" s="3">
        <v>6.786377449731E12</v>
      </c>
      <c r="B412" s="2" t="s">
        <v>2162</v>
      </c>
      <c r="C412" s="2" t="s">
        <v>2163</v>
      </c>
      <c r="D412" s="169">
        <v>45997.0</v>
      </c>
      <c r="E412" s="173" t="s">
        <v>2164</v>
      </c>
      <c r="F412" s="2" t="s">
        <v>2165</v>
      </c>
      <c r="G412" s="2" t="s">
        <v>2166</v>
      </c>
      <c r="H412" s="2">
        <v>0.0</v>
      </c>
      <c r="I412" s="2">
        <v>2.7120050020197E13</v>
      </c>
      <c r="J412" s="3">
        <v>0.0</v>
      </c>
      <c r="K412" s="2" t="s">
        <v>2167</v>
      </c>
      <c r="L412" s="2"/>
      <c r="M412" s="170" t="s">
        <v>455</v>
      </c>
      <c r="N412" s="2" t="s">
        <v>406</v>
      </c>
      <c r="O412" s="3">
        <v>0.5</v>
      </c>
      <c r="P412" s="2" t="s">
        <v>363</v>
      </c>
      <c r="Q412" s="3">
        <v>0.0</v>
      </c>
      <c r="T412" s="2" t="s">
        <v>777</v>
      </c>
      <c r="U412" s="171">
        <v>0.0</v>
      </c>
      <c r="V412" s="172">
        <v>46014.0</v>
      </c>
      <c r="W412" s="3">
        <v>213.0</v>
      </c>
      <c r="X412" s="172">
        <v>46057.64278274306</v>
      </c>
      <c r="Y412" s="172"/>
      <c r="Z412" s="3">
        <v>45997.0</v>
      </c>
      <c r="AA412" s="3"/>
    </row>
    <row r="413">
      <c r="A413" s="3">
        <v>6.786396946691E12</v>
      </c>
      <c r="B413" s="2" t="s">
        <v>2168</v>
      </c>
      <c r="C413" s="2" t="s">
        <v>2169</v>
      </c>
      <c r="D413" s="169">
        <v>45997.0</v>
      </c>
      <c r="E413" s="2">
        <v>3.335570767E9</v>
      </c>
      <c r="F413" s="2" t="s">
        <v>2170</v>
      </c>
      <c r="G413" s="2" t="s">
        <v>366</v>
      </c>
      <c r="H413" s="2">
        <v>6700.0</v>
      </c>
      <c r="I413" s="2">
        <v>2.4120050020144E13</v>
      </c>
      <c r="J413" s="3">
        <v>3.0</v>
      </c>
      <c r="L413" s="2" t="s">
        <v>2171</v>
      </c>
      <c r="M413" s="174" t="s">
        <v>409</v>
      </c>
      <c r="N413" s="2" t="s">
        <v>462</v>
      </c>
      <c r="O413" s="3">
        <v>0.5</v>
      </c>
      <c r="P413" s="2" t="s">
        <v>363</v>
      </c>
      <c r="Q413" s="3">
        <v>2560.0</v>
      </c>
      <c r="T413" s="2" t="s">
        <v>674</v>
      </c>
      <c r="U413" s="171">
        <v>6700.0</v>
      </c>
      <c r="V413" s="172">
        <v>46007.0</v>
      </c>
      <c r="W413" s="3">
        <v>675.0</v>
      </c>
      <c r="X413" s="172">
        <v>46003.857187500005</v>
      </c>
      <c r="Y413" s="172"/>
      <c r="Z413" s="3">
        <v>45997.0</v>
      </c>
      <c r="AA413" s="3"/>
    </row>
    <row r="414">
      <c r="A414" s="3">
        <v>6.786401009923E12</v>
      </c>
      <c r="B414" s="2" t="s">
        <v>2172</v>
      </c>
      <c r="C414" s="2" t="s">
        <v>985</v>
      </c>
      <c r="D414" s="169">
        <v>45997.0</v>
      </c>
      <c r="E414" s="2">
        <v>3.227324546E9</v>
      </c>
      <c r="F414" s="2" t="s">
        <v>2173</v>
      </c>
      <c r="G414" s="2" t="s">
        <v>688</v>
      </c>
      <c r="H414" s="2">
        <v>249.0</v>
      </c>
      <c r="I414" s="2">
        <v>2.3120050020104E13</v>
      </c>
      <c r="J414" s="3">
        <v>0.0</v>
      </c>
      <c r="K414" s="2" t="s">
        <v>2174</v>
      </c>
      <c r="L414" s="2"/>
      <c r="M414" s="174" t="s">
        <v>409</v>
      </c>
      <c r="N414" s="2" t="s">
        <v>406</v>
      </c>
      <c r="O414" s="3">
        <v>0.5</v>
      </c>
      <c r="P414" s="2" t="s">
        <v>363</v>
      </c>
      <c r="Q414" s="3">
        <v>0.0</v>
      </c>
      <c r="T414" s="2" t="s">
        <v>456</v>
      </c>
      <c r="U414" s="2">
        <v>249.0</v>
      </c>
      <c r="V414" s="172">
        <v>46003.0</v>
      </c>
      <c r="W414" s="3">
        <v>499.0</v>
      </c>
      <c r="X414" s="172">
        <v>46002.61413194444</v>
      </c>
      <c r="Y414" s="172"/>
      <c r="Z414" s="3">
        <v>45997.0</v>
      </c>
      <c r="AA414" s="3"/>
    </row>
    <row r="415">
      <c r="A415" s="3">
        <v>6.786403696899E12</v>
      </c>
      <c r="B415" s="2" t="s">
        <v>2175</v>
      </c>
      <c r="C415" s="2" t="s">
        <v>2176</v>
      </c>
      <c r="D415" s="169">
        <v>45997.0</v>
      </c>
      <c r="E415" s="2">
        <v>3.18655706E9</v>
      </c>
      <c r="F415" s="2" t="s">
        <v>2177</v>
      </c>
      <c r="G415" s="2" t="s">
        <v>541</v>
      </c>
      <c r="H415" s="2">
        <v>4649.0</v>
      </c>
      <c r="I415" s="2">
        <v>2.5120050020105E13</v>
      </c>
      <c r="J415" s="3">
        <v>2.0</v>
      </c>
      <c r="L415" s="2" t="s">
        <v>479</v>
      </c>
      <c r="M415" s="174" t="s">
        <v>409</v>
      </c>
      <c r="N415" s="2" t="s">
        <v>462</v>
      </c>
      <c r="O415" s="3">
        <v>0.5</v>
      </c>
      <c r="P415" s="2" t="s">
        <v>363</v>
      </c>
      <c r="Q415" s="3">
        <v>1700.0</v>
      </c>
      <c r="T415" s="2" t="s">
        <v>456</v>
      </c>
      <c r="U415" s="171">
        <v>4649.0</v>
      </c>
      <c r="V415" s="172">
        <v>46003.0</v>
      </c>
      <c r="W415" s="3">
        <v>406.0</v>
      </c>
      <c r="X415" s="172">
        <v>46001.54744212963</v>
      </c>
      <c r="Y415" s="172"/>
      <c r="Z415" s="3">
        <v>45997.0</v>
      </c>
      <c r="AA415" s="3"/>
    </row>
    <row r="416">
      <c r="A416" s="3">
        <v>6.786422276355E12</v>
      </c>
      <c r="B416" s="2" t="s">
        <v>2178</v>
      </c>
      <c r="C416" s="2" t="s">
        <v>2179</v>
      </c>
      <c r="D416" s="169">
        <v>45997.0</v>
      </c>
      <c r="E416" s="2">
        <v>3.191406206E9</v>
      </c>
      <c r="F416" s="2" t="s">
        <v>2180</v>
      </c>
      <c r="G416" s="2" t="s">
        <v>688</v>
      </c>
      <c r="H416" s="2">
        <v>0.0</v>
      </c>
      <c r="I416" s="2">
        <v>1.73008903017E11</v>
      </c>
      <c r="J416" s="3">
        <v>0.0</v>
      </c>
      <c r="K416" s="2" t="s">
        <v>2181</v>
      </c>
      <c r="L416" s="2"/>
      <c r="M416" s="170" t="s">
        <v>455</v>
      </c>
      <c r="N416" s="2" t="s">
        <v>406</v>
      </c>
      <c r="O416" s="3">
        <v>0.5</v>
      </c>
      <c r="P416" s="2" t="s">
        <v>501</v>
      </c>
      <c r="Q416" s="3">
        <v>0.0</v>
      </c>
      <c r="T416" s="2" t="s">
        <v>1973</v>
      </c>
      <c r="U416" s="141"/>
      <c r="W416" s="3">
        <v>292.2</v>
      </c>
      <c r="X416" s="172">
        <v>46057.69374321759</v>
      </c>
      <c r="Y416" s="172"/>
      <c r="Z416" s="3">
        <v>45997.0</v>
      </c>
      <c r="AA416" s="3"/>
    </row>
    <row r="417">
      <c r="A417" s="3">
        <v>6.786449277187E12</v>
      </c>
      <c r="B417" s="2" t="s">
        <v>2182</v>
      </c>
      <c r="C417" s="2" t="s">
        <v>2183</v>
      </c>
      <c r="D417" s="169">
        <v>45997.0</v>
      </c>
      <c r="E417" s="2">
        <v>3.003726171E9</v>
      </c>
      <c r="F417" s="2" t="s">
        <v>2184</v>
      </c>
      <c r="G417" s="2" t="s">
        <v>958</v>
      </c>
      <c r="H417" s="2">
        <v>0.0</v>
      </c>
      <c r="I417" s="2">
        <v>2.5120050020106E13</v>
      </c>
      <c r="J417" s="3">
        <v>0.0</v>
      </c>
      <c r="K417" s="2" t="s">
        <v>2185</v>
      </c>
      <c r="L417" s="2"/>
      <c r="M417" s="170" t="s">
        <v>455</v>
      </c>
      <c r="N417" s="2" t="s">
        <v>406</v>
      </c>
      <c r="O417" s="3">
        <v>0.5</v>
      </c>
      <c r="P417" s="2" t="s">
        <v>363</v>
      </c>
      <c r="Q417" s="3">
        <v>0.0</v>
      </c>
      <c r="T417" s="2" t="s">
        <v>599</v>
      </c>
      <c r="U417" s="171">
        <v>0.0</v>
      </c>
      <c r="V417" s="172">
        <v>46010.0</v>
      </c>
      <c r="W417" s="3">
        <v>220.0</v>
      </c>
      <c r="X417" s="172">
        <v>46057.64278274306</v>
      </c>
      <c r="Y417" s="172"/>
      <c r="Z417" s="3">
        <v>45997.0</v>
      </c>
      <c r="AA417" s="3"/>
    </row>
    <row r="418">
      <c r="A418" s="3">
        <v>6.786479489283E12</v>
      </c>
      <c r="B418" s="2" t="s">
        <v>2186</v>
      </c>
      <c r="C418" s="2" t="s">
        <v>2187</v>
      </c>
      <c r="D418" s="169">
        <v>45997.0</v>
      </c>
      <c r="E418" s="2">
        <v>3.334498483E9</v>
      </c>
      <c r="F418" s="2" t="s">
        <v>2188</v>
      </c>
      <c r="G418" s="2" t="s">
        <v>368</v>
      </c>
      <c r="H418" s="2">
        <v>2748.0</v>
      </c>
      <c r="I418" s="2">
        <v>2.3120050020119E13</v>
      </c>
      <c r="J418" s="3">
        <v>1.0</v>
      </c>
      <c r="L418" s="2" t="s">
        <v>557</v>
      </c>
      <c r="M418" s="174" t="s">
        <v>409</v>
      </c>
      <c r="N418" s="2" t="s">
        <v>462</v>
      </c>
      <c r="O418" s="3">
        <v>0.5</v>
      </c>
      <c r="P418" s="2" t="s">
        <v>363</v>
      </c>
      <c r="Q418" s="3">
        <v>850.0</v>
      </c>
      <c r="T418" s="2" t="s">
        <v>456</v>
      </c>
      <c r="U418" s="171">
        <v>2748.0</v>
      </c>
      <c r="V418" s="172">
        <v>46003.0</v>
      </c>
      <c r="W418" s="3">
        <v>230.0</v>
      </c>
      <c r="X418" s="172">
        <v>46000.614074074074</v>
      </c>
      <c r="Y418" s="172"/>
      <c r="Z418" s="3">
        <v>45997.0</v>
      </c>
      <c r="AA418" s="3"/>
    </row>
    <row r="419">
      <c r="A419" s="3">
        <v>6.786543354115E12</v>
      </c>
      <c r="B419" s="2" t="s">
        <v>2189</v>
      </c>
      <c r="C419" s="2" t="s">
        <v>2190</v>
      </c>
      <c r="D419" s="169">
        <v>45998.0</v>
      </c>
      <c r="E419" s="2">
        <v>3.196456257E9</v>
      </c>
      <c r="F419" s="2" t="s">
        <v>2191</v>
      </c>
      <c r="G419" s="2" t="s">
        <v>374</v>
      </c>
      <c r="H419" s="2">
        <v>4099.0</v>
      </c>
      <c r="I419" s="2">
        <v>2.2120050020121E13</v>
      </c>
      <c r="J419" s="3">
        <v>1.0</v>
      </c>
      <c r="L419" s="2" t="s">
        <v>608</v>
      </c>
      <c r="M419" s="174" t="s">
        <v>409</v>
      </c>
      <c r="N419" s="2" t="s">
        <v>462</v>
      </c>
      <c r="O419" s="3">
        <v>0.5</v>
      </c>
      <c r="P419" s="2" t="s">
        <v>363</v>
      </c>
      <c r="Q419" s="3">
        <v>1600.0</v>
      </c>
      <c r="T419" s="2" t="s">
        <v>456</v>
      </c>
      <c r="U419" s="171">
        <v>4099.0</v>
      </c>
      <c r="V419" s="172">
        <v>46003.0</v>
      </c>
      <c r="W419" s="3">
        <v>384.0</v>
      </c>
      <c r="X419" s="172">
        <v>46000.59125</v>
      </c>
      <c r="Y419" s="172"/>
      <c r="Z419" s="3">
        <v>45998.0</v>
      </c>
      <c r="AA419" s="3"/>
    </row>
    <row r="420">
      <c r="A420" s="3">
        <v>6.786592211203E12</v>
      </c>
      <c r="B420" s="2" t="s">
        <v>2192</v>
      </c>
      <c r="C420" s="2" t="s">
        <v>2193</v>
      </c>
      <c r="D420" s="169">
        <v>45998.0</v>
      </c>
      <c r="E420" s="2">
        <v>3.029450626E9</v>
      </c>
      <c r="F420" s="2" t="s">
        <v>2194</v>
      </c>
      <c r="G420" s="2" t="s">
        <v>1235</v>
      </c>
      <c r="H420" s="2">
        <v>0.0</v>
      </c>
      <c r="J420" s="3">
        <v>0.0</v>
      </c>
      <c r="K420" s="2" t="s">
        <v>2195</v>
      </c>
      <c r="L420" s="2"/>
      <c r="M420" s="2" t="s">
        <v>468</v>
      </c>
      <c r="N420" s="2" t="s">
        <v>406</v>
      </c>
      <c r="O420" s="3">
        <v>0.5</v>
      </c>
      <c r="Q420" s="3">
        <v>0.0</v>
      </c>
      <c r="U420" s="141"/>
      <c r="X420" s="172">
        <v>46057.64278274306</v>
      </c>
      <c r="Y420" s="172"/>
      <c r="Z420" s="3">
        <v>45998.0</v>
      </c>
      <c r="AA420" s="3"/>
    </row>
    <row r="421">
      <c r="A421" s="3">
        <v>6.786619375875E12</v>
      </c>
      <c r="B421" s="2" t="s">
        <v>2196</v>
      </c>
      <c r="C421" s="2" t="s">
        <v>2197</v>
      </c>
      <c r="D421" s="169">
        <v>45998.0</v>
      </c>
      <c r="E421" s="2">
        <v>3.4962643E9</v>
      </c>
      <c r="F421" s="2" t="s">
        <v>2198</v>
      </c>
      <c r="G421" s="2" t="s">
        <v>2199</v>
      </c>
      <c r="H421" s="2">
        <v>0.0</v>
      </c>
      <c r="I421" s="2">
        <v>2.8120050020118E13</v>
      </c>
      <c r="J421" s="3">
        <v>0.0</v>
      </c>
      <c r="K421" s="2" t="s">
        <v>2200</v>
      </c>
      <c r="L421" s="2"/>
      <c r="M421" s="170" t="s">
        <v>455</v>
      </c>
      <c r="N421" s="2" t="s">
        <v>406</v>
      </c>
      <c r="O421" s="3">
        <v>0.5</v>
      </c>
      <c r="P421" s="2" t="s">
        <v>73</v>
      </c>
      <c r="Q421" s="3">
        <v>0.0</v>
      </c>
      <c r="T421" s="2" t="s">
        <v>599</v>
      </c>
      <c r="U421" s="171">
        <v>0.0</v>
      </c>
      <c r="V421" s="172">
        <v>46010.0</v>
      </c>
      <c r="W421" s="3">
        <v>200.0</v>
      </c>
      <c r="X421" s="172">
        <v>46057.64278274306</v>
      </c>
      <c r="Y421" s="172"/>
      <c r="Z421" s="3">
        <v>45998.0</v>
      </c>
      <c r="AA421" s="3"/>
    </row>
    <row r="422">
      <c r="A422" s="3">
        <v>6.786657452291E12</v>
      </c>
      <c r="B422" s="2" t="s">
        <v>2201</v>
      </c>
      <c r="C422" s="2" t="s">
        <v>2202</v>
      </c>
      <c r="D422" s="169">
        <v>45998.0</v>
      </c>
      <c r="E422" s="2">
        <v>3.147311347E9</v>
      </c>
      <c r="F422" s="2" t="s">
        <v>2203</v>
      </c>
      <c r="G422" s="2" t="s">
        <v>374</v>
      </c>
      <c r="H422" s="2">
        <v>2748.0</v>
      </c>
      <c r="I422" s="2">
        <v>2.3120050020117E13</v>
      </c>
      <c r="J422" s="3">
        <v>1.0</v>
      </c>
      <c r="L422" s="2" t="s">
        <v>512</v>
      </c>
      <c r="M422" s="174" t="s">
        <v>409</v>
      </c>
      <c r="N422" s="2" t="s">
        <v>462</v>
      </c>
      <c r="O422" s="3">
        <v>0.5</v>
      </c>
      <c r="P422" s="2" t="s">
        <v>363</v>
      </c>
      <c r="Q422" s="3">
        <v>850.0</v>
      </c>
      <c r="T422" s="2" t="s">
        <v>456</v>
      </c>
      <c r="U422" s="171">
        <v>2748.0</v>
      </c>
      <c r="V422" s="172">
        <v>46003.0</v>
      </c>
      <c r="W422" s="3">
        <v>330.0</v>
      </c>
      <c r="X422" s="172">
        <v>46000.56135416667</v>
      </c>
      <c r="Y422" s="172"/>
      <c r="Z422" s="3">
        <v>45998.0</v>
      </c>
      <c r="AA422" s="3"/>
    </row>
    <row r="423">
      <c r="A423" s="3">
        <v>6.786692022531E12</v>
      </c>
      <c r="B423" s="2" t="s">
        <v>2204</v>
      </c>
      <c r="C423" s="2" t="s">
        <v>2205</v>
      </c>
      <c r="D423" s="169">
        <v>45998.0</v>
      </c>
      <c r="E423" s="2">
        <v>3.023427472E9</v>
      </c>
      <c r="F423" s="2" t="s">
        <v>2206</v>
      </c>
      <c r="G423" s="2" t="s">
        <v>368</v>
      </c>
      <c r="H423" s="2">
        <v>2748.0</v>
      </c>
      <c r="I423" s="2">
        <v>2.1120050020116E13</v>
      </c>
      <c r="J423" s="3">
        <v>1.0</v>
      </c>
      <c r="L423" s="2" t="s">
        <v>519</v>
      </c>
      <c r="M423" s="174" t="s">
        <v>409</v>
      </c>
      <c r="N423" s="2" t="s">
        <v>462</v>
      </c>
      <c r="O423" s="3">
        <v>0.5</v>
      </c>
      <c r="P423" s="2" t="s">
        <v>73</v>
      </c>
      <c r="Q423" s="3">
        <v>850.0</v>
      </c>
      <c r="T423" s="2" t="s">
        <v>674</v>
      </c>
      <c r="U423" s="171">
        <v>2748.0</v>
      </c>
      <c r="V423" s="172">
        <v>46007.0</v>
      </c>
      <c r="W423" s="3">
        <v>230.0</v>
      </c>
      <c r="X423" s="172">
        <v>46006.50714120371</v>
      </c>
      <c r="Y423" s="172"/>
      <c r="Z423" s="3">
        <v>45998.0</v>
      </c>
      <c r="AA423" s="3"/>
    </row>
    <row r="424">
      <c r="A424" s="3">
        <v>6.786747302147E12</v>
      </c>
      <c r="B424" s="2" t="s">
        <v>2207</v>
      </c>
      <c r="C424" s="2" t="s">
        <v>2208</v>
      </c>
      <c r="D424" s="169">
        <v>45998.0</v>
      </c>
      <c r="E424" s="2">
        <v>3.134600811E9</v>
      </c>
      <c r="F424" s="2" t="s">
        <v>2209</v>
      </c>
      <c r="G424" s="2" t="s">
        <v>368</v>
      </c>
      <c r="H424" s="2">
        <v>0.0</v>
      </c>
      <c r="J424" s="3">
        <v>0.0</v>
      </c>
      <c r="K424" s="2" t="s">
        <v>2210</v>
      </c>
      <c r="L424" s="2"/>
      <c r="M424" s="2" t="s">
        <v>468</v>
      </c>
      <c r="N424" s="2" t="s">
        <v>406</v>
      </c>
      <c r="O424" s="3">
        <v>0.5</v>
      </c>
      <c r="Q424" s="3">
        <v>0.0</v>
      </c>
      <c r="U424" s="141"/>
      <c r="X424" s="172">
        <v>46057.64278274306</v>
      </c>
      <c r="Y424" s="172"/>
      <c r="Z424" s="3">
        <v>45998.0</v>
      </c>
      <c r="AA424" s="3"/>
    </row>
    <row r="425">
      <c r="A425" s="3">
        <v>6.786749104387E12</v>
      </c>
      <c r="B425" s="2" t="s">
        <v>2211</v>
      </c>
      <c r="C425" s="2" t="s">
        <v>1336</v>
      </c>
      <c r="D425" s="169">
        <v>45998.0</v>
      </c>
      <c r="E425" s="173" t="s">
        <v>2212</v>
      </c>
      <c r="F425" s="2" t="s">
        <v>2213</v>
      </c>
      <c r="G425" s="2" t="s">
        <v>2214</v>
      </c>
      <c r="H425" s="2">
        <v>0.0</v>
      </c>
      <c r="I425" s="2" t="s">
        <v>2215</v>
      </c>
      <c r="J425" s="3">
        <v>0.0</v>
      </c>
      <c r="K425" s="2" t="s">
        <v>2216</v>
      </c>
      <c r="L425" s="2"/>
      <c r="M425" s="170" t="s">
        <v>455</v>
      </c>
      <c r="N425" s="2" t="s">
        <v>406</v>
      </c>
      <c r="O425" s="3">
        <v>0.5</v>
      </c>
      <c r="P425" s="2" t="s">
        <v>640</v>
      </c>
      <c r="Q425" s="3">
        <v>0.0</v>
      </c>
      <c r="T425" s="2" t="s">
        <v>1973</v>
      </c>
      <c r="U425" s="141"/>
      <c r="W425" s="3">
        <v>292.2</v>
      </c>
      <c r="X425" s="172">
        <v>46057.693790729165</v>
      </c>
      <c r="Y425" s="172"/>
      <c r="Z425" s="3">
        <v>45998.0</v>
      </c>
      <c r="AA425" s="3"/>
    </row>
    <row r="426">
      <c r="A426" s="3">
        <v>6.786752741635E12</v>
      </c>
      <c r="B426" s="2" t="s">
        <v>2217</v>
      </c>
      <c r="C426" s="2" t="s">
        <v>1745</v>
      </c>
      <c r="D426" s="169">
        <v>45998.0</v>
      </c>
      <c r="E426" s="2">
        <v>3.260433334E9</v>
      </c>
      <c r="F426" s="2" t="s">
        <v>1746</v>
      </c>
      <c r="G426" s="2" t="s">
        <v>541</v>
      </c>
      <c r="H426" s="2">
        <v>2748.0</v>
      </c>
      <c r="I426" s="2">
        <v>2.9120050020115E13</v>
      </c>
      <c r="J426" s="3">
        <v>1.0</v>
      </c>
      <c r="L426" s="2" t="s">
        <v>946</v>
      </c>
      <c r="M426" s="174" t="s">
        <v>409</v>
      </c>
      <c r="N426" s="2" t="s">
        <v>462</v>
      </c>
      <c r="O426" s="3">
        <v>0.5</v>
      </c>
      <c r="P426" s="2" t="s">
        <v>363</v>
      </c>
      <c r="Q426" s="3">
        <v>850.0</v>
      </c>
      <c r="T426" s="2" t="s">
        <v>456</v>
      </c>
      <c r="U426" s="171">
        <v>2748.0</v>
      </c>
      <c r="V426" s="172">
        <v>46003.0</v>
      </c>
      <c r="W426" s="3">
        <v>310.0</v>
      </c>
      <c r="X426" s="172">
        <v>46001.58083333333</v>
      </c>
      <c r="Y426" s="172"/>
      <c r="Z426" s="3">
        <v>45998.0</v>
      </c>
      <c r="AA426" s="3"/>
    </row>
    <row r="427">
      <c r="A427" s="3">
        <v>6.786920808707E12</v>
      </c>
      <c r="B427" s="2" t="s">
        <v>2218</v>
      </c>
      <c r="C427" s="2" t="s">
        <v>784</v>
      </c>
      <c r="D427" s="169">
        <v>45998.0</v>
      </c>
      <c r="E427" s="173" t="s">
        <v>785</v>
      </c>
      <c r="F427" s="2" t="s">
        <v>786</v>
      </c>
      <c r="G427" s="2" t="s">
        <v>787</v>
      </c>
      <c r="H427" s="2">
        <v>3099.0</v>
      </c>
      <c r="I427" s="2">
        <v>2.3120050020143E13</v>
      </c>
      <c r="J427" s="3">
        <v>2.0</v>
      </c>
      <c r="L427" s="2" t="s">
        <v>2219</v>
      </c>
      <c r="M427" s="174" t="s">
        <v>409</v>
      </c>
      <c r="N427" s="2" t="s">
        <v>462</v>
      </c>
      <c r="O427" s="3">
        <v>0.5</v>
      </c>
      <c r="P427" s="2" t="s">
        <v>363</v>
      </c>
      <c r="Q427" s="3">
        <v>960.0</v>
      </c>
      <c r="T427" s="2" t="s">
        <v>456</v>
      </c>
      <c r="U427" s="171">
        <v>3099.0</v>
      </c>
      <c r="V427" s="172">
        <v>46003.0</v>
      </c>
      <c r="W427" s="3">
        <v>337.0</v>
      </c>
      <c r="X427" s="172">
        <v>46001.733553240745</v>
      </c>
      <c r="Y427" s="172"/>
      <c r="Z427" s="3">
        <v>45998.0</v>
      </c>
      <c r="AA427" s="3"/>
    </row>
    <row r="428">
      <c r="A428" s="3">
        <v>6.787085041923E12</v>
      </c>
      <c r="B428" s="2" t="s">
        <v>2220</v>
      </c>
      <c r="C428" s="2" t="s">
        <v>2221</v>
      </c>
      <c r="D428" s="169">
        <v>45998.0</v>
      </c>
      <c r="E428" s="173" t="s">
        <v>2222</v>
      </c>
      <c r="F428" s="2" t="s">
        <v>2223</v>
      </c>
      <c r="G428" s="2" t="s">
        <v>2224</v>
      </c>
      <c r="H428" s="2">
        <v>3099.0</v>
      </c>
      <c r="I428" s="2" t="s">
        <v>2225</v>
      </c>
      <c r="J428" s="3">
        <v>2.0</v>
      </c>
      <c r="K428" s="2" t="s">
        <v>511</v>
      </c>
      <c r="L428" s="2" t="s">
        <v>296</v>
      </c>
      <c r="M428" s="174" t="s">
        <v>409</v>
      </c>
      <c r="N428" s="2" t="s">
        <v>462</v>
      </c>
      <c r="O428" s="3">
        <v>0.5</v>
      </c>
      <c r="P428" s="2" t="s">
        <v>640</v>
      </c>
      <c r="Q428" s="3">
        <v>920.0</v>
      </c>
      <c r="T428" s="2" t="s">
        <v>1973</v>
      </c>
      <c r="U428" s="171">
        <v>3099.0</v>
      </c>
      <c r="W428" s="3">
        <v>416.15999999999997</v>
      </c>
      <c r="X428" s="172">
        <v>46057.6938084838</v>
      </c>
      <c r="Y428" s="172"/>
      <c r="Z428" s="3">
        <v>45998.0</v>
      </c>
      <c r="AA428" s="3"/>
    </row>
    <row r="429">
      <c r="A429" s="3">
        <v>6.787252420867E12</v>
      </c>
      <c r="B429" s="2" t="s">
        <v>2226</v>
      </c>
      <c r="C429" s="2" t="s">
        <v>615</v>
      </c>
      <c r="D429" s="169">
        <v>45998.0</v>
      </c>
      <c r="E429" s="173" t="s">
        <v>2227</v>
      </c>
      <c r="F429" s="2" t="s">
        <v>616</v>
      </c>
      <c r="G429" s="2" t="s">
        <v>617</v>
      </c>
      <c r="H429" s="2">
        <v>2748.0</v>
      </c>
      <c r="I429" s="2" t="s">
        <v>2228</v>
      </c>
      <c r="J429" s="3">
        <v>1.0</v>
      </c>
      <c r="K429" s="2" t="s">
        <v>511</v>
      </c>
      <c r="L429" s="2" t="s">
        <v>500</v>
      </c>
      <c r="M429" s="174" t="s">
        <v>409</v>
      </c>
      <c r="N429" s="2" t="s">
        <v>462</v>
      </c>
      <c r="O429" s="3">
        <v>0.5</v>
      </c>
      <c r="P429" s="2" t="s">
        <v>640</v>
      </c>
      <c r="Q429" s="3">
        <v>850.0</v>
      </c>
      <c r="T429" s="2" t="s">
        <v>1973</v>
      </c>
      <c r="U429" s="171">
        <v>2748.0</v>
      </c>
      <c r="W429" s="3">
        <v>402.12</v>
      </c>
      <c r="X429" s="172">
        <v>46057.69381251157</v>
      </c>
      <c r="Y429" s="172"/>
      <c r="Z429" s="3">
        <v>45998.0</v>
      </c>
      <c r="AA429" s="3"/>
    </row>
    <row r="430">
      <c r="A430" s="3">
        <v>6.787282174211E12</v>
      </c>
      <c r="B430" s="2" t="s">
        <v>2229</v>
      </c>
      <c r="C430" s="2" t="s">
        <v>2230</v>
      </c>
      <c r="D430" s="169">
        <v>45998.0</v>
      </c>
      <c r="E430" s="2">
        <v>3.07660393E9</v>
      </c>
      <c r="F430" s="2" t="s">
        <v>2231</v>
      </c>
      <c r="G430" s="2" t="s">
        <v>2232</v>
      </c>
      <c r="H430" s="2">
        <v>2448.0</v>
      </c>
      <c r="I430" s="2">
        <v>2.2120050020142E13</v>
      </c>
      <c r="J430" s="3">
        <v>1.0</v>
      </c>
      <c r="K430" s="173" t="s">
        <v>2233</v>
      </c>
      <c r="L430" s="2" t="s">
        <v>2234</v>
      </c>
      <c r="M430" s="174" t="s">
        <v>409</v>
      </c>
      <c r="N430" s="2" t="s">
        <v>462</v>
      </c>
      <c r="O430" s="3">
        <v>0.5</v>
      </c>
      <c r="P430" s="2" t="s">
        <v>363</v>
      </c>
      <c r="Q430" s="3">
        <v>1075.0</v>
      </c>
      <c r="T430" s="2" t="s">
        <v>456</v>
      </c>
      <c r="U430" s="171">
        <v>2448.0</v>
      </c>
      <c r="V430" s="172">
        <v>46003.0</v>
      </c>
      <c r="W430" s="3">
        <v>318.0</v>
      </c>
      <c r="X430" s="172">
        <v>46002.64256944445</v>
      </c>
      <c r="Y430" s="172"/>
      <c r="Z430" s="3">
        <v>45998.0</v>
      </c>
      <c r="AA430" s="3"/>
    </row>
    <row r="431">
      <c r="A431" s="3">
        <v>6.787283517699E12</v>
      </c>
      <c r="B431" s="2" t="s">
        <v>2235</v>
      </c>
      <c r="C431" s="2" t="s">
        <v>2236</v>
      </c>
      <c r="D431" s="169">
        <v>45998.0</v>
      </c>
      <c r="E431" s="2">
        <v>3.34980114E9</v>
      </c>
      <c r="F431" s="2" t="s">
        <v>2237</v>
      </c>
      <c r="G431" s="2" t="s">
        <v>688</v>
      </c>
      <c r="H431" s="2">
        <v>4099.0</v>
      </c>
      <c r="I431" s="2">
        <v>2.212005002012E13</v>
      </c>
      <c r="J431" s="3">
        <v>1.0</v>
      </c>
      <c r="L431" s="2" t="s">
        <v>608</v>
      </c>
      <c r="M431" s="174" t="s">
        <v>409</v>
      </c>
      <c r="N431" s="2" t="s">
        <v>462</v>
      </c>
      <c r="O431" s="3">
        <v>0.5</v>
      </c>
      <c r="P431" s="2" t="s">
        <v>363</v>
      </c>
      <c r="Q431" s="3">
        <v>1600.0</v>
      </c>
      <c r="T431" s="2" t="s">
        <v>456</v>
      </c>
      <c r="U431" s="171">
        <v>4099.0</v>
      </c>
      <c r="V431" s="172">
        <v>46003.0</v>
      </c>
      <c r="W431" s="3">
        <v>384.0</v>
      </c>
      <c r="X431" s="172">
        <v>46001.51619212963</v>
      </c>
      <c r="Y431" s="172"/>
      <c r="Z431" s="3">
        <v>45998.0</v>
      </c>
      <c r="AA431" s="3"/>
    </row>
    <row r="432">
      <c r="A432" s="3">
        <v>6.787302752515E12</v>
      </c>
      <c r="B432" s="2" t="s">
        <v>2238</v>
      </c>
      <c r="C432" s="2" t="s">
        <v>2239</v>
      </c>
      <c r="D432" s="169">
        <v>45998.0</v>
      </c>
      <c r="E432" s="2">
        <v>3.336993994E9</v>
      </c>
      <c r="F432" s="2" t="s">
        <v>2240</v>
      </c>
      <c r="G432" s="2" t="s">
        <v>2241</v>
      </c>
      <c r="H432" s="2">
        <v>0.0</v>
      </c>
      <c r="I432" s="2">
        <v>2.512005002018E13</v>
      </c>
      <c r="J432" s="3">
        <v>0.0</v>
      </c>
      <c r="K432" s="2" t="s">
        <v>1347</v>
      </c>
      <c r="L432" s="2"/>
      <c r="M432" s="170" t="s">
        <v>455</v>
      </c>
      <c r="N432" s="2" t="s">
        <v>406</v>
      </c>
      <c r="O432" s="3">
        <v>0.5</v>
      </c>
      <c r="P432" s="2" t="s">
        <v>363</v>
      </c>
      <c r="Q432" s="3">
        <v>0.0</v>
      </c>
      <c r="T432" s="2" t="s">
        <v>599</v>
      </c>
      <c r="U432" s="171">
        <v>0.0</v>
      </c>
      <c r="V432" s="172">
        <v>46010.0</v>
      </c>
      <c r="W432" s="3">
        <v>200.0</v>
      </c>
      <c r="X432" s="172">
        <v>46057.64278274306</v>
      </c>
      <c r="Y432" s="172"/>
      <c r="Z432" s="3">
        <v>45998.0</v>
      </c>
      <c r="AA432" s="3"/>
    </row>
    <row r="433">
      <c r="A433" s="3">
        <v>6.787389686019E12</v>
      </c>
      <c r="B433" s="2" t="s">
        <v>2242</v>
      </c>
      <c r="C433" s="2" t="s">
        <v>2243</v>
      </c>
      <c r="D433" s="169">
        <v>45998.0</v>
      </c>
      <c r="E433" s="2">
        <v>3.460753961E9</v>
      </c>
      <c r="F433" s="2" t="s">
        <v>2244</v>
      </c>
      <c r="G433" s="2" t="s">
        <v>506</v>
      </c>
      <c r="H433" s="2">
        <v>0.0</v>
      </c>
      <c r="I433" s="2">
        <v>2.8120050020141E13</v>
      </c>
      <c r="J433" s="3">
        <v>0.0</v>
      </c>
      <c r="K433" s="173" t="s">
        <v>2245</v>
      </c>
      <c r="L433" s="2"/>
      <c r="M433" s="170" t="s">
        <v>455</v>
      </c>
      <c r="N433" s="2" t="s">
        <v>406</v>
      </c>
      <c r="O433" s="3">
        <v>0.5</v>
      </c>
      <c r="P433" s="2" t="s">
        <v>73</v>
      </c>
      <c r="Q433" s="3">
        <v>0.0</v>
      </c>
      <c r="T433" s="2" t="s">
        <v>599</v>
      </c>
      <c r="U433" s="171">
        <v>0.0</v>
      </c>
      <c r="V433" s="172">
        <v>46010.0</v>
      </c>
      <c r="W433" s="3">
        <v>200.0</v>
      </c>
      <c r="X433" s="172">
        <v>46057.64278274306</v>
      </c>
      <c r="Y433" s="172"/>
      <c r="Z433" s="3">
        <v>45998.0</v>
      </c>
      <c r="AA433" s="3"/>
    </row>
    <row r="434">
      <c r="A434" s="3">
        <v>6.787417997571E12</v>
      </c>
      <c r="B434" s="2" t="s">
        <v>2246</v>
      </c>
      <c r="C434" s="2" t="s">
        <v>2247</v>
      </c>
      <c r="D434" s="169">
        <v>45998.0</v>
      </c>
      <c r="E434" s="2">
        <v>3.295998788E9</v>
      </c>
      <c r="F434" s="2" t="s">
        <v>2248</v>
      </c>
      <c r="G434" s="2" t="s">
        <v>493</v>
      </c>
      <c r="H434" s="2">
        <v>1799.0</v>
      </c>
      <c r="I434" s="2">
        <v>2.212005002014E13</v>
      </c>
      <c r="J434" s="3">
        <v>1.0</v>
      </c>
      <c r="L434" s="2" t="s">
        <v>1185</v>
      </c>
      <c r="M434" s="174" t="s">
        <v>409</v>
      </c>
      <c r="N434" s="2" t="s">
        <v>462</v>
      </c>
      <c r="O434" s="3">
        <v>0.5</v>
      </c>
      <c r="P434" s="2" t="s">
        <v>363</v>
      </c>
      <c r="Q434" s="3">
        <v>490.0</v>
      </c>
      <c r="T434" s="2" t="s">
        <v>456</v>
      </c>
      <c r="U434" s="171">
        <v>1799.0</v>
      </c>
      <c r="V434" s="172">
        <v>46003.0</v>
      </c>
      <c r="W434" s="3">
        <v>285.0</v>
      </c>
      <c r="X434" s="172">
        <v>46001.63912037037</v>
      </c>
      <c r="Y434" s="172"/>
      <c r="Z434" s="3">
        <v>45998.0</v>
      </c>
      <c r="AA434" s="3"/>
    </row>
    <row r="435">
      <c r="A435" s="3">
        <v>6.787436675331E12</v>
      </c>
      <c r="B435" s="2" t="s">
        <v>2249</v>
      </c>
      <c r="C435" s="2" t="s">
        <v>2250</v>
      </c>
      <c r="D435" s="169">
        <v>45998.0</v>
      </c>
      <c r="E435" s="2">
        <v>3.334821784E9</v>
      </c>
      <c r="F435" s="2" t="s">
        <v>2251</v>
      </c>
      <c r="G435" s="2" t="s">
        <v>368</v>
      </c>
      <c r="H435" s="2">
        <v>2749.0</v>
      </c>
      <c r="I435" s="2">
        <v>2.2120050020139E13</v>
      </c>
      <c r="J435" s="3">
        <v>2.0</v>
      </c>
      <c r="L435" s="2" t="s">
        <v>926</v>
      </c>
      <c r="M435" s="174" t="s">
        <v>409</v>
      </c>
      <c r="N435" s="2" t="s">
        <v>462</v>
      </c>
      <c r="O435" s="3">
        <v>0.5</v>
      </c>
      <c r="P435" s="2" t="s">
        <v>363</v>
      </c>
      <c r="Q435" s="3">
        <v>980.0</v>
      </c>
      <c r="T435" s="2" t="s">
        <v>486</v>
      </c>
      <c r="U435" s="171">
        <v>2749.0</v>
      </c>
      <c r="V435" s="172">
        <v>46000.0</v>
      </c>
      <c r="W435" s="3">
        <v>217.0</v>
      </c>
      <c r="X435" s="172">
        <v>46000.464097222226</v>
      </c>
      <c r="Y435" s="172"/>
      <c r="Z435" s="3">
        <v>45998.0</v>
      </c>
      <c r="AA435" s="3"/>
    </row>
    <row r="436">
      <c r="A436" s="3">
        <v>6.787464790275E12</v>
      </c>
      <c r="B436" s="2" t="s">
        <v>2252</v>
      </c>
      <c r="C436" s="2" t="s">
        <v>2253</v>
      </c>
      <c r="D436" s="169">
        <v>45998.0</v>
      </c>
      <c r="E436" s="173" t="s">
        <v>2254</v>
      </c>
      <c r="F436" s="2" t="s">
        <v>2255</v>
      </c>
      <c r="G436" s="2" t="s">
        <v>493</v>
      </c>
      <c r="H436" s="2">
        <v>3099.0</v>
      </c>
      <c r="I436" s="2">
        <v>2.0120050020138E13</v>
      </c>
      <c r="J436" s="3">
        <v>2.0</v>
      </c>
      <c r="L436" s="2" t="s">
        <v>296</v>
      </c>
      <c r="M436" s="174" t="s">
        <v>409</v>
      </c>
      <c r="N436" s="2" t="s">
        <v>462</v>
      </c>
      <c r="O436" s="3">
        <v>0.5</v>
      </c>
      <c r="P436" s="2" t="s">
        <v>363</v>
      </c>
      <c r="Q436" s="3">
        <v>920.0</v>
      </c>
      <c r="T436" s="2" t="s">
        <v>456</v>
      </c>
      <c r="U436" s="171">
        <v>3099.0</v>
      </c>
      <c r="V436" s="172">
        <v>46003.0</v>
      </c>
      <c r="W436" s="3">
        <v>337.0</v>
      </c>
      <c r="X436" s="172">
        <v>46002.67517361111</v>
      </c>
      <c r="Y436" s="172"/>
      <c r="Z436" s="3">
        <v>45998.0</v>
      </c>
      <c r="AA436" s="3"/>
    </row>
    <row r="437">
      <c r="A437" s="3">
        <v>6.787484352771E12</v>
      </c>
      <c r="B437" s="2" t="s">
        <v>2256</v>
      </c>
      <c r="C437" s="2" t="s">
        <v>2257</v>
      </c>
      <c r="D437" s="169">
        <v>45998.0</v>
      </c>
      <c r="E437" s="2">
        <v>3.013009778E9</v>
      </c>
      <c r="F437" s="2" t="s">
        <v>2258</v>
      </c>
      <c r="G437" s="2" t="s">
        <v>506</v>
      </c>
      <c r="H437" s="2">
        <v>4649.0</v>
      </c>
      <c r="I437" s="2">
        <v>2.5120050020114E13</v>
      </c>
      <c r="J437" s="3">
        <v>2.0</v>
      </c>
      <c r="L437" s="2" t="s">
        <v>479</v>
      </c>
      <c r="M437" s="174" t="s">
        <v>409</v>
      </c>
      <c r="N437" s="2" t="s">
        <v>462</v>
      </c>
      <c r="O437" s="3">
        <v>0.5</v>
      </c>
      <c r="P437" s="2" t="s">
        <v>363</v>
      </c>
      <c r="Q437" s="3">
        <v>1700.0</v>
      </c>
      <c r="T437" s="2" t="s">
        <v>456</v>
      </c>
      <c r="U437" s="171">
        <v>4649.0</v>
      </c>
      <c r="V437" s="172">
        <v>46003.0</v>
      </c>
      <c r="W437" s="3">
        <v>499.0</v>
      </c>
      <c r="X437" s="172">
        <v>46002.714212962965</v>
      </c>
      <c r="Y437" s="172"/>
      <c r="Z437" s="3">
        <v>45998.0</v>
      </c>
      <c r="AA437" s="3"/>
    </row>
    <row r="438">
      <c r="A438" s="3">
        <v>6.787498639619E12</v>
      </c>
      <c r="B438" s="2" t="s">
        <v>2259</v>
      </c>
      <c r="C438" s="2" t="s">
        <v>2260</v>
      </c>
      <c r="D438" s="169">
        <v>45998.0</v>
      </c>
      <c r="E438" s="2">
        <v>3.131017863E9</v>
      </c>
      <c r="F438" s="2" t="s">
        <v>2261</v>
      </c>
      <c r="G438" s="2" t="s">
        <v>368</v>
      </c>
      <c r="H438" s="2">
        <v>0.0</v>
      </c>
      <c r="I438" s="2">
        <v>2.9120050020137E13</v>
      </c>
      <c r="J438" s="3">
        <v>0.0</v>
      </c>
      <c r="K438" s="2" t="s">
        <v>1347</v>
      </c>
      <c r="L438" s="2"/>
      <c r="M438" s="170" t="s">
        <v>455</v>
      </c>
      <c r="N438" s="2" t="s">
        <v>406</v>
      </c>
      <c r="O438" s="3">
        <v>0.5</v>
      </c>
      <c r="P438" s="2" t="s">
        <v>363</v>
      </c>
      <c r="Q438" s="3">
        <v>0.0</v>
      </c>
      <c r="T438" s="2" t="s">
        <v>599</v>
      </c>
      <c r="U438" s="171">
        <v>0.0</v>
      </c>
      <c r="V438" s="172">
        <v>46010.0</v>
      </c>
      <c r="W438" s="3">
        <v>200.0</v>
      </c>
      <c r="X438" s="172">
        <v>46057.64278274306</v>
      </c>
      <c r="Y438" s="172"/>
      <c r="Z438" s="3">
        <v>45998.0</v>
      </c>
      <c r="AA438" s="3"/>
    </row>
    <row r="439">
      <c r="A439" s="3">
        <v>6.787503522051E12</v>
      </c>
      <c r="B439" s="2" t="s">
        <v>2262</v>
      </c>
      <c r="C439" s="2" t="s">
        <v>2263</v>
      </c>
      <c r="D439" s="169">
        <v>45998.0</v>
      </c>
      <c r="E439" s="2">
        <v>3.335140469E9</v>
      </c>
      <c r="F439" s="2" t="s">
        <v>2264</v>
      </c>
      <c r="G439" s="2" t="s">
        <v>506</v>
      </c>
      <c r="H439" s="2">
        <v>2748.0</v>
      </c>
      <c r="I439" s="2">
        <v>2.5120050020113E13</v>
      </c>
      <c r="J439" s="3">
        <v>1.0</v>
      </c>
      <c r="L439" s="2" t="s">
        <v>519</v>
      </c>
      <c r="M439" s="174" t="s">
        <v>409</v>
      </c>
      <c r="N439" s="2" t="s">
        <v>462</v>
      </c>
      <c r="O439" s="3">
        <v>0.5</v>
      </c>
      <c r="P439" s="2" t="s">
        <v>363</v>
      </c>
      <c r="Q439" s="3">
        <v>850.0</v>
      </c>
      <c r="T439" s="2" t="s">
        <v>456</v>
      </c>
      <c r="U439" s="171">
        <v>2748.0</v>
      </c>
      <c r="V439" s="172">
        <v>46003.0</v>
      </c>
      <c r="W439" s="3">
        <v>330.0</v>
      </c>
      <c r="X439" s="172">
        <v>46001.486388888894</v>
      </c>
      <c r="Y439" s="172"/>
      <c r="Z439" s="3">
        <v>45998.0</v>
      </c>
      <c r="AA439" s="3"/>
    </row>
    <row r="440">
      <c r="A440" s="3">
        <v>6.787554705667E12</v>
      </c>
      <c r="B440" s="2" t="s">
        <v>2265</v>
      </c>
      <c r="C440" s="2" t="s">
        <v>2266</v>
      </c>
      <c r="D440" s="169">
        <v>45998.0</v>
      </c>
      <c r="E440" s="173" t="s">
        <v>2267</v>
      </c>
      <c r="F440" s="2" t="s">
        <v>2268</v>
      </c>
      <c r="G440" s="2" t="s">
        <v>2269</v>
      </c>
      <c r="H440" s="2">
        <v>2748.0</v>
      </c>
      <c r="I440" s="2">
        <v>2.2120050020165E13</v>
      </c>
      <c r="J440" s="3">
        <v>1.0</v>
      </c>
      <c r="L440" s="2" t="s">
        <v>557</v>
      </c>
      <c r="M440" s="174" t="s">
        <v>409</v>
      </c>
      <c r="N440" s="2" t="s">
        <v>462</v>
      </c>
      <c r="O440" s="3">
        <v>0.5</v>
      </c>
      <c r="P440" s="2" t="s">
        <v>363</v>
      </c>
      <c r="Q440" s="3">
        <v>850.0</v>
      </c>
      <c r="T440" s="2" t="s">
        <v>456</v>
      </c>
      <c r="U440" s="171">
        <v>2748.0</v>
      </c>
      <c r="V440" s="172">
        <v>46003.0</v>
      </c>
      <c r="W440" s="3">
        <v>330.0</v>
      </c>
      <c r="X440" s="172">
        <v>46002.57586805556</v>
      </c>
      <c r="Y440" s="172"/>
      <c r="Z440" s="3">
        <v>45998.0</v>
      </c>
      <c r="AA440" s="3"/>
    </row>
    <row r="441">
      <c r="A441" s="3">
        <v>6.787572957443E12</v>
      </c>
      <c r="B441" s="2" t="s">
        <v>2270</v>
      </c>
      <c r="C441" s="2" t="s">
        <v>2271</v>
      </c>
      <c r="D441" s="169">
        <v>45998.0</v>
      </c>
      <c r="E441" s="2">
        <v>3.003200978E9</v>
      </c>
      <c r="F441" s="2" t="s">
        <v>2272</v>
      </c>
      <c r="G441" s="2" t="s">
        <v>2273</v>
      </c>
      <c r="H441" s="2">
        <v>3099.0</v>
      </c>
      <c r="I441" s="2" t="s">
        <v>2274</v>
      </c>
      <c r="J441" s="3">
        <v>2.0</v>
      </c>
      <c r="L441" s="2" t="s">
        <v>2275</v>
      </c>
      <c r="M441" s="174" t="s">
        <v>409</v>
      </c>
      <c r="N441" s="2" t="s">
        <v>462</v>
      </c>
      <c r="O441" s="3">
        <v>0.5</v>
      </c>
      <c r="P441" s="2" t="s">
        <v>640</v>
      </c>
      <c r="Q441" s="3">
        <v>960.0</v>
      </c>
      <c r="T441" s="2" t="s">
        <v>1929</v>
      </c>
      <c r="U441" s="171">
        <v>3099.0</v>
      </c>
      <c r="W441" s="3">
        <v>416.15999999999997</v>
      </c>
      <c r="X441" s="172">
        <v>46057.69389844907</v>
      </c>
      <c r="Y441" s="172"/>
      <c r="Z441" s="3">
        <v>45998.0</v>
      </c>
      <c r="AA441" s="3"/>
    </row>
    <row r="442">
      <c r="A442" s="3">
        <v>6.787587932419E12</v>
      </c>
      <c r="B442" s="2" t="s">
        <v>2276</v>
      </c>
      <c r="C442" s="2" t="s">
        <v>1760</v>
      </c>
      <c r="D442" s="169">
        <v>45998.0</v>
      </c>
      <c r="E442" s="2">
        <v>3.133355204E9</v>
      </c>
      <c r="F442" s="2" t="s">
        <v>1761</v>
      </c>
      <c r="G442" s="2" t="s">
        <v>1762</v>
      </c>
      <c r="H442" s="2">
        <v>0.0</v>
      </c>
      <c r="J442" s="3">
        <v>0.0</v>
      </c>
      <c r="K442" s="2" t="s">
        <v>2277</v>
      </c>
      <c r="L442" s="2"/>
      <c r="M442" s="2" t="s">
        <v>468</v>
      </c>
      <c r="N442" s="2" t="s">
        <v>406</v>
      </c>
      <c r="O442" s="3">
        <v>0.5</v>
      </c>
      <c r="Q442" s="3">
        <v>0.0</v>
      </c>
      <c r="U442" s="141"/>
      <c r="X442" s="172">
        <v>46057.64278274306</v>
      </c>
      <c r="Y442" s="172"/>
      <c r="Z442" s="3">
        <v>45998.0</v>
      </c>
      <c r="AA442" s="3"/>
    </row>
    <row r="443">
      <c r="A443" s="3">
        <v>6.787606642947E12</v>
      </c>
      <c r="B443" s="2" t="s">
        <v>2278</v>
      </c>
      <c r="C443" s="2" t="s">
        <v>2279</v>
      </c>
      <c r="D443" s="169">
        <v>45998.0</v>
      </c>
      <c r="E443" s="2">
        <v>3.3902865E9</v>
      </c>
      <c r="F443" s="2" t="s">
        <v>2280</v>
      </c>
      <c r="G443" s="2" t="s">
        <v>688</v>
      </c>
      <c r="H443" s="2">
        <v>2748.0</v>
      </c>
      <c r="I443" s="2">
        <v>2.8120050020112E13</v>
      </c>
      <c r="J443" s="3">
        <v>1.0</v>
      </c>
      <c r="L443" s="2" t="s">
        <v>500</v>
      </c>
      <c r="M443" s="174" t="s">
        <v>409</v>
      </c>
      <c r="N443" s="2" t="s">
        <v>462</v>
      </c>
      <c r="O443" s="3">
        <v>0.5</v>
      </c>
      <c r="P443" s="2" t="s">
        <v>73</v>
      </c>
      <c r="Q443" s="3">
        <v>850.0</v>
      </c>
      <c r="T443" s="2" t="s">
        <v>456</v>
      </c>
      <c r="U443" s="171">
        <v>2748.0</v>
      </c>
      <c r="V443" s="172">
        <v>46003.0</v>
      </c>
      <c r="W443" s="3">
        <v>310.0</v>
      </c>
      <c r="X443" s="172">
        <v>46002.82104166667</v>
      </c>
      <c r="Y443" s="172"/>
      <c r="Z443" s="3">
        <v>45998.0</v>
      </c>
      <c r="AA443" s="3"/>
    </row>
    <row r="444">
      <c r="A444" s="3">
        <v>6.787621748995E12</v>
      </c>
      <c r="B444" s="2" t="s">
        <v>2281</v>
      </c>
      <c r="C444" s="2" t="s">
        <v>2282</v>
      </c>
      <c r="D444" s="169">
        <v>45998.0</v>
      </c>
      <c r="E444" s="2">
        <v>3.162772223E9</v>
      </c>
      <c r="F444" s="2" t="s">
        <v>2283</v>
      </c>
      <c r="G444" s="2" t="s">
        <v>2284</v>
      </c>
      <c r="H444" s="2">
        <v>0.0</v>
      </c>
      <c r="J444" s="3">
        <v>0.0</v>
      </c>
      <c r="K444" s="2" t="s">
        <v>2285</v>
      </c>
      <c r="L444" s="2"/>
      <c r="M444" s="2" t="s">
        <v>468</v>
      </c>
      <c r="N444" s="2" t="s">
        <v>406</v>
      </c>
      <c r="O444" s="3">
        <v>0.5</v>
      </c>
      <c r="Q444" s="3">
        <v>0.0</v>
      </c>
      <c r="U444" s="141"/>
      <c r="X444" s="172">
        <v>46057.64278274306</v>
      </c>
      <c r="Y444" s="172"/>
      <c r="Z444" s="3">
        <v>45998.0</v>
      </c>
      <c r="AA444" s="3"/>
    </row>
    <row r="445">
      <c r="A445" s="3">
        <v>6.787624730883E12</v>
      </c>
      <c r="B445" s="2" t="s">
        <v>2286</v>
      </c>
      <c r="C445" s="2" t="s">
        <v>2282</v>
      </c>
      <c r="D445" s="169">
        <v>45998.0</v>
      </c>
      <c r="E445" s="173" t="s">
        <v>2287</v>
      </c>
      <c r="F445" s="2" t="s">
        <v>2288</v>
      </c>
      <c r="G445" s="2" t="s">
        <v>2284</v>
      </c>
      <c r="H445" s="2">
        <v>0.0</v>
      </c>
      <c r="I445" s="2" t="s">
        <v>2289</v>
      </c>
      <c r="J445" s="3">
        <v>0.0</v>
      </c>
      <c r="K445" s="2" t="s">
        <v>2290</v>
      </c>
      <c r="L445" s="2"/>
      <c r="M445" s="170" t="s">
        <v>455</v>
      </c>
      <c r="N445" s="2" t="s">
        <v>406</v>
      </c>
      <c r="O445" s="3">
        <v>0.5</v>
      </c>
      <c r="P445" s="2" t="s">
        <v>640</v>
      </c>
      <c r="Q445" s="3">
        <v>0.0</v>
      </c>
      <c r="T445" s="2" t="s">
        <v>1973</v>
      </c>
      <c r="U445" s="141"/>
      <c r="W445" s="3">
        <v>292.2</v>
      </c>
      <c r="X445" s="172">
        <v>46057.69390945602</v>
      </c>
      <c r="Y445" s="172"/>
      <c r="Z445" s="3">
        <v>45998.0</v>
      </c>
      <c r="AA445" s="3"/>
    </row>
    <row r="446">
      <c r="A446" s="3">
        <v>6.787640590595E12</v>
      </c>
      <c r="B446" s="2" t="s">
        <v>2291</v>
      </c>
      <c r="C446" s="2" t="s">
        <v>2292</v>
      </c>
      <c r="D446" s="169">
        <v>45998.0</v>
      </c>
      <c r="E446" s="2">
        <v>3.352476262E9</v>
      </c>
      <c r="F446" s="2" t="s">
        <v>2293</v>
      </c>
      <c r="G446" s="2" t="s">
        <v>781</v>
      </c>
      <c r="H446" s="2">
        <v>0.0</v>
      </c>
      <c r="J446" s="3">
        <v>0.0</v>
      </c>
      <c r="K446" s="2" t="s">
        <v>760</v>
      </c>
      <c r="L446" s="2"/>
      <c r="M446" s="2" t="s">
        <v>468</v>
      </c>
      <c r="N446" s="2" t="s">
        <v>406</v>
      </c>
      <c r="O446" s="3">
        <v>0.5</v>
      </c>
      <c r="Q446" s="3">
        <v>0.0</v>
      </c>
      <c r="U446" s="141"/>
      <c r="X446" s="172">
        <v>46057.64278274306</v>
      </c>
      <c r="Y446" s="172"/>
      <c r="Z446" s="3">
        <v>45998.0</v>
      </c>
      <c r="AA446" s="3"/>
    </row>
    <row r="447">
      <c r="A447" s="3">
        <v>6.787644555523E12</v>
      </c>
      <c r="B447" s="2" t="s">
        <v>2294</v>
      </c>
      <c r="C447" s="2" t="s">
        <v>2292</v>
      </c>
      <c r="D447" s="169">
        <v>45998.0</v>
      </c>
      <c r="E447" s="2">
        <v>3.352476262E9</v>
      </c>
      <c r="F447" s="2" t="s">
        <v>2293</v>
      </c>
      <c r="G447" s="2" t="s">
        <v>781</v>
      </c>
      <c r="H447" s="2">
        <v>1999.0</v>
      </c>
      <c r="I447" s="2" t="s">
        <v>2295</v>
      </c>
      <c r="J447" s="3">
        <v>1.0</v>
      </c>
      <c r="L447" s="2" t="s">
        <v>2296</v>
      </c>
      <c r="M447" s="174" t="s">
        <v>409</v>
      </c>
      <c r="N447" s="2" t="s">
        <v>462</v>
      </c>
      <c r="O447" s="3">
        <v>0.5</v>
      </c>
      <c r="P447" s="2" t="s">
        <v>640</v>
      </c>
      <c r="Q447" s="3">
        <v>1125.0</v>
      </c>
      <c r="T447" s="2" t="s">
        <v>1929</v>
      </c>
      <c r="U447" s="171">
        <v>1999.0</v>
      </c>
      <c r="W447" s="3">
        <v>343.15999999999997</v>
      </c>
      <c r="X447" s="172">
        <v>46057.69391315972</v>
      </c>
      <c r="Y447" s="172"/>
      <c r="Z447" s="3">
        <v>45998.0</v>
      </c>
      <c r="AA447" s="3"/>
    </row>
    <row r="448">
      <c r="A448" s="3">
        <v>6.787644850435E12</v>
      </c>
      <c r="B448" s="2" t="s">
        <v>2297</v>
      </c>
      <c r="C448" s="2" t="s">
        <v>2298</v>
      </c>
      <c r="D448" s="169">
        <v>45998.0</v>
      </c>
      <c r="E448" s="2">
        <v>3.213450552E9</v>
      </c>
      <c r="F448" s="2" t="s">
        <v>2299</v>
      </c>
      <c r="G448" s="2" t="s">
        <v>493</v>
      </c>
      <c r="H448" s="2">
        <v>2748.0</v>
      </c>
      <c r="I448" s="2">
        <v>2.8120050020111E13</v>
      </c>
      <c r="J448" s="3">
        <v>1.0</v>
      </c>
      <c r="L448" s="2" t="s">
        <v>512</v>
      </c>
      <c r="M448" s="174" t="s">
        <v>409</v>
      </c>
      <c r="N448" s="2" t="s">
        <v>462</v>
      </c>
      <c r="O448" s="3">
        <v>0.5</v>
      </c>
      <c r="P448" s="2" t="s">
        <v>73</v>
      </c>
      <c r="Q448" s="3">
        <v>850.0</v>
      </c>
      <c r="T448" s="2" t="s">
        <v>674</v>
      </c>
      <c r="U448" s="171">
        <v>2748.0</v>
      </c>
      <c r="V448" s="172">
        <v>46007.0</v>
      </c>
      <c r="W448" s="3">
        <v>337.0</v>
      </c>
      <c r="X448" s="172">
        <v>46003.63699074074</v>
      </c>
      <c r="Y448" s="172"/>
      <c r="Z448" s="3">
        <v>45998.0</v>
      </c>
      <c r="AA448" s="3"/>
    </row>
    <row r="449">
      <c r="A449" s="3">
        <v>6.787704553731E12</v>
      </c>
      <c r="B449" s="2" t="s">
        <v>2300</v>
      </c>
      <c r="C449" s="2" t="s">
        <v>2301</v>
      </c>
      <c r="D449" s="169">
        <v>45998.0</v>
      </c>
      <c r="E449" s="2">
        <v>3.342811568E9</v>
      </c>
      <c r="F449" s="2" t="s">
        <v>2302</v>
      </c>
      <c r="G449" s="2" t="s">
        <v>493</v>
      </c>
      <c r="H449" s="2">
        <v>5700.0</v>
      </c>
      <c r="I449" s="2" t="s">
        <v>2303</v>
      </c>
      <c r="J449" s="3">
        <v>4.0</v>
      </c>
      <c r="L449" s="2" t="s">
        <v>2304</v>
      </c>
      <c r="M449" s="174" t="s">
        <v>409</v>
      </c>
      <c r="N449" s="2" t="s">
        <v>462</v>
      </c>
      <c r="O449" s="3">
        <v>0.5</v>
      </c>
      <c r="P449" s="2" t="s">
        <v>640</v>
      </c>
      <c r="Q449" s="3">
        <v>1880.0</v>
      </c>
      <c r="T449" s="2" t="s">
        <v>1929</v>
      </c>
      <c r="U449" s="171">
        <v>5700.0</v>
      </c>
      <c r="W449" s="3">
        <v>491.2</v>
      </c>
      <c r="X449" s="172">
        <v>46057.6939234375</v>
      </c>
      <c r="Y449" s="172"/>
      <c r="Z449" s="3">
        <v>45998.0</v>
      </c>
      <c r="AA449" s="3"/>
    </row>
    <row r="450">
      <c r="A450" s="3">
        <v>6.787718512899E12</v>
      </c>
      <c r="B450" s="2" t="s">
        <v>2305</v>
      </c>
      <c r="C450" s="2" t="s">
        <v>2306</v>
      </c>
      <c r="D450" s="169">
        <v>45998.0</v>
      </c>
      <c r="E450" s="2">
        <v>3.111311617E9</v>
      </c>
      <c r="F450" s="2" t="s">
        <v>2307</v>
      </c>
      <c r="G450" s="2" t="s">
        <v>898</v>
      </c>
      <c r="H450" s="2">
        <v>2748.0</v>
      </c>
      <c r="I450" s="2">
        <v>2.912005002011E13</v>
      </c>
      <c r="J450" s="3">
        <v>1.0</v>
      </c>
      <c r="L450" s="2" t="s">
        <v>519</v>
      </c>
      <c r="M450" s="174" t="s">
        <v>409</v>
      </c>
      <c r="N450" s="2" t="s">
        <v>462</v>
      </c>
      <c r="O450" s="3">
        <v>0.5</v>
      </c>
      <c r="P450" s="2" t="s">
        <v>363</v>
      </c>
      <c r="Q450" s="3">
        <v>850.0</v>
      </c>
      <c r="T450" s="2" t="s">
        <v>456</v>
      </c>
      <c r="U450" s="171">
        <v>2748.0</v>
      </c>
      <c r="V450" s="172">
        <v>46003.0</v>
      </c>
      <c r="W450" s="3">
        <v>330.0</v>
      </c>
      <c r="X450" s="172">
        <v>46000.579375</v>
      </c>
      <c r="Y450" s="172"/>
      <c r="Z450" s="3">
        <v>45998.0</v>
      </c>
      <c r="AA450" s="3"/>
    </row>
    <row r="451">
      <c r="A451" s="3">
        <v>6.787804037379E12</v>
      </c>
      <c r="B451" s="2" t="s">
        <v>2308</v>
      </c>
      <c r="C451" s="2" t="s">
        <v>2309</v>
      </c>
      <c r="D451" s="169">
        <v>45998.0</v>
      </c>
      <c r="E451" s="2">
        <v>3.00985347E9</v>
      </c>
      <c r="F451" s="2" t="s">
        <v>2310</v>
      </c>
      <c r="G451" s="2" t="s">
        <v>2311</v>
      </c>
      <c r="H451" s="2">
        <v>0.0</v>
      </c>
      <c r="J451" s="3">
        <v>0.0</v>
      </c>
      <c r="K451" s="2" t="s">
        <v>2312</v>
      </c>
      <c r="L451" s="2"/>
      <c r="M451" s="2" t="s">
        <v>468</v>
      </c>
      <c r="N451" s="2" t="s">
        <v>406</v>
      </c>
      <c r="O451" s="3">
        <v>0.5</v>
      </c>
      <c r="Q451" s="3">
        <v>0.0</v>
      </c>
      <c r="U451" s="141"/>
      <c r="X451" s="172">
        <v>46057.64278275463</v>
      </c>
      <c r="Y451" s="172"/>
      <c r="Z451" s="3">
        <v>45998.0</v>
      </c>
      <c r="AA451" s="3"/>
    </row>
    <row r="452">
      <c r="A452" s="3">
        <v>6.787826286851E12</v>
      </c>
      <c r="B452" s="2" t="s">
        <v>2313</v>
      </c>
      <c r="C452" s="2" t="s">
        <v>2314</v>
      </c>
      <c r="D452" s="169">
        <v>45998.0</v>
      </c>
      <c r="E452" s="2">
        <v>3.409640405E9</v>
      </c>
      <c r="F452" s="2" t="s">
        <v>2315</v>
      </c>
      <c r="G452" s="2" t="s">
        <v>2316</v>
      </c>
      <c r="H452" s="2">
        <v>0.0</v>
      </c>
      <c r="I452" s="2">
        <v>2.1120050020109E13</v>
      </c>
      <c r="J452" s="3">
        <v>0.0</v>
      </c>
      <c r="K452" s="2" t="s">
        <v>2317</v>
      </c>
      <c r="L452" s="2"/>
      <c r="M452" s="170" t="s">
        <v>455</v>
      </c>
      <c r="N452" s="2" t="s">
        <v>406</v>
      </c>
      <c r="O452" s="3">
        <v>0.5</v>
      </c>
      <c r="P452" s="2" t="s">
        <v>73</v>
      </c>
      <c r="Q452" s="3">
        <v>0.0</v>
      </c>
      <c r="T452" s="2" t="s">
        <v>599</v>
      </c>
      <c r="U452" s="171">
        <v>0.0</v>
      </c>
      <c r="V452" s="172">
        <v>46010.0</v>
      </c>
      <c r="W452" s="3">
        <v>213.0</v>
      </c>
      <c r="X452" s="172">
        <v>46057.64278275463</v>
      </c>
      <c r="Y452" s="172"/>
      <c r="Z452" s="3">
        <v>45998.0</v>
      </c>
      <c r="AA452" s="3"/>
    </row>
    <row r="453">
      <c r="A453" s="3">
        <v>6.787851223299E12</v>
      </c>
      <c r="B453" s="2" t="s">
        <v>2318</v>
      </c>
      <c r="C453" s="2" t="s">
        <v>2319</v>
      </c>
      <c r="D453" s="169">
        <v>45998.0</v>
      </c>
      <c r="E453" s="173" t="s">
        <v>2320</v>
      </c>
      <c r="F453" s="2" t="s">
        <v>2321</v>
      </c>
      <c r="G453" s="2" t="s">
        <v>2322</v>
      </c>
      <c r="H453" s="2">
        <v>4001.0</v>
      </c>
      <c r="I453" s="2">
        <v>1.730088797E11</v>
      </c>
      <c r="J453" s="3">
        <v>2.0</v>
      </c>
      <c r="K453" s="2" t="s">
        <v>2323</v>
      </c>
      <c r="L453" s="2" t="s">
        <v>2324</v>
      </c>
      <c r="M453" s="174" t="s">
        <v>409</v>
      </c>
      <c r="N453" s="2" t="s">
        <v>462</v>
      </c>
      <c r="O453" s="3">
        <v>0.5</v>
      </c>
      <c r="P453" s="2" t="s">
        <v>501</v>
      </c>
      <c r="Q453" s="3">
        <v>920.0</v>
      </c>
      <c r="T453" s="2" t="s">
        <v>1973</v>
      </c>
      <c r="U453" s="3">
        <v>4001.0</v>
      </c>
      <c r="W453" s="3">
        <v>416.15999999999997</v>
      </c>
      <c r="X453" s="172">
        <v>46057.69395271991</v>
      </c>
      <c r="Y453" s="172"/>
      <c r="Z453" s="3">
        <v>45998.0</v>
      </c>
      <c r="AA453" s="3"/>
    </row>
    <row r="454">
      <c r="A454" s="3">
        <v>6.787914989827E12</v>
      </c>
      <c r="B454" s="2" t="s">
        <v>2325</v>
      </c>
      <c r="C454" s="2" t="s">
        <v>2326</v>
      </c>
      <c r="D454" s="169">
        <v>45998.0</v>
      </c>
      <c r="E454" s="2">
        <v>3.294482546E9</v>
      </c>
      <c r="F454" s="2" t="s">
        <v>2327</v>
      </c>
      <c r="G454" s="2" t="s">
        <v>368</v>
      </c>
      <c r="H454" s="2">
        <v>2748.0</v>
      </c>
      <c r="I454" s="2">
        <v>2.8120050020108E13</v>
      </c>
      <c r="J454" s="3">
        <v>1.0</v>
      </c>
      <c r="L454" s="2" t="s">
        <v>512</v>
      </c>
      <c r="M454" s="174" t="s">
        <v>409</v>
      </c>
      <c r="N454" s="2" t="s">
        <v>462</v>
      </c>
      <c r="O454" s="3">
        <v>0.5</v>
      </c>
      <c r="P454" s="2" t="s">
        <v>73</v>
      </c>
      <c r="Q454" s="3">
        <v>850.0</v>
      </c>
      <c r="T454" s="2" t="s">
        <v>456</v>
      </c>
      <c r="U454" s="171">
        <v>2748.0</v>
      </c>
      <c r="V454" s="172">
        <v>46003.0</v>
      </c>
      <c r="W454" s="3">
        <v>230.0</v>
      </c>
      <c r="X454" s="172">
        <v>46001.56760416667</v>
      </c>
      <c r="Y454" s="172"/>
      <c r="Z454" s="3">
        <v>45998.0</v>
      </c>
      <c r="AA454" s="3"/>
    </row>
    <row r="455">
      <c r="A455" s="3">
        <v>6.787924721923E12</v>
      </c>
      <c r="B455" s="2" t="s">
        <v>2328</v>
      </c>
      <c r="C455" s="2" t="s">
        <v>2329</v>
      </c>
      <c r="D455" s="169">
        <v>45998.0</v>
      </c>
      <c r="E455" s="2">
        <v>3.335246549E9</v>
      </c>
      <c r="F455" s="2" t="s">
        <v>2330</v>
      </c>
      <c r="G455" s="2" t="s">
        <v>781</v>
      </c>
      <c r="H455" s="2">
        <v>2749.0</v>
      </c>
      <c r="I455" s="2">
        <v>2.2120050020136E13</v>
      </c>
      <c r="J455" s="3">
        <v>2.0</v>
      </c>
      <c r="L455" s="2" t="s">
        <v>35</v>
      </c>
      <c r="M455" s="174" t="s">
        <v>409</v>
      </c>
      <c r="N455" s="2" t="s">
        <v>462</v>
      </c>
      <c r="O455" s="3">
        <v>0.5</v>
      </c>
      <c r="P455" s="2" t="s">
        <v>363</v>
      </c>
      <c r="Q455" s="3">
        <v>980.0</v>
      </c>
      <c r="T455" s="2" t="s">
        <v>456</v>
      </c>
      <c r="U455" s="171">
        <v>2749.0</v>
      </c>
      <c r="V455" s="172">
        <v>46003.0</v>
      </c>
      <c r="W455" s="3">
        <v>323.0</v>
      </c>
      <c r="X455" s="172">
        <v>46001.52104166667</v>
      </c>
      <c r="Y455" s="172"/>
      <c r="Z455" s="3">
        <v>45998.0</v>
      </c>
      <c r="AA455" s="3"/>
    </row>
    <row r="456">
      <c r="A456" s="3">
        <v>6.787950575875E12</v>
      </c>
      <c r="B456" s="2" t="s">
        <v>2331</v>
      </c>
      <c r="C456" s="2" t="s">
        <v>2332</v>
      </c>
      <c r="D456" s="169">
        <v>45998.0</v>
      </c>
      <c r="E456" s="2">
        <v>3.000268411E9</v>
      </c>
      <c r="F456" s="2" t="s">
        <v>2333</v>
      </c>
      <c r="G456" s="2" t="s">
        <v>493</v>
      </c>
      <c r="H456" s="2">
        <v>2749.0</v>
      </c>
      <c r="I456" s="2">
        <v>2.2120050020135E13</v>
      </c>
      <c r="J456" s="3">
        <v>2.0</v>
      </c>
      <c r="L456" s="2" t="s">
        <v>35</v>
      </c>
      <c r="M456" s="174" t="s">
        <v>409</v>
      </c>
      <c r="N456" s="2" t="s">
        <v>462</v>
      </c>
      <c r="O456" s="3">
        <v>0.5</v>
      </c>
      <c r="P456" s="2" t="s">
        <v>363</v>
      </c>
      <c r="Q456" s="3">
        <v>980.0</v>
      </c>
      <c r="T456" s="2" t="s">
        <v>456</v>
      </c>
      <c r="U456" s="171">
        <v>2749.0</v>
      </c>
      <c r="V456" s="172">
        <v>46003.0</v>
      </c>
      <c r="W456" s="3">
        <v>323.0</v>
      </c>
      <c r="X456" s="172">
        <v>46001.841307870374</v>
      </c>
      <c r="Y456" s="172"/>
      <c r="Z456" s="3">
        <v>45998.0</v>
      </c>
      <c r="AA456" s="3"/>
    </row>
    <row r="457">
      <c r="A457" s="3">
        <v>6.787960275203E12</v>
      </c>
      <c r="B457" s="2" t="s">
        <v>2334</v>
      </c>
      <c r="C457" s="2" t="s">
        <v>2335</v>
      </c>
      <c r="D457" s="169">
        <v>45998.0</v>
      </c>
      <c r="E457" s="2">
        <v>3.468271E9</v>
      </c>
      <c r="F457" s="2" t="s">
        <v>2336</v>
      </c>
      <c r="G457" s="2" t="s">
        <v>368</v>
      </c>
      <c r="H457" s="2">
        <v>3099.0</v>
      </c>
      <c r="I457" s="2">
        <v>2.3120050020134E13</v>
      </c>
      <c r="J457" s="3">
        <v>2.0</v>
      </c>
      <c r="L457" s="2" t="s">
        <v>296</v>
      </c>
      <c r="M457" s="174" t="s">
        <v>409</v>
      </c>
      <c r="N457" s="2" t="s">
        <v>462</v>
      </c>
      <c r="O457" s="3">
        <v>0.5</v>
      </c>
      <c r="P457" s="2" t="s">
        <v>363</v>
      </c>
      <c r="Q457" s="3">
        <v>920.0</v>
      </c>
      <c r="T457" s="2" t="s">
        <v>456</v>
      </c>
      <c r="U457" s="171">
        <v>3099.0</v>
      </c>
      <c r="V457" s="172">
        <v>46003.0</v>
      </c>
      <c r="W457" s="3">
        <v>231.0</v>
      </c>
      <c r="X457" s="172">
        <v>46000.58144675926</v>
      </c>
      <c r="Y457" s="172"/>
      <c r="Z457" s="3">
        <v>45998.0</v>
      </c>
      <c r="AA457" s="3"/>
    </row>
    <row r="458">
      <c r="A458" s="3">
        <v>6.787980296451E12</v>
      </c>
      <c r="B458" s="2" t="s">
        <v>2337</v>
      </c>
      <c r="C458" s="2" t="s">
        <v>2338</v>
      </c>
      <c r="D458" s="169">
        <v>45998.0</v>
      </c>
      <c r="E458" s="173" t="s">
        <v>2339</v>
      </c>
      <c r="F458" s="2" t="s">
        <v>2340</v>
      </c>
      <c r="G458" s="2" t="s">
        <v>781</v>
      </c>
      <c r="H458" s="2">
        <v>249.0</v>
      </c>
      <c r="I458" s="2">
        <v>2.4120050020133E13</v>
      </c>
      <c r="J458" s="3">
        <v>0.0</v>
      </c>
      <c r="K458" s="2" t="s">
        <v>2341</v>
      </c>
      <c r="L458" s="2"/>
      <c r="M458" s="174" t="s">
        <v>409</v>
      </c>
      <c r="N458" s="2" t="s">
        <v>406</v>
      </c>
      <c r="O458" s="3">
        <v>0.5</v>
      </c>
      <c r="P458" s="2" t="s">
        <v>363</v>
      </c>
      <c r="Q458" s="2">
        <v>0.0</v>
      </c>
      <c r="T458" s="2" t="s">
        <v>456</v>
      </c>
      <c r="U458" s="2">
        <v>249.0</v>
      </c>
      <c r="V458" s="172">
        <v>46003.0</v>
      </c>
      <c r="W458" s="3">
        <v>385.0</v>
      </c>
      <c r="X458" s="172">
        <v>46001.685636574075</v>
      </c>
      <c r="Y458" s="172"/>
      <c r="Z458" s="3">
        <v>45998.0</v>
      </c>
      <c r="AA458" s="3"/>
    </row>
    <row r="459">
      <c r="A459" s="3">
        <v>6.788015587587E12</v>
      </c>
      <c r="B459" s="2" t="s">
        <v>2342</v>
      </c>
      <c r="C459" s="2" t="s">
        <v>2343</v>
      </c>
      <c r="D459" s="169">
        <v>45998.0</v>
      </c>
      <c r="E459" s="173" t="s">
        <v>2344</v>
      </c>
      <c r="F459" s="2" t="s">
        <v>2345</v>
      </c>
      <c r="G459" s="2" t="s">
        <v>506</v>
      </c>
      <c r="H459" s="2">
        <v>3700.0</v>
      </c>
      <c r="I459" s="2" t="s">
        <v>2346</v>
      </c>
      <c r="J459" s="3">
        <v>1.0</v>
      </c>
      <c r="K459" s="2" t="s">
        <v>511</v>
      </c>
      <c r="L459" s="2" t="s">
        <v>608</v>
      </c>
      <c r="M459" s="174" t="s">
        <v>409</v>
      </c>
      <c r="N459" s="2" t="s">
        <v>462</v>
      </c>
      <c r="O459" s="3">
        <v>0.5</v>
      </c>
      <c r="P459" s="2" t="s">
        <v>640</v>
      </c>
      <c r="Q459" s="3">
        <v>1600.0</v>
      </c>
      <c r="T459" s="2" t="s">
        <v>1929</v>
      </c>
      <c r="U459" s="3">
        <v>3700.0</v>
      </c>
      <c r="W459" s="3">
        <v>414.0</v>
      </c>
      <c r="X459" s="172">
        <v>46057.69399175926</v>
      </c>
      <c r="Y459" s="172"/>
      <c r="Z459" s="3">
        <v>45998.0</v>
      </c>
      <c r="AA459" s="3"/>
    </row>
    <row r="460">
      <c r="A460" s="3">
        <v>6.788060184835E12</v>
      </c>
      <c r="B460" s="2" t="s">
        <v>2347</v>
      </c>
      <c r="C460" s="2" t="s">
        <v>2348</v>
      </c>
      <c r="D460" s="169">
        <v>45998.0</v>
      </c>
      <c r="E460" s="2">
        <v>3.090087896E9</v>
      </c>
      <c r="F460" s="2" t="s">
        <v>2349</v>
      </c>
      <c r="G460" s="2" t="s">
        <v>541</v>
      </c>
      <c r="H460" s="2">
        <v>0.0</v>
      </c>
      <c r="I460" s="2" t="s">
        <v>2350</v>
      </c>
      <c r="J460" s="3">
        <v>0.0</v>
      </c>
      <c r="K460" s="2" t="s">
        <v>537</v>
      </c>
      <c r="L460" s="2"/>
      <c r="M460" s="170" t="s">
        <v>455</v>
      </c>
      <c r="N460" s="2" t="s">
        <v>406</v>
      </c>
      <c r="O460" s="3">
        <v>0.5</v>
      </c>
      <c r="P460" s="2" t="s">
        <v>640</v>
      </c>
      <c r="Q460" s="3">
        <v>0.0</v>
      </c>
      <c r="T460" s="2" t="s">
        <v>1929</v>
      </c>
      <c r="U460" s="141"/>
      <c r="W460" s="3">
        <v>263.2</v>
      </c>
      <c r="X460" s="172">
        <v>46057.693995752314</v>
      </c>
      <c r="Y460" s="172"/>
      <c r="Z460" s="3">
        <v>45998.0</v>
      </c>
      <c r="AA460" s="3"/>
    </row>
    <row r="461">
      <c r="A461" s="3">
        <v>6.788080107779E12</v>
      </c>
      <c r="B461" s="2" t="s">
        <v>2351</v>
      </c>
      <c r="C461" s="2" t="s">
        <v>2352</v>
      </c>
      <c r="D461" s="169">
        <v>45999.0</v>
      </c>
      <c r="E461" s="2">
        <v>3.339226997E9</v>
      </c>
      <c r="F461" s="2" t="s">
        <v>2353</v>
      </c>
      <c r="G461" s="2" t="s">
        <v>2354</v>
      </c>
      <c r="H461" s="2">
        <v>0.0</v>
      </c>
      <c r="I461" s="2">
        <v>2.3120050020164E13</v>
      </c>
      <c r="J461" s="3">
        <v>0.0</v>
      </c>
      <c r="K461" s="2" t="s">
        <v>2355</v>
      </c>
      <c r="L461" s="2"/>
      <c r="M461" s="170" t="s">
        <v>455</v>
      </c>
      <c r="N461" s="2" t="s">
        <v>406</v>
      </c>
      <c r="O461" s="3">
        <v>0.5</v>
      </c>
      <c r="P461" s="2" t="s">
        <v>363</v>
      </c>
      <c r="Q461" s="3">
        <v>0.0</v>
      </c>
      <c r="T461" s="2" t="s">
        <v>599</v>
      </c>
      <c r="U461" s="171">
        <v>0.0</v>
      </c>
      <c r="V461" s="172">
        <v>46010.0</v>
      </c>
      <c r="W461" s="3">
        <v>227.0</v>
      </c>
      <c r="X461" s="172">
        <v>46057.64278275463</v>
      </c>
      <c r="Y461" s="172"/>
      <c r="Z461" s="3">
        <v>45999.0</v>
      </c>
      <c r="AA461" s="3"/>
    </row>
    <row r="462">
      <c r="A462" s="3">
        <v>6.788115628291E12</v>
      </c>
      <c r="B462" s="2" t="s">
        <v>2356</v>
      </c>
      <c r="C462" s="2" t="s">
        <v>2357</v>
      </c>
      <c r="D462" s="169">
        <v>45999.0</v>
      </c>
      <c r="E462" s="2">
        <v>3.465313836E9</v>
      </c>
      <c r="F462" s="2" t="s">
        <v>2358</v>
      </c>
      <c r="G462" s="2" t="s">
        <v>506</v>
      </c>
      <c r="H462" s="2">
        <v>3099.0</v>
      </c>
      <c r="I462" s="2">
        <v>2.5120050020132E13</v>
      </c>
      <c r="J462" s="3">
        <v>2.0</v>
      </c>
      <c r="L462" s="2" t="s">
        <v>1129</v>
      </c>
      <c r="M462" s="174" t="s">
        <v>409</v>
      </c>
      <c r="N462" s="2" t="s">
        <v>462</v>
      </c>
      <c r="O462" s="3">
        <v>0.5</v>
      </c>
      <c r="P462" s="2" t="s">
        <v>363</v>
      </c>
      <c r="Q462" s="3">
        <v>960.0</v>
      </c>
      <c r="T462" s="2" t="s">
        <v>456</v>
      </c>
      <c r="U462" s="171">
        <v>3099.0</v>
      </c>
      <c r="V462" s="172">
        <v>46003.0</v>
      </c>
      <c r="W462" s="3">
        <v>324.0</v>
      </c>
      <c r="X462" s="172">
        <v>46001.50783564815</v>
      </c>
      <c r="Y462" s="172"/>
      <c r="Z462" s="3">
        <v>45999.0</v>
      </c>
      <c r="AA462" s="3"/>
    </row>
    <row r="463">
      <c r="A463" s="3">
        <v>6.788132503811E12</v>
      </c>
      <c r="B463" s="2" t="s">
        <v>2359</v>
      </c>
      <c r="C463" s="2" t="s">
        <v>2360</v>
      </c>
      <c r="D463" s="169">
        <v>45999.0</v>
      </c>
      <c r="E463" s="2">
        <v>3.011525777E9</v>
      </c>
      <c r="F463" s="2" t="s">
        <v>2361</v>
      </c>
      <c r="G463" s="2" t="s">
        <v>1619</v>
      </c>
      <c r="H463" s="2">
        <v>2749.0</v>
      </c>
      <c r="I463" s="2">
        <v>2.8120050020131E13</v>
      </c>
      <c r="J463" s="3">
        <v>2.0</v>
      </c>
      <c r="L463" s="2" t="s">
        <v>35</v>
      </c>
      <c r="M463" s="174" t="s">
        <v>409</v>
      </c>
      <c r="N463" s="2" t="s">
        <v>462</v>
      </c>
      <c r="O463" s="3">
        <v>0.5</v>
      </c>
      <c r="P463" s="2" t="s">
        <v>73</v>
      </c>
      <c r="Q463" s="3">
        <v>980.0</v>
      </c>
      <c r="T463" s="2" t="s">
        <v>456</v>
      </c>
      <c r="U463" s="171">
        <v>2749.0</v>
      </c>
      <c r="V463" s="172">
        <v>46003.0</v>
      </c>
      <c r="W463" s="3">
        <v>217.0</v>
      </c>
      <c r="X463" s="172">
        <v>46000.5655324074</v>
      </c>
      <c r="Y463" s="172"/>
      <c r="Z463" s="3">
        <v>45999.0</v>
      </c>
      <c r="AA463" s="3"/>
    </row>
    <row r="464">
      <c r="A464" s="3">
        <v>6.788336222467E12</v>
      </c>
      <c r="B464" s="2" t="s">
        <v>2362</v>
      </c>
      <c r="C464" s="2" t="s">
        <v>2363</v>
      </c>
      <c r="D464" s="169">
        <v>45999.0</v>
      </c>
      <c r="E464" s="2">
        <v>3.349958303E9</v>
      </c>
      <c r="F464" s="2" t="s">
        <v>2364</v>
      </c>
      <c r="G464" s="2" t="s">
        <v>368</v>
      </c>
      <c r="H464" s="2">
        <v>2749.0</v>
      </c>
      <c r="I464" s="2">
        <v>2.512005002013E13</v>
      </c>
      <c r="J464" s="3">
        <v>2.0</v>
      </c>
      <c r="L464" s="2" t="s">
        <v>926</v>
      </c>
      <c r="M464" s="174" t="s">
        <v>409</v>
      </c>
      <c r="N464" s="2" t="s">
        <v>462</v>
      </c>
      <c r="O464" s="3">
        <v>0.5</v>
      </c>
      <c r="P464" s="2" t="s">
        <v>363</v>
      </c>
      <c r="Q464" s="3">
        <v>980.0</v>
      </c>
      <c r="T464" s="2" t="s">
        <v>456</v>
      </c>
      <c r="U464" s="171">
        <v>2749.0</v>
      </c>
      <c r="V464" s="172">
        <v>46003.0</v>
      </c>
      <c r="W464" s="3">
        <v>217.0</v>
      </c>
      <c r="X464" s="172">
        <v>46000.55511574074</v>
      </c>
      <c r="Y464" s="172"/>
      <c r="Z464" s="3">
        <v>45999.0</v>
      </c>
      <c r="AA464" s="3"/>
    </row>
    <row r="465">
      <c r="A465" s="3">
        <v>6.788628349187E12</v>
      </c>
      <c r="B465" s="2" t="s">
        <v>2365</v>
      </c>
      <c r="C465" s="2" t="s">
        <v>2366</v>
      </c>
      <c r="D465" s="169">
        <v>45999.0</v>
      </c>
      <c r="E465" s="2">
        <v>3.362221104E9</v>
      </c>
      <c r="F465" s="2" t="s">
        <v>2367</v>
      </c>
      <c r="G465" s="2" t="s">
        <v>493</v>
      </c>
      <c r="H465" s="2">
        <v>2748.0</v>
      </c>
      <c r="I465" s="2">
        <v>2.8120050020107E13</v>
      </c>
      <c r="J465" s="3">
        <v>1.0</v>
      </c>
      <c r="L465" s="2" t="s">
        <v>512</v>
      </c>
      <c r="M465" s="174" t="s">
        <v>409</v>
      </c>
      <c r="N465" s="2" t="s">
        <v>462</v>
      </c>
      <c r="O465" s="3">
        <v>0.5</v>
      </c>
      <c r="P465" s="2" t="s">
        <v>73</v>
      </c>
      <c r="Q465" s="3">
        <v>850.0</v>
      </c>
      <c r="T465" s="2" t="s">
        <v>456</v>
      </c>
      <c r="U465" s="171">
        <v>2748.0</v>
      </c>
      <c r="V465" s="172">
        <v>46003.0</v>
      </c>
      <c r="W465" s="3">
        <v>337.0</v>
      </c>
      <c r="X465" s="172">
        <v>46002.846712962964</v>
      </c>
      <c r="Y465" s="172"/>
      <c r="Z465" s="3">
        <v>45999.0</v>
      </c>
      <c r="AA465" s="3"/>
    </row>
    <row r="466">
      <c r="A466" s="3">
        <v>6.788641030403E12</v>
      </c>
      <c r="B466" s="2" t="s">
        <v>2368</v>
      </c>
      <c r="C466" s="2" t="s">
        <v>2369</v>
      </c>
      <c r="D466" s="169">
        <v>45999.0</v>
      </c>
      <c r="E466" s="2">
        <v>3.191019394E9</v>
      </c>
      <c r="F466" s="2" t="s">
        <v>2370</v>
      </c>
      <c r="G466" s="2" t="s">
        <v>368</v>
      </c>
      <c r="H466" s="2">
        <v>0.0</v>
      </c>
      <c r="I466" s="2">
        <v>2.0120050020129E13</v>
      </c>
      <c r="J466" s="3">
        <v>0.0</v>
      </c>
      <c r="K466" s="2" t="s">
        <v>2371</v>
      </c>
      <c r="L466" s="2"/>
      <c r="M466" s="170" t="s">
        <v>455</v>
      </c>
      <c r="N466" s="2" t="s">
        <v>406</v>
      </c>
      <c r="O466" s="3">
        <v>0.5</v>
      </c>
      <c r="P466" s="2" t="s">
        <v>363</v>
      </c>
      <c r="Q466" s="3">
        <v>0.0</v>
      </c>
      <c r="T466" s="2" t="s">
        <v>674</v>
      </c>
      <c r="U466" s="171">
        <v>0.0</v>
      </c>
      <c r="V466" s="172">
        <v>46007.0</v>
      </c>
      <c r="W466" s="3">
        <v>107.0</v>
      </c>
      <c r="X466" s="172">
        <v>46057.64278275463</v>
      </c>
      <c r="Y466" s="172"/>
      <c r="Z466" s="3">
        <v>45999.0</v>
      </c>
      <c r="AA466" s="3"/>
    </row>
    <row r="467">
      <c r="A467" s="3">
        <v>6.788719902979E12</v>
      </c>
      <c r="B467" s="2" t="s">
        <v>2372</v>
      </c>
      <c r="C467" s="2" t="s">
        <v>2373</v>
      </c>
      <c r="D467" s="169">
        <v>45999.0</v>
      </c>
      <c r="E467" s="2">
        <v>3.214459521E9</v>
      </c>
      <c r="F467" s="2" t="s">
        <v>2374</v>
      </c>
      <c r="G467" s="2" t="s">
        <v>368</v>
      </c>
      <c r="H467" s="2">
        <v>2749.0</v>
      </c>
      <c r="I467" s="2">
        <v>2.6120050020128E13</v>
      </c>
      <c r="J467" s="3">
        <v>2.0</v>
      </c>
      <c r="L467" s="2" t="s">
        <v>16</v>
      </c>
      <c r="M467" s="174" t="s">
        <v>409</v>
      </c>
      <c r="N467" s="2" t="s">
        <v>462</v>
      </c>
      <c r="O467" s="3">
        <v>0.5</v>
      </c>
      <c r="P467" s="2" t="s">
        <v>363</v>
      </c>
      <c r="Q467" s="3">
        <v>980.0</v>
      </c>
      <c r="T467" s="2" t="s">
        <v>456</v>
      </c>
      <c r="U467" s="171">
        <v>2749.0</v>
      </c>
      <c r="V467" s="172">
        <v>46003.0</v>
      </c>
      <c r="W467" s="3">
        <v>217.0</v>
      </c>
      <c r="X467" s="172">
        <v>46000.75508101852</v>
      </c>
      <c r="Y467" s="172"/>
      <c r="Z467" s="3">
        <v>45999.0</v>
      </c>
      <c r="AA467" s="3"/>
    </row>
    <row r="468">
      <c r="A468" s="3">
        <v>6.788763812099E12</v>
      </c>
      <c r="B468" s="2" t="s">
        <v>2375</v>
      </c>
      <c r="C468" s="2" t="s">
        <v>2376</v>
      </c>
      <c r="D468" s="169">
        <v>45999.0</v>
      </c>
      <c r="E468" s="2">
        <v>3.007771934E9</v>
      </c>
      <c r="F468" s="2" t="s">
        <v>2377</v>
      </c>
      <c r="G468" s="2" t="s">
        <v>2378</v>
      </c>
      <c r="H468" s="2">
        <v>0.0</v>
      </c>
      <c r="I468" s="2">
        <v>2.7120050020163E13</v>
      </c>
      <c r="J468" s="3">
        <v>0.0</v>
      </c>
      <c r="K468" s="2" t="s">
        <v>2379</v>
      </c>
      <c r="L468" s="2"/>
      <c r="M468" s="170" t="s">
        <v>455</v>
      </c>
      <c r="N468" s="2" t="s">
        <v>406</v>
      </c>
      <c r="O468" s="3">
        <v>0.5</v>
      </c>
      <c r="P468" s="2" t="s">
        <v>363</v>
      </c>
      <c r="Q468" s="3">
        <v>0.0</v>
      </c>
      <c r="T468" s="2" t="s">
        <v>1468</v>
      </c>
      <c r="U468" s="171">
        <v>0.0</v>
      </c>
      <c r="V468" s="172">
        <v>46017.0</v>
      </c>
      <c r="W468" s="3">
        <v>220.0</v>
      </c>
      <c r="X468" s="172">
        <v>46057.64278275463</v>
      </c>
      <c r="Y468" s="172"/>
      <c r="Z468" s="3">
        <v>45999.0</v>
      </c>
      <c r="AA468" s="3"/>
    </row>
    <row r="469">
      <c r="A469" s="3">
        <v>6.788779770115E12</v>
      </c>
      <c r="B469" s="2" t="s">
        <v>2380</v>
      </c>
      <c r="C469" s="2" t="s">
        <v>2381</v>
      </c>
      <c r="D469" s="169">
        <v>45999.0</v>
      </c>
      <c r="E469" s="2">
        <v>3.108295551E9</v>
      </c>
      <c r="F469" s="2" t="s">
        <v>2382</v>
      </c>
      <c r="G469" s="2" t="s">
        <v>493</v>
      </c>
      <c r="H469" s="2">
        <v>2749.0</v>
      </c>
      <c r="I469" s="2">
        <v>2.3120050020127E13</v>
      </c>
      <c r="J469" s="3">
        <v>2.0</v>
      </c>
      <c r="L469" s="2" t="s">
        <v>35</v>
      </c>
      <c r="M469" s="174" t="s">
        <v>409</v>
      </c>
      <c r="N469" s="2" t="s">
        <v>462</v>
      </c>
      <c r="O469" s="3">
        <v>0.5</v>
      </c>
      <c r="P469" s="2" t="s">
        <v>363</v>
      </c>
      <c r="Q469" s="3">
        <v>980.0</v>
      </c>
      <c r="T469" s="2" t="s">
        <v>674</v>
      </c>
      <c r="U469" s="171">
        <v>2749.0</v>
      </c>
      <c r="V469" s="172">
        <v>46007.0</v>
      </c>
      <c r="W469" s="3">
        <v>323.0</v>
      </c>
      <c r="X469" s="172">
        <v>46003.54810185185</v>
      </c>
      <c r="Y469" s="172"/>
      <c r="Z469" s="3">
        <v>45999.0</v>
      </c>
      <c r="AA469" s="3"/>
    </row>
    <row r="470">
      <c r="A470" s="3">
        <v>6.788824105219E12</v>
      </c>
      <c r="B470" s="2" t="s">
        <v>2383</v>
      </c>
      <c r="C470" s="2" t="s">
        <v>2384</v>
      </c>
      <c r="D470" s="169">
        <v>45999.0</v>
      </c>
      <c r="E470" s="173" t="s">
        <v>2385</v>
      </c>
      <c r="F470" s="2" t="s">
        <v>2386</v>
      </c>
      <c r="G470" s="2" t="s">
        <v>368</v>
      </c>
      <c r="H470" s="2">
        <v>0.0</v>
      </c>
      <c r="I470" s="2">
        <v>2.2120050020166E13</v>
      </c>
      <c r="J470" s="3">
        <v>0.0</v>
      </c>
      <c r="K470" s="2" t="s">
        <v>2387</v>
      </c>
      <c r="L470" s="2"/>
      <c r="M470" s="170" t="s">
        <v>455</v>
      </c>
      <c r="N470" s="2" t="s">
        <v>406</v>
      </c>
      <c r="O470" s="3">
        <v>0.5</v>
      </c>
      <c r="P470" s="2" t="s">
        <v>363</v>
      </c>
      <c r="Q470" s="3">
        <v>0.0</v>
      </c>
      <c r="T470" s="2" t="s">
        <v>777</v>
      </c>
      <c r="U470" s="171">
        <v>0.0</v>
      </c>
      <c r="V470" s="172">
        <v>46014.0</v>
      </c>
      <c r="W470" s="3">
        <v>120.0</v>
      </c>
      <c r="X470" s="172">
        <v>46057.64278275463</v>
      </c>
      <c r="Y470" s="172"/>
      <c r="Z470" s="3">
        <v>45999.0</v>
      </c>
      <c r="AA470" s="3"/>
    </row>
    <row r="471">
      <c r="A471" s="3">
        <v>6.788833181955E12</v>
      </c>
      <c r="B471" s="2" t="s">
        <v>2388</v>
      </c>
      <c r="C471" s="2" t="s">
        <v>2389</v>
      </c>
      <c r="D471" s="169">
        <v>45999.0</v>
      </c>
      <c r="E471" s="2">
        <v>3.023046742E9</v>
      </c>
      <c r="F471" s="2" t="s">
        <v>2390</v>
      </c>
      <c r="G471" s="2" t="s">
        <v>2391</v>
      </c>
      <c r="H471" s="2">
        <v>2749.0</v>
      </c>
      <c r="I471" s="2">
        <v>1.7300883593E11</v>
      </c>
      <c r="J471" s="3">
        <v>2.0</v>
      </c>
      <c r="L471" s="2" t="s">
        <v>926</v>
      </c>
      <c r="M471" s="174" t="s">
        <v>409</v>
      </c>
      <c r="N471" s="2" t="s">
        <v>462</v>
      </c>
      <c r="O471" s="3">
        <v>0.5</v>
      </c>
      <c r="P471" s="2" t="s">
        <v>501</v>
      </c>
      <c r="Q471" s="3">
        <v>980.0</v>
      </c>
      <c r="T471" s="2" t="s">
        <v>1929</v>
      </c>
      <c r="U471" s="171">
        <v>2749.0</v>
      </c>
      <c r="W471" s="3">
        <v>402.15999999999997</v>
      </c>
      <c r="X471" s="172">
        <v>46057.69407450232</v>
      </c>
      <c r="Y471" s="172"/>
      <c r="Z471" s="3">
        <v>45999.0</v>
      </c>
      <c r="AA471" s="3"/>
    </row>
    <row r="472">
      <c r="A472" s="3">
        <v>6.788860838147E12</v>
      </c>
      <c r="B472" s="2" t="s">
        <v>2392</v>
      </c>
      <c r="C472" s="2" t="s">
        <v>2393</v>
      </c>
      <c r="D472" s="169">
        <v>45999.0</v>
      </c>
      <c r="E472" s="173" t="s">
        <v>2394</v>
      </c>
      <c r="F472" s="2" t="s">
        <v>2395</v>
      </c>
      <c r="G472" s="2" t="s">
        <v>2396</v>
      </c>
      <c r="H472" s="2">
        <v>2749.0</v>
      </c>
      <c r="I472" s="2">
        <v>2.2120050020126E13</v>
      </c>
      <c r="J472" s="3">
        <v>2.0</v>
      </c>
      <c r="L472" s="2" t="s">
        <v>926</v>
      </c>
      <c r="M472" s="174" t="s">
        <v>409</v>
      </c>
      <c r="N472" s="2" t="s">
        <v>462</v>
      </c>
      <c r="O472" s="3">
        <v>0.5</v>
      </c>
      <c r="P472" s="2" t="s">
        <v>363</v>
      </c>
      <c r="Q472" s="3">
        <v>980.0</v>
      </c>
      <c r="T472" s="2" t="s">
        <v>456</v>
      </c>
      <c r="U472" s="171">
        <v>2749.0</v>
      </c>
      <c r="V472" s="172">
        <v>46003.0</v>
      </c>
      <c r="W472" s="3">
        <v>330.0</v>
      </c>
      <c r="X472" s="172">
        <v>46001.74339120371</v>
      </c>
      <c r="Y472" s="172"/>
      <c r="Z472" s="3">
        <v>45999.0</v>
      </c>
      <c r="AA472" s="3"/>
    </row>
    <row r="473">
      <c r="A473" s="3">
        <v>6.788888428803E12</v>
      </c>
      <c r="B473" s="2" t="s">
        <v>2397</v>
      </c>
      <c r="C473" s="2" t="s">
        <v>2398</v>
      </c>
      <c r="D473" s="169">
        <v>45999.0</v>
      </c>
      <c r="E473" s="2">
        <v>3.301635204E9</v>
      </c>
      <c r="F473" s="2" t="s">
        <v>2399</v>
      </c>
      <c r="G473" s="2" t="s">
        <v>368</v>
      </c>
      <c r="H473" s="2">
        <v>2849.0</v>
      </c>
      <c r="I473" s="2">
        <v>2.0120050020125E13</v>
      </c>
      <c r="J473" s="3">
        <v>2.0</v>
      </c>
      <c r="L473" s="2" t="s">
        <v>1920</v>
      </c>
      <c r="M473" s="174" t="s">
        <v>409</v>
      </c>
      <c r="N473" s="2" t="s">
        <v>462</v>
      </c>
      <c r="O473" s="3">
        <v>0.5</v>
      </c>
      <c r="P473" s="2" t="s">
        <v>363</v>
      </c>
      <c r="Q473" s="3">
        <v>1050.0</v>
      </c>
      <c r="T473" s="2" t="s">
        <v>456</v>
      </c>
      <c r="U473" s="171">
        <v>2849.0</v>
      </c>
      <c r="V473" s="172">
        <v>46003.0</v>
      </c>
      <c r="W473" s="3">
        <v>314.0</v>
      </c>
      <c r="X473" s="172">
        <v>46000.71306712963</v>
      </c>
      <c r="Y473" s="172"/>
      <c r="Z473" s="3">
        <v>45999.0</v>
      </c>
      <c r="AA473" s="3"/>
    </row>
    <row r="474">
      <c r="A474" s="3">
        <v>6.788958388483E12</v>
      </c>
      <c r="B474" s="2" t="s">
        <v>2400</v>
      </c>
      <c r="C474" s="2" t="s">
        <v>2401</v>
      </c>
      <c r="D474" s="169">
        <v>45999.0</v>
      </c>
      <c r="E474" s="2">
        <v>3.032452617E9</v>
      </c>
      <c r="F474" s="2" t="s">
        <v>2402</v>
      </c>
      <c r="G474" s="2" t="s">
        <v>1630</v>
      </c>
      <c r="H474" s="2">
        <v>0.0</v>
      </c>
      <c r="J474" s="3">
        <v>0.0</v>
      </c>
      <c r="K474" s="2" t="s">
        <v>2403</v>
      </c>
      <c r="L474" s="2"/>
      <c r="M474" s="2" t="s">
        <v>468</v>
      </c>
      <c r="N474" s="2" t="s">
        <v>406</v>
      </c>
      <c r="O474" s="3">
        <v>0.5</v>
      </c>
      <c r="Q474" s="3">
        <v>0.0</v>
      </c>
      <c r="U474" s="141"/>
      <c r="X474" s="172">
        <v>46057.64278275463</v>
      </c>
      <c r="Y474" s="172"/>
      <c r="Z474" s="3">
        <v>45999.0</v>
      </c>
      <c r="AA474" s="3"/>
    </row>
    <row r="475">
      <c r="A475" s="3">
        <v>6.788978934019E12</v>
      </c>
      <c r="B475" s="2" t="s">
        <v>2404</v>
      </c>
      <c r="C475" s="2" t="s">
        <v>2384</v>
      </c>
      <c r="D475" s="169">
        <v>45999.0</v>
      </c>
      <c r="E475" s="2">
        <v>3.214850301E9</v>
      </c>
      <c r="F475" s="2" t="s">
        <v>2386</v>
      </c>
      <c r="G475" s="2" t="s">
        <v>368</v>
      </c>
      <c r="H475" s="2">
        <v>0.0</v>
      </c>
      <c r="J475" s="3">
        <v>0.0</v>
      </c>
      <c r="K475" s="2" t="s">
        <v>2405</v>
      </c>
      <c r="L475" s="2"/>
      <c r="M475" s="2" t="s">
        <v>468</v>
      </c>
      <c r="N475" s="2" t="s">
        <v>406</v>
      </c>
      <c r="O475" s="3">
        <v>0.5</v>
      </c>
      <c r="Q475" s="3">
        <v>0.0</v>
      </c>
      <c r="U475" s="141"/>
      <c r="X475" s="172">
        <v>46057.64278275463</v>
      </c>
      <c r="Y475" s="172"/>
      <c r="Z475" s="3">
        <v>45999.0</v>
      </c>
      <c r="AA475" s="3"/>
    </row>
    <row r="476">
      <c r="A476" s="3">
        <v>6.788992762115E12</v>
      </c>
      <c r="B476" s="2" t="s">
        <v>2406</v>
      </c>
      <c r="C476" s="2" t="s">
        <v>2407</v>
      </c>
      <c r="D476" s="169">
        <v>45999.0</v>
      </c>
      <c r="E476" s="173" t="s">
        <v>2408</v>
      </c>
      <c r="F476" s="2" t="s">
        <v>2409</v>
      </c>
      <c r="G476" s="2" t="s">
        <v>2410</v>
      </c>
      <c r="H476" s="2">
        <v>0.0</v>
      </c>
      <c r="I476" s="2">
        <v>2.1120050020124E13</v>
      </c>
      <c r="J476" s="3">
        <v>0.0</v>
      </c>
      <c r="K476" s="2" t="s">
        <v>2411</v>
      </c>
      <c r="L476" s="2"/>
      <c r="M476" s="170" t="s">
        <v>455</v>
      </c>
      <c r="N476" s="2" t="s">
        <v>406</v>
      </c>
      <c r="O476" s="3">
        <v>0.5</v>
      </c>
      <c r="P476" s="2" t="s">
        <v>73</v>
      </c>
      <c r="Q476" s="3">
        <v>0.0</v>
      </c>
      <c r="T476" s="2" t="s">
        <v>599</v>
      </c>
      <c r="U476" s="171">
        <v>0.0</v>
      </c>
      <c r="V476" s="172">
        <v>46010.0</v>
      </c>
      <c r="W476" s="3">
        <v>213.0</v>
      </c>
      <c r="X476" s="172">
        <v>46057.64278275463</v>
      </c>
      <c r="Y476" s="172"/>
      <c r="Z476" s="3">
        <v>45999.0</v>
      </c>
      <c r="AA476" s="3"/>
    </row>
    <row r="477">
      <c r="A477" s="3">
        <v>6.788995514627E12</v>
      </c>
      <c r="B477" s="2" t="s">
        <v>2412</v>
      </c>
      <c r="C477" s="2" t="s">
        <v>2413</v>
      </c>
      <c r="D477" s="169">
        <v>45999.0</v>
      </c>
      <c r="E477" s="2">
        <v>3.302481586E9</v>
      </c>
      <c r="F477" s="2" t="s">
        <v>2414</v>
      </c>
      <c r="G477" s="2" t="s">
        <v>493</v>
      </c>
      <c r="H477" s="2">
        <v>0.0</v>
      </c>
      <c r="I477" s="2">
        <v>2.0120050020123E13</v>
      </c>
      <c r="J477" s="3">
        <v>0.0</v>
      </c>
      <c r="K477" s="2" t="s">
        <v>2167</v>
      </c>
      <c r="L477" s="2"/>
      <c r="M477" s="170" t="s">
        <v>455</v>
      </c>
      <c r="N477" s="2" t="s">
        <v>406</v>
      </c>
      <c r="O477" s="3">
        <v>0.5</v>
      </c>
      <c r="P477" s="2" t="s">
        <v>363</v>
      </c>
      <c r="Q477" s="3">
        <v>0.0</v>
      </c>
      <c r="T477" s="2" t="s">
        <v>777</v>
      </c>
      <c r="U477" s="171">
        <v>0.0</v>
      </c>
      <c r="V477" s="172">
        <v>46014.0</v>
      </c>
      <c r="W477" s="3">
        <v>213.0</v>
      </c>
      <c r="X477" s="172">
        <v>46057.64278275463</v>
      </c>
      <c r="Y477" s="172"/>
      <c r="Z477" s="3">
        <v>45999.0</v>
      </c>
      <c r="AA477" s="3"/>
    </row>
    <row r="478">
      <c r="A478" s="3">
        <v>6.789020451075E12</v>
      </c>
      <c r="B478" s="2" t="s">
        <v>2415</v>
      </c>
      <c r="C478" s="2" t="s">
        <v>2416</v>
      </c>
      <c r="D478" s="169">
        <v>45999.0</v>
      </c>
      <c r="E478" s="2">
        <v>3.164577334E9</v>
      </c>
      <c r="F478" s="2" t="s">
        <v>2417</v>
      </c>
      <c r="G478" s="2" t="s">
        <v>493</v>
      </c>
      <c r="H478" s="2">
        <v>1299.0</v>
      </c>
      <c r="I478" s="2">
        <v>2.5120050020122E13</v>
      </c>
      <c r="J478" s="3">
        <v>1.0</v>
      </c>
      <c r="L478" s="2" t="s">
        <v>2418</v>
      </c>
      <c r="M478" s="174" t="s">
        <v>409</v>
      </c>
      <c r="N478" s="2" t="s">
        <v>462</v>
      </c>
      <c r="O478" s="3">
        <v>0.5</v>
      </c>
      <c r="P478" s="2" t="s">
        <v>363</v>
      </c>
      <c r="Q478" s="3">
        <v>550.0</v>
      </c>
      <c r="T478" s="2" t="s">
        <v>674</v>
      </c>
      <c r="U478" s="171">
        <v>1299.0</v>
      </c>
      <c r="V478" s="172">
        <v>46007.0</v>
      </c>
      <c r="W478" s="3">
        <v>265.0</v>
      </c>
      <c r="X478" s="172">
        <v>46006.80519675926</v>
      </c>
      <c r="Y478" s="172"/>
      <c r="Z478" s="3">
        <v>45999.0</v>
      </c>
      <c r="AA478" s="3"/>
    </row>
    <row r="479">
      <c r="A479" s="3">
        <v>6.789033722115E12</v>
      </c>
      <c r="B479" s="2" t="s">
        <v>2419</v>
      </c>
      <c r="C479" s="2" t="s">
        <v>2420</v>
      </c>
      <c r="D479" s="169">
        <v>45999.0</v>
      </c>
      <c r="E479" s="173" t="s">
        <v>2421</v>
      </c>
      <c r="F479" s="2" t="s">
        <v>2422</v>
      </c>
      <c r="G479" s="2" t="s">
        <v>855</v>
      </c>
      <c r="H479" s="2">
        <v>3399.0</v>
      </c>
      <c r="I479" s="2">
        <v>2.9120050020146E13</v>
      </c>
      <c r="J479" s="3">
        <v>3.0</v>
      </c>
      <c r="K479" s="2" t="s">
        <v>511</v>
      </c>
      <c r="L479" s="2" t="s">
        <v>2423</v>
      </c>
      <c r="M479" s="174" t="s">
        <v>409</v>
      </c>
      <c r="N479" s="2" t="s">
        <v>462</v>
      </c>
      <c r="O479" s="3">
        <v>0.5</v>
      </c>
      <c r="P479" s="2" t="s">
        <v>363</v>
      </c>
      <c r="Q479" s="3">
        <v>1650.0</v>
      </c>
      <c r="T479" s="2" t="s">
        <v>456</v>
      </c>
      <c r="U479" s="3">
        <v>3399.0</v>
      </c>
      <c r="V479" s="172">
        <v>46003.0</v>
      </c>
      <c r="W479" s="3">
        <v>220.0</v>
      </c>
      <c r="X479" s="172">
        <v>46001.63223379629</v>
      </c>
      <c r="Y479" s="172"/>
      <c r="Z479" s="3">
        <v>45999.0</v>
      </c>
      <c r="AA479" s="3"/>
    </row>
    <row r="480">
      <c r="A480" s="3">
        <v>6.789042274563E12</v>
      </c>
      <c r="B480" s="2" t="s">
        <v>2424</v>
      </c>
      <c r="C480" s="2" t="s">
        <v>1412</v>
      </c>
      <c r="D480" s="169">
        <v>45999.0</v>
      </c>
      <c r="E480" s="173" t="s">
        <v>2425</v>
      </c>
      <c r="F480" s="2" t="s">
        <v>1413</v>
      </c>
      <c r="G480" s="2" t="s">
        <v>368</v>
      </c>
      <c r="H480" s="2">
        <v>3850.0</v>
      </c>
      <c r="I480" s="2">
        <v>2.1120050020147E13</v>
      </c>
      <c r="J480" s="3">
        <v>1.0</v>
      </c>
      <c r="K480" s="2" t="s">
        <v>2426</v>
      </c>
      <c r="L480" s="2" t="s">
        <v>608</v>
      </c>
      <c r="M480" s="174" t="s">
        <v>409</v>
      </c>
      <c r="N480" s="2" t="s">
        <v>462</v>
      </c>
      <c r="O480" s="3">
        <v>0.5</v>
      </c>
      <c r="P480" s="2" t="s">
        <v>73</v>
      </c>
      <c r="Q480" s="3">
        <v>1600.0</v>
      </c>
      <c r="T480" s="2" t="s">
        <v>456</v>
      </c>
      <c r="U480" s="3">
        <v>3850.0</v>
      </c>
      <c r="V480" s="172">
        <v>46003.0</v>
      </c>
      <c r="W480" s="3">
        <v>120.0</v>
      </c>
      <c r="X480" s="172">
        <v>46001.58908564815</v>
      </c>
      <c r="Y480" s="172"/>
      <c r="Z480" s="3">
        <v>45999.0</v>
      </c>
      <c r="AA480" s="3"/>
    </row>
    <row r="481">
      <c r="A481" s="3">
        <v>6.789075828995E12</v>
      </c>
      <c r="B481" s="2" t="s">
        <v>2427</v>
      </c>
      <c r="C481" s="2" t="s">
        <v>2428</v>
      </c>
      <c r="D481" s="169">
        <v>45999.0</v>
      </c>
      <c r="E481" s="2">
        <v>3.225678864E9</v>
      </c>
      <c r="F481" s="2" t="s">
        <v>2429</v>
      </c>
      <c r="G481" s="2" t="s">
        <v>701</v>
      </c>
      <c r="H481" s="2">
        <v>0.0</v>
      </c>
      <c r="I481" s="2" t="s">
        <v>2430</v>
      </c>
      <c r="J481" s="3">
        <v>0.0</v>
      </c>
      <c r="K481" s="2" t="s">
        <v>2431</v>
      </c>
      <c r="L481" s="2"/>
      <c r="M481" s="170" t="s">
        <v>455</v>
      </c>
      <c r="N481" s="2" t="s">
        <v>406</v>
      </c>
      <c r="O481" s="3">
        <v>0.5</v>
      </c>
      <c r="P481" s="2" t="s">
        <v>640</v>
      </c>
      <c r="Q481" s="3">
        <v>0.0</v>
      </c>
      <c r="T481" s="2" t="s">
        <v>1929</v>
      </c>
      <c r="U481" s="141"/>
      <c r="W481" s="3">
        <v>292.2</v>
      </c>
      <c r="X481" s="172">
        <v>46057.69412579861</v>
      </c>
      <c r="Y481" s="172"/>
      <c r="Z481" s="3">
        <v>45999.0</v>
      </c>
      <c r="AA481" s="3"/>
    </row>
    <row r="482">
      <c r="A482" s="3">
        <v>6.789078679811E12</v>
      </c>
      <c r="B482" s="2" t="s">
        <v>2432</v>
      </c>
      <c r="C482" s="2" t="s">
        <v>2433</v>
      </c>
      <c r="D482" s="169">
        <v>45999.0</v>
      </c>
      <c r="E482" s="2">
        <v>3.2510418E9</v>
      </c>
      <c r="F482" s="2" t="s">
        <v>2434</v>
      </c>
      <c r="G482" s="2" t="s">
        <v>2435</v>
      </c>
      <c r="H482" s="2">
        <v>2748.0</v>
      </c>
      <c r="I482" s="2">
        <v>2.0120050020322E13</v>
      </c>
      <c r="J482" s="3">
        <v>1.0</v>
      </c>
      <c r="L482" s="2" t="s">
        <v>2436</v>
      </c>
      <c r="M482" s="174" t="s">
        <v>409</v>
      </c>
      <c r="N482" s="2" t="s">
        <v>462</v>
      </c>
      <c r="O482" s="3">
        <v>0.5</v>
      </c>
      <c r="P482" s="2" t="s">
        <v>363</v>
      </c>
      <c r="Q482" s="3">
        <v>1400.0</v>
      </c>
      <c r="T482" s="2" t="s">
        <v>599</v>
      </c>
      <c r="U482" s="171">
        <v>2748.0</v>
      </c>
      <c r="V482" s="172">
        <v>46010.0</v>
      </c>
      <c r="W482" s="3">
        <v>310.0</v>
      </c>
      <c r="X482" s="172">
        <v>46009.746203703704</v>
      </c>
      <c r="Y482" s="172"/>
      <c r="Z482" s="3">
        <v>45999.0</v>
      </c>
      <c r="AA482" s="3"/>
    </row>
    <row r="483">
      <c r="A483" s="3">
        <v>6.789109317891E12</v>
      </c>
      <c r="B483" s="2" t="s">
        <v>2437</v>
      </c>
      <c r="C483" s="2" t="s">
        <v>2438</v>
      </c>
      <c r="D483" s="169">
        <v>45999.0</v>
      </c>
      <c r="E483" s="2">
        <v>3.096789436E9</v>
      </c>
      <c r="F483" s="2" t="s">
        <v>2439</v>
      </c>
      <c r="G483" s="2" t="s">
        <v>368</v>
      </c>
      <c r="H483" s="2">
        <v>7848.0</v>
      </c>
      <c r="I483" s="2">
        <v>2.3120050020148E13</v>
      </c>
      <c r="J483" s="3">
        <v>4.0</v>
      </c>
      <c r="L483" s="2" t="s">
        <v>2440</v>
      </c>
      <c r="M483" s="174" t="s">
        <v>409</v>
      </c>
      <c r="N483" s="2" t="s">
        <v>462</v>
      </c>
      <c r="O483" s="3">
        <v>0.5</v>
      </c>
      <c r="P483" s="2" t="s">
        <v>363</v>
      </c>
      <c r="Q483" s="3">
        <v>2660.0</v>
      </c>
      <c r="T483" s="2" t="s">
        <v>456</v>
      </c>
      <c r="U483" s="171">
        <v>7848.0</v>
      </c>
      <c r="V483" s="172">
        <v>46003.0</v>
      </c>
      <c r="W483" s="3">
        <v>567.0</v>
      </c>
      <c r="X483" s="172">
        <v>46001.566157407404</v>
      </c>
      <c r="Y483" s="172"/>
      <c r="Z483" s="3">
        <v>45999.0</v>
      </c>
      <c r="AA483" s="3"/>
    </row>
    <row r="484">
      <c r="A484" s="3">
        <v>6.789129961731E12</v>
      </c>
      <c r="B484" s="2" t="s">
        <v>2441</v>
      </c>
      <c r="C484" s="2" t="s">
        <v>799</v>
      </c>
      <c r="D484" s="169">
        <v>45999.0</v>
      </c>
      <c r="E484" s="2">
        <v>3.224839393E9</v>
      </c>
      <c r="F484" s="2" t="s">
        <v>2442</v>
      </c>
      <c r="G484" s="2" t="s">
        <v>368</v>
      </c>
      <c r="H484" s="2">
        <v>0.0</v>
      </c>
      <c r="I484" s="2">
        <v>2.2120050020155E13</v>
      </c>
      <c r="J484" s="3">
        <v>0.0</v>
      </c>
      <c r="K484" s="2" t="s">
        <v>2443</v>
      </c>
      <c r="L484" s="2"/>
      <c r="M484" s="170" t="s">
        <v>455</v>
      </c>
      <c r="N484" s="2" t="s">
        <v>406</v>
      </c>
      <c r="O484" s="3">
        <v>0.5</v>
      </c>
      <c r="P484" s="2" t="s">
        <v>363</v>
      </c>
      <c r="Q484" s="3">
        <v>0.0</v>
      </c>
      <c r="T484" s="2" t="s">
        <v>777</v>
      </c>
      <c r="U484" s="171">
        <v>0.0</v>
      </c>
      <c r="V484" s="172">
        <v>46014.0</v>
      </c>
      <c r="W484" s="3">
        <v>107.0</v>
      </c>
      <c r="X484" s="172">
        <v>46057.64278275463</v>
      </c>
      <c r="Y484" s="172"/>
      <c r="Z484" s="3">
        <v>45999.0</v>
      </c>
      <c r="AA484" s="3"/>
    </row>
    <row r="485">
      <c r="A485" s="3">
        <v>6.789134582019E12</v>
      </c>
      <c r="B485" s="2" t="s">
        <v>2444</v>
      </c>
      <c r="C485" s="2" t="s">
        <v>2445</v>
      </c>
      <c r="D485" s="169">
        <v>45999.0</v>
      </c>
      <c r="E485" s="173" t="s">
        <v>2446</v>
      </c>
      <c r="F485" s="2" t="s">
        <v>2447</v>
      </c>
      <c r="G485" s="2" t="s">
        <v>2448</v>
      </c>
      <c r="H485" s="2">
        <v>2694.0</v>
      </c>
      <c r="I485" s="2">
        <v>1.7300883601E11</v>
      </c>
      <c r="J485" s="3">
        <v>1.0</v>
      </c>
      <c r="K485" s="2" t="s">
        <v>1989</v>
      </c>
      <c r="L485" s="2" t="s">
        <v>519</v>
      </c>
      <c r="M485" s="174" t="s">
        <v>409</v>
      </c>
      <c r="N485" s="2" t="s">
        <v>462</v>
      </c>
      <c r="O485" s="3">
        <v>0.5</v>
      </c>
      <c r="P485" s="2" t="s">
        <v>501</v>
      </c>
      <c r="Q485" s="3">
        <v>850.0</v>
      </c>
      <c r="T485" s="2" t="s">
        <v>1929</v>
      </c>
      <c r="U485" s="171">
        <v>2694.0</v>
      </c>
      <c r="W485" s="3">
        <v>399.96</v>
      </c>
      <c r="X485" s="172">
        <v>46057.69415247685</v>
      </c>
      <c r="Y485" s="172"/>
      <c r="Z485" s="3">
        <v>45999.0</v>
      </c>
      <c r="AA485" s="3"/>
    </row>
    <row r="486">
      <c r="A486" s="3">
        <v>6.789138579715E12</v>
      </c>
      <c r="B486" s="2" t="s">
        <v>2449</v>
      </c>
      <c r="C486" s="2" t="s">
        <v>2450</v>
      </c>
      <c r="D486" s="169">
        <v>45999.0</v>
      </c>
      <c r="E486" s="173" t="s">
        <v>2451</v>
      </c>
      <c r="F486" s="2" t="s">
        <v>2452</v>
      </c>
      <c r="G486" s="2" t="s">
        <v>817</v>
      </c>
      <c r="H486" s="2">
        <v>2395.0</v>
      </c>
      <c r="I486" s="2">
        <v>2.6120050020149E13</v>
      </c>
      <c r="J486" s="3">
        <v>2.0</v>
      </c>
      <c r="K486" s="2" t="s">
        <v>1989</v>
      </c>
      <c r="L486" s="2" t="s">
        <v>2453</v>
      </c>
      <c r="M486" s="174" t="s">
        <v>409</v>
      </c>
      <c r="N486" s="2" t="s">
        <v>462</v>
      </c>
      <c r="O486" s="3">
        <v>0.5</v>
      </c>
      <c r="P486" s="2" t="s">
        <v>363</v>
      </c>
      <c r="Q486" s="3">
        <v>1005.0</v>
      </c>
      <c r="T486" s="2" t="s">
        <v>674</v>
      </c>
      <c r="U486" s="171">
        <v>2395.0</v>
      </c>
      <c r="V486" s="172">
        <v>46007.0</v>
      </c>
      <c r="W486" s="3">
        <v>309.0</v>
      </c>
      <c r="X486" s="172">
        <v>46004.63501157408</v>
      </c>
      <c r="Y486" s="172"/>
      <c r="Z486" s="3">
        <v>45999.0</v>
      </c>
      <c r="AA486" s="3"/>
    </row>
    <row r="487">
      <c r="A487" s="3">
        <v>6.789155815683E12</v>
      </c>
      <c r="B487" s="2" t="s">
        <v>2454</v>
      </c>
      <c r="C487" s="2" t="s">
        <v>2455</v>
      </c>
      <c r="D487" s="169">
        <v>45999.0</v>
      </c>
      <c r="E487" s="2">
        <v>3.108309709E9</v>
      </c>
      <c r="F487" s="2" t="s">
        <v>2456</v>
      </c>
      <c r="G487" s="2" t="s">
        <v>2457</v>
      </c>
      <c r="H487" s="2">
        <v>2749.0</v>
      </c>
      <c r="I487" s="2">
        <v>2.0120050020154E13</v>
      </c>
      <c r="J487" s="3">
        <v>2.0</v>
      </c>
      <c r="K487" s="2" t="s">
        <v>241</v>
      </c>
      <c r="L487" s="2" t="s">
        <v>16</v>
      </c>
      <c r="M487" s="174" t="s">
        <v>409</v>
      </c>
      <c r="N487" s="2" t="s">
        <v>462</v>
      </c>
      <c r="O487" s="3">
        <v>0.5</v>
      </c>
      <c r="P487" s="2" t="s">
        <v>363</v>
      </c>
      <c r="Q487" s="3">
        <v>980.0</v>
      </c>
      <c r="T487" s="2" t="s">
        <v>674</v>
      </c>
      <c r="U487" s="171">
        <v>2749.0</v>
      </c>
      <c r="V487" s="172">
        <v>46007.0</v>
      </c>
      <c r="W487" s="3">
        <v>323.0</v>
      </c>
      <c r="X487" s="172">
        <v>46003.6828125</v>
      </c>
      <c r="Y487" s="172"/>
      <c r="Z487" s="3">
        <v>45999.0</v>
      </c>
      <c r="AA487" s="3"/>
    </row>
    <row r="488">
      <c r="A488" s="3">
        <v>6.789169676547E12</v>
      </c>
      <c r="B488" s="2" t="s">
        <v>2458</v>
      </c>
      <c r="C488" s="2" t="s">
        <v>2459</v>
      </c>
      <c r="D488" s="169">
        <v>45999.0</v>
      </c>
      <c r="E488" s="173" t="s">
        <v>2460</v>
      </c>
      <c r="F488" s="2" t="s">
        <v>2461</v>
      </c>
      <c r="G488" s="2" t="s">
        <v>781</v>
      </c>
      <c r="H488" s="2">
        <v>2050.0</v>
      </c>
      <c r="I488" s="2">
        <v>2.4120050020323E13</v>
      </c>
      <c r="J488" s="3">
        <v>1.0</v>
      </c>
      <c r="K488" s="2" t="s">
        <v>2462</v>
      </c>
      <c r="L488" s="2" t="s">
        <v>2463</v>
      </c>
      <c r="M488" s="170" t="s">
        <v>455</v>
      </c>
      <c r="N488" s="2" t="s">
        <v>406</v>
      </c>
      <c r="O488" s="3">
        <v>0.5</v>
      </c>
      <c r="P488" s="2" t="s">
        <v>363</v>
      </c>
      <c r="Q488" s="3">
        <v>750.0</v>
      </c>
      <c r="T488" s="2" t="s">
        <v>2140</v>
      </c>
      <c r="U488" s="171">
        <v>0.0</v>
      </c>
      <c r="V488" s="172">
        <v>46021.0</v>
      </c>
      <c r="W488" s="3">
        <v>414.0</v>
      </c>
      <c r="X488" s="172">
        <v>46057.64278275463</v>
      </c>
      <c r="Y488" s="172"/>
      <c r="Z488" s="3">
        <v>45999.0</v>
      </c>
      <c r="AA488" s="3"/>
    </row>
    <row r="489">
      <c r="A489" s="3">
        <v>6.789189796099E12</v>
      </c>
      <c r="B489" s="2" t="s">
        <v>2464</v>
      </c>
      <c r="C489" s="2" t="s">
        <v>2465</v>
      </c>
      <c r="D489" s="169">
        <v>45999.0</v>
      </c>
      <c r="E489" s="2">
        <v>3.00866972E9</v>
      </c>
      <c r="F489" s="2" t="s">
        <v>2466</v>
      </c>
      <c r="G489" s="2" t="s">
        <v>374</v>
      </c>
      <c r="H489" s="2">
        <v>4649.0</v>
      </c>
      <c r="I489" s="2">
        <v>2.9120050020162E13</v>
      </c>
      <c r="J489" s="3">
        <v>2.0</v>
      </c>
      <c r="L489" s="2" t="s">
        <v>913</v>
      </c>
      <c r="M489" s="174" t="s">
        <v>409</v>
      </c>
      <c r="N489" s="2" t="s">
        <v>462</v>
      </c>
      <c r="O489" s="3">
        <v>0.5</v>
      </c>
      <c r="P489" s="2" t="s">
        <v>363</v>
      </c>
      <c r="Q489" s="3">
        <v>1700.0</v>
      </c>
      <c r="T489" s="2" t="s">
        <v>456</v>
      </c>
      <c r="U489" s="171">
        <v>4649.0</v>
      </c>
      <c r="V489" s="172">
        <v>46003.0</v>
      </c>
      <c r="W489" s="3">
        <v>499.0</v>
      </c>
      <c r="X489" s="172">
        <v>46001.647465277776</v>
      </c>
      <c r="Y489" s="172"/>
      <c r="Z489" s="3">
        <v>45999.0</v>
      </c>
      <c r="AA489" s="3"/>
    </row>
    <row r="490">
      <c r="A490" s="3">
        <v>6.789198872835E12</v>
      </c>
      <c r="B490" s="2" t="s">
        <v>2467</v>
      </c>
      <c r="C490" s="2" t="s">
        <v>2468</v>
      </c>
      <c r="D490" s="169">
        <v>45999.0</v>
      </c>
      <c r="E490" s="2">
        <v>3.187809346E9</v>
      </c>
      <c r="F490" s="2" t="s">
        <v>2469</v>
      </c>
      <c r="G490" s="2" t="s">
        <v>2470</v>
      </c>
      <c r="H490" s="2">
        <v>2748.0</v>
      </c>
      <c r="I490" s="2">
        <v>2.2120050020231E13</v>
      </c>
      <c r="J490" s="3">
        <v>1.0</v>
      </c>
      <c r="K490" s="2" t="s">
        <v>2471</v>
      </c>
      <c r="L490" s="2" t="s">
        <v>2472</v>
      </c>
      <c r="M490" s="174" t="s">
        <v>409</v>
      </c>
      <c r="N490" s="2" t="s">
        <v>462</v>
      </c>
      <c r="O490" s="3">
        <v>0.5</v>
      </c>
      <c r="P490" s="2" t="s">
        <v>363</v>
      </c>
      <c r="Q490" s="3">
        <v>1400.0</v>
      </c>
      <c r="T490" s="2" t="s">
        <v>674</v>
      </c>
      <c r="U490" s="171">
        <v>2748.0</v>
      </c>
      <c r="V490" s="172">
        <v>46007.0</v>
      </c>
      <c r="W490" s="3">
        <v>323.0</v>
      </c>
      <c r="X490" s="172">
        <v>46006.78703703704</v>
      </c>
      <c r="Y490" s="172"/>
      <c r="Z490" s="3">
        <v>45999.0</v>
      </c>
      <c r="AA490" s="3"/>
    </row>
    <row r="491">
      <c r="A491" s="3">
        <v>6.789242749187E12</v>
      </c>
      <c r="B491" s="2" t="s">
        <v>2473</v>
      </c>
      <c r="C491" s="2" t="s">
        <v>2474</v>
      </c>
      <c r="D491" s="169">
        <v>45999.0</v>
      </c>
      <c r="E491" s="2">
        <v>3.28529403E9</v>
      </c>
      <c r="F491" s="2" t="s">
        <v>2475</v>
      </c>
      <c r="G491" s="2" t="s">
        <v>366</v>
      </c>
      <c r="H491" s="2">
        <v>0.0</v>
      </c>
      <c r="I491" s="2">
        <v>2.8120050020161E13</v>
      </c>
      <c r="J491" s="3">
        <v>0.0</v>
      </c>
      <c r="K491" s="2" t="s">
        <v>2476</v>
      </c>
      <c r="L491" s="2"/>
      <c r="M491" s="170" t="s">
        <v>455</v>
      </c>
      <c r="N491" s="2" t="s">
        <v>406</v>
      </c>
      <c r="O491" s="3">
        <v>0.5</v>
      </c>
      <c r="P491" s="2" t="s">
        <v>73</v>
      </c>
      <c r="Q491" s="3">
        <v>0.0</v>
      </c>
      <c r="T491" s="2" t="s">
        <v>2140</v>
      </c>
      <c r="U491" s="171">
        <v>0.0</v>
      </c>
      <c r="V491" s="172">
        <v>46021.0</v>
      </c>
      <c r="W491" s="3">
        <v>220.0</v>
      </c>
      <c r="X491" s="172">
        <v>46057.64278275463</v>
      </c>
      <c r="Y491" s="172"/>
      <c r="Z491" s="3">
        <v>45999.0</v>
      </c>
      <c r="AA491" s="3"/>
    </row>
    <row r="492">
      <c r="A492" s="3">
        <v>6.789263786243E12</v>
      </c>
      <c r="B492" s="2" t="s">
        <v>2477</v>
      </c>
      <c r="C492" s="2" t="s">
        <v>2478</v>
      </c>
      <c r="D492" s="169">
        <v>45999.0</v>
      </c>
      <c r="E492" s="2">
        <v>3.412443907E9</v>
      </c>
      <c r="F492" s="2" t="s">
        <v>2479</v>
      </c>
      <c r="G492" s="2" t="s">
        <v>817</v>
      </c>
      <c r="H492" s="2">
        <v>3349.0</v>
      </c>
      <c r="I492" s="2" t="s">
        <v>2480</v>
      </c>
      <c r="J492" s="3">
        <v>2.0</v>
      </c>
      <c r="L492" s="2" t="s">
        <v>1869</v>
      </c>
      <c r="M492" s="174" t="s">
        <v>409</v>
      </c>
      <c r="N492" s="2" t="s">
        <v>462</v>
      </c>
      <c r="O492" s="3">
        <v>0.5</v>
      </c>
      <c r="P492" s="2" t="s">
        <v>640</v>
      </c>
      <c r="Q492" s="3">
        <v>980.0</v>
      </c>
      <c r="T492" s="2" t="s">
        <v>1973</v>
      </c>
      <c r="U492" s="171">
        <v>3349.0</v>
      </c>
      <c r="W492" s="3">
        <v>397.15999999999997</v>
      </c>
      <c r="X492" s="172">
        <v>46057.69419547454</v>
      </c>
      <c r="Y492" s="172"/>
      <c r="Z492" s="3">
        <v>45999.0</v>
      </c>
      <c r="AA492" s="3"/>
    </row>
    <row r="493">
      <c r="A493" s="3">
        <v>6.789272568067E12</v>
      </c>
      <c r="B493" s="2" t="s">
        <v>2481</v>
      </c>
      <c r="C493" s="2" t="s">
        <v>2482</v>
      </c>
      <c r="D493" s="169">
        <v>45999.0</v>
      </c>
      <c r="E493" s="173" t="s">
        <v>2483</v>
      </c>
      <c r="F493" s="2" t="s">
        <v>2484</v>
      </c>
      <c r="G493" s="2" t="s">
        <v>1847</v>
      </c>
      <c r="H493" s="2">
        <v>0.0</v>
      </c>
      <c r="I493" s="2">
        <v>2.5120050020324E13</v>
      </c>
      <c r="J493" s="3">
        <v>0.0</v>
      </c>
      <c r="K493" s="2" t="s">
        <v>2485</v>
      </c>
      <c r="L493" s="2"/>
      <c r="M493" s="170" t="s">
        <v>455</v>
      </c>
      <c r="N493" s="2" t="s">
        <v>406</v>
      </c>
      <c r="O493" s="3">
        <v>0.5</v>
      </c>
      <c r="P493" s="2" t="s">
        <v>363</v>
      </c>
      <c r="Q493" s="3">
        <v>0.0</v>
      </c>
      <c r="T493" s="2" t="s">
        <v>2140</v>
      </c>
      <c r="U493" s="171">
        <v>0.0</v>
      </c>
      <c r="V493" s="172">
        <v>46021.0</v>
      </c>
      <c r="W493" s="3">
        <v>200.0</v>
      </c>
      <c r="X493" s="172">
        <v>46057.64278275463</v>
      </c>
      <c r="Y493" s="172"/>
      <c r="Z493" s="3">
        <v>45999.0</v>
      </c>
      <c r="AA493" s="3"/>
    </row>
    <row r="494">
      <c r="A494" s="3">
        <v>6.789294457091E12</v>
      </c>
      <c r="B494" s="2" t="s">
        <v>2486</v>
      </c>
      <c r="C494" s="2" t="s">
        <v>2487</v>
      </c>
      <c r="D494" s="169">
        <v>45999.0</v>
      </c>
      <c r="E494" s="2">
        <v>3.113786636E9</v>
      </c>
      <c r="F494" s="2" t="s">
        <v>2488</v>
      </c>
      <c r="G494" s="2" t="s">
        <v>493</v>
      </c>
      <c r="H494" s="2">
        <v>3099.0</v>
      </c>
      <c r="I494" s="2" t="s">
        <v>2489</v>
      </c>
      <c r="J494" s="3">
        <v>2.0</v>
      </c>
      <c r="L494" s="2" t="s">
        <v>50</v>
      </c>
      <c r="M494" s="174" t="s">
        <v>409</v>
      </c>
      <c r="N494" s="2" t="s">
        <v>462</v>
      </c>
      <c r="O494" s="3">
        <v>0.5</v>
      </c>
      <c r="P494" s="2" t="s">
        <v>640</v>
      </c>
      <c r="Q494" s="3">
        <v>920.0</v>
      </c>
      <c r="T494" s="2" t="s">
        <v>1973</v>
      </c>
      <c r="U494" s="171">
        <v>3099.0</v>
      </c>
      <c r="W494" s="3">
        <v>387.15999999999997</v>
      </c>
      <c r="X494" s="172">
        <v>46057.694205844906</v>
      </c>
      <c r="Y494" s="172"/>
      <c r="Z494" s="3">
        <v>45999.0</v>
      </c>
      <c r="AA494" s="3"/>
    </row>
    <row r="495">
      <c r="A495" s="3">
        <v>6.789306319107E12</v>
      </c>
      <c r="B495" s="2" t="s">
        <v>2490</v>
      </c>
      <c r="C495" s="2" t="s">
        <v>2491</v>
      </c>
      <c r="D495" s="169">
        <v>45999.0</v>
      </c>
      <c r="E495" s="2">
        <v>3.362001317E9</v>
      </c>
      <c r="F495" s="2" t="s">
        <v>2492</v>
      </c>
      <c r="G495" s="2" t="s">
        <v>493</v>
      </c>
      <c r="H495" s="2">
        <v>3099.0</v>
      </c>
      <c r="I495" s="2" t="s">
        <v>2493</v>
      </c>
      <c r="J495" s="3">
        <v>2.0</v>
      </c>
      <c r="L495" s="2" t="s">
        <v>1446</v>
      </c>
      <c r="M495" s="174" t="s">
        <v>409</v>
      </c>
      <c r="N495" s="2" t="s">
        <v>462</v>
      </c>
      <c r="O495" s="3">
        <v>0.5</v>
      </c>
      <c r="P495" s="2" t="s">
        <v>640</v>
      </c>
      <c r="Q495" s="3">
        <v>920.0</v>
      </c>
      <c r="T495" s="2" t="s">
        <v>1973</v>
      </c>
      <c r="U495" s="171">
        <v>3099.0</v>
      </c>
      <c r="W495" s="3">
        <v>387.15999999999997</v>
      </c>
      <c r="X495" s="172">
        <v>46057.69421006944</v>
      </c>
      <c r="Y495" s="172"/>
      <c r="Z495" s="3">
        <v>45999.0</v>
      </c>
      <c r="AA495" s="3"/>
    </row>
    <row r="496">
      <c r="A496" s="3">
        <v>6.789345804547E12</v>
      </c>
      <c r="B496" s="2" t="s">
        <v>2494</v>
      </c>
      <c r="C496" s="2" t="s">
        <v>2495</v>
      </c>
      <c r="D496" s="169">
        <v>45999.0</v>
      </c>
      <c r="E496" s="173" t="s">
        <v>2496</v>
      </c>
      <c r="F496" s="2" t="s">
        <v>2497</v>
      </c>
      <c r="G496" s="2" t="s">
        <v>546</v>
      </c>
      <c r="H496" s="2">
        <v>2249.1</v>
      </c>
      <c r="I496" s="2">
        <v>2.1120050020334E13</v>
      </c>
      <c r="J496" s="3">
        <v>1.0</v>
      </c>
      <c r="K496" s="2" t="s">
        <v>2498</v>
      </c>
      <c r="L496" s="2" t="s">
        <v>2499</v>
      </c>
      <c r="M496" s="2" t="s">
        <v>409</v>
      </c>
      <c r="N496" s="2" t="s">
        <v>462</v>
      </c>
      <c r="O496" s="3">
        <v>0.5</v>
      </c>
      <c r="P496" s="2" t="s">
        <v>73</v>
      </c>
      <c r="Q496" s="3">
        <v>1400.0</v>
      </c>
      <c r="T496" s="2" t="s">
        <v>599</v>
      </c>
      <c r="U496" s="2">
        <v>2249.1</v>
      </c>
      <c r="V496" s="172">
        <v>46010.0</v>
      </c>
      <c r="W496" s="3">
        <v>200.0</v>
      </c>
      <c r="X496" s="172">
        <v>46064.02069765046</v>
      </c>
      <c r="Y496" s="172"/>
      <c r="Z496" s="3">
        <v>45999.0</v>
      </c>
      <c r="AA496" s="3"/>
    </row>
    <row r="497">
      <c r="A497" s="3">
        <v>6.789360025859E12</v>
      </c>
      <c r="B497" s="2" t="s">
        <v>2500</v>
      </c>
      <c r="C497" s="2" t="s">
        <v>2501</v>
      </c>
      <c r="D497" s="169">
        <v>45999.0</v>
      </c>
      <c r="E497" s="2">
        <v>3.00985347E9</v>
      </c>
      <c r="F497" s="2" t="s">
        <v>2502</v>
      </c>
      <c r="G497" s="2" t="s">
        <v>374</v>
      </c>
      <c r="H497" s="2">
        <v>0.0</v>
      </c>
      <c r="J497" s="3">
        <v>0.0</v>
      </c>
      <c r="K497" s="2" t="s">
        <v>2312</v>
      </c>
      <c r="L497" s="2"/>
      <c r="M497" s="2" t="s">
        <v>468</v>
      </c>
      <c r="N497" s="2" t="s">
        <v>406</v>
      </c>
      <c r="O497" s="3">
        <v>0.5</v>
      </c>
      <c r="Q497" s="3">
        <v>0.0</v>
      </c>
      <c r="U497" s="141"/>
      <c r="X497" s="172">
        <v>46057.64278275463</v>
      </c>
      <c r="Y497" s="172"/>
      <c r="Z497" s="3">
        <v>45999.0</v>
      </c>
      <c r="AA497" s="3"/>
    </row>
    <row r="498">
      <c r="A498" s="3">
        <v>6.789370052867E12</v>
      </c>
      <c r="B498" s="2" t="s">
        <v>2503</v>
      </c>
      <c r="C498" s="2" t="s">
        <v>2501</v>
      </c>
      <c r="D498" s="169">
        <v>45999.0</v>
      </c>
      <c r="E498" s="2">
        <v>3.00985347E9</v>
      </c>
      <c r="F498" s="2" t="s">
        <v>2502</v>
      </c>
      <c r="G498" s="2" t="s">
        <v>374</v>
      </c>
      <c r="H498" s="2">
        <v>2748.0</v>
      </c>
      <c r="I498" s="2">
        <v>2.312005002016E13</v>
      </c>
      <c r="J498" s="3">
        <v>1.0</v>
      </c>
      <c r="K498" s="2" t="s">
        <v>511</v>
      </c>
      <c r="L498" s="2" t="s">
        <v>557</v>
      </c>
      <c r="M498" s="174" t="s">
        <v>409</v>
      </c>
      <c r="N498" s="2" t="s">
        <v>462</v>
      </c>
      <c r="O498" s="3">
        <v>0.5</v>
      </c>
      <c r="P498" s="2" t="s">
        <v>363</v>
      </c>
      <c r="Q498" s="3">
        <v>850.0</v>
      </c>
      <c r="T498" s="2" t="s">
        <v>456</v>
      </c>
      <c r="U498" s="171">
        <v>2748.0</v>
      </c>
      <c r="V498" s="172">
        <v>46003.0</v>
      </c>
      <c r="W498" s="3">
        <v>330.0</v>
      </c>
      <c r="X498" s="172">
        <v>46002.750196759254</v>
      </c>
      <c r="Y498" s="172"/>
      <c r="Z498" s="3">
        <v>45999.0</v>
      </c>
      <c r="AA498" s="3"/>
    </row>
    <row r="499">
      <c r="A499" s="3">
        <v>6.789411242243E12</v>
      </c>
      <c r="B499" s="2" t="s">
        <v>2504</v>
      </c>
      <c r="C499" s="2" t="s">
        <v>2505</v>
      </c>
      <c r="D499" s="169">
        <v>45999.0</v>
      </c>
      <c r="E499" s="2">
        <v>3.334296115E9</v>
      </c>
      <c r="F499" s="2" t="s">
        <v>2506</v>
      </c>
      <c r="G499" s="2" t="s">
        <v>368</v>
      </c>
      <c r="H499" s="2">
        <v>249.0</v>
      </c>
      <c r="I499" s="2">
        <v>2.7120050020153E13</v>
      </c>
      <c r="J499" s="3">
        <v>0.0</v>
      </c>
      <c r="L499" s="2"/>
      <c r="M499" s="174" t="s">
        <v>409</v>
      </c>
      <c r="N499" s="2" t="s">
        <v>462</v>
      </c>
      <c r="O499" s="3">
        <v>0.5</v>
      </c>
      <c r="P499" s="2" t="s">
        <v>363</v>
      </c>
      <c r="Q499" s="3">
        <v>0.0</v>
      </c>
      <c r="T499" s="2" t="s">
        <v>456</v>
      </c>
      <c r="U499" s="3">
        <v>249.0</v>
      </c>
      <c r="V499" s="172">
        <v>46003.0</v>
      </c>
      <c r="W499" s="3">
        <v>231.0</v>
      </c>
      <c r="X499" s="172">
        <v>46001.62936342593</v>
      </c>
      <c r="Y499" s="172"/>
      <c r="Z499" s="3">
        <v>45999.0</v>
      </c>
      <c r="AA499" s="3"/>
    </row>
    <row r="500">
      <c r="A500" s="3">
        <v>6.789460459779E12</v>
      </c>
      <c r="B500" s="2" t="s">
        <v>2507</v>
      </c>
      <c r="C500" s="2" t="s">
        <v>1317</v>
      </c>
      <c r="D500" s="169">
        <v>45999.0</v>
      </c>
      <c r="E500" s="173" t="s">
        <v>2508</v>
      </c>
      <c r="F500" s="2" t="s">
        <v>2509</v>
      </c>
      <c r="G500" s="2" t="s">
        <v>368</v>
      </c>
      <c r="H500" s="2">
        <v>2749.0</v>
      </c>
      <c r="I500" s="2" t="s">
        <v>2510</v>
      </c>
      <c r="J500" s="3">
        <v>2.0</v>
      </c>
      <c r="L500" s="2" t="s">
        <v>16</v>
      </c>
      <c r="M500" s="174" t="s">
        <v>409</v>
      </c>
      <c r="N500" s="2" t="s">
        <v>462</v>
      </c>
      <c r="O500" s="3">
        <v>0.5</v>
      </c>
      <c r="P500" s="2" t="s">
        <v>640</v>
      </c>
      <c r="Q500" s="3">
        <v>980.0</v>
      </c>
      <c r="T500" s="2" t="s">
        <v>1929</v>
      </c>
      <c r="U500" s="171">
        <v>2749.0</v>
      </c>
      <c r="W500" s="3">
        <v>280.36</v>
      </c>
      <c r="X500" s="172">
        <v>46057.694226782405</v>
      </c>
      <c r="Y500" s="172"/>
      <c r="Z500" s="3">
        <v>45999.0</v>
      </c>
      <c r="AA500" s="3"/>
    </row>
    <row r="501">
      <c r="A501" s="3">
        <v>6.789504172291E12</v>
      </c>
      <c r="B501" s="2" t="s">
        <v>2511</v>
      </c>
      <c r="C501" s="2" t="s">
        <v>2512</v>
      </c>
      <c r="D501" s="169">
        <v>45999.0</v>
      </c>
      <c r="E501" s="2">
        <v>3.00353491E9</v>
      </c>
      <c r="F501" s="2" t="s">
        <v>2513</v>
      </c>
      <c r="G501" s="2" t="s">
        <v>2514</v>
      </c>
      <c r="H501" s="2">
        <v>2749.0</v>
      </c>
      <c r="I501" s="2" t="s">
        <v>2515</v>
      </c>
      <c r="J501" s="3">
        <v>2.0</v>
      </c>
      <c r="L501" s="2" t="s">
        <v>16</v>
      </c>
      <c r="M501" s="174" t="s">
        <v>409</v>
      </c>
      <c r="N501" s="2" t="s">
        <v>462</v>
      </c>
      <c r="O501" s="3">
        <v>0.5</v>
      </c>
      <c r="P501" s="2" t="s">
        <v>640</v>
      </c>
      <c r="Q501" s="3">
        <v>980.0</v>
      </c>
      <c r="T501" s="2" t="s">
        <v>1929</v>
      </c>
      <c r="U501" s="171">
        <v>2749.0</v>
      </c>
      <c r="W501" s="3">
        <v>373.15999999999997</v>
      </c>
      <c r="X501" s="172">
        <v>46057.69423274306</v>
      </c>
      <c r="Y501" s="172"/>
      <c r="Z501" s="3">
        <v>45999.0</v>
      </c>
      <c r="AA501" s="3"/>
    </row>
    <row r="502">
      <c r="A502" s="3">
        <v>6.789530550531E12</v>
      </c>
      <c r="B502" s="2" t="s">
        <v>2516</v>
      </c>
      <c r="C502" s="2" t="s">
        <v>2517</v>
      </c>
      <c r="D502" s="169">
        <v>45999.0</v>
      </c>
      <c r="E502" s="2">
        <v>3.018670945E9</v>
      </c>
      <c r="F502" s="2" t="s">
        <v>2518</v>
      </c>
      <c r="G502" s="2" t="s">
        <v>2519</v>
      </c>
      <c r="H502" s="2">
        <v>4649.0</v>
      </c>
      <c r="I502" s="2">
        <v>2.1120050020159E13</v>
      </c>
      <c r="J502" s="3">
        <v>2.0</v>
      </c>
      <c r="L502" s="2" t="s">
        <v>479</v>
      </c>
      <c r="M502" s="174" t="s">
        <v>409</v>
      </c>
      <c r="N502" s="2" t="s">
        <v>462</v>
      </c>
      <c r="O502" s="3">
        <v>0.5</v>
      </c>
      <c r="P502" s="2" t="s">
        <v>73</v>
      </c>
      <c r="Q502" s="3">
        <v>1700.0</v>
      </c>
      <c r="T502" s="2" t="s">
        <v>456</v>
      </c>
      <c r="U502" s="171">
        <v>4649.0</v>
      </c>
      <c r="V502" s="172">
        <v>46003.0</v>
      </c>
      <c r="W502" s="3">
        <v>406.0</v>
      </c>
      <c r="X502" s="172">
        <v>46002.73572916667</v>
      </c>
      <c r="Y502" s="172"/>
      <c r="Z502" s="3">
        <v>45999.0</v>
      </c>
      <c r="AA502" s="3"/>
    </row>
    <row r="503">
      <c r="A503" s="3">
        <v>6.789550407939E12</v>
      </c>
      <c r="B503" s="2" t="s">
        <v>2520</v>
      </c>
      <c r="C503" s="2" t="s">
        <v>2521</v>
      </c>
      <c r="D503" s="169">
        <v>45999.0</v>
      </c>
      <c r="E503" s="2">
        <v>3.056943522E9</v>
      </c>
      <c r="F503" s="2" t="s">
        <v>2522</v>
      </c>
      <c r="G503" s="2" t="s">
        <v>541</v>
      </c>
      <c r="H503" s="2">
        <v>2749.0</v>
      </c>
      <c r="I503" s="2" t="s">
        <v>2523</v>
      </c>
      <c r="J503" s="3">
        <v>2.0</v>
      </c>
      <c r="L503" s="2" t="s">
        <v>16</v>
      </c>
      <c r="M503" s="174" t="s">
        <v>409</v>
      </c>
      <c r="N503" s="2" t="s">
        <v>462</v>
      </c>
      <c r="O503" s="3">
        <v>0.5</v>
      </c>
      <c r="P503" s="2" t="s">
        <v>640</v>
      </c>
      <c r="Q503" s="3">
        <v>980.0</v>
      </c>
      <c r="T503" s="2" t="s">
        <v>1929</v>
      </c>
      <c r="U503" s="171">
        <v>2749.0</v>
      </c>
      <c r="W503" s="3">
        <v>373.15999999999997</v>
      </c>
      <c r="X503" s="172">
        <v>46057.69424943287</v>
      </c>
      <c r="Y503" s="172"/>
      <c r="Z503" s="3">
        <v>45999.0</v>
      </c>
      <c r="AA503" s="3"/>
    </row>
    <row r="504">
      <c r="A504" s="3">
        <v>6.789592678659E12</v>
      </c>
      <c r="B504" s="2" t="s">
        <v>2524</v>
      </c>
      <c r="C504" s="2" t="s">
        <v>2525</v>
      </c>
      <c r="D504" s="169">
        <v>45999.0</v>
      </c>
      <c r="E504" s="173" t="s">
        <v>2526</v>
      </c>
      <c r="F504" s="2" t="s">
        <v>2527</v>
      </c>
      <c r="G504" s="2" t="s">
        <v>855</v>
      </c>
      <c r="H504" s="2">
        <v>0.0</v>
      </c>
      <c r="J504" s="3">
        <v>0.0</v>
      </c>
      <c r="K504" s="2" t="s">
        <v>2528</v>
      </c>
      <c r="L504" s="2"/>
      <c r="M504" s="2" t="s">
        <v>468</v>
      </c>
      <c r="N504" s="2" t="s">
        <v>406</v>
      </c>
      <c r="O504" s="3">
        <v>0.5</v>
      </c>
      <c r="Q504" s="3">
        <v>0.0</v>
      </c>
      <c r="U504" s="141"/>
      <c r="X504" s="172">
        <v>46057.64278275463</v>
      </c>
      <c r="Y504" s="172"/>
      <c r="Z504" s="3">
        <v>45999.0</v>
      </c>
      <c r="AA504" s="3"/>
    </row>
    <row r="505">
      <c r="A505" s="3">
        <v>6.789908070659E12</v>
      </c>
      <c r="B505" s="2" t="s">
        <v>2529</v>
      </c>
      <c r="C505" s="2" t="s">
        <v>2530</v>
      </c>
      <c r="D505" s="169">
        <v>46000.0</v>
      </c>
      <c r="E505" s="2">
        <v>3.167255125E9</v>
      </c>
      <c r="F505" s="2" t="s">
        <v>2531</v>
      </c>
      <c r="G505" s="2" t="s">
        <v>688</v>
      </c>
      <c r="H505" s="2">
        <v>2748.0</v>
      </c>
      <c r="I505" s="2">
        <v>2.7120050020158E13</v>
      </c>
      <c r="J505" s="3">
        <v>1.0</v>
      </c>
      <c r="L505" s="2" t="s">
        <v>519</v>
      </c>
      <c r="M505" s="174" t="s">
        <v>409</v>
      </c>
      <c r="N505" s="2" t="s">
        <v>462</v>
      </c>
      <c r="O505" s="3">
        <v>0.5</v>
      </c>
      <c r="P505" s="2" t="s">
        <v>363</v>
      </c>
      <c r="Q505" s="3">
        <v>850.0</v>
      </c>
      <c r="T505" s="2" t="s">
        <v>674</v>
      </c>
      <c r="U505" s="171">
        <v>2748.0</v>
      </c>
      <c r="V505" s="172">
        <v>46007.0</v>
      </c>
      <c r="W505" s="3">
        <v>330.0</v>
      </c>
      <c r="X505" s="172">
        <v>46003.5140625</v>
      </c>
      <c r="Y505" s="172"/>
      <c r="Z505" s="3">
        <v>46000.0</v>
      </c>
      <c r="AA505" s="3"/>
    </row>
    <row r="506">
      <c r="A506" s="3">
        <v>6.789971476739E12</v>
      </c>
      <c r="B506" s="2" t="s">
        <v>2532</v>
      </c>
      <c r="C506" s="2" t="s">
        <v>2533</v>
      </c>
      <c r="D506" s="169">
        <v>46000.0</v>
      </c>
      <c r="E506" s="2">
        <v>3.705152716E9</v>
      </c>
      <c r="F506" s="2" t="s">
        <v>2534</v>
      </c>
      <c r="G506" s="2" t="s">
        <v>366</v>
      </c>
      <c r="H506" s="2">
        <v>2599.0</v>
      </c>
      <c r="I506" s="2" t="s">
        <v>2535</v>
      </c>
      <c r="J506" s="3">
        <v>1.0</v>
      </c>
      <c r="L506" s="2" t="s">
        <v>2234</v>
      </c>
      <c r="M506" s="174" t="s">
        <v>409</v>
      </c>
      <c r="N506" s="2" t="s">
        <v>462</v>
      </c>
      <c r="O506" s="3">
        <v>0.5</v>
      </c>
      <c r="P506" s="2" t="s">
        <v>640</v>
      </c>
      <c r="Q506" s="3">
        <v>1075.0</v>
      </c>
      <c r="T506" s="2" t="s">
        <v>1929</v>
      </c>
      <c r="U506" s="171">
        <v>2599.0</v>
      </c>
      <c r="W506" s="3">
        <v>367.15999999999997</v>
      </c>
      <c r="X506" s="172">
        <v>46057.694260358796</v>
      </c>
      <c r="Y506" s="172"/>
      <c r="Z506" s="3">
        <v>46000.0</v>
      </c>
      <c r="AA506" s="3"/>
    </row>
    <row r="507">
      <c r="A507" s="3">
        <v>6.790422593795E12</v>
      </c>
      <c r="B507" s="2" t="s">
        <v>2536</v>
      </c>
      <c r="C507" s="2" t="s">
        <v>2537</v>
      </c>
      <c r="D507" s="169">
        <v>46000.0</v>
      </c>
      <c r="E507" s="2">
        <v>3.337772622E9</v>
      </c>
      <c r="F507" s="2" t="s">
        <v>2538</v>
      </c>
      <c r="G507" s="2" t="s">
        <v>2539</v>
      </c>
      <c r="H507" s="2">
        <v>0.0</v>
      </c>
      <c r="I507" s="2">
        <v>2.1120050020157E13</v>
      </c>
      <c r="J507" s="3">
        <v>0.0</v>
      </c>
      <c r="K507" s="2" t="s">
        <v>2540</v>
      </c>
      <c r="L507" s="2"/>
      <c r="M507" s="170" t="s">
        <v>455</v>
      </c>
      <c r="N507" s="2" t="s">
        <v>406</v>
      </c>
      <c r="O507" s="3">
        <v>0.5</v>
      </c>
      <c r="P507" s="2" t="s">
        <v>73</v>
      </c>
      <c r="Q507" s="3">
        <v>0.0</v>
      </c>
      <c r="T507" s="2" t="s">
        <v>777</v>
      </c>
      <c r="U507" s="171">
        <v>0.0</v>
      </c>
      <c r="V507" s="172">
        <v>46014.0</v>
      </c>
      <c r="W507" s="3">
        <v>227.0</v>
      </c>
      <c r="X507" s="172">
        <v>46057.64278275463</v>
      </c>
      <c r="Y507" s="172"/>
      <c r="Z507" s="3">
        <v>46000.0</v>
      </c>
      <c r="AA507" s="3"/>
    </row>
    <row r="508">
      <c r="A508" s="3">
        <v>6.790425772291E12</v>
      </c>
      <c r="B508" s="2" t="s">
        <v>2541</v>
      </c>
      <c r="C508" s="2" t="s">
        <v>508</v>
      </c>
      <c r="D508" s="169">
        <v>46000.0</v>
      </c>
      <c r="E508" s="2">
        <v>3.225373557E9</v>
      </c>
      <c r="F508" s="2" t="s">
        <v>2542</v>
      </c>
      <c r="G508" s="2" t="s">
        <v>2543</v>
      </c>
      <c r="H508" s="2">
        <v>3099.0</v>
      </c>
      <c r="I508" s="2" t="s">
        <v>2544</v>
      </c>
      <c r="J508" s="3">
        <v>2.0</v>
      </c>
      <c r="L508" s="2" t="s">
        <v>296</v>
      </c>
      <c r="M508" s="174" t="s">
        <v>409</v>
      </c>
      <c r="N508" s="2" t="s">
        <v>462</v>
      </c>
      <c r="O508" s="3">
        <v>0.5</v>
      </c>
      <c r="P508" s="2" t="s">
        <v>640</v>
      </c>
      <c r="Q508" s="3">
        <v>920.0</v>
      </c>
      <c r="T508" s="2" t="s">
        <v>1929</v>
      </c>
      <c r="U508" s="171">
        <v>3099.0</v>
      </c>
      <c r="W508" s="3">
        <v>416.15999999999997</v>
      </c>
      <c r="X508" s="172">
        <v>46057.69427170139</v>
      </c>
      <c r="Y508" s="172"/>
      <c r="Z508" s="3">
        <v>46000.0</v>
      </c>
      <c r="AA508" s="3"/>
    </row>
    <row r="509">
      <c r="A509" s="3">
        <v>6.790446481667E12</v>
      </c>
      <c r="B509" s="2" t="s">
        <v>2545</v>
      </c>
      <c r="C509" s="2" t="s">
        <v>2546</v>
      </c>
      <c r="D509" s="169">
        <v>46000.0</v>
      </c>
      <c r="E509" s="2">
        <v>3.436861918E9</v>
      </c>
      <c r="F509" s="2" t="s">
        <v>2547</v>
      </c>
      <c r="G509" s="2" t="s">
        <v>2548</v>
      </c>
      <c r="H509" s="2">
        <v>3099.0</v>
      </c>
      <c r="I509" s="2" t="s">
        <v>2549</v>
      </c>
      <c r="J509" s="3">
        <v>2.0</v>
      </c>
      <c r="L509" s="2" t="s">
        <v>50</v>
      </c>
      <c r="M509" s="174" t="s">
        <v>409</v>
      </c>
      <c r="N509" s="2" t="s">
        <v>462</v>
      </c>
      <c r="O509" s="3">
        <v>0.5</v>
      </c>
      <c r="P509" s="2" t="s">
        <v>640</v>
      </c>
      <c r="Q509" s="3">
        <v>920.0</v>
      </c>
      <c r="T509" s="2" t="s">
        <v>1929</v>
      </c>
      <c r="U509" s="171">
        <v>3099.0</v>
      </c>
      <c r="W509" s="3">
        <v>294.36</v>
      </c>
      <c r="X509" s="172">
        <v>46057.69427662037</v>
      </c>
      <c r="Y509" s="172"/>
      <c r="Z509" s="3">
        <v>46000.0</v>
      </c>
      <c r="AA509" s="3"/>
    </row>
    <row r="510">
      <c r="A510" s="3">
        <v>6.790523781379E12</v>
      </c>
      <c r="B510" s="2" t="s">
        <v>2550</v>
      </c>
      <c r="C510" s="2" t="s">
        <v>2551</v>
      </c>
      <c r="D510" s="169">
        <v>46000.0</v>
      </c>
      <c r="E510" s="2">
        <v>3.002448475E9</v>
      </c>
      <c r="F510" s="2" t="s">
        <v>2552</v>
      </c>
      <c r="G510" s="2" t="s">
        <v>493</v>
      </c>
      <c r="H510" s="2">
        <v>1799.0</v>
      </c>
      <c r="I510" s="2" t="s">
        <v>2553</v>
      </c>
      <c r="J510" s="3">
        <v>1.0</v>
      </c>
      <c r="L510" s="2" t="s">
        <v>2154</v>
      </c>
      <c r="M510" s="174" t="s">
        <v>409</v>
      </c>
      <c r="N510" s="2" t="s">
        <v>462</v>
      </c>
      <c r="O510" s="3">
        <v>0.5</v>
      </c>
      <c r="P510" s="2" t="s">
        <v>640</v>
      </c>
      <c r="Q510" s="3">
        <v>490.0</v>
      </c>
      <c r="T510" s="2" t="s">
        <v>1929</v>
      </c>
      <c r="U510" s="171">
        <v>1799.0</v>
      </c>
      <c r="W510" s="3">
        <v>335.15999999999997</v>
      </c>
      <c r="X510" s="172">
        <v>46057.694281874996</v>
      </c>
      <c r="Y510" s="172"/>
      <c r="Z510" s="3">
        <v>46000.0</v>
      </c>
      <c r="AA510" s="3"/>
    </row>
    <row r="511">
      <c r="A511" s="3">
        <v>6.790532235523E12</v>
      </c>
      <c r="B511" s="2" t="s">
        <v>2554</v>
      </c>
      <c r="C511" s="2" t="s">
        <v>2555</v>
      </c>
      <c r="D511" s="169">
        <v>46000.0</v>
      </c>
      <c r="E511" s="173" t="s">
        <v>2556</v>
      </c>
      <c r="F511" s="2" t="s">
        <v>2557</v>
      </c>
      <c r="G511" s="2" t="s">
        <v>817</v>
      </c>
      <c r="H511" s="2">
        <v>2749.0</v>
      </c>
      <c r="I511" s="2">
        <v>2.8120050020156E13</v>
      </c>
      <c r="J511" s="3">
        <v>1.0</v>
      </c>
      <c r="K511" s="2" t="s">
        <v>1989</v>
      </c>
      <c r="L511" s="2" t="s">
        <v>519</v>
      </c>
      <c r="M511" s="174" t="s">
        <v>409</v>
      </c>
      <c r="N511" s="2" t="s">
        <v>462</v>
      </c>
      <c r="O511" s="3">
        <v>0.5</v>
      </c>
      <c r="P511" s="2" t="s">
        <v>73</v>
      </c>
      <c r="Q511" s="3">
        <v>850.0</v>
      </c>
      <c r="T511" s="2" t="s">
        <v>674</v>
      </c>
      <c r="U511" s="171">
        <v>2749.0</v>
      </c>
      <c r="V511" s="172">
        <v>46007.0</v>
      </c>
      <c r="W511" s="3">
        <v>337.0</v>
      </c>
      <c r="X511" s="172">
        <v>46003.533541666664</v>
      </c>
      <c r="Y511" s="172"/>
      <c r="Z511" s="3">
        <v>46000.0</v>
      </c>
      <c r="AA511" s="3"/>
    </row>
    <row r="512">
      <c r="A512" s="3">
        <v>6.790546555139E12</v>
      </c>
      <c r="B512" s="2" t="s">
        <v>2558</v>
      </c>
      <c r="C512" s="2" t="s">
        <v>2559</v>
      </c>
      <c r="D512" s="169">
        <v>46000.0</v>
      </c>
      <c r="E512" s="2">
        <v>3.020227388E9</v>
      </c>
      <c r="F512" s="2" t="s">
        <v>2560</v>
      </c>
      <c r="G512" s="2" t="s">
        <v>493</v>
      </c>
      <c r="H512" s="2">
        <v>3099.0</v>
      </c>
      <c r="I512" s="2" t="s">
        <v>2561</v>
      </c>
      <c r="J512" s="3">
        <v>2.0</v>
      </c>
      <c r="L512" s="2" t="s">
        <v>2562</v>
      </c>
      <c r="M512" s="174" t="s">
        <v>409</v>
      </c>
      <c r="N512" s="2" t="s">
        <v>462</v>
      </c>
      <c r="O512" s="3">
        <v>0.5</v>
      </c>
      <c r="P512" s="2" t="s">
        <v>640</v>
      </c>
      <c r="Q512" s="3">
        <v>1000.0</v>
      </c>
      <c r="T512" s="2" t="s">
        <v>1929</v>
      </c>
      <c r="U512" s="171">
        <v>3099.0</v>
      </c>
      <c r="W512" s="3">
        <v>387.15999999999997</v>
      </c>
      <c r="X512" s="172">
        <v>46057.69429537037</v>
      </c>
      <c r="Y512" s="172"/>
      <c r="Z512" s="3">
        <v>46000.0</v>
      </c>
      <c r="AA512" s="3"/>
    </row>
    <row r="513">
      <c r="A513" s="3">
        <v>6.790589546755E12</v>
      </c>
      <c r="B513" s="2" t="s">
        <v>2563</v>
      </c>
      <c r="C513" s="2" t="s">
        <v>1299</v>
      </c>
      <c r="D513" s="169">
        <v>46000.0</v>
      </c>
      <c r="E513" s="173" t="s">
        <v>2564</v>
      </c>
      <c r="F513" s="2" t="s">
        <v>1300</v>
      </c>
      <c r="G513" s="2" t="s">
        <v>368</v>
      </c>
      <c r="H513" s="2">
        <v>4750.0</v>
      </c>
      <c r="I513" s="2">
        <v>2.9120050020152E13</v>
      </c>
      <c r="J513" s="3">
        <v>2.0</v>
      </c>
      <c r="K513" s="2" t="s">
        <v>2565</v>
      </c>
      <c r="L513" s="2" t="s">
        <v>2566</v>
      </c>
      <c r="M513" s="174" t="s">
        <v>409</v>
      </c>
      <c r="N513" s="2" t="s">
        <v>462</v>
      </c>
      <c r="O513" s="3">
        <v>0.5</v>
      </c>
      <c r="P513" s="2" t="s">
        <v>363</v>
      </c>
      <c r="Q513" s="3">
        <v>2080.0</v>
      </c>
      <c r="T513" s="2" t="s">
        <v>456</v>
      </c>
      <c r="U513" s="3">
        <v>4750.0</v>
      </c>
      <c r="V513" s="172">
        <v>46003.0</v>
      </c>
      <c r="W513" s="3">
        <v>203.0</v>
      </c>
      <c r="X513" s="172">
        <v>46001.56207175926</v>
      </c>
      <c r="Y513" s="172"/>
      <c r="Z513" s="3">
        <v>46000.0</v>
      </c>
      <c r="AA513" s="3"/>
    </row>
    <row r="514">
      <c r="A514" s="3">
        <v>6.790606749955E12</v>
      </c>
      <c r="B514" s="2" t="s">
        <v>2567</v>
      </c>
      <c r="C514" s="2" t="s">
        <v>2568</v>
      </c>
      <c r="D514" s="169">
        <v>46000.0</v>
      </c>
      <c r="E514" s="2">
        <v>3.219679219E9</v>
      </c>
      <c r="F514" s="2" t="s">
        <v>2569</v>
      </c>
      <c r="G514" s="2" t="s">
        <v>493</v>
      </c>
      <c r="H514" s="2">
        <v>0.0</v>
      </c>
      <c r="I514" s="2">
        <v>2.9120050020151E13</v>
      </c>
      <c r="J514" s="3">
        <v>0.0</v>
      </c>
      <c r="K514" s="2" t="s">
        <v>2570</v>
      </c>
      <c r="L514" s="2"/>
      <c r="M514" s="170" t="s">
        <v>455</v>
      </c>
      <c r="N514" s="2" t="s">
        <v>406</v>
      </c>
      <c r="O514" s="3">
        <v>0.5</v>
      </c>
      <c r="P514" s="2" t="s">
        <v>363</v>
      </c>
      <c r="Q514" s="3">
        <v>0.0</v>
      </c>
      <c r="T514" s="2" t="s">
        <v>1468</v>
      </c>
      <c r="U514" s="171">
        <v>0.0</v>
      </c>
      <c r="V514" s="172">
        <v>46017.0</v>
      </c>
      <c r="W514" s="3">
        <v>213.0</v>
      </c>
      <c r="X514" s="172">
        <v>46057.64278275463</v>
      </c>
      <c r="Y514" s="172"/>
      <c r="Z514" s="3">
        <v>46000.0</v>
      </c>
      <c r="AA514" s="3"/>
    </row>
    <row r="515">
      <c r="A515" s="3">
        <v>6.790646661379E12</v>
      </c>
      <c r="B515" s="2" t="s">
        <v>2571</v>
      </c>
      <c r="C515" s="2" t="s">
        <v>2572</v>
      </c>
      <c r="D515" s="169">
        <v>46000.0</v>
      </c>
      <c r="E515" s="2">
        <v>3.234115097E9</v>
      </c>
      <c r="F515" s="2" t="s">
        <v>2573</v>
      </c>
      <c r="G515" s="2" t="s">
        <v>1809</v>
      </c>
      <c r="H515" s="2">
        <v>1499.0</v>
      </c>
      <c r="I515" s="2">
        <v>2.912005002015E13</v>
      </c>
      <c r="J515" s="3">
        <v>1.0</v>
      </c>
      <c r="L515" s="2" t="s">
        <v>2574</v>
      </c>
      <c r="M515" s="174" t="s">
        <v>409</v>
      </c>
      <c r="N515" s="2" t="s">
        <v>462</v>
      </c>
      <c r="O515" s="3">
        <v>0.5</v>
      </c>
      <c r="P515" s="2" t="s">
        <v>363</v>
      </c>
      <c r="Q515" s="3">
        <v>750.0</v>
      </c>
      <c r="T515" s="2" t="s">
        <v>674</v>
      </c>
      <c r="U515" s="171">
        <v>1499.0</v>
      </c>
      <c r="V515" s="172">
        <v>46007.0</v>
      </c>
      <c r="W515" s="3">
        <v>260.0</v>
      </c>
      <c r="X515" s="172">
        <v>46003.64326388889</v>
      </c>
      <c r="Y515" s="172"/>
      <c r="Z515" s="3">
        <v>46000.0</v>
      </c>
      <c r="AA515" s="3"/>
    </row>
    <row r="516">
      <c r="A516" s="3">
        <v>6.790681231619E12</v>
      </c>
      <c r="B516" s="2" t="s">
        <v>2575</v>
      </c>
      <c r="C516" s="2" t="s">
        <v>33</v>
      </c>
      <c r="D516" s="169">
        <v>46000.0</v>
      </c>
      <c r="E516" s="173" t="s">
        <v>2576</v>
      </c>
      <c r="F516" s="2" t="s">
        <v>2577</v>
      </c>
      <c r="G516" s="2" t="s">
        <v>2578</v>
      </c>
      <c r="H516" s="2">
        <v>2748.0</v>
      </c>
      <c r="I516" s="2">
        <v>2.7120050020167E13</v>
      </c>
      <c r="J516" s="3">
        <v>1.0</v>
      </c>
      <c r="L516" s="2" t="s">
        <v>2579</v>
      </c>
      <c r="M516" s="174" t="s">
        <v>409</v>
      </c>
      <c r="N516" s="2" t="s">
        <v>462</v>
      </c>
      <c r="O516" s="3">
        <v>0.5</v>
      </c>
      <c r="P516" s="2" t="s">
        <v>363</v>
      </c>
      <c r="Q516" s="3">
        <v>1300.0</v>
      </c>
      <c r="T516" s="2" t="s">
        <v>456</v>
      </c>
      <c r="U516" s="171">
        <v>2748.0</v>
      </c>
      <c r="V516" s="172">
        <v>46003.0</v>
      </c>
      <c r="W516" s="3">
        <v>330.0</v>
      </c>
      <c r="X516" s="172">
        <v>46002.5675462963</v>
      </c>
      <c r="Y516" s="172"/>
      <c r="Z516" s="3">
        <v>46000.0</v>
      </c>
      <c r="AA516" s="3"/>
    </row>
    <row r="517">
      <c r="A517" s="3">
        <v>6.790716457219E12</v>
      </c>
      <c r="B517" s="2" t="s">
        <v>2580</v>
      </c>
      <c r="C517" s="2" t="s">
        <v>2581</v>
      </c>
      <c r="D517" s="169">
        <v>46000.0</v>
      </c>
      <c r="E517" s="173" t="s">
        <v>2582</v>
      </c>
      <c r="F517" s="2" t="s">
        <v>2583</v>
      </c>
      <c r="G517" s="2" t="s">
        <v>2584</v>
      </c>
      <c r="H517" s="2">
        <v>3099.0</v>
      </c>
      <c r="I517" s="2">
        <v>2.7120050020181E13</v>
      </c>
      <c r="J517" s="3">
        <v>2.0</v>
      </c>
      <c r="K517" s="2" t="s">
        <v>511</v>
      </c>
      <c r="L517" s="2" t="s">
        <v>296</v>
      </c>
      <c r="M517" s="174" t="s">
        <v>409</v>
      </c>
      <c r="N517" s="2" t="s">
        <v>462</v>
      </c>
      <c r="O517" s="3">
        <v>0.5</v>
      </c>
      <c r="P517" s="2" t="s">
        <v>363</v>
      </c>
      <c r="Q517" s="3">
        <v>920.0</v>
      </c>
      <c r="T517" s="2" t="s">
        <v>674</v>
      </c>
      <c r="U517" s="171">
        <v>3099.0</v>
      </c>
      <c r="V517" s="172">
        <v>46007.0</v>
      </c>
      <c r="W517" s="3">
        <v>351.0</v>
      </c>
      <c r="X517" s="172">
        <v>46006.989178240736</v>
      </c>
      <c r="Y517" s="172"/>
      <c r="Z517" s="3">
        <v>46000.0</v>
      </c>
      <c r="AA517" s="3"/>
    </row>
    <row r="518">
      <c r="A518" s="3">
        <v>6.790751092995E12</v>
      </c>
      <c r="B518" s="2" t="s">
        <v>2585</v>
      </c>
      <c r="C518" s="2" t="s">
        <v>2586</v>
      </c>
      <c r="D518" s="169">
        <v>46000.0</v>
      </c>
      <c r="E518" s="2">
        <v>3.120254228E9</v>
      </c>
      <c r="F518" s="2" t="s">
        <v>2587</v>
      </c>
      <c r="G518" s="2" t="s">
        <v>493</v>
      </c>
      <c r="H518" s="2">
        <v>0.0</v>
      </c>
      <c r="J518" s="3">
        <v>0.0</v>
      </c>
      <c r="K518" s="2" t="s">
        <v>571</v>
      </c>
      <c r="L518" s="2"/>
      <c r="M518" s="2" t="s">
        <v>468</v>
      </c>
      <c r="N518" s="2" t="s">
        <v>406</v>
      </c>
      <c r="O518" s="3">
        <v>0.5</v>
      </c>
      <c r="Q518" s="3">
        <v>0.0</v>
      </c>
      <c r="U518" s="141"/>
      <c r="X518" s="172">
        <v>46057.64278275463</v>
      </c>
      <c r="Y518" s="172"/>
      <c r="Z518" s="3">
        <v>46000.0</v>
      </c>
      <c r="AA518" s="3"/>
    </row>
    <row r="519">
      <c r="A519" s="3">
        <v>6.790787170563E12</v>
      </c>
      <c r="B519" s="2" t="s">
        <v>2588</v>
      </c>
      <c r="C519" s="2" t="s">
        <v>2589</v>
      </c>
      <c r="D519" s="169">
        <v>46000.0</v>
      </c>
      <c r="E519" s="2">
        <v>3.090620083E9</v>
      </c>
      <c r="F519" s="2" t="s">
        <v>2590</v>
      </c>
      <c r="G519" s="2" t="s">
        <v>2591</v>
      </c>
      <c r="H519" s="2">
        <v>2748.0</v>
      </c>
      <c r="I519" s="2">
        <v>2.1120050020182E13</v>
      </c>
      <c r="J519" s="3">
        <v>1.0</v>
      </c>
      <c r="K519" s="2" t="s">
        <v>511</v>
      </c>
      <c r="L519" s="2" t="s">
        <v>519</v>
      </c>
      <c r="M519" s="174" t="s">
        <v>409</v>
      </c>
      <c r="N519" s="2" t="s">
        <v>462</v>
      </c>
      <c r="O519" s="3">
        <v>0.5</v>
      </c>
      <c r="P519" s="2" t="s">
        <v>73</v>
      </c>
      <c r="Q519" s="3">
        <v>850.0</v>
      </c>
      <c r="T519" s="2" t="s">
        <v>674</v>
      </c>
      <c r="U519" s="171">
        <v>2748.0</v>
      </c>
      <c r="V519" s="172">
        <v>46007.0</v>
      </c>
      <c r="W519" s="3">
        <v>330.0</v>
      </c>
      <c r="X519" s="172">
        <v>46003.707916666666</v>
      </c>
      <c r="Y519" s="172"/>
      <c r="Z519" s="3">
        <v>46000.0</v>
      </c>
      <c r="AA519" s="3"/>
    </row>
    <row r="520">
      <c r="A520" s="3">
        <v>6.790894059779E12</v>
      </c>
      <c r="B520" s="2" t="s">
        <v>2592</v>
      </c>
      <c r="C520" s="2" t="s">
        <v>2593</v>
      </c>
      <c r="D520" s="169">
        <v>46000.0</v>
      </c>
      <c r="E520" s="173" t="s">
        <v>2594</v>
      </c>
      <c r="F520" s="2" t="s">
        <v>2595</v>
      </c>
      <c r="G520" s="2" t="s">
        <v>546</v>
      </c>
      <c r="H520" s="2">
        <v>3099.0</v>
      </c>
      <c r="I520" s="2">
        <v>2.1120050020183E13</v>
      </c>
      <c r="J520" s="3">
        <v>2.0</v>
      </c>
      <c r="K520" s="2" t="s">
        <v>2596</v>
      </c>
      <c r="L520" s="2" t="s">
        <v>1116</v>
      </c>
      <c r="M520" s="174" t="s">
        <v>409</v>
      </c>
      <c r="N520" s="2" t="s">
        <v>462</v>
      </c>
      <c r="O520" s="3">
        <v>0.5</v>
      </c>
      <c r="P520" s="2" t="s">
        <v>73</v>
      </c>
      <c r="Q520" s="3">
        <v>960.0</v>
      </c>
      <c r="T520" s="2" t="s">
        <v>456</v>
      </c>
      <c r="U520" s="171">
        <v>3099.0</v>
      </c>
      <c r="V520" s="172">
        <v>46003.0</v>
      </c>
      <c r="W520" s="3">
        <v>344.0</v>
      </c>
      <c r="X520" s="172">
        <v>46002.630740740744</v>
      </c>
      <c r="Y520" s="172"/>
      <c r="Z520" s="3">
        <v>46000.0</v>
      </c>
      <c r="AA520" s="3"/>
    </row>
    <row r="521">
      <c r="A521" s="3">
        <v>6.790957629699E12</v>
      </c>
      <c r="B521" s="2" t="s">
        <v>2597</v>
      </c>
      <c r="C521" s="2" t="s">
        <v>2598</v>
      </c>
      <c r="D521" s="169">
        <v>46000.0</v>
      </c>
      <c r="E521" s="2">
        <v>3.171068657E9</v>
      </c>
      <c r="F521" s="2" t="s">
        <v>2599</v>
      </c>
      <c r="G521" s="2" t="s">
        <v>493</v>
      </c>
      <c r="H521" s="2">
        <v>0.0</v>
      </c>
      <c r="J521" s="3">
        <v>0.0</v>
      </c>
      <c r="K521" s="2" t="s">
        <v>2600</v>
      </c>
      <c r="L521" s="2"/>
      <c r="M521" s="2" t="s">
        <v>468</v>
      </c>
      <c r="N521" s="2" t="s">
        <v>406</v>
      </c>
      <c r="O521" s="3">
        <v>0.5</v>
      </c>
      <c r="Q521" s="3">
        <v>0.0</v>
      </c>
      <c r="U521" s="141"/>
      <c r="X521" s="172">
        <v>46057.64278275463</v>
      </c>
      <c r="Y521" s="172"/>
      <c r="Z521" s="3">
        <v>46000.0</v>
      </c>
      <c r="AA521" s="3"/>
    </row>
    <row r="522">
      <c r="A522" s="3">
        <v>6.790969819395E12</v>
      </c>
      <c r="B522" s="2" t="s">
        <v>2601</v>
      </c>
      <c r="C522" s="2" t="s">
        <v>2602</v>
      </c>
      <c r="D522" s="169">
        <v>46000.0</v>
      </c>
      <c r="E522" s="2">
        <v>3.274026786E9</v>
      </c>
      <c r="F522" s="2" t="s">
        <v>2603</v>
      </c>
      <c r="G522" s="2" t="s">
        <v>2604</v>
      </c>
      <c r="H522" s="2">
        <v>4649.0</v>
      </c>
      <c r="I522" s="2">
        <v>2.8120050020184E13</v>
      </c>
      <c r="J522" s="3">
        <v>2.0</v>
      </c>
      <c r="L522" s="2" t="s">
        <v>479</v>
      </c>
      <c r="M522" s="174" t="s">
        <v>409</v>
      </c>
      <c r="N522" s="2" t="s">
        <v>462</v>
      </c>
      <c r="O522" s="3">
        <v>0.5</v>
      </c>
      <c r="P522" s="2" t="s">
        <v>73</v>
      </c>
      <c r="Q522" s="3">
        <v>1700.0</v>
      </c>
      <c r="T522" s="2" t="s">
        <v>456</v>
      </c>
      <c r="U522" s="171">
        <v>4649.0</v>
      </c>
      <c r="V522" s="172">
        <v>46003.0</v>
      </c>
      <c r="W522" s="3">
        <v>406.0</v>
      </c>
      <c r="X522" s="172">
        <v>46002.71130787037</v>
      </c>
      <c r="Y522" s="172"/>
      <c r="Z522" s="3">
        <v>46000.0</v>
      </c>
      <c r="AA522" s="3"/>
    </row>
    <row r="523">
      <c r="A523" s="3">
        <v>6.791009403139E12</v>
      </c>
      <c r="B523" s="2" t="s">
        <v>2605</v>
      </c>
      <c r="C523" s="2" t="s">
        <v>2606</v>
      </c>
      <c r="D523" s="169">
        <v>46000.0</v>
      </c>
      <c r="E523" s="2">
        <v>3.011333116E9</v>
      </c>
      <c r="F523" s="2" t="s">
        <v>2607</v>
      </c>
      <c r="G523" s="2" t="s">
        <v>2608</v>
      </c>
      <c r="H523" s="2">
        <v>0.0</v>
      </c>
      <c r="J523" s="3">
        <v>0.0</v>
      </c>
      <c r="K523" s="2" t="s">
        <v>760</v>
      </c>
      <c r="L523" s="2"/>
      <c r="M523" s="2" t="s">
        <v>468</v>
      </c>
      <c r="N523" s="2" t="s">
        <v>406</v>
      </c>
      <c r="O523" s="3">
        <v>0.5</v>
      </c>
      <c r="Q523" s="3">
        <v>0.0</v>
      </c>
      <c r="U523" s="141"/>
      <c r="X523" s="172">
        <v>46057.64278275463</v>
      </c>
      <c r="Y523" s="172"/>
      <c r="Z523" s="3">
        <v>46000.0</v>
      </c>
      <c r="AA523" s="3"/>
    </row>
    <row r="524">
      <c r="A524" s="3">
        <v>6.791011565827E12</v>
      </c>
      <c r="B524" s="2" t="s">
        <v>2609</v>
      </c>
      <c r="C524" s="2" t="s">
        <v>2606</v>
      </c>
      <c r="D524" s="169">
        <v>46000.0</v>
      </c>
      <c r="E524" s="173" t="s">
        <v>2610</v>
      </c>
      <c r="F524" s="2" t="s">
        <v>2607</v>
      </c>
      <c r="G524" s="2" t="s">
        <v>2608</v>
      </c>
      <c r="H524" s="2">
        <v>4198.0</v>
      </c>
      <c r="I524" s="2">
        <v>2.5120050020196E13</v>
      </c>
      <c r="J524" s="3">
        <v>2.0</v>
      </c>
      <c r="K524" s="2" t="s">
        <v>241</v>
      </c>
      <c r="L524" s="2" t="s">
        <v>2611</v>
      </c>
      <c r="M524" s="174" t="s">
        <v>409</v>
      </c>
      <c r="N524" s="2" t="s">
        <v>462</v>
      </c>
      <c r="O524" s="3">
        <v>0.5</v>
      </c>
      <c r="P524" s="2" t="s">
        <v>363</v>
      </c>
      <c r="Q524" s="3">
        <v>1550.0</v>
      </c>
      <c r="T524" s="2" t="s">
        <v>674</v>
      </c>
      <c r="U524" s="171">
        <v>4198.0</v>
      </c>
      <c r="V524" s="172">
        <v>46007.0</v>
      </c>
      <c r="W524" s="3">
        <v>388.0</v>
      </c>
      <c r="X524" s="172">
        <v>46006.76635416667</v>
      </c>
      <c r="Y524" s="172"/>
      <c r="Z524" s="3">
        <v>46000.0</v>
      </c>
      <c r="AA524" s="3"/>
    </row>
    <row r="525">
      <c r="A525" s="3">
        <v>6.791040270595E12</v>
      </c>
      <c r="B525" s="2" t="s">
        <v>2612</v>
      </c>
      <c r="C525" s="2" t="s">
        <v>2613</v>
      </c>
      <c r="D525" s="169">
        <v>46000.0</v>
      </c>
      <c r="E525" s="173" t="s">
        <v>2614</v>
      </c>
      <c r="F525" s="2" t="s">
        <v>2615</v>
      </c>
      <c r="G525" s="2" t="s">
        <v>1016</v>
      </c>
      <c r="H525" s="2">
        <v>0.0</v>
      </c>
      <c r="I525" s="2">
        <v>2.1120050020325E13</v>
      </c>
      <c r="J525" s="3">
        <v>0.0</v>
      </c>
      <c r="K525" s="2" t="s">
        <v>2616</v>
      </c>
      <c r="L525" s="2"/>
      <c r="M525" s="170" t="s">
        <v>455</v>
      </c>
      <c r="N525" s="2" t="s">
        <v>406</v>
      </c>
      <c r="O525" s="3">
        <v>0.5</v>
      </c>
      <c r="P525" s="2" t="s">
        <v>73</v>
      </c>
      <c r="Q525" s="3">
        <v>0.0</v>
      </c>
      <c r="T525" s="2" t="s">
        <v>2140</v>
      </c>
      <c r="U525" s="171">
        <v>0.0</v>
      </c>
      <c r="V525" s="172">
        <v>46021.0</v>
      </c>
      <c r="W525" s="3">
        <v>200.0</v>
      </c>
      <c r="X525" s="172">
        <v>46057.64278275463</v>
      </c>
      <c r="Y525" s="172"/>
      <c r="Z525" s="3">
        <v>46000.0</v>
      </c>
      <c r="AA525" s="3"/>
    </row>
    <row r="526">
      <c r="A526" s="3">
        <v>6.791046299907E12</v>
      </c>
      <c r="B526" s="2" t="s">
        <v>2617</v>
      </c>
      <c r="C526" s="2" t="s">
        <v>2618</v>
      </c>
      <c r="D526" s="169">
        <v>46000.0</v>
      </c>
      <c r="E526" s="2">
        <v>3.120323015E9</v>
      </c>
      <c r="F526" s="2" t="s">
        <v>2619</v>
      </c>
      <c r="G526" s="2" t="s">
        <v>493</v>
      </c>
      <c r="H526" s="2">
        <v>0.0</v>
      </c>
      <c r="I526" s="2">
        <v>2.6120050020169E13</v>
      </c>
      <c r="J526" s="3">
        <v>0.0</v>
      </c>
      <c r="K526" s="2" t="s">
        <v>2167</v>
      </c>
      <c r="L526" s="2"/>
      <c r="M526" s="170" t="s">
        <v>455</v>
      </c>
      <c r="N526" s="2" t="s">
        <v>406</v>
      </c>
      <c r="O526" s="3">
        <v>0.5</v>
      </c>
      <c r="P526" s="2" t="s">
        <v>363</v>
      </c>
      <c r="Q526" s="3">
        <v>0.0</v>
      </c>
      <c r="T526" s="2" t="s">
        <v>777</v>
      </c>
      <c r="U526" s="171">
        <v>0.0</v>
      </c>
      <c r="V526" s="172">
        <v>46014.0</v>
      </c>
      <c r="W526" s="3">
        <v>213.0</v>
      </c>
      <c r="X526" s="172">
        <v>46057.64278275463</v>
      </c>
      <c r="Y526" s="172"/>
      <c r="Z526" s="3">
        <v>46000.0</v>
      </c>
      <c r="AA526" s="3"/>
    </row>
    <row r="527">
      <c r="A527" s="3">
        <v>6.791072743683E12</v>
      </c>
      <c r="B527" s="2" t="s">
        <v>2620</v>
      </c>
      <c r="C527" s="2" t="s">
        <v>2621</v>
      </c>
      <c r="D527" s="169">
        <v>46000.0</v>
      </c>
      <c r="E527" s="2">
        <v>9.23343736174E11</v>
      </c>
      <c r="F527" s="2" t="s">
        <v>2622</v>
      </c>
      <c r="G527" s="2" t="s">
        <v>493</v>
      </c>
      <c r="H527" s="2">
        <v>3099.0</v>
      </c>
      <c r="I527" s="2">
        <v>2.9120050020326E13</v>
      </c>
      <c r="J527" s="3">
        <v>2.0</v>
      </c>
      <c r="L527" s="2" t="s">
        <v>228</v>
      </c>
      <c r="M527" s="174" t="s">
        <v>409</v>
      </c>
      <c r="N527" s="2" t="s">
        <v>462</v>
      </c>
      <c r="O527" s="3">
        <v>0.5</v>
      </c>
      <c r="P527" s="2" t="s">
        <v>363</v>
      </c>
      <c r="Q527" s="3">
        <v>920.0</v>
      </c>
      <c r="T527" s="2" t="s">
        <v>777</v>
      </c>
      <c r="U527" s="171">
        <v>3099.0</v>
      </c>
      <c r="V527" s="172">
        <v>46014.0</v>
      </c>
      <c r="W527" s="3">
        <v>337.0</v>
      </c>
      <c r="X527" s="172">
        <v>46010.71916666666</v>
      </c>
      <c r="Y527" s="172"/>
      <c r="Z527" s="3">
        <v>46000.0</v>
      </c>
      <c r="AA527" s="3"/>
    </row>
    <row r="528">
      <c r="A528" s="3">
        <v>6.791130611971E12</v>
      </c>
      <c r="B528" s="2" t="s">
        <v>2623</v>
      </c>
      <c r="C528" s="2" t="s">
        <v>2624</v>
      </c>
      <c r="D528" s="169">
        <v>46000.0</v>
      </c>
      <c r="E528" s="2">
        <v>3.325616926E9</v>
      </c>
      <c r="F528" s="2" t="s">
        <v>2625</v>
      </c>
      <c r="G528" s="2" t="s">
        <v>2626</v>
      </c>
      <c r="H528" s="2">
        <v>3099.0</v>
      </c>
      <c r="I528" s="2">
        <v>2.6120050020198E13</v>
      </c>
      <c r="J528" s="3">
        <v>2.0</v>
      </c>
      <c r="K528" s="2" t="s">
        <v>2627</v>
      </c>
      <c r="L528" s="2" t="s">
        <v>296</v>
      </c>
      <c r="M528" s="174" t="s">
        <v>409</v>
      </c>
      <c r="N528" s="2" t="s">
        <v>462</v>
      </c>
      <c r="O528" s="3">
        <v>0.5</v>
      </c>
      <c r="P528" s="2" t="s">
        <v>363</v>
      </c>
      <c r="Q528" s="3">
        <v>920.0</v>
      </c>
      <c r="T528" s="2" t="s">
        <v>599</v>
      </c>
      <c r="U528" s="171">
        <v>3099.0</v>
      </c>
      <c r="V528" s="172">
        <v>46010.0</v>
      </c>
      <c r="W528" s="3">
        <v>337.0</v>
      </c>
      <c r="X528" s="172">
        <v>46009.66789351852</v>
      </c>
      <c r="Y528" s="172"/>
      <c r="Z528" s="3">
        <v>46000.0</v>
      </c>
      <c r="AA528" s="3"/>
    </row>
    <row r="529">
      <c r="A529" s="3">
        <v>6.791272628483E12</v>
      </c>
      <c r="B529" s="2" t="s">
        <v>2628</v>
      </c>
      <c r="C529" s="2" t="s">
        <v>2629</v>
      </c>
      <c r="D529" s="169">
        <v>46000.0</v>
      </c>
      <c r="E529" s="2">
        <v>3.093318032E9</v>
      </c>
      <c r="F529" s="2" t="s">
        <v>2630</v>
      </c>
      <c r="G529" s="2" t="s">
        <v>2631</v>
      </c>
      <c r="H529" s="2">
        <v>1299.0</v>
      </c>
      <c r="I529" s="2">
        <v>2.812005002017E13</v>
      </c>
      <c r="J529" s="3">
        <v>1.0</v>
      </c>
      <c r="L529" s="2" t="s">
        <v>2632</v>
      </c>
      <c r="M529" s="174" t="s">
        <v>409</v>
      </c>
      <c r="N529" s="2" t="s">
        <v>462</v>
      </c>
      <c r="O529" s="3">
        <v>0.5</v>
      </c>
      <c r="P529" s="2" t="s">
        <v>73</v>
      </c>
      <c r="Q529" s="3">
        <v>550.0</v>
      </c>
      <c r="T529" s="2" t="s">
        <v>674</v>
      </c>
      <c r="U529" s="171">
        <v>1299.0</v>
      </c>
      <c r="V529" s="172">
        <v>46007.0</v>
      </c>
      <c r="W529" s="3">
        <v>265.0</v>
      </c>
      <c r="X529" s="172">
        <v>46005.67518518519</v>
      </c>
      <c r="Y529" s="172"/>
      <c r="Z529" s="3">
        <v>46000.0</v>
      </c>
      <c r="AA529" s="3"/>
    </row>
    <row r="530">
      <c r="A530" s="3">
        <v>6.791324926211E12</v>
      </c>
      <c r="B530" s="2" t="s">
        <v>2633</v>
      </c>
      <c r="C530" s="2" t="s">
        <v>2634</v>
      </c>
      <c r="D530" s="169">
        <v>46001.0</v>
      </c>
      <c r="E530" s="173" t="s">
        <v>2635</v>
      </c>
      <c r="F530" s="2" t="s">
        <v>2636</v>
      </c>
      <c r="G530" s="2" t="s">
        <v>688</v>
      </c>
      <c r="H530" s="2">
        <v>2749.0</v>
      </c>
      <c r="I530" s="2">
        <v>2.5120050020199E13</v>
      </c>
      <c r="J530" s="3">
        <v>2.0</v>
      </c>
      <c r="L530" s="2" t="s">
        <v>926</v>
      </c>
      <c r="M530" s="174" t="s">
        <v>409</v>
      </c>
      <c r="N530" s="2" t="s">
        <v>462</v>
      </c>
      <c r="O530" s="3">
        <v>0.5</v>
      </c>
      <c r="P530" s="2" t="s">
        <v>363</v>
      </c>
      <c r="Q530" s="3">
        <v>980.0</v>
      </c>
      <c r="T530" s="2" t="s">
        <v>674</v>
      </c>
      <c r="U530" s="171">
        <v>2749.0</v>
      </c>
      <c r="V530" s="172">
        <v>46007.0</v>
      </c>
      <c r="W530" s="3">
        <v>330.0</v>
      </c>
      <c r="X530" s="172">
        <v>46004.751238425924</v>
      </c>
      <c r="Y530" s="172"/>
      <c r="Z530" s="3">
        <v>46001.0</v>
      </c>
      <c r="AA530" s="3"/>
    </row>
    <row r="531">
      <c r="A531" s="3">
        <v>6.791368442115E12</v>
      </c>
      <c r="B531" s="2" t="s">
        <v>2637</v>
      </c>
      <c r="C531" s="2" t="s">
        <v>2638</v>
      </c>
      <c r="D531" s="169">
        <v>46001.0</v>
      </c>
      <c r="E531" s="2">
        <v>3.336164961E9</v>
      </c>
      <c r="F531" s="2" t="s">
        <v>2639</v>
      </c>
      <c r="G531" s="2" t="s">
        <v>541</v>
      </c>
      <c r="H531" s="2">
        <v>4099.0</v>
      </c>
      <c r="I531" s="2">
        <v>2.6120050020179E13</v>
      </c>
      <c r="J531" s="3">
        <v>1.0</v>
      </c>
      <c r="L531" s="2" t="s">
        <v>809</v>
      </c>
      <c r="M531" s="174" t="s">
        <v>409</v>
      </c>
      <c r="N531" s="2" t="s">
        <v>462</v>
      </c>
      <c r="O531" s="3">
        <v>0.5</v>
      </c>
      <c r="P531" s="2" t="s">
        <v>363</v>
      </c>
      <c r="Q531" s="3">
        <v>1600.0</v>
      </c>
      <c r="T531" s="2" t="s">
        <v>674</v>
      </c>
      <c r="U531" s="171">
        <v>4099.0</v>
      </c>
      <c r="V531" s="172">
        <v>46007.0</v>
      </c>
      <c r="W531" s="3">
        <v>384.0</v>
      </c>
      <c r="X531" s="172">
        <v>46003.84819444444</v>
      </c>
      <c r="Y531" s="172"/>
      <c r="Z531" s="3">
        <v>46001.0</v>
      </c>
      <c r="AA531" s="3"/>
    </row>
    <row r="532">
      <c r="A532" s="3">
        <v>6.791411400963E12</v>
      </c>
      <c r="B532" s="2" t="s">
        <v>2640</v>
      </c>
      <c r="C532" s="2" t="s">
        <v>2641</v>
      </c>
      <c r="D532" s="169">
        <v>46001.0</v>
      </c>
      <c r="E532" s="173" t="s">
        <v>2642</v>
      </c>
      <c r="F532" s="2" t="s">
        <v>2643</v>
      </c>
      <c r="G532" s="2" t="s">
        <v>506</v>
      </c>
      <c r="H532" s="2">
        <v>0.0</v>
      </c>
      <c r="I532" s="2">
        <v>2.71200500202E13</v>
      </c>
      <c r="J532" s="3">
        <v>0.0</v>
      </c>
      <c r="K532" s="2" t="s">
        <v>2644</v>
      </c>
      <c r="L532" s="2"/>
      <c r="M532" s="170" t="s">
        <v>455</v>
      </c>
      <c r="N532" s="2" t="s">
        <v>406</v>
      </c>
      <c r="O532" s="3">
        <v>0.5</v>
      </c>
      <c r="P532" s="2" t="s">
        <v>363</v>
      </c>
      <c r="Q532" s="3">
        <v>0.0</v>
      </c>
      <c r="T532" s="2" t="s">
        <v>777</v>
      </c>
      <c r="U532" s="171">
        <v>0.0</v>
      </c>
      <c r="V532" s="172">
        <v>46014.0</v>
      </c>
      <c r="W532" s="3">
        <v>200.0</v>
      </c>
      <c r="X532" s="172">
        <v>46057.64278275463</v>
      </c>
      <c r="Y532" s="172"/>
      <c r="Z532" s="3">
        <v>46001.0</v>
      </c>
      <c r="AA532" s="3"/>
    </row>
    <row r="533">
      <c r="A533" s="3">
        <v>6.791427064067E12</v>
      </c>
      <c r="B533" s="2" t="s">
        <v>2645</v>
      </c>
      <c r="C533" s="2" t="s">
        <v>2646</v>
      </c>
      <c r="D533" s="169">
        <v>46001.0</v>
      </c>
      <c r="E533" s="173" t="s">
        <v>2647</v>
      </c>
      <c r="F533" s="2" t="s">
        <v>2648</v>
      </c>
      <c r="G533" s="2" t="s">
        <v>688</v>
      </c>
      <c r="H533" s="2">
        <v>0.0</v>
      </c>
      <c r="I533" s="2">
        <v>2.9120050020327E13</v>
      </c>
      <c r="J533" s="3">
        <v>0.0</v>
      </c>
      <c r="K533" s="2" t="s">
        <v>2649</v>
      </c>
      <c r="L533" s="2"/>
      <c r="M533" s="170" t="s">
        <v>455</v>
      </c>
      <c r="N533" s="2" t="s">
        <v>406</v>
      </c>
      <c r="O533" s="3">
        <v>0.5</v>
      </c>
      <c r="P533" s="2" t="s">
        <v>363</v>
      </c>
      <c r="Q533" s="3">
        <v>0.0</v>
      </c>
      <c r="T533" s="2" t="s">
        <v>1468</v>
      </c>
      <c r="U533" s="171">
        <v>0.0</v>
      </c>
      <c r="V533" s="172">
        <v>46017.0</v>
      </c>
      <c r="W533" s="3">
        <v>200.0</v>
      </c>
      <c r="X533" s="172">
        <v>46057.64278275463</v>
      </c>
      <c r="Y533" s="172"/>
      <c r="Z533" s="3">
        <v>46001.0</v>
      </c>
      <c r="AA533" s="3"/>
    </row>
    <row r="534">
      <c r="A534" s="3">
        <v>6.791428079875E12</v>
      </c>
      <c r="B534" s="2" t="s">
        <v>2650</v>
      </c>
      <c r="C534" s="2" t="s">
        <v>2651</v>
      </c>
      <c r="D534" s="169">
        <v>46001.0</v>
      </c>
      <c r="E534" s="2">
        <v>3.323387119E9</v>
      </c>
      <c r="F534" s="2" t="s">
        <v>2652</v>
      </c>
      <c r="G534" s="2" t="s">
        <v>672</v>
      </c>
      <c r="H534" s="2">
        <v>0.0</v>
      </c>
      <c r="I534" s="2">
        <v>2.2120050020195E13</v>
      </c>
      <c r="J534" s="3">
        <v>0.0</v>
      </c>
      <c r="K534" s="2" t="s">
        <v>2653</v>
      </c>
      <c r="L534" s="2"/>
      <c r="M534" s="170" t="s">
        <v>455</v>
      </c>
      <c r="N534" s="2" t="s">
        <v>406</v>
      </c>
      <c r="O534" s="3">
        <v>0.5</v>
      </c>
      <c r="P534" s="2" t="s">
        <v>363</v>
      </c>
      <c r="Q534" s="3">
        <v>0.0</v>
      </c>
      <c r="T534" s="2" t="s">
        <v>2140</v>
      </c>
      <c r="U534" s="171">
        <v>0.0</v>
      </c>
      <c r="V534" s="172">
        <v>46021.0</v>
      </c>
      <c r="W534" s="3">
        <v>227.0</v>
      </c>
      <c r="X534" s="172">
        <v>46057.64278275463</v>
      </c>
      <c r="Y534" s="172"/>
      <c r="Z534" s="3">
        <v>46001.0</v>
      </c>
      <c r="AA534" s="3"/>
    </row>
    <row r="535">
      <c r="A535" s="3">
        <v>6.791631536387E12</v>
      </c>
      <c r="B535" s="2" t="s">
        <v>2654</v>
      </c>
      <c r="C535" s="2" t="s">
        <v>2655</v>
      </c>
      <c r="D535" s="169">
        <v>46001.0</v>
      </c>
      <c r="E535" s="173" t="s">
        <v>2656</v>
      </c>
      <c r="F535" s="2" t="s">
        <v>2657</v>
      </c>
      <c r="G535" s="2" t="s">
        <v>2658</v>
      </c>
      <c r="H535" s="2">
        <v>0.0</v>
      </c>
      <c r="J535" s="3">
        <v>0.0</v>
      </c>
      <c r="K535" s="2" t="s">
        <v>2659</v>
      </c>
      <c r="L535" s="2"/>
      <c r="M535" s="2" t="s">
        <v>468</v>
      </c>
      <c r="N535" s="2" t="s">
        <v>406</v>
      </c>
      <c r="O535" s="3">
        <v>0.5</v>
      </c>
      <c r="Q535" s="3">
        <v>0.0</v>
      </c>
      <c r="U535" s="141"/>
      <c r="X535" s="172">
        <v>46057.64278275463</v>
      </c>
      <c r="Y535" s="172"/>
      <c r="Z535" s="3">
        <v>46001.0</v>
      </c>
      <c r="AA535" s="3"/>
    </row>
    <row r="536">
      <c r="A536" s="3">
        <v>6.791670792451E12</v>
      </c>
      <c r="B536" s="2" t="s">
        <v>2660</v>
      </c>
      <c r="C536" s="2" t="s">
        <v>2661</v>
      </c>
      <c r="D536" s="169">
        <v>46001.0</v>
      </c>
      <c r="E536" s="2">
        <v>9.23442223927E11</v>
      </c>
      <c r="F536" s="2" t="s">
        <v>2662</v>
      </c>
      <c r="G536" s="2" t="s">
        <v>493</v>
      </c>
      <c r="H536" s="2">
        <v>0.0</v>
      </c>
      <c r="I536" s="2">
        <v>2.6120050020178E13</v>
      </c>
      <c r="J536" s="3">
        <v>0.0</v>
      </c>
      <c r="K536" s="2" t="s">
        <v>2663</v>
      </c>
      <c r="L536" s="2"/>
      <c r="M536" s="170" t="s">
        <v>455</v>
      </c>
      <c r="N536" s="2" t="s">
        <v>406</v>
      </c>
      <c r="O536" s="3">
        <v>0.5</v>
      </c>
      <c r="P536" s="2" t="s">
        <v>363</v>
      </c>
      <c r="Q536" s="3">
        <v>0.0</v>
      </c>
      <c r="T536" s="2" t="s">
        <v>1468</v>
      </c>
      <c r="U536" s="171">
        <v>0.0</v>
      </c>
      <c r="V536" s="172">
        <v>46017.0</v>
      </c>
      <c r="W536" s="3">
        <v>227.0</v>
      </c>
      <c r="X536" s="172">
        <v>46057.64278275463</v>
      </c>
      <c r="Y536" s="172"/>
      <c r="Z536" s="3">
        <v>46001.0</v>
      </c>
      <c r="AA536" s="3"/>
    </row>
    <row r="537">
      <c r="A537" s="3">
        <v>6.791690551555E12</v>
      </c>
      <c r="B537" s="2" t="s">
        <v>2664</v>
      </c>
      <c r="C537" s="2" t="s">
        <v>2665</v>
      </c>
      <c r="D537" s="169">
        <v>46001.0</v>
      </c>
      <c r="E537" s="2">
        <v>3.253114051E9</v>
      </c>
      <c r="F537" s="2" t="s">
        <v>2666</v>
      </c>
      <c r="G537" s="2" t="s">
        <v>2667</v>
      </c>
      <c r="H537" s="2">
        <v>0.0</v>
      </c>
      <c r="I537" s="2">
        <v>2.3120050020177E13</v>
      </c>
      <c r="J537" s="3">
        <v>0.0</v>
      </c>
      <c r="K537" s="2" t="s">
        <v>1202</v>
      </c>
      <c r="L537" s="2"/>
      <c r="M537" s="170" t="s">
        <v>455</v>
      </c>
      <c r="N537" s="2" t="s">
        <v>406</v>
      </c>
      <c r="O537" s="3">
        <v>0.5</v>
      </c>
      <c r="P537" s="2" t="s">
        <v>363</v>
      </c>
      <c r="Q537" s="3">
        <v>0.0</v>
      </c>
      <c r="T537" s="2" t="s">
        <v>599</v>
      </c>
      <c r="U537" s="171">
        <v>0.0</v>
      </c>
      <c r="V537" s="172">
        <v>46010.0</v>
      </c>
      <c r="W537" s="3">
        <v>220.0</v>
      </c>
      <c r="X537" s="172">
        <v>46057.64278275463</v>
      </c>
      <c r="Y537" s="172"/>
      <c r="Z537" s="3">
        <v>46001.0</v>
      </c>
      <c r="AA537" s="3"/>
    </row>
    <row r="538">
      <c r="A538" s="3">
        <v>6.791794262275E12</v>
      </c>
      <c r="B538" s="2" t="s">
        <v>2668</v>
      </c>
      <c r="C538" s="2" t="s">
        <v>2669</v>
      </c>
      <c r="D538" s="169">
        <v>46001.0</v>
      </c>
      <c r="E538" s="2">
        <v>3.210333029E9</v>
      </c>
      <c r="F538" s="2" t="s">
        <v>2670</v>
      </c>
      <c r="G538" s="2" t="s">
        <v>493</v>
      </c>
      <c r="H538" s="2">
        <v>0.0</v>
      </c>
      <c r="I538" s="2">
        <v>2.6120050020176E13</v>
      </c>
      <c r="J538" s="3">
        <v>0.0</v>
      </c>
      <c r="K538" s="2" t="s">
        <v>2671</v>
      </c>
      <c r="L538" s="2"/>
      <c r="M538" s="170" t="s">
        <v>455</v>
      </c>
      <c r="N538" s="2" t="s">
        <v>406</v>
      </c>
      <c r="O538" s="3">
        <v>0.5</v>
      </c>
      <c r="P538" s="2" t="s">
        <v>363</v>
      </c>
      <c r="Q538" s="3">
        <v>0.0</v>
      </c>
      <c r="T538" s="2" t="s">
        <v>777</v>
      </c>
      <c r="U538" s="171">
        <v>0.0</v>
      </c>
      <c r="V538" s="172">
        <v>46014.0</v>
      </c>
      <c r="W538" s="3">
        <v>227.0</v>
      </c>
      <c r="X538" s="172">
        <v>46057.64278275463</v>
      </c>
      <c r="Y538" s="172"/>
      <c r="Z538" s="3">
        <v>46001.0</v>
      </c>
      <c r="AA538" s="3"/>
    </row>
    <row r="539">
      <c r="A539" s="3">
        <v>6.791837483267E12</v>
      </c>
      <c r="B539" s="2" t="s">
        <v>2672</v>
      </c>
      <c r="C539" s="2" t="s">
        <v>2673</v>
      </c>
      <c r="D539" s="169">
        <v>46001.0</v>
      </c>
      <c r="E539" s="2">
        <v>3.029664416E9</v>
      </c>
      <c r="F539" s="2" t="s">
        <v>2674</v>
      </c>
      <c r="G539" s="2" t="s">
        <v>2675</v>
      </c>
      <c r="H539" s="2">
        <v>2749.0</v>
      </c>
      <c r="I539" s="2">
        <v>2.6120050020194E13</v>
      </c>
      <c r="J539" s="3">
        <v>2.0</v>
      </c>
      <c r="L539" s="2" t="s">
        <v>926</v>
      </c>
      <c r="M539" s="174" t="s">
        <v>409</v>
      </c>
      <c r="N539" s="2" t="s">
        <v>462</v>
      </c>
      <c r="O539" s="3">
        <v>0.5</v>
      </c>
      <c r="P539" s="2" t="s">
        <v>363</v>
      </c>
      <c r="Q539" s="3">
        <v>980.0</v>
      </c>
      <c r="T539" s="2" t="s">
        <v>456</v>
      </c>
      <c r="U539" s="171">
        <v>2749.0</v>
      </c>
      <c r="V539" s="172">
        <v>46003.0</v>
      </c>
      <c r="W539" s="3">
        <v>310.0</v>
      </c>
      <c r="X539" s="172">
        <v>46002.45365740741</v>
      </c>
      <c r="Y539" s="172"/>
      <c r="Z539" s="3">
        <v>46001.0</v>
      </c>
      <c r="AA539" s="3"/>
    </row>
    <row r="540">
      <c r="A540" s="3">
        <v>6.791970619651E12</v>
      </c>
      <c r="B540" s="2" t="s">
        <v>2676</v>
      </c>
      <c r="C540" s="2" t="s">
        <v>2677</v>
      </c>
      <c r="D540" s="169">
        <v>46001.0</v>
      </c>
      <c r="E540" s="2">
        <v>3.104784423E9</v>
      </c>
      <c r="F540" s="2" t="s">
        <v>2678</v>
      </c>
      <c r="G540" s="2" t="s">
        <v>945</v>
      </c>
      <c r="H540" s="2">
        <v>2748.0</v>
      </c>
      <c r="I540" s="2">
        <v>2.0120050020175E13</v>
      </c>
      <c r="J540" s="3">
        <v>1.0</v>
      </c>
      <c r="L540" s="2" t="s">
        <v>500</v>
      </c>
      <c r="M540" s="174" t="s">
        <v>409</v>
      </c>
      <c r="N540" s="2" t="s">
        <v>462</v>
      </c>
      <c r="O540" s="3">
        <v>0.5</v>
      </c>
      <c r="P540" s="2" t="s">
        <v>363</v>
      </c>
      <c r="Q540" s="3">
        <v>850.0</v>
      </c>
      <c r="T540" s="2" t="s">
        <v>674</v>
      </c>
      <c r="U540" s="171">
        <v>2748.0</v>
      </c>
      <c r="V540" s="172">
        <v>46007.0</v>
      </c>
      <c r="W540" s="3">
        <v>323.0</v>
      </c>
      <c r="X540" s="172">
        <v>46004.49046296296</v>
      </c>
      <c r="Y540" s="172"/>
      <c r="Z540" s="3">
        <v>46001.0</v>
      </c>
      <c r="AA540" s="3"/>
    </row>
    <row r="541">
      <c r="A541" s="3">
        <v>6.792038547715E12</v>
      </c>
      <c r="B541" s="2" t="s">
        <v>2679</v>
      </c>
      <c r="C541" s="2" t="s">
        <v>2680</v>
      </c>
      <c r="D541" s="169">
        <v>46001.0</v>
      </c>
      <c r="E541" s="2">
        <v>3.038054125E9</v>
      </c>
      <c r="F541" s="2" t="s">
        <v>2681</v>
      </c>
      <c r="G541" s="2" t="s">
        <v>2682</v>
      </c>
      <c r="H541" s="2">
        <v>0.0</v>
      </c>
      <c r="J541" s="3">
        <v>0.0</v>
      </c>
      <c r="K541" s="2" t="s">
        <v>2683</v>
      </c>
      <c r="L541" s="2"/>
      <c r="M541" s="2" t="s">
        <v>468</v>
      </c>
      <c r="N541" s="2" t="s">
        <v>406</v>
      </c>
      <c r="O541" s="3">
        <v>0.5</v>
      </c>
      <c r="Q541" s="3">
        <v>0.0</v>
      </c>
      <c r="U541" s="141"/>
      <c r="X541" s="172">
        <v>46057.64278275463</v>
      </c>
      <c r="Y541" s="172"/>
      <c r="Z541" s="3">
        <v>46001.0</v>
      </c>
      <c r="AA541" s="3"/>
    </row>
    <row r="542">
      <c r="A542" s="3">
        <v>6.792040382723E12</v>
      </c>
      <c r="B542" s="2" t="s">
        <v>2684</v>
      </c>
      <c r="C542" s="2" t="s">
        <v>2680</v>
      </c>
      <c r="D542" s="169">
        <v>46001.0</v>
      </c>
      <c r="E542" s="173" t="s">
        <v>2685</v>
      </c>
      <c r="F542" s="2" t="s">
        <v>2686</v>
      </c>
      <c r="G542" s="2" t="s">
        <v>2682</v>
      </c>
      <c r="H542" s="2">
        <v>0.0</v>
      </c>
      <c r="I542" s="2">
        <v>2.712005002023E13</v>
      </c>
      <c r="J542" s="3">
        <v>0.0</v>
      </c>
      <c r="K542" s="2" t="s">
        <v>2616</v>
      </c>
      <c r="L542" s="2"/>
      <c r="M542" s="170" t="s">
        <v>455</v>
      </c>
      <c r="N542" s="2" t="s">
        <v>406</v>
      </c>
      <c r="O542" s="3">
        <v>0.5</v>
      </c>
      <c r="P542" s="2" t="s">
        <v>363</v>
      </c>
      <c r="Q542" s="3">
        <v>0.0</v>
      </c>
      <c r="T542" s="2" t="s">
        <v>2140</v>
      </c>
      <c r="U542" s="171">
        <v>0.0</v>
      </c>
      <c r="V542" s="172">
        <v>46021.0</v>
      </c>
      <c r="W542" s="3">
        <v>200.0</v>
      </c>
      <c r="X542" s="172">
        <v>46057.64278275463</v>
      </c>
      <c r="Y542" s="172"/>
      <c r="Z542" s="3">
        <v>46001.0</v>
      </c>
      <c r="AA542" s="3"/>
    </row>
    <row r="543">
      <c r="A543" s="3">
        <v>6.792048607491E12</v>
      </c>
      <c r="B543" s="2" t="s">
        <v>2687</v>
      </c>
      <c r="C543" s="2" t="s">
        <v>2688</v>
      </c>
      <c r="D543" s="169">
        <v>46001.0</v>
      </c>
      <c r="E543" s="2">
        <v>3.201411703E9</v>
      </c>
      <c r="F543" s="2" t="s">
        <v>2689</v>
      </c>
      <c r="G543" s="2" t="s">
        <v>506</v>
      </c>
      <c r="H543" s="2">
        <v>0.0</v>
      </c>
      <c r="I543" s="2">
        <v>2.6120050020193E13</v>
      </c>
      <c r="J543" s="3">
        <v>0.0</v>
      </c>
      <c r="K543" s="2" t="s">
        <v>2644</v>
      </c>
      <c r="L543" s="2"/>
      <c r="M543" s="170" t="s">
        <v>455</v>
      </c>
      <c r="N543" s="2" t="s">
        <v>406</v>
      </c>
      <c r="O543" s="3">
        <v>0.5</v>
      </c>
      <c r="P543" s="2" t="s">
        <v>363</v>
      </c>
      <c r="Q543" s="3">
        <v>0.0</v>
      </c>
      <c r="T543" s="2" t="s">
        <v>777</v>
      </c>
      <c r="U543" s="171">
        <v>0.0</v>
      </c>
      <c r="V543" s="172">
        <v>46014.0</v>
      </c>
      <c r="W543" s="3">
        <v>200.0</v>
      </c>
      <c r="X543" s="172">
        <v>46057.64278275463</v>
      </c>
      <c r="Y543" s="172"/>
      <c r="Z543" s="3">
        <v>46001.0</v>
      </c>
      <c r="AA543" s="3"/>
    </row>
    <row r="544">
      <c r="A544" s="3">
        <v>6.792056045827E12</v>
      </c>
      <c r="B544" s="2" t="s">
        <v>2690</v>
      </c>
      <c r="C544" s="2" t="s">
        <v>2691</v>
      </c>
      <c r="D544" s="169">
        <v>46001.0</v>
      </c>
      <c r="E544" s="2">
        <v>3.157335805E9</v>
      </c>
      <c r="F544" s="2" t="s">
        <v>2692</v>
      </c>
      <c r="G544" s="2" t="s">
        <v>493</v>
      </c>
      <c r="H544" s="2">
        <v>2748.0</v>
      </c>
      <c r="I544" s="2">
        <v>2.4120050020174E13</v>
      </c>
      <c r="J544" s="3">
        <v>1.0</v>
      </c>
      <c r="L544" s="2" t="s">
        <v>557</v>
      </c>
      <c r="M544" s="174" t="s">
        <v>409</v>
      </c>
      <c r="N544" s="2" t="s">
        <v>462</v>
      </c>
      <c r="O544" s="3">
        <v>0.5</v>
      </c>
      <c r="P544" s="2" t="s">
        <v>363</v>
      </c>
      <c r="Q544" s="3">
        <v>850.0</v>
      </c>
      <c r="T544" s="2" t="s">
        <v>674</v>
      </c>
      <c r="U544" s="171">
        <v>2748.0</v>
      </c>
      <c r="V544" s="172">
        <v>46007.0</v>
      </c>
      <c r="W544" s="3">
        <v>337.0</v>
      </c>
      <c r="X544" s="172">
        <v>46004.64894675926</v>
      </c>
      <c r="Y544" s="172"/>
      <c r="Z544" s="3">
        <v>46001.0</v>
      </c>
      <c r="AA544" s="3"/>
    </row>
    <row r="545">
      <c r="A545" s="3">
        <v>6.792059814147E12</v>
      </c>
      <c r="B545" s="2" t="s">
        <v>2693</v>
      </c>
      <c r="C545" s="2" t="s">
        <v>2624</v>
      </c>
      <c r="D545" s="169">
        <v>46001.0</v>
      </c>
      <c r="E545" s="2">
        <v>3.18019014E9</v>
      </c>
      <c r="F545" s="2" t="s">
        <v>2694</v>
      </c>
      <c r="G545" s="2" t="s">
        <v>493</v>
      </c>
      <c r="H545" s="2">
        <v>0.0</v>
      </c>
      <c r="I545" s="2">
        <v>2.5120050020328E13</v>
      </c>
      <c r="J545" s="3">
        <v>0.0</v>
      </c>
      <c r="K545" s="2" t="s">
        <v>2695</v>
      </c>
      <c r="L545" s="2"/>
      <c r="M545" s="170" t="s">
        <v>455</v>
      </c>
      <c r="N545" s="2" t="s">
        <v>406</v>
      </c>
      <c r="O545" s="3">
        <v>0.5</v>
      </c>
      <c r="P545" s="2" t="s">
        <v>363</v>
      </c>
      <c r="Q545" s="3">
        <v>0.0</v>
      </c>
      <c r="T545" s="2" t="s">
        <v>2140</v>
      </c>
      <c r="U545" s="171">
        <v>0.0</v>
      </c>
      <c r="V545" s="172">
        <v>46021.0</v>
      </c>
      <c r="W545" s="3">
        <v>414.0</v>
      </c>
      <c r="X545" s="172">
        <v>46057.64278275463</v>
      </c>
      <c r="Y545" s="172"/>
      <c r="Z545" s="3">
        <v>46001.0</v>
      </c>
      <c r="AA545" s="3"/>
    </row>
    <row r="546">
      <c r="A546" s="3">
        <v>6.792060633347E12</v>
      </c>
      <c r="B546" s="2" t="s">
        <v>2696</v>
      </c>
      <c r="C546" s="2" t="s">
        <v>2697</v>
      </c>
      <c r="D546" s="169">
        <v>46001.0</v>
      </c>
      <c r="E546" s="2">
        <v>3.216619395E9</v>
      </c>
      <c r="F546" s="2" t="s">
        <v>2698</v>
      </c>
      <c r="G546" s="2" t="s">
        <v>2699</v>
      </c>
      <c r="H546" s="2">
        <v>3099.0</v>
      </c>
      <c r="I546" s="2">
        <v>2.7120050020295E13</v>
      </c>
      <c r="J546" s="3">
        <v>2.0</v>
      </c>
      <c r="L546" s="2" t="s">
        <v>906</v>
      </c>
      <c r="M546" s="174" t="s">
        <v>409</v>
      </c>
      <c r="N546" s="2" t="s">
        <v>462</v>
      </c>
      <c r="O546" s="3">
        <v>0.5</v>
      </c>
      <c r="P546" s="2" t="s">
        <v>363</v>
      </c>
      <c r="Q546" s="3">
        <v>920.0</v>
      </c>
      <c r="T546" s="2" t="s">
        <v>777</v>
      </c>
      <c r="U546" s="171">
        <v>3099.0</v>
      </c>
      <c r="V546" s="172">
        <v>46014.0</v>
      </c>
      <c r="W546" s="3">
        <v>324.0</v>
      </c>
      <c r="X546" s="172">
        <v>46011.773877314816</v>
      </c>
      <c r="Y546" s="172"/>
      <c r="Z546" s="3">
        <v>46001.0</v>
      </c>
      <c r="AA546" s="3"/>
    </row>
    <row r="547">
      <c r="A547" s="3">
        <v>6.792082555139E12</v>
      </c>
      <c r="B547" s="2" t="s">
        <v>2700</v>
      </c>
      <c r="C547" s="2" t="s">
        <v>2701</v>
      </c>
      <c r="D547" s="169">
        <v>46001.0</v>
      </c>
      <c r="E547" s="2">
        <v>3.345638077E9</v>
      </c>
      <c r="F547" s="2" t="s">
        <v>2702</v>
      </c>
      <c r="G547" s="2" t="s">
        <v>2703</v>
      </c>
      <c r="H547" s="2">
        <v>249.0</v>
      </c>
      <c r="I547" s="2">
        <v>2.7120050020192E13</v>
      </c>
      <c r="J547" s="3">
        <v>0.0</v>
      </c>
      <c r="L547" s="2"/>
      <c r="M547" s="174" t="s">
        <v>409</v>
      </c>
      <c r="N547" s="2" t="s">
        <v>462</v>
      </c>
      <c r="O547" s="3">
        <v>0.5</v>
      </c>
      <c r="P547" s="2" t="s">
        <v>363</v>
      </c>
      <c r="Q547" s="3">
        <v>0.0</v>
      </c>
      <c r="T547" s="2" t="s">
        <v>674</v>
      </c>
      <c r="U547" s="3">
        <v>249.0</v>
      </c>
      <c r="V547" s="172">
        <v>46007.0</v>
      </c>
      <c r="W547" s="3">
        <v>344.0</v>
      </c>
      <c r="X547" s="172">
        <v>46005.76476851852</v>
      </c>
      <c r="Y547" s="172"/>
      <c r="Z547" s="3">
        <v>46001.0</v>
      </c>
      <c r="AA547" s="3"/>
    </row>
    <row r="548">
      <c r="A548" s="3">
        <v>6.792119124227E12</v>
      </c>
      <c r="B548" s="2" t="s">
        <v>2704</v>
      </c>
      <c r="C548" s="2" t="s">
        <v>2705</v>
      </c>
      <c r="D548" s="169">
        <v>46001.0</v>
      </c>
      <c r="E548" s="2">
        <v>3.214268197E9</v>
      </c>
      <c r="F548" s="2" t="s">
        <v>2706</v>
      </c>
      <c r="G548" s="2" t="s">
        <v>368</v>
      </c>
      <c r="H548" s="2">
        <v>0.0</v>
      </c>
      <c r="J548" s="3">
        <v>0.0</v>
      </c>
      <c r="K548" s="2" t="s">
        <v>2707</v>
      </c>
      <c r="L548" s="2"/>
      <c r="M548" s="2" t="s">
        <v>468</v>
      </c>
      <c r="N548" s="2" t="s">
        <v>406</v>
      </c>
      <c r="O548" s="3">
        <v>0.5</v>
      </c>
      <c r="Q548" s="3">
        <v>0.0</v>
      </c>
      <c r="U548" s="141"/>
      <c r="X548" s="172">
        <v>46057.64278275463</v>
      </c>
      <c r="Y548" s="172"/>
      <c r="Z548" s="3">
        <v>46001.0</v>
      </c>
      <c r="AA548" s="3"/>
    </row>
    <row r="549">
      <c r="A549" s="3">
        <v>6.792121516291E12</v>
      </c>
      <c r="B549" s="2" t="s">
        <v>2708</v>
      </c>
      <c r="C549" s="2" t="s">
        <v>2586</v>
      </c>
      <c r="D549" s="169">
        <v>46001.0</v>
      </c>
      <c r="E549" s="173" t="s">
        <v>2709</v>
      </c>
      <c r="F549" s="2" t="s">
        <v>2710</v>
      </c>
      <c r="G549" s="2" t="s">
        <v>493</v>
      </c>
      <c r="H549" s="2">
        <v>2748.0</v>
      </c>
      <c r="I549" s="2">
        <v>2.7120050020186E13</v>
      </c>
      <c r="J549" s="3">
        <v>1.0</v>
      </c>
      <c r="L549" s="2" t="s">
        <v>519</v>
      </c>
      <c r="M549" s="174" t="s">
        <v>409</v>
      </c>
      <c r="N549" s="2" t="s">
        <v>462</v>
      </c>
      <c r="O549" s="3">
        <v>0.5</v>
      </c>
      <c r="P549" s="2" t="s">
        <v>363</v>
      </c>
      <c r="Q549" s="3">
        <v>850.0</v>
      </c>
      <c r="T549" s="2" t="s">
        <v>674</v>
      </c>
      <c r="U549" s="171">
        <v>2748.0</v>
      </c>
      <c r="V549" s="172">
        <v>46007.0</v>
      </c>
      <c r="W549" s="3">
        <v>337.0</v>
      </c>
      <c r="X549" s="172">
        <v>46004.67729166667</v>
      </c>
      <c r="Y549" s="172"/>
      <c r="Z549" s="3">
        <v>46001.0</v>
      </c>
      <c r="AA549" s="3"/>
    </row>
    <row r="550">
      <c r="A550" s="3">
        <v>6.792151499011E12</v>
      </c>
      <c r="B550" s="2" t="s">
        <v>2711</v>
      </c>
      <c r="C550" s="2" t="s">
        <v>1416</v>
      </c>
      <c r="D550" s="169">
        <v>46001.0</v>
      </c>
      <c r="E550" s="2">
        <v>3.214108433E9</v>
      </c>
      <c r="F550" s="2" t="s">
        <v>2712</v>
      </c>
      <c r="G550" s="2" t="s">
        <v>368</v>
      </c>
      <c r="H550" s="2">
        <v>3099.0</v>
      </c>
      <c r="I550" s="2">
        <v>2.1120050020171E13</v>
      </c>
      <c r="J550" s="3">
        <v>2.0</v>
      </c>
      <c r="L550" s="2" t="s">
        <v>906</v>
      </c>
      <c r="M550" s="174" t="s">
        <v>409</v>
      </c>
      <c r="N550" s="2" t="s">
        <v>462</v>
      </c>
      <c r="O550" s="3">
        <v>0.5</v>
      </c>
      <c r="P550" s="2" t="s">
        <v>73</v>
      </c>
      <c r="Q550" s="3">
        <v>920.0</v>
      </c>
      <c r="T550" s="2" t="s">
        <v>456</v>
      </c>
      <c r="U550" s="171">
        <v>3099.0</v>
      </c>
      <c r="V550" s="172">
        <v>46003.0</v>
      </c>
      <c r="W550" s="3">
        <v>244.0</v>
      </c>
      <c r="X550" s="172">
        <v>46002.64331018519</v>
      </c>
      <c r="Y550" s="172"/>
      <c r="Z550" s="3">
        <v>46001.0</v>
      </c>
      <c r="AA550" s="3"/>
    </row>
    <row r="551">
      <c r="A551" s="3">
        <v>6.792198947075E12</v>
      </c>
      <c r="B551" s="2" t="s">
        <v>2713</v>
      </c>
      <c r="C551" s="2" t="s">
        <v>2714</v>
      </c>
      <c r="D551" s="169">
        <v>46001.0</v>
      </c>
      <c r="E551" s="2">
        <v>3.183612658E9</v>
      </c>
      <c r="F551" s="2" t="s">
        <v>2715</v>
      </c>
      <c r="G551" s="2" t="s">
        <v>945</v>
      </c>
      <c r="H551" s="2">
        <v>2748.0</v>
      </c>
      <c r="I551" s="2">
        <v>2.2120050020173E13</v>
      </c>
      <c r="J551" s="3">
        <v>1.0</v>
      </c>
      <c r="L551" s="2" t="s">
        <v>557</v>
      </c>
      <c r="M551" s="174" t="s">
        <v>409</v>
      </c>
      <c r="N551" s="2" t="s">
        <v>462</v>
      </c>
      <c r="O551" s="3">
        <v>0.5</v>
      </c>
      <c r="P551" s="2" t="s">
        <v>363</v>
      </c>
      <c r="Q551" s="3">
        <v>850.0</v>
      </c>
      <c r="T551" s="2" t="s">
        <v>674</v>
      </c>
      <c r="U551" s="171">
        <v>2748.0</v>
      </c>
      <c r="V551" s="172">
        <v>46007.0</v>
      </c>
      <c r="W551" s="3">
        <v>337.0</v>
      </c>
      <c r="X551" s="172">
        <v>46004.49394675926</v>
      </c>
      <c r="Y551" s="172"/>
      <c r="Z551" s="3">
        <v>46001.0</v>
      </c>
      <c r="AA551" s="3"/>
    </row>
    <row r="552">
      <c r="A552" s="3">
        <v>6.792205959427E12</v>
      </c>
      <c r="B552" s="2" t="s">
        <v>2716</v>
      </c>
      <c r="C552" s="2" t="s">
        <v>2717</v>
      </c>
      <c r="D552" s="169">
        <v>46001.0</v>
      </c>
      <c r="E552" s="173" t="s">
        <v>2718</v>
      </c>
      <c r="F552" s="2" t="s">
        <v>2719</v>
      </c>
      <c r="G552" s="2" t="s">
        <v>802</v>
      </c>
      <c r="H552" s="2">
        <v>0.0</v>
      </c>
      <c r="J552" s="3">
        <v>0.0</v>
      </c>
      <c r="K552" s="2" t="s">
        <v>2720</v>
      </c>
      <c r="L552" s="2"/>
      <c r="M552" s="2" t="s">
        <v>468</v>
      </c>
      <c r="N552" s="2" t="s">
        <v>406</v>
      </c>
      <c r="O552" s="3">
        <v>0.5</v>
      </c>
      <c r="Q552" s="3">
        <v>0.0</v>
      </c>
      <c r="U552" s="141"/>
      <c r="X552" s="172">
        <v>46057.64278275463</v>
      </c>
      <c r="Y552" s="172"/>
      <c r="Z552" s="3">
        <v>46001.0</v>
      </c>
      <c r="AA552" s="3"/>
    </row>
    <row r="553">
      <c r="A553" s="3">
        <v>6.792206582019E12</v>
      </c>
      <c r="B553" s="2" t="s">
        <v>2721</v>
      </c>
      <c r="C553" s="2" t="s">
        <v>2722</v>
      </c>
      <c r="D553" s="169">
        <v>46001.0</v>
      </c>
      <c r="E553" s="173" t="s">
        <v>2723</v>
      </c>
      <c r="F553" s="2" t="s">
        <v>2724</v>
      </c>
      <c r="G553" s="2" t="s">
        <v>2725</v>
      </c>
      <c r="H553" s="2">
        <v>4247.0</v>
      </c>
      <c r="I553" s="2">
        <v>2.6120050020316E13</v>
      </c>
      <c r="J553" s="3">
        <v>2.0</v>
      </c>
      <c r="L553" s="2" t="s">
        <v>2726</v>
      </c>
      <c r="M553" s="174" t="s">
        <v>409</v>
      </c>
      <c r="N553" s="2" t="s">
        <v>462</v>
      </c>
      <c r="O553" s="3">
        <v>0.5</v>
      </c>
      <c r="P553" s="2" t="s">
        <v>363</v>
      </c>
      <c r="Q553" s="3">
        <v>2250.0</v>
      </c>
      <c r="T553" s="2" t="s">
        <v>599</v>
      </c>
      <c r="U553" s="3">
        <v>4247.0</v>
      </c>
      <c r="V553" s="172">
        <v>46010.0</v>
      </c>
      <c r="W553" s="3">
        <v>430.0</v>
      </c>
      <c r="X553" s="172">
        <v>46007.65783564815</v>
      </c>
      <c r="Y553" s="172"/>
      <c r="Z553" s="3">
        <v>46001.0</v>
      </c>
      <c r="AA553" s="3"/>
    </row>
    <row r="554">
      <c r="A554" s="3">
        <v>6.792208187651E12</v>
      </c>
      <c r="B554" s="2" t="s">
        <v>2727</v>
      </c>
      <c r="C554" s="2" t="s">
        <v>2722</v>
      </c>
      <c r="D554" s="169">
        <v>46001.0</v>
      </c>
      <c r="E554" s="2">
        <v>3.016437612E9</v>
      </c>
      <c r="F554" s="2" t="s">
        <v>2724</v>
      </c>
      <c r="G554" s="2" t="s">
        <v>2725</v>
      </c>
      <c r="H554" s="2">
        <v>0.0</v>
      </c>
      <c r="J554" s="3">
        <v>0.0</v>
      </c>
      <c r="K554" s="2" t="s">
        <v>571</v>
      </c>
      <c r="L554" s="2"/>
      <c r="M554" s="2" t="s">
        <v>468</v>
      </c>
      <c r="N554" s="2" t="s">
        <v>406</v>
      </c>
      <c r="O554" s="3">
        <v>0.5</v>
      </c>
      <c r="Q554" s="3">
        <v>0.0</v>
      </c>
      <c r="U554" s="141"/>
      <c r="X554" s="172">
        <v>46057.64278275463</v>
      </c>
      <c r="Y554" s="172"/>
      <c r="Z554" s="3">
        <v>46001.0</v>
      </c>
      <c r="AA554" s="3"/>
    </row>
    <row r="555">
      <c r="A555" s="3">
        <v>6.792209727747E12</v>
      </c>
      <c r="B555" s="2" t="s">
        <v>2728</v>
      </c>
      <c r="C555" s="2" t="s">
        <v>2722</v>
      </c>
      <c r="D555" s="169">
        <v>46001.0</v>
      </c>
      <c r="E555" s="2">
        <v>3.016437612E9</v>
      </c>
      <c r="F555" s="2" t="s">
        <v>2724</v>
      </c>
      <c r="G555" s="2" t="s">
        <v>2725</v>
      </c>
      <c r="H555" s="2">
        <v>0.0</v>
      </c>
      <c r="J555" s="3">
        <v>0.0</v>
      </c>
      <c r="K555" s="2" t="s">
        <v>760</v>
      </c>
      <c r="L555" s="2"/>
      <c r="M555" s="2" t="s">
        <v>468</v>
      </c>
      <c r="N555" s="2" t="s">
        <v>406</v>
      </c>
      <c r="O555" s="3">
        <v>0.5</v>
      </c>
      <c r="Q555" s="3">
        <v>0.0</v>
      </c>
      <c r="U555" s="141"/>
      <c r="X555" s="172">
        <v>46057.64278275463</v>
      </c>
      <c r="Y555" s="172"/>
      <c r="Z555" s="3">
        <v>46001.0</v>
      </c>
      <c r="AA555" s="3"/>
    </row>
    <row r="556">
      <c r="A556" s="3">
        <v>6.792220901635E12</v>
      </c>
      <c r="B556" s="2" t="s">
        <v>2729</v>
      </c>
      <c r="C556" s="2" t="s">
        <v>2730</v>
      </c>
      <c r="D556" s="169">
        <v>46001.0</v>
      </c>
      <c r="E556" s="173" t="s">
        <v>2731</v>
      </c>
      <c r="F556" s="2" t="s">
        <v>2732</v>
      </c>
      <c r="G556" s="2" t="s">
        <v>817</v>
      </c>
      <c r="H556" s="2">
        <v>2450.0</v>
      </c>
      <c r="I556" s="2">
        <v>2.0120050020172E13</v>
      </c>
      <c r="J556" s="3">
        <v>2.0</v>
      </c>
      <c r="K556" s="2" t="s">
        <v>1989</v>
      </c>
      <c r="L556" s="2" t="s">
        <v>2733</v>
      </c>
      <c r="M556" s="174" t="s">
        <v>409</v>
      </c>
      <c r="N556" s="2" t="s">
        <v>462</v>
      </c>
      <c r="O556" s="3">
        <v>0.5</v>
      </c>
      <c r="P556" s="2" t="s">
        <v>363</v>
      </c>
      <c r="Q556" s="3">
        <v>985.0</v>
      </c>
      <c r="T556" s="2" t="s">
        <v>674</v>
      </c>
      <c r="U556" s="171">
        <v>2450.0</v>
      </c>
      <c r="V556" s="172">
        <v>46007.0</v>
      </c>
      <c r="W556" s="3">
        <v>325.0</v>
      </c>
      <c r="X556" s="172">
        <v>46004.66097222222</v>
      </c>
      <c r="Y556" s="172"/>
      <c r="Z556" s="3">
        <v>46001.0</v>
      </c>
      <c r="AA556" s="3"/>
    </row>
    <row r="557">
      <c r="A557" s="3">
        <v>6.792237252867E12</v>
      </c>
      <c r="B557" s="2" t="s">
        <v>2734</v>
      </c>
      <c r="C557" s="2" t="s">
        <v>2735</v>
      </c>
      <c r="D557" s="169">
        <v>46001.0</v>
      </c>
      <c r="E557" s="2">
        <v>3.356816668E9</v>
      </c>
      <c r="F557" s="2" t="s">
        <v>2736</v>
      </c>
      <c r="G557" s="2" t="s">
        <v>374</v>
      </c>
      <c r="H557" s="2">
        <v>0.0</v>
      </c>
      <c r="I557" s="2">
        <v>2.7120050020317E13</v>
      </c>
      <c r="J557" s="3">
        <v>0.0</v>
      </c>
      <c r="K557" s="2" t="s">
        <v>2737</v>
      </c>
      <c r="L557" s="2"/>
      <c r="M557" s="170" t="s">
        <v>455</v>
      </c>
      <c r="N557" s="2" t="s">
        <v>406</v>
      </c>
      <c r="O557" s="3">
        <v>0.5</v>
      </c>
      <c r="P557" s="2" t="s">
        <v>363</v>
      </c>
      <c r="Q557" s="3">
        <v>0.0</v>
      </c>
      <c r="T557" s="2" t="s">
        <v>1468</v>
      </c>
      <c r="U557" s="171">
        <v>0.0</v>
      </c>
      <c r="V557" s="172">
        <v>46017.0</v>
      </c>
      <c r="W557" s="3">
        <v>313.0</v>
      </c>
      <c r="X557" s="172">
        <v>46057.64278275463</v>
      </c>
      <c r="Y557" s="172"/>
      <c r="Z557" s="3">
        <v>46001.0</v>
      </c>
      <c r="AA557" s="3"/>
    </row>
    <row r="558">
      <c r="A558" s="3">
        <v>6.792251900163E12</v>
      </c>
      <c r="B558" s="2" t="s">
        <v>2738</v>
      </c>
      <c r="C558" s="2" t="s">
        <v>2739</v>
      </c>
      <c r="D558" s="169">
        <v>46001.0</v>
      </c>
      <c r="E558" s="173" t="s">
        <v>2740</v>
      </c>
      <c r="F558" s="2" t="s">
        <v>2741</v>
      </c>
      <c r="G558" s="2" t="s">
        <v>667</v>
      </c>
      <c r="H558" s="2">
        <v>3250.0</v>
      </c>
      <c r="I558" s="2">
        <v>2.5120050020296E13</v>
      </c>
      <c r="J558" s="3">
        <v>3.0</v>
      </c>
      <c r="K558" s="2" t="s">
        <v>1989</v>
      </c>
      <c r="L558" s="2" t="s">
        <v>2742</v>
      </c>
      <c r="M558" s="174" t="s">
        <v>409</v>
      </c>
      <c r="N558" s="2" t="s">
        <v>462</v>
      </c>
      <c r="O558" s="3">
        <v>0.5</v>
      </c>
      <c r="P558" s="2" t="s">
        <v>363</v>
      </c>
      <c r="Q558" s="3">
        <v>1380.0</v>
      </c>
      <c r="T558" s="2" t="s">
        <v>599</v>
      </c>
      <c r="U558" s="171">
        <v>3250.0</v>
      </c>
      <c r="V558" s="172">
        <v>46010.0</v>
      </c>
      <c r="W558" s="3">
        <v>357.0</v>
      </c>
      <c r="X558" s="172">
        <v>46008.50857638889</v>
      </c>
      <c r="Y558" s="172"/>
      <c r="Z558" s="3">
        <v>46001.0</v>
      </c>
      <c r="AA558" s="3"/>
    </row>
    <row r="559">
      <c r="A559" s="3">
        <v>6.792282177795E12</v>
      </c>
      <c r="B559" s="2" t="s">
        <v>2743</v>
      </c>
      <c r="C559" s="2" t="s">
        <v>2744</v>
      </c>
      <c r="D559" s="169">
        <v>46001.0</v>
      </c>
      <c r="E559" s="2">
        <v>3.135968643E9</v>
      </c>
      <c r="F559" s="2" t="s">
        <v>2745</v>
      </c>
      <c r="G559" s="2" t="s">
        <v>1395</v>
      </c>
      <c r="H559" s="2">
        <v>249.0</v>
      </c>
      <c r="I559" s="2">
        <v>2.9120050020187E13</v>
      </c>
      <c r="J559" s="3">
        <v>0.0</v>
      </c>
      <c r="L559" s="2"/>
      <c r="M559" s="174" t="s">
        <v>409</v>
      </c>
      <c r="N559" s="2" t="s">
        <v>462</v>
      </c>
      <c r="O559" s="3">
        <v>0.5</v>
      </c>
      <c r="P559" s="2" t="s">
        <v>363</v>
      </c>
      <c r="Q559" s="3">
        <v>0.0</v>
      </c>
      <c r="T559" s="2" t="s">
        <v>674</v>
      </c>
      <c r="U559" s="3">
        <v>249.0</v>
      </c>
      <c r="V559" s="172">
        <v>46007.0</v>
      </c>
      <c r="W559" s="3">
        <v>337.0</v>
      </c>
      <c r="X559" s="172">
        <v>46003.71350694445</v>
      </c>
      <c r="Y559" s="172"/>
      <c r="Z559" s="3">
        <v>46001.0</v>
      </c>
      <c r="AA559" s="3"/>
    </row>
    <row r="560">
      <c r="A560" s="3">
        <v>6.792282112259E12</v>
      </c>
      <c r="B560" s="2" t="s">
        <v>2746</v>
      </c>
      <c r="C560" s="2" t="s">
        <v>2747</v>
      </c>
      <c r="D560" s="169">
        <v>46001.0</v>
      </c>
      <c r="E560" s="173" t="s">
        <v>2748</v>
      </c>
      <c r="F560" s="2" t="s">
        <v>2749</v>
      </c>
      <c r="G560" s="2" t="s">
        <v>368</v>
      </c>
      <c r="H560" s="2">
        <v>2749.0</v>
      </c>
      <c r="I560" s="2">
        <v>2.6120050020236E13</v>
      </c>
      <c r="J560" s="3">
        <v>2.0</v>
      </c>
      <c r="K560" s="2" t="s">
        <v>241</v>
      </c>
      <c r="L560" s="2" t="s">
        <v>35</v>
      </c>
      <c r="M560" s="174" t="s">
        <v>409</v>
      </c>
      <c r="N560" s="2" t="s">
        <v>462</v>
      </c>
      <c r="O560" s="3">
        <v>0.5</v>
      </c>
      <c r="P560" s="2" t="s">
        <v>363</v>
      </c>
      <c r="Q560" s="3">
        <v>980.0</v>
      </c>
      <c r="T560" s="2" t="s">
        <v>674</v>
      </c>
      <c r="U560" s="171">
        <v>2749.0</v>
      </c>
      <c r="V560" s="172">
        <v>46007.0</v>
      </c>
      <c r="W560" s="3">
        <v>217.0</v>
      </c>
      <c r="X560" s="172">
        <v>46003.53979166667</v>
      </c>
      <c r="Y560" s="172"/>
      <c r="Z560" s="3">
        <v>46001.0</v>
      </c>
      <c r="AA560" s="3"/>
    </row>
    <row r="561">
      <c r="A561" s="3">
        <v>6.792302756099E12</v>
      </c>
      <c r="B561" s="2" t="s">
        <v>2750</v>
      </c>
      <c r="C561" s="2" t="s">
        <v>2751</v>
      </c>
      <c r="D561" s="169">
        <v>46001.0</v>
      </c>
      <c r="E561" s="173" t="s">
        <v>2752</v>
      </c>
      <c r="F561" s="2" t="s">
        <v>2753</v>
      </c>
      <c r="G561" s="2" t="s">
        <v>2457</v>
      </c>
      <c r="H561" s="2">
        <v>0.0</v>
      </c>
      <c r="I561" s="2">
        <v>2.9120050020189E13</v>
      </c>
      <c r="J561" s="3">
        <v>0.0</v>
      </c>
      <c r="K561" s="2" t="s">
        <v>2754</v>
      </c>
      <c r="L561" s="2"/>
      <c r="M561" s="170" t="s">
        <v>455</v>
      </c>
      <c r="N561" s="2" t="s">
        <v>406</v>
      </c>
      <c r="O561" s="3">
        <v>0.5</v>
      </c>
      <c r="P561" s="2" t="s">
        <v>363</v>
      </c>
      <c r="Q561" s="3">
        <v>0.0</v>
      </c>
      <c r="T561" s="2" t="s">
        <v>777</v>
      </c>
      <c r="U561" s="171">
        <v>0.0</v>
      </c>
      <c r="V561" s="172">
        <v>46014.0</v>
      </c>
      <c r="W561" s="3">
        <v>227.0</v>
      </c>
      <c r="X561" s="172">
        <v>46057.64278275463</v>
      </c>
      <c r="Y561" s="172"/>
      <c r="Z561" s="3">
        <v>46001.0</v>
      </c>
      <c r="AA561" s="3"/>
    </row>
    <row r="562">
      <c r="A562" s="3">
        <v>6.792333328643E12</v>
      </c>
      <c r="B562" s="2" t="s">
        <v>2755</v>
      </c>
      <c r="C562" s="2" t="s">
        <v>1934</v>
      </c>
      <c r="D562" s="169">
        <v>46001.0</v>
      </c>
      <c r="E562" s="173" t="s">
        <v>1935</v>
      </c>
      <c r="F562" s="2" t="s">
        <v>1936</v>
      </c>
      <c r="G562" s="2" t="s">
        <v>493</v>
      </c>
      <c r="H562" s="2">
        <v>2200.0</v>
      </c>
      <c r="I562" s="2">
        <v>2.5120050020188E13</v>
      </c>
      <c r="J562" s="3">
        <v>1.0</v>
      </c>
      <c r="K562" s="2" t="s">
        <v>2756</v>
      </c>
      <c r="L562" s="2" t="s">
        <v>519</v>
      </c>
      <c r="M562" s="174" t="s">
        <v>409</v>
      </c>
      <c r="N562" s="2" t="s">
        <v>462</v>
      </c>
      <c r="O562" s="3">
        <v>0.5</v>
      </c>
      <c r="P562" s="2" t="s">
        <v>363</v>
      </c>
      <c r="Q562" s="3">
        <v>850.0</v>
      </c>
      <c r="T562" s="2" t="s">
        <v>674</v>
      </c>
      <c r="U562" s="3">
        <v>2200.0</v>
      </c>
      <c r="V562" s="172">
        <v>46007.0</v>
      </c>
      <c r="W562" s="3">
        <v>227.0</v>
      </c>
      <c r="X562" s="172">
        <v>46004.560694444444</v>
      </c>
      <c r="Y562" s="172"/>
      <c r="Z562" s="3">
        <v>46001.0</v>
      </c>
      <c r="AA562" s="3"/>
    </row>
    <row r="563">
      <c r="A563" s="3">
        <v>6.792343322883E12</v>
      </c>
      <c r="B563" s="2" t="s">
        <v>2757</v>
      </c>
      <c r="C563" s="2" t="s">
        <v>2758</v>
      </c>
      <c r="D563" s="169">
        <v>46001.0</v>
      </c>
      <c r="E563" s="173" t="s">
        <v>2759</v>
      </c>
      <c r="F563" s="2" t="s">
        <v>2760</v>
      </c>
      <c r="G563" s="2" t="s">
        <v>672</v>
      </c>
      <c r="H563" s="2">
        <v>2748.0</v>
      </c>
      <c r="I563" s="2">
        <v>2.312005002019E13</v>
      </c>
      <c r="J563" s="3">
        <v>1.0</v>
      </c>
      <c r="L563" s="2" t="s">
        <v>519</v>
      </c>
      <c r="M563" s="174" t="s">
        <v>409</v>
      </c>
      <c r="N563" s="2" t="s">
        <v>462</v>
      </c>
      <c r="O563" s="3">
        <v>0.5</v>
      </c>
      <c r="P563" s="2" t="s">
        <v>363</v>
      </c>
      <c r="Q563" s="3">
        <v>850.0</v>
      </c>
      <c r="T563" s="2" t="s">
        <v>599</v>
      </c>
      <c r="U563" s="171">
        <v>2748.0</v>
      </c>
      <c r="V563" s="172">
        <v>46010.0</v>
      </c>
      <c r="W563" s="3">
        <v>337.0</v>
      </c>
      <c r="X563" s="172">
        <v>46007.63704861111</v>
      </c>
      <c r="Y563" s="172"/>
      <c r="Z563" s="3">
        <v>46001.0</v>
      </c>
      <c r="AA563" s="3"/>
    </row>
    <row r="564">
      <c r="A564" s="3">
        <v>6.792347549955E12</v>
      </c>
      <c r="B564" s="2" t="s">
        <v>2761</v>
      </c>
      <c r="C564" s="2" t="s">
        <v>2762</v>
      </c>
      <c r="D564" s="169">
        <v>46001.0</v>
      </c>
      <c r="E564" s="173" t="s">
        <v>2763</v>
      </c>
      <c r="F564" s="2" t="s">
        <v>2764</v>
      </c>
      <c r="G564" s="2" t="s">
        <v>1395</v>
      </c>
      <c r="H564" s="2">
        <v>0.0</v>
      </c>
      <c r="I564" s="2">
        <v>2.0120050020191E13</v>
      </c>
      <c r="J564" s="3">
        <v>0.0</v>
      </c>
      <c r="K564" s="2" t="s">
        <v>2765</v>
      </c>
      <c r="L564" s="2"/>
      <c r="M564" s="170" t="s">
        <v>455</v>
      </c>
      <c r="N564" s="2" t="s">
        <v>406</v>
      </c>
      <c r="O564" s="3">
        <v>0.5</v>
      </c>
      <c r="P564" s="2" t="s">
        <v>363</v>
      </c>
      <c r="Q564" s="3">
        <v>0.0</v>
      </c>
      <c r="T564" s="2" t="s">
        <v>777</v>
      </c>
      <c r="U564" s="171">
        <v>0.0</v>
      </c>
      <c r="V564" s="172">
        <v>46014.0</v>
      </c>
      <c r="W564" s="3">
        <v>227.0</v>
      </c>
      <c r="X564" s="172">
        <v>46057.642782766205</v>
      </c>
      <c r="Y564" s="172"/>
      <c r="Z564" s="3">
        <v>46001.0</v>
      </c>
      <c r="AA564" s="3"/>
    </row>
    <row r="565">
      <c r="A565" s="3">
        <v>6.792391295235E12</v>
      </c>
      <c r="B565" s="2" t="s">
        <v>2766</v>
      </c>
      <c r="C565" s="2" t="s">
        <v>1081</v>
      </c>
      <c r="D565" s="169">
        <v>46001.0</v>
      </c>
      <c r="E565" s="2">
        <v>3.154845206E9</v>
      </c>
      <c r="F565" s="2" t="s">
        <v>2767</v>
      </c>
      <c r="G565" s="2" t="s">
        <v>368</v>
      </c>
      <c r="H565" s="2">
        <v>0.0</v>
      </c>
      <c r="I565" s="2">
        <v>2.9120050020201E13</v>
      </c>
      <c r="J565" s="3">
        <v>0.0</v>
      </c>
      <c r="K565" s="2" t="s">
        <v>2768</v>
      </c>
      <c r="L565" s="2"/>
      <c r="M565" s="170" t="s">
        <v>455</v>
      </c>
      <c r="N565" s="2" t="s">
        <v>406</v>
      </c>
      <c r="O565" s="3">
        <v>0.5</v>
      </c>
      <c r="P565" s="2" t="s">
        <v>363</v>
      </c>
      <c r="Q565" s="3">
        <v>0.0</v>
      </c>
      <c r="T565" s="2" t="s">
        <v>599</v>
      </c>
      <c r="U565" s="171">
        <v>0.0</v>
      </c>
      <c r="V565" s="172">
        <v>46010.0</v>
      </c>
      <c r="W565" s="3">
        <v>107.0</v>
      </c>
      <c r="X565" s="172">
        <v>46057.642782766205</v>
      </c>
      <c r="Y565" s="172"/>
      <c r="Z565" s="3">
        <v>46001.0</v>
      </c>
      <c r="AA565" s="3"/>
    </row>
    <row r="566">
      <c r="A566" s="3">
        <v>6.792391786755E12</v>
      </c>
      <c r="B566" s="2" t="s">
        <v>2769</v>
      </c>
      <c r="C566" s="2" t="s">
        <v>2770</v>
      </c>
      <c r="D566" s="169">
        <v>46001.0</v>
      </c>
      <c r="E566" s="2">
        <v>3.002220088E9</v>
      </c>
      <c r="F566" s="2" t="s">
        <v>2771</v>
      </c>
      <c r="G566" s="2" t="s">
        <v>493</v>
      </c>
      <c r="H566" s="2">
        <v>6899.0</v>
      </c>
      <c r="I566" s="2">
        <v>2.2120050020225E13</v>
      </c>
      <c r="J566" s="3">
        <v>3.0</v>
      </c>
      <c r="L566" s="2" t="s">
        <v>2772</v>
      </c>
      <c r="M566" s="174" t="s">
        <v>409</v>
      </c>
      <c r="N566" s="2" t="s">
        <v>462</v>
      </c>
      <c r="O566" s="3">
        <v>0.5</v>
      </c>
      <c r="P566" s="2" t="s">
        <v>363</v>
      </c>
      <c r="Q566" s="3">
        <v>3000.0</v>
      </c>
      <c r="T566" s="2" t="s">
        <v>674</v>
      </c>
      <c r="U566" s="171">
        <v>6899.0</v>
      </c>
      <c r="V566" s="172">
        <v>46007.0</v>
      </c>
      <c r="W566" s="3">
        <v>596.0</v>
      </c>
      <c r="X566" s="172">
        <v>46005.69603009259</v>
      </c>
      <c r="Y566" s="172"/>
      <c r="Z566" s="3">
        <v>46001.0</v>
      </c>
      <c r="AA566" s="3"/>
    </row>
    <row r="567">
      <c r="A567" s="3">
        <v>6.792403190019E12</v>
      </c>
      <c r="B567" s="2" t="s">
        <v>2773</v>
      </c>
      <c r="C567" s="2" t="s">
        <v>2253</v>
      </c>
      <c r="D567" s="169">
        <v>46001.0</v>
      </c>
      <c r="E567" s="173" t="s">
        <v>2254</v>
      </c>
      <c r="F567" s="2" t="s">
        <v>2774</v>
      </c>
      <c r="G567" s="2" t="s">
        <v>493</v>
      </c>
      <c r="H567" s="2">
        <v>0.0</v>
      </c>
      <c r="J567" s="3">
        <v>0.0</v>
      </c>
      <c r="K567" s="2" t="s">
        <v>2775</v>
      </c>
      <c r="L567" s="2"/>
      <c r="M567" s="2" t="s">
        <v>468</v>
      </c>
      <c r="N567" s="2" t="s">
        <v>406</v>
      </c>
      <c r="O567" s="3">
        <v>0.5</v>
      </c>
      <c r="Q567" s="3">
        <v>0.0</v>
      </c>
      <c r="U567" s="141"/>
      <c r="X567" s="172">
        <v>46057.642782766205</v>
      </c>
      <c r="Y567" s="172"/>
      <c r="Z567" s="3">
        <v>46001.0</v>
      </c>
      <c r="AA567" s="3"/>
    </row>
    <row r="568">
      <c r="A568" s="3">
        <v>6.792510537987E12</v>
      </c>
      <c r="B568" s="2" t="s">
        <v>2776</v>
      </c>
      <c r="C568" s="2" t="s">
        <v>1379</v>
      </c>
      <c r="D568" s="169">
        <v>46001.0</v>
      </c>
      <c r="E568" s="173" t="s">
        <v>2777</v>
      </c>
      <c r="F568" s="2" t="s">
        <v>1380</v>
      </c>
      <c r="G568" s="2" t="s">
        <v>366</v>
      </c>
      <c r="H568" s="2">
        <v>4400.0</v>
      </c>
      <c r="I568" s="2" t="s">
        <v>2778</v>
      </c>
      <c r="J568" s="3">
        <v>2.0</v>
      </c>
      <c r="K568" s="2" t="s">
        <v>2779</v>
      </c>
      <c r="L568" s="2" t="s">
        <v>913</v>
      </c>
      <c r="M568" s="174" t="s">
        <v>409</v>
      </c>
      <c r="N568" s="2" t="s">
        <v>462</v>
      </c>
      <c r="O568" s="3">
        <v>0.5</v>
      </c>
      <c r="P568" s="2" t="s">
        <v>640</v>
      </c>
      <c r="Q568" s="3">
        <v>1700.0</v>
      </c>
      <c r="T568" s="2" t="s">
        <v>1973</v>
      </c>
      <c r="U568" s="3">
        <v>4400.0</v>
      </c>
      <c r="W568" s="3">
        <v>414.0</v>
      </c>
      <c r="X568" s="172">
        <v>46057.694628240744</v>
      </c>
      <c r="Y568" s="172"/>
      <c r="Z568" s="3">
        <v>46001.0</v>
      </c>
      <c r="AA568" s="3"/>
    </row>
    <row r="569">
      <c r="A569" s="3">
        <v>6.792519418115E12</v>
      </c>
      <c r="B569" s="2" t="s">
        <v>2780</v>
      </c>
      <c r="C569" s="2" t="s">
        <v>2781</v>
      </c>
      <c r="D569" s="169">
        <v>46001.0</v>
      </c>
      <c r="E569" s="2">
        <v>3.275363893E9</v>
      </c>
      <c r="F569" s="2" t="s">
        <v>2782</v>
      </c>
      <c r="G569" s="2" t="s">
        <v>366</v>
      </c>
      <c r="H569" s="2">
        <v>2749.0</v>
      </c>
      <c r="I569" s="2">
        <v>2.8120050020202E13</v>
      </c>
      <c r="J569" s="3">
        <v>2.0</v>
      </c>
      <c r="L569" s="2" t="s">
        <v>35</v>
      </c>
      <c r="M569" s="174" t="s">
        <v>409</v>
      </c>
      <c r="N569" s="2" t="s">
        <v>462</v>
      </c>
      <c r="O569" s="3">
        <v>0.5</v>
      </c>
      <c r="P569" s="2" t="s">
        <v>73</v>
      </c>
      <c r="Q569" s="3">
        <v>980.0</v>
      </c>
      <c r="T569" s="2" t="s">
        <v>674</v>
      </c>
      <c r="U569" s="171">
        <v>2749.0</v>
      </c>
      <c r="V569" s="172">
        <v>46007.0</v>
      </c>
      <c r="W569" s="3">
        <v>310.0</v>
      </c>
      <c r="X569" s="172">
        <v>46004.60020833333</v>
      </c>
      <c r="Y569" s="172"/>
      <c r="Z569" s="3">
        <v>46001.0</v>
      </c>
      <c r="AA569" s="3"/>
    </row>
    <row r="570">
      <c r="A570" s="3">
        <v>6.792531050755E12</v>
      </c>
      <c r="B570" s="2" t="s">
        <v>2783</v>
      </c>
      <c r="C570" s="2" t="s">
        <v>2784</v>
      </c>
      <c r="D570" s="169">
        <v>46001.0</v>
      </c>
      <c r="E570" s="173" t="s">
        <v>2785</v>
      </c>
      <c r="F570" s="2" t="s">
        <v>2786</v>
      </c>
      <c r="G570" s="2" t="s">
        <v>493</v>
      </c>
      <c r="H570" s="2">
        <v>2748.0</v>
      </c>
      <c r="I570" s="2">
        <v>2.8120050020235E13</v>
      </c>
      <c r="J570" s="3">
        <v>1.0</v>
      </c>
      <c r="K570" s="2" t="s">
        <v>241</v>
      </c>
      <c r="L570" s="2" t="s">
        <v>1289</v>
      </c>
      <c r="M570" s="174" t="s">
        <v>409</v>
      </c>
      <c r="N570" s="2" t="s">
        <v>462</v>
      </c>
      <c r="O570" s="3">
        <v>0.5</v>
      </c>
      <c r="P570" s="2" t="s">
        <v>73</v>
      </c>
      <c r="Q570" s="3">
        <v>850.0</v>
      </c>
      <c r="T570" s="2" t="s">
        <v>674</v>
      </c>
      <c r="U570" s="171">
        <v>2748.0</v>
      </c>
      <c r="V570" s="172">
        <v>46007.0</v>
      </c>
      <c r="W570" s="3">
        <v>337.0</v>
      </c>
      <c r="X570" s="172">
        <v>46006.545335648145</v>
      </c>
      <c r="Y570" s="172"/>
      <c r="Z570" s="3">
        <v>46001.0</v>
      </c>
      <c r="AA570" s="3"/>
    </row>
    <row r="571">
      <c r="A571" s="3">
        <v>6.792594948355E12</v>
      </c>
      <c r="B571" s="2" t="s">
        <v>2787</v>
      </c>
      <c r="C571" s="2" t="s">
        <v>2788</v>
      </c>
      <c r="D571" s="169">
        <v>46001.0</v>
      </c>
      <c r="E571" s="2">
        <v>3.481433022E9</v>
      </c>
      <c r="F571" s="2" t="s">
        <v>2789</v>
      </c>
      <c r="G571" s="2" t="s">
        <v>2790</v>
      </c>
      <c r="H571" s="2">
        <v>1299.0</v>
      </c>
      <c r="I571" s="2">
        <v>2.0120050020229E13</v>
      </c>
      <c r="J571" s="3">
        <v>1.0</v>
      </c>
      <c r="L571" s="2" t="s">
        <v>2046</v>
      </c>
      <c r="M571" s="174" t="s">
        <v>409</v>
      </c>
      <c r="N571" s="2" t="s">
        <v>462</v>
      </c>
      <c r="O571" s="3">
        <v>0.5</v>
      </c>
      <c r="P571" s="2" t="s">
        <v>363</v>
      </c>
      <c r="Q571" s="3">
        <v>550.0</v>
      </c>
      <c r="T571" s="2" t="s">
        <v>674</v>
      </c>
      <c r="U571" s="171">
        <v>1299.0</v>
      </c>
      <c r="V571" s="172">
        <v>46007.0</v>
      </c>
      <c r="W571" s="3">
        <v>265.0</v>
      </c>
      <c r="X571" s="172">
        <v>46005.56547453704</v>
      </c>
      <c r="Y571" s="172"/>
      <c r="Z571" s="3">
        <v>46001.0</v>
      </c>
      <c r="AA571" s="3"/>
    </row>
    <row r="572">
      <c r="A572" s="3">
        <v>6.792688206083E12</v>
      </c>
      <c r="B572" s="2" t="s">
        <v>2791</v>
      </c>
      <c r="C572" s="2" t="s">
        <v>2792</v>
      </c>
      <c r="D572" s="169">
        <v>46001.0</v>
      </c>
      <c r="E572" s="2">
        <v>3.000115331E9</v>
      </c>
      <c r="F572" s="2" t="s">
        <v>2793</v>
      </c>
      <c r="G572" s="2" t="s">
        <v>2584</v>
      </c>
      <c r="H572" s="2">
        <v>1449.0</v>
      </c>
      <c r="I572" s="2">
        <v>2.4120050020203E13</v>
      </c>
      <c r="J572" s="3">
        <v>1.0</v>
      </c>
      <c r="L572" s="2" t="s">
        <v>765</v>
      </c>
      <c r="M572" s="174" t="s">
        <v>409</v>
      </c>
      <c r="N572" s="2" t="s">
        <v>462</v>
      </c>
      <c r="O572" s="3">
        <v>0.5</v>
      </c>
      <c r="P572" s="2" t="s">
        <v>363</v>
      </c>
      <c r="Q572" s="3">
        <v>550.0</v>
      </c>
      <c r="T572" s="2" t="s">
        <v>674</v>
      </c>
      <c r="U572" s="171">
        <v>1449.0</v>
      </c>
      <c r="V572" s="172">
        <v>46007.0</v>
      </c>
      <c r="W572" s="3">
        <v>271.0</v>
      </c>
      <c r="X572" s="172">
        <v>46006.814780092594</v>
      </c>
      <c r="Y572" s="172"/>
      <c r="Z572" s="3">
        <v>46001.0</v>
      </c>
      <c r="AA572" s="3"/>
    </row>
    <row r="573">
      <c r="A573" s="3">
        <v>6.792691187971E12</v>
      </c>
      <c r="B573" s="2" t="s">
        <v>2794</v>
      </c>
      <c r="C573" s="2" t="s">
        <v>2795</v>
      </c>
      <c r="D573" s="169">
        <v>46001.0</v>
      </c>
      <c r="E573" s="2">
        <v>3.132456175E9</v>
      </c>
      <c r="F573" s="2" t="s">
        <v>2796</v>
      </c>
      <c r="G573" s="2" t="s">
        <v>493</v>
      </c>
      <c r="H573" s="2">
        <v>2748.0</v>
      </c>
      <c r="I573" s="2">
        <v>2.7120050020224E13</v>
      </c>
      <c r="J573" s="3">
        <v>1.0</v>
      </c>
      <c r="L573" s="2" t="s">
        <v>519</v>
      </c>
      <c r="M573" s="174" t="s">
        <v>409</v>
      </c>
      <c r="N573" s="2" t="s">
        <v>462</v>
      </c>
      <c r="O573" s="3">
        <v>0.5</v>
      </c>
      <c r="P573" s="2" t="s">
        <v>363</v>
      </c>
      <c r="Q573" s="3">
        <v>850.0</v>
      </c>
      <c r="T573" s="2" t="s">
        <v>674</v>
      </c>
      <c r="U573" s="171">
        <v>2748.0</v>
      </c>
      <c r="V573" s="172">
        <v>46007.0</v>
      </c>
      <c r="W573" s="3">
        <v>337.0</v>
      </c>
      <c r="X573" s="172">
        <v>46005.77101851851</v>
      </c>
      <c r="Y573" s="172"/>
      <c r="Z573" s="3">
        <v>46001.0</v>
      </c>
      <c r="AA573" s="3"/>
    </row>
    <row r="574">
      <c r="A574" s="3">
        <v>6.792725561603E12</v>
      </c>
      <c r="B574" s="2" t="s">
        <v>2797</v>
      </c>
      <c r="C574" s="2" t="s">
        <v>2798</v>
      </c>
      <c r="D574" s="169">
        <v>46001.0</v>
      </c>
      <c r="E574" s="173" t="s">
        <v>2799</v>
      </c>
      <c r="F574" s="2" t="s">
        <v>2800</v>
      </c>
      <c r="G574" s="2" t="s">
        <v>2801</v>
      </c>
      <c r="H574" s="2">
        <v>0.0</v>
      </c>
      <c r="I574" s="2">
        <v>2.3120050020232E13</v>
      </c>
      <c r="J574" s="3">
        <v>0.0</v>
      </c>
      <c r="K574" s="2" t="s">
        <v>2802</v>
      </c>
      <c r="L574" s="2"/>
      <c r="M574" s="170" t="s">
        <v>455</v>
      </c>
      <c r="N574" s="2" t="s">
        <v>406</v>
      </c>
      <c r="O574" s="3">
        <v>0.5</v>
      </c>
      <c r="P574" s="2" t="s">
        <v>363</v>
      </c>
      <c r="Q574" s="3">
        <v>0.0</v>
      </c>
      <c r="T574" s="2" t="s">
        <v>777</v>
      </c>
      <c r="U574" s="171">
        <v>0.0</v>
      </c>
      <c r="V574" s="172">
        <v>46014.0</v>
      </c>
      <c r="W574" s="3">
        <v>220.0</v>
      </c>
      <c r="X574" s="172">
        <v>46057.642782766205</v>
      </c>
      <c r="Y574" s="172"/>
      <c r="Z574" s="3">
        <v>46001.0</v>
      </c>
      <c r="AA574" s="3"/>
    </row>
    <row r="575">
      <c r="A575" s="3">
        <v>6.792746926339E12</v>
      </c>
      <c r="B575" s="2" t="s">
        <v>2803</v>
      </c>
      <c r="C575" s="2" t="s">
        <v>2804</v>
      </c>
      <c r="D575" s="169">
        <v>46001.0</v>
      </c>
      <c r="E575" s="173" t="s">
        <v>2805</v>
      </c>
      <c r="F575" s="2" t="s">
        <v>2806</v>
      </c>
      <c r="G575" s="2" t="s">
        <v>2807</v>
      </c>
      <c r="H575" s="2">
        <v>2749.0</v>
      </c>
      <c r="I575" s="2">
        <v>2.6120050020233E13</v>
      </c>
      <c r="J575" s="3">
        <v>2.0</v>
      </c>
      <c r="K575" s="2" t="s">
        <v>511</v>
      </c>
      <c r="L575" s="2" t="s">
        <v>16</v>
      </c>
      <c r="M575" s="174" t="s">
        <v>409</v>
      </c>
      <c r="N575" s="2" t="s">
        <v>462</v>
      </c>
      <c r="O575" s="3">
        <v>0.5</v>
      </c>
      <c r="P575" s="2" t="s">
        <v>363</v>
      </c>
      <c r="Q575" s="3">
        <v>980.0</v>
      </c>
      <c r="T575" s="2" t="s">
        <v>674</v>
      </c>
      <c r="U575" s="171">
        <v>2749.0</v>
      </c>
      <c r="V575" s="172">
        <v>46007.0</v>
      </c>
      <c r="W575" s="3">
        <v>310.0</v>
      </c>
      <c r="X575" s="172">
        <v>46004.499502314815</v>
      </c>
      <c r="Y575" s="172"/>
      <c r="Z575" s="3">
        <v>46001.0</v>
      </c>
      <c r="AA575" s="3"/>
    </row>
    <row r="576">
      <c r="A576" s="3">
        <v>6.792817934595E12</v>
      </c>
      <c r="B576" s="2" t="s">
        <v>2808</v>
      </c>
      <c r="C576" s="2" t="s">
        <v>2809</v>
      </c>
      <c r="D576" s="169">
        <v>46001.0</v>
      </c>
      <c r="E576" s="2">
        <v>3.0282091E9</v>
      </c>
      <c r="F576" s="2" t="s">
        <v>2810</v>
      </c>
      <c r="G576" s="2" t="s">
        <v>374</v>
      </c>
      <c r="H576" s="2">
        <v>4649.0</v>
      </c>
      <c r="I576" s="2">
        <v>2.0120050020223E13</v>
      </c>
      <c r="J576" s="3">
        <v>2.0</v>
      </c>
      <c r="L576" s="2" t="s">
        <v>913</v>
      </c>
      <c r="M576" s="174" t="s">
        <v>409</v>
      </c>
      <c r="N576" s="2" t="s">
        <v>462</v>
      </c>
      <c r="O576" s="3">
        <v>0.5</v>
      </c>
      <c r="P576" s="2" t="s">
        <v>363</v>
      </c>
      <c r="Q576" s="3">
        <v>1700.0</v>
      </c>
      <c r="T576" s="2" t="s">
        <v>599</v>
      </c>
      <c r="U576" s="171">
        <v>4649.0</v>
      </c>
      <c r="V576" s="172">
        <v>46010.0</v>
      </c>
      <c r="W576" s="3">
        <v>406.0</v>
      </c>
      <c r="X576" s="172">
        <v>46008.6794212963</v>
      </c>
      <c r="Y576" s="172"/>
      <c r="Z576" s="3">
        <v>46001.0</v>
      </c>
      <c r="AA576" s="3"/>
    </row>
    <row r="577">
      <c r="A577" s="3">
        <v>6.792819933443E12</v>
      </c>
      <c r="B577" s="2" t="s">
        <v>2811</v>
      </c>
      <c r="C577" s="2" t="s">
        <v>2812</v>
      </c>
      <c r="D577" s="169">
        <v>46001.0</v>
      </c>
      <c r="E577" s="173" t="s">
        <v>2813</v>
      </c>
      <c r="F577" s="2" t="s">
        <v>2814</v>
      </c>
      <c r="G577" s="2" t="s">
        <v>1328</v>
      </c>
      <c r="H577" s="2">
        <v>2748.0</v>
      </c>
      <c r="I577" s="2">
        <v>2.8120050020234E13</v>
      </c>
      <c r="J577" s="3">
        <v>1.0</v>
      </c>
      <c r="K577" s="2" t="s">
        <v>241</v>
      </c>
      <c r="L577" s="2" t="s">
        <v>519</v>
      </c>
      <c r="M577" s="174" t="s">
        <v>409</v>
      </c>
      <c r="N577" s="2" t="s">
        <v>462</v>
      </c>
      <c r="O577" s="3">
        <v>0.5</v>
      </c>
      <c r="P577" s="2" t="s">
        <v>73</v>
      </c>
      <c r="Q577" s="3">
        <v>850.0</v>
      </c>
      <c r="T577" s="2" t="s">
        <v>674</v>
      </c>
      <c r="U577" s="171">
        <v>2748.0</v>
      </c>
      <c r="V577" s="172">
        <v>46007.0</v>
      </c>
      <c r="W577" s="3">
        <v>330.0</v>
      </c>
      <c r="X577" s="172">
        <v>46004.75310185185</v>
      </c>
      <c r="Y577" s="172"/>
      <c r="Z577" s="3">
        <v>46001.0</v>
      </c>
      <c r="AA577" s="3"/>
    </row>
    <row r="578">
      <c r="A578" s="3">
        <v>6.792821145859E12</v>
      </c>
      <c r="B578" s="2" t="s">
        <v>2815</v>
      </c>
      <c r="C578" s="2" t="s">
        <v>2816</v>
      </c>
      <c r="D578" s="169">
        <v>46001.0</v>
      </c>
      <c r="E578" s="2">
        <v>3.441739968E9</v>
      </c>
      <c r="F578" s="2" t="s">
        <v>2817</v>
      </c>
      <c r="G578" s="2" t="s">
        <v>2818</v>
      </c>
      <c r="H578" s="2">
        <v>0.0</v>
      </c>
      <c r="J578" s="3">
        <v>0.0</v>
      </c>
      <c r="K578" s="2" t="s">
        <v>2819</v>
      </c>
      <c r="L578" s="2"/>
      <c r="M578" s="2" t="s">
        <v>468</v>
      </c>
      <c r="N578" s="2" t="s">
        <v>406</v>
      </c>
      <c r="O578" s="3">
        <v>0.5</v>
      </c>
      <c r="Q578" s="3">
        <v>0.0</v>
      </c>
      <c r="U578" s="141"/>
      <c r="X578" s="172">
        <v>46057.642782766205</v>
      </c>
      <c r="Y578" s="172"/>
      <c r="Z578" s="3">
        <v>46001.0</v>
      </c>
      <c r="AA578" s="3"/>
    </row>
    <row r="579">
      <c r="A579" s="3">
        <v>6.792827502851E12</v>
      </c>
      <c r="B579" s="2" t="s">
        <v>2820</v>
      </c>
      <c r="C579" s="2" t="s">
        <v>2821</v>
      </c>
      <c r="D579" s="169">
        <v>46001.0</v>
      </c>
      <c r="E579" s="173" t="s">
        <v>2822</v>
      </c>
      <c r="F579" s="2" t="s">
        <v>2823</v>
      </c>
      <c r="G579" s="2" t="s">
        <v>368</v>
      </c>
      <c r="H579" s="2">
        <v>2748.0</v>
      </c>
      <c r="I579" s="2">
        <v>2.6120050020329E13</v>
      </c>
      <c r="J579" s="3">
        <v>1.0</v>
      </c>
      <c r="L579" s="2" t="s">
        <v>200</v>
      </c>
      <c r="M579" s="174" t="s">
        <v>409</v>
      </c>
      <c r="N579" s="2" t="s">
        <v>462</v>
      </c>
      <c r="O579" s="3">
        <v>0.5</v>
      </c>
      <c r="P579" s="2" t="s">
        <v>363</v>
      </c>
      <c r="Q579" s="3">
        <v>1400.0</v>
      </c>
      <c r="T579" s="2" t="s">
        <v>599</v>
      </c>
      <c r="U579" s="171">
        <v>2748.0</v>
      </c>
      <c r="V579" s="172">
        <v>46010.0</v>
      </c>
      <c r="W579" s="3">
        <v>217.0</v>
      </c>
      <c r="X579" s="172">
        <v>46007.53009259259</v>
      </c>
      <c r="Y579" s="172"/>
      <c r="Z579" s="3">
        <v>46001.0</v>
      </c>
      <c r="AA579" s="3"/>
    </row>
    <row r="580">
      <c r="A580" s="3">
        <v>6.792882946307E12</v>
      </c>
      <c r="B580" s="2" t="s">
        <v>2824</v>
      </c>
      <c r="C580" s="2" t="s">
        <v>2825</v>
      </c>
      <c r="D580" s="169">
        <v>46001.0</v>
      </c>
      <c r="E580" s="2">
        <v>3.004559036E9</v>
      </c>
      <c r="F580" s="2" t="s">
        <v>2826</v>
      </c>
      <c r="G580" s="2" t="s">
        <v>368</v>
      </c>
      <c r="H580" s="2">
        <v>4649.0</v>
      </c>
      <c r="I580" s="2">
        <v>2.3120050020222E13</v>
      </c>
      <c r="J580" s="3">
        <v>2.0</v>
      </c>
      <c r="L580" s="2" t="s">
        <v>479</v>
      </c>
      <c r="M580" s="174" t="s">
        <v>409</v>
      </c>
      <c r="N580" s="2" t="s">
        <v>462</v>
      </c>
      <c r="O580" s="3">
        <v>0.5</v>
      </c>
      <c r="P580" s="2" t="s">
        <v>363</v>
      </c>
      <c r="Q580" s="3">
        <v>1700.0</v>
      </c>
      <c r="T580" s="2" t="s">
        <v>674</v>
      </c>
      <c r="U580" s="171">
        <v>4649.0</v>
      </c>
      <c r="V580" s="172">
        <v>46007.0</v>
      </c>
      <c r="W580" s="3">
        <v>306.0</v>
      </c>
      <c r="X580" s="172">
        <v>46003.632256944446</v>
      </c>
      <c r="Y580" s="172"/>
      <c r="Z580" s="3">
        <v>46001.0</v>
      </c>
      <c r="AA580" s="3"/>
    </row>
    <row r="581">
      <c r="A581" s="3">
        <v>6.792938848515E12</v>
      </c>
      <c r="B581" s="2" t="s">
        <v>2827</v>
      </c>
      <c r="C581" s="2" t="s">
        <v>2828</v>
      </c>
      <c r="D581" s="169">
        <v>46001.0</v>
      </c>
      <c r="E581" s="173" t="s">
        <v>2829</v>
      </c>
      <c r="F581" s="2" t="s">
        <v>2830</v>
      </c>
      <c r="G581" s="2" t="s">
        <v>493</v>
      </c>
      <c r="H581" s="2">
        <v>2748.0</v>
      </c>
      <c r="I581" s="2">
        <v>2.9120050020221E13</v>
      </c>
      <c r="J581" s="3">
        <v>1.0</v>
      </c>
      <c r="L581" s="2" t="s">
        <v>512</v>
      </c>
      <c r="M581" s="174" t="s">
        <v>409</v>
      </c>
      <c r="N581" s="2" t="s">
        <v>462</v>
      </c>
      <c r="O581" s="3">
        <v>0.5</v>
      </c>
      <c r="P581" s="2" t="s">
        <v>363</v>
      </c>
      <c r="Q581" s="3">
        <v>850.0</v>
      </c>
      <c r="T581" s="2" t="s">
        <v>674</v>
      </c>
      <c r="U581" s="171">
        <v>2748.0</v>
      </c>
      <c r="V581" s="172">
        <v>46007.0</v>
      </c>
      <c r="W581" s="3">
        <v>337.0</v>
      </c>
      <c r="X581" s="172">
        <v>46006.6072337963</v>
      </c>
      <c r="Y581" s="172"/>
      <c r="Z581" s="3">
        <v>46001.0</v>
      </c>
      <c r="AA581" s="3"/>
    </row>
    <row r="582">
      <c r="A582" s="3">
        <v>6.793036431619E12</v>
      </c>
      <c r="B582" s="2" t="s">
        <v>2831</v>
      </c>
      <c r="C582" s="2" t="s">
        <v>2832</v>
      </c>
      <c r="D582" s="169">
        <v>46002.0</v>
      </c>
      <c r="E582" s="2">
        <v>3.217755666E9</v>
      </c>
      <c r="F582" s="2" t="s">
        <v>2833</v>
      </c>
      <c r="G582" s="2" t="s">
        <v>2807</v>
      </c>
      <c r="H582" s="2">
        <v>2749.0</v>
      </c>
      <c r="I582" s="2">
        <v>2.5120050020204E13</v>
      </c>
      <c r="J582" s="3">
        <v>2.0</v>
      </c>
      <c r="L582" s="2" t="s">
        <v>35</v>
      </c>
      <c r="M582" s="174" t="s">
        <v>409</v>
      </c>
      <c r="N582" s="2" t="s">
        <v>462</v>
      </c>
      <c r="O582" s="3">
        <v>0.5</v>
      </c>
      <c r="P582" s="2" t="s">
        <v>363</v>
      </c>
      <c r="Q582" s="3">
        <v>980.0</v>
      </c>
      <c r="T582" s="2" t="s">
        <v>599</v>
      </c>
      <c r="U582" s="171">
        <v>2749.0</v>
      </c>
      <c r="V582" s="172">
        <v>46010.0</v>
      </c>
      <c r="W582" s="3">
        <v>310.0</v>
      </c>
      <c r="X582" s="172">
        <v>46007.825011574074</v>
      </c>
      <c r="Y582" s="172"/>
      <c r="Z582" s="3">
        <v>46002.0</v>
      </c>
      <c r="AA582" s="3"/>
    </row>
    <row r="583">
      <c r="A583" s="3">
        <v>6.793038725379E12</v>
      </c>
      <c r="B583" s="2" t="s">
        <v>2834</v>
      </c>
      <c r="C583" s="2" t="s">
        <v>2835</v>
      </c>
      <c r="D583" s="169">
        <v>46002.0</v>
      </c>
      <c r="E583" s="173" t="s">
        <v>2836</v>
      </c>
      <c r="F583" s="2" t="s">
        <v>2837</v>
      </c>
      <c r="G583" s="2" t="s">
        <v>2838</v>
      </c>
      <c r="H583" s="2">
        <v>1349.0</v>
      </c>
      <c r="I583" s="2">
        <v>2.9120050020228E13</v>
      </c>
      <c r="J583" s="3">
        <v>2.0</v>
      </c>
      <c r="K583" s="2" t="s">
        <v>241</v>
      </c>
      <c r="L583" s="2" t="s">
        <v>2839</v>
      </c>
      <c r="M583" s="174" t="s">
        <v>409</v>
      </c>
      <c r="N583" s="2" t="s">
        <v>462</v>
      </c>
      <c r="O583" s="3">
        <v>0.5</v>
      </c>
      <c r="P583" s="2" t="s">
        <v>363</v>
      </c>
      <c r="Q583" s="3">
        <v>1100.0</v>
      </c>
      <c r="T583" s="2" t="s">
        <v>674</v>
      </c>
      <c r="U583" s="3">
        <v>1349.0</v>
      </c>
      <c r="V583" s="172">
        <v>46007.0</v>
      </c>
      <c r="W583" s="3">
        <v>314.0</v>
      </c>
      <c r="X583" s="172">
        <v>46004.630740740744</v>
      </c>
      <c r="Y583" s="172"/>
      <c r="Z583" s="3">
        <v>46002.0</v>
      </c>
      <c r="AA583" s="3"/>
    </row>
    <row r="584">
      <c r="A584" s="3">
        <v>6.793040724227E12</v>
      </c>
      <c r="B584" s="2" t="s">
        <v>2840</v>
      </c>
      <c r="C584" s="2" t="s">
        <v>288</v>
      </c>
      <c r="D584" s="169">
        <v>46002.0</v>
      </c>
      <c r="E584" s="2">
        <v>3.178780934E9</v>
      </c>
      <c r="F584" s="2" t="s">
        <v>2841</v>
      </c>
      <c r="G584" s="2" t="s">
        <v>368</v>
      </c>
      <c r="H584" s="2">
        <v>3099.0</v>
      </c>
      <c r="I584" s="2">
        <v>2.7120050020205E13</v>
      </c>
      <c r="J584" s="3">
        <v>2.0</v>
      </c>
      <c r="L584" s="2" t="s">
        <v>50</v>
      </c>
      <c r="M584" s="174" t="s">
        <v>409</v>
      </c>
      <c r="N584" s="2" t="s">
        <v>462</v>
      </c>
      <c r="O584" s="3">
        <v>0.5</v>
      </c>
      <c r="P584" s="2" t="s">
        <v>363</v>
      </c>
      <c r="Q584" s="3">
        <v>920.0</v>
      </c>
      <c r="T584" s="2" t="s">
        <v>674</v>
      </c>
      <c r="U584" s="171">
        <v>3099.0</v>
      </c>
      <c r="V584" s="172">
        <v>46007.0</v>
      </c>
      <c r="W584" s="3">
        <v>231.0</v>
      </c>
      <c r="X584" s="172">
        <v>46003.66769675926</v>
      </c>
      <c r="Y584" s="172"/>
      <c r="Z584" s="3">
        <v>46002.0</v>
      </c>
      <c r="AA584" s="3"/>
    </row>
    <row r="585">
      <c r="A585" s="3">
        <v>6.793047900419E12</v>
      </c>
      <c r="B585" s="2" t="s">
        <v>2842</v>
      </c>
      <c r="C585" s="2" t="s">
        <v>2843</v>
      </c>
      <c r="D585" s="169">
        <v>46002.0</v>
      </c>
      <c r="E585" s="173" t="s">
        <v>2844</v>
      </c>
      <c r="F585" s="2" t="s">
        <v>2845</v>
      </c>
      <c r="G585" s="2" t="s">
        <v>374</v>
      </c>
      <c r="H585" s="2">
        <v>0.0</v>
      </c>
      <c r="I585" s="2">
        <v>2.1120050020206E13</v>
      </c>
      <c r="J585" s="3">
        <v>0.0</v>
      </c>
      <c r="K585" s="2" t="s">
        <v>1347</v>
      </c>
      <c r="L585" s="2"/>
      <c r="M585" s="170" t="s">
        <v>455</v>
      </c>
      <c r="N585" s="2" t="s">
        <v>406</v>
      </c>
      <c r="O585" s="3">
        <v>0.5</v>
      </c>
      <c r="P585" s="2" t="s">
        <v>73</v>
      </c>
      <c r="Q585" s="3">
        <v>0.0</v>
      </c>
      <c r="T585" s="2" t="s">
        <v>599</v>
      </c>
      <c r="U585" s="171">
        <v>0.0</v>
      </c>
      <c r="V585" s="172">
        <v>46010.0</v>
      </c>
      <c r="W585" s="3">
        <v>200.0</v>
      </c>
      <c r="X585" s="172">
        <v>46057.642782766205</v>
      </c>
      <c r="Y585" s="172"/>
      <c r="Z585" s="3">
        <v>46002.0</v>
      </c>
      <c r="AA585" s="3"/>
    </row>
    <row r="586">
      <c r="A586" s="3">
        <v>6.793048031491E12</v>
      </c>
      <c r="B586" s="2" t="s">
        <v>2846</v>
      </c>
      <c r="C586" s="2" t="s">
        <v>2835</v>
      </c>
      <c r="D586" s="169">
        <v>46002.0</v>
      </c>
      <c r="E586" s="173" t="s">
        <v>2836</v>
      </c>
      <c r="F586" s="2" t="s">
        <v>2837</v>
      </c>
      <c r="G586" s="2" t="s">
        <v>2838</v>
      </c>
      <c r="H586" s="2">
        <v>0.0</v>
      </c>
      <c r="J586" s="3">
        <v>0.0</v>
      </c>
      <c r="K586" s="2" t="s">
        <v>760</v>
      </c>
      <c r="L586" s="2"/>
      <c r="M586" s="2" t="s">
        <v>468</v>
      </c>
      <c r="N586" s="2" t="s">
        <v>406</v>
      </c>
      <c r="O586" s="3">
        <v>0.5</v>
      </c>
      <c r="Q586" s="3">
        <v>0.0</v>
      </c>
      <c r="U586" s="141"/>
      <c r="X586" s="172">
        <v>46057.642782766205</v>
      </c>
      <c r="Y586" s="172"/>
      <c r="Z586" s="3">
        <v>46002.0</v>
      </c>
      <c r="AA586" s="3"/>
    </row>
    <row r="587">
      <c r="A587" s="3">
        <v>6.793179037955E12</v>
      </c>
      <c r="B587" s="2" t="s">
        <v>2847</v>
      </c>
      <c r="C587" s="2" t="s">
        <v>2848</v>
      </c>
      <c r="D587" s="169">
        <v>46002.0</v>
      </c>
      <c r="E587" s="2">
        <v>3.009672459E9</v>
      </c>
      <c r="F587" s="2" t="s">
        <v>2849</v>
      </c>
      <c r="G587" s="2" t="s">
        <v>1044</v>
      </c>
      <c r="H587" s="2">
        <v>4649.0</v>
      </c>
      <c r="I587" s="2">
        <v>2.912005002022E13</v>
      </c>
      <c r="J587" s="3">
        <v>2.0</v>
      </c>
      <c r="L587" s="2" t="s">
        <v>532</v>
      </c>
      <c r="M587" s="174" t="s">
        <v>409</v>
      </c>
      <c r="N587" s="2" t="s">
        <v>462</v>
      </c>
      <c r="O587" s="3">
        <v>0.5</v>
      </c>
      <c r="P587" s="2" t="s">
        <v>363</v>
      </c>
      <c r="Q587" s="3">
        <v>1700.0</v>
      </c>
      <c r="T587" s="2" t="s">
        <v>674</v>
      </c>
      <c r="U587" s="171">
        <v>4649.0</v>
      </c>
      <c r="V587" s="172">
        <v>46007.0</v>
      </c>
      <c r="W587" s="3">
        <v>406.0</v>
      </c>
      <c r="X587" s="172">
        <v>46004.686435185184</v>
      </c>
      <c r="Y587" s="172"/>
      <c r="Z587" s="3">
        <v>46002.0</v>
      </c>
      <c r="AA587" s="3"/>
    </row>
    <row r="588">
      <c r="A588" s="3">
        <v>6.793205776643E12</v>
      </c>
      <c r="B588" s="2" t="s">
        <v>2850</v>
      </c>
      <c r="C588" s="2" t="s">
        <v>2851</v>
      </c>
      <c r="D588" s="169">
        <v>46002.0</v>
      </c>
      <c r="E588" s="2">
        <v>3.365966187E9</v>
      </c>
      <c r="F588" s="2" t="s">
        <v>2852</v>
      </c>
      <c r="G588" s="2" t="s">
        <v>366</v>
      </c>
      <c r="H588" s="2">
        <v>0.0</v>
      </c>
      <c r="I588" s="2">
        <v>2.6120050020219E13</v>
      </c>
      <c r="J588" s="3">
        <v>0.0</v>
      </c>
      <c r="K588" s="2" t="s">
        <v>2853</v>
      </c>
      <c r="L588" s="2"/>
      <c r="M588" s="170" t="s">
        <v>455</v>
      </c>
      <c r="N588" s="2" t="s">
        <v>406</v>
      </c>
      <c r="O588" s="3">
        <v>0.5</v>
      </c>
      <c r="P588" s="2" t="s">
        <v>363</v>
      </c>
      <c r="Q588" s="3">
        <v>0.0</v>
      </c>
      <c r="U588" s="141"/>
      <c r="X588" s="172">
        <v>46057.642782766205</v>
      </c>
      <c r="Y588" s="172"/>
      <c r="Z588" s="3">
        <v>46002.0</v>
      </c>
      <c r="AA588" s="3"/>
    </row>
    <row r="589">
      <c r="A589" s="3">
        <v>6.793210888451E12</v>
      </c>
      <c r="B589" s="2" t="s">
        <v>2854</v>
      </c>
      <c r="C589" s="2" t="s">
        <v>2855</v>
      </c>
      <c r="D589" s="169">
        <v>46002.0</v>
      </c>
      <c r="E589" s="2">
        <v>3.087271314E9</v>
      </c>
      <c r="F589" s="2" t="s">
        <v>2856</v>
      </c>
      <c r="G589" s="2" t="s">
        <v>368</v>
      </c>
      <c r="H589" s="2">
        <v>2748.0</v>
      </c>
      <c r="I589" s="2">
        <v>2.9120050020218E13</v>
      </c>
      <c r="J589" s="3">
        <v>1.0</v>
      </c>
      <c r="L589" s="2" t="s">
        <v>519</v>
      </c>
      <c r="M589" s="174" t="s">
        <v>409</v>
      </c>
      <c r="N589" s="2" t="s">
        <v>462</v>
      </c>
      <c r="O589" s="3">
        <v>0.5</v>
      </c>
      <c r="P589" s="2" t="s">
        <v>363</v>
      </c>
      <c r="Q589" s="3">
        <v>850.0</v>
      </c>
      <c r="T589" s="2" t="s">
        <v>674</v>
      </c>
      <c r="U589" s="171">
        <v>2748.0</v>
      </c>
      <c r="V589" s="172">
        <v>46007.0</v>
      </c>
      <c r="W589" s="3">
        <v>230.0</v>
      </c>
      <c r="X589" s="172">
        <v>46003.59614583333</v>
      </c>
      <c r="Y589" s="172"/>
      <c r="Z589" s="3">
        <v>46002.0</v>
      </c>
      <c r="AA589" s="3"/>
    </row>
    <row r="590">
      <c r="A590" s="3">
        <v>6.793287303427E12</v>
      </c>
      <c r="B590" s="2" t="s">
        <v>2857</v>
      </c>
      <c r="C590" s="2" t="s">
        <v>2858</v>
      </c>
      <c r="D590" s="169">
        <v>46002.0</v>
      </c>
      <c r="E590" s="2">
        <v>3.177511713E9</v>
      </c>
      <c r="F590" s="2" t="s">
        <v>2859</v>
      </c>
      <c r="G590" s="2" t="s">
        <v>898</v>
      </c>
      <c r="H590" s="2">
        <v>2699.0</v>
      </c>
      <c r="I590" s="2" t="s">
        <v>2860</v>
      </c>
      <c r="J590" s="3">
        <v>1.0</v>
      </c>
      <c r="L590" s="2" t="s">
        <v>2023</v>
      </c>
      <c r="M590" s="174" t="s">
        <v>409</v>
      </c>
      <c r="N590" s="2" t="s">
        <v>462</v>
      </c>
      <c r="O590" s="3">
        <v>0.5</v>
      </c>
      <c r="P590" s="2" t="s">
        <v>640</v>
      </c>
      <c r="Q590" s="3">
        <v>1075.0</v>
      </c>
      <c r="T590" s="2" t="s">
        <v>1973</v>
      </c>
      <c r="U590" s="171">
        <v>2699.0</v>
      </c>
      <c r="W590" s="3">
        <v>400.15999999999997</v>
      </c>
      <c r="X590" s="172">
        <v>46057.69476539352</v>
      </c>
      <c r="Y590" s="172"/>
      <c r="Z590" s="3">
        <v>46002.0</v>
      </c>
      <c r="AA590" s="3"/>
    </row>
    <row r="591">
      <c r="A591" s="3">
        <v>6.793290711299E12</v>
      </c>
      <c r="B591" s="2" t="s">
        <v>2861</v>
      </c>
      <c r="C591" s="2" t="s">
        <v>2862</v>
      </c>
      <c r="D591" s="169">
        <v>46002.0</v>
      </c>
      <c r="E591" s="2">
        <v>3.207258438E9</v>
      </c>
      <c r="F591" s="2" t="s">
        <v>2863</v>
      </c>
      <c r="G591" s="2" t="s">
        <v>688</v>
      </c>
      <c r="H591" s="2">
        <v>0.0</v>
      </c>
      <c r="I591" s="2">
        <v>2.7120050020217E13</v>
      </c>
      <c r="J591" s="3">
        <v>0.0</v>
      </c>
      <c r="K591" s="2" t="s">
        <v>2864</v>
      </c>
      <c r="L591" s="2"/>
      <c r="M591" s="170" t="s">
        <v>455</v>
      </c>
      <c r="N591" s="2" t="s">
        <v>406</v>
      </c>
      <c r="O591" s="3">
        <v>0.5</v>
      </c>
      <c r="P591" s="2" t="s">
        <v>363</v>
      </c>
      <c r="Q591" s="3">
        <v>0.0</v>
      </c>
      <c r="T591" s="2" t="s">
        <v>777</v>
      </c>
      <c r="U591" s="171">
        <v>0.0</v>
      </c>
      <c r="V591" s="172">
        <v>46014.0</v>
      </c>
      <c r="W591" s="3">
        <v>220.0</v>
      </c>
      <c r="X591" s="172">
        <v>46057.642782766205</v>
      </c>
      <c r="Y591" s="172"/>
      <c r="Z591" s="3">
        <v>46002.0</v>
      </c>
      <c r="AA591" s="3"/>
    </row>
    <row r="592">
      <c r="A592" s="3">
        <v>6.793453240579E12</v>
      </c>
      <c r="B592" s="2" t="s">
        <v>2865</v>
      </c>
      <c r="C592" s="2" t="s">
        <v>2866</v>
      </c>
      <c r="D592" s="169">
        <v>46002.0</v>
      </c>
      <c r="E592" s="2">
        <v>3.007412194E9</v>
      </c>
      <c r="F592" s="2" t="s">
        <v>2867</v>
      </c>
      <c r="G592" s="2" t="s">
        <v>368</v>
      </c>
      <c r="H592" s="2">
        <v>0.0</v>
      </c>
      <c r="I592" s="2">
        <v>2.9120050020207E13</v>
      </c>
      <c r="J592" s="3">
        <v>0.0</v>
      </c>
      <c r="K592" s="2" t="s">
        <v>2768</v>
      </c>
      <c r="L592" s="2"/>
      <c r="M592" s="170" t="s">
        <v>455</v>
      </c>
      <c r="N592" s="2" t="s">
        <v>406</v>
      </c>
      <c r="O592" s="3">
        <v>0.5</v>
      </c>
      <c r="P592" s="2" t="s">
        <v>363</v>
      </c>
      <c r="Q592" s="3">
        <v>0.0</v>
      </c>
      <c r="T592" s="2" t="s">
        <v>599</v>
      </c>
      <c r="U592" s="171">
        <v>0.0</v>
      </c>
      <c r="V592" s="172">
        <v>46010.0</v>
      </c>
      <c r="W592" s="3">
        <v>107.0</v>
      </c>
      <c r="X592" s="172">
        <v>46057.642782766205</v>
      </c>
      <c r="Y592" s="172"/>
      <c r="Z592" s="3">
        <v>46002.0</v>
      </c>
      <c r="AA592" s="3"/>
    </row>
    <row r="593">
      <c r="A593" s="3">
        <v>6.793572548867E12</v>
      </c>
      <c r="B593" s="2" t="s">
        <v>2868</v>
      </c>
      <c r="C593" s="2" t="s">
        <v>2869</v>
      </c>
      <c r="D593" s="169">
        <v>46002.0</v>
      </c>
      <c r="E593" s="2">
        <v>3.467887554E9</v>
      </c>
      <c r="F593" s="2" t="s">
        <v>2870</v>
      </c>
      <c r="G593" s="2" t="s">
        <v>2871</v>
      </c>
      <c r="H593" s="2">
        <v>0.0</v>
      </c>
      <c r="I593" s="2">
        <v>2.0120050020216E13</v>
      </c>
      <c r="J593" s="3">
        <v>0.0</v>
      </c>
      <c r="K593" s="2" t="s">
        <v>2872</v>
      </c>
      <c r="L593" s="2"/>
      <c r="M593" s="170" t="s">
        <v>455</v>
      </c>
      <c r="N593" s="2" t="s">
        <v>406</v>
      </c>
      <c r="O593" s="3">
        <v>0.5</v>
      </c>
      <c r="P593" s="2" t="s">
        <v>363</v>
      </c>
      <c r="Q593" s="3">
        <v>0.0</v>
      </c>
      <c r="T593" s="2" t="s">
        <v>777</v>
      </c>
      <c r="U593" s="171">
        <v>0.0</v>
      </c>
      <c r="V593" s="172">
        <v>46014.0</v>
      </c>
      <c r="W593" s="3">
        <v>220.0</v>
      </c>
      <c r="X593" s="172">
        <v>46057.642782766205</v>
      </c>
      <c r="Y593" s="172"/>
      <c r="Z593" s="3">
        <v>46002.0</v>
      </c>
      <c r="AA593" s="3"/>
    </row>
    <row r="594">
      <c r="A594" s="3">
        <v>6.793677603075E12</v>
      </c>
      <c r="B594" s="2" t="s">
        <v>2873</v>
      </c>
      <c r="C594" s="2" t="s">
        <v>2874</v>
      </c>
      <c r="D594" s="169">
        <v>46002.0</v>
      </c>
      <c r="E594" s="173" t="s">
        <v>2875</v>
      </c>
      <c r="F594" s="2" t="s">
        <v>2876</v>
      </c>
      <c r="G594" s="2" t="s">
        <v>2316</v>
      </c>
      <c r="H594" s="2">
        <v>0.0</v>
      </c>
      <c r="I594" s="2">
        <v>2.812005002024E13</v>
      </c>
      <c r="J594" s="3">
        <v>0.0</v>
      </c>
      <c r="K594" s="2" t="s">
        <v>2877</v>
      </c>
      <c r="L594" s="2"/>
      <c r="M594" s="170" t="s">
        <v>455</v>
      </c>
      <c r="N594" s="2" t="s">
        <v>406</v>
      </c>
      <c r="O594" s="3">
        <v>0.5</v>
      </c>
      <c r="P594" s="2" t="s">
        <v>73</v>
      </c>
      <c r="Q594" s="3">
        <v>0.0</v>
      </c>
      <c r="T594" s="2" t="s">
        <v>777</v>
      </c>
      <c r="U594" s="171">
        <v>0.0</v>
      </c>
      <c r="V594" s="172">
        <v>46014.0</v>
      </c>
      <c r="W594" s="3">
        <v>213.0</v>
      </c>
      <c r="X594" s="172">
        <v>46057.642782766205</v>
      </c>
      <c r="Y594" s="172"/>
      <c r="Z594" s="3">
        <v>46002.0</v>
      </c>
      <c r="AA594" s="3"/>
    </row>
    <row r="595">
      <c r="A595" s="3">
        <v>6.793716171011E12</v>
      </c>
      <c r="B595" s="2" t="s">
        <v>2878</v>
      </c>
      <c r="C595" s="2" t="s">
        <v>2879</v>
      </c>
      <c r="D595" s="169">
        <v>46002.0</v>
      </c>
      <c r="E595" s="173" t="s">
        <v>2880</v>
      </c>
      <c r="F595" s="2" t="s">
        <v>2881</v>
      </c>
      <c r="G595" s="2" t="s">
        <v>2882</v>
      </c>
      <c r="H595" s="2">
        <v>0.0</v>
      </c>
      <c r="I595" s="2">
        <v>2.3120050020215E13</v>
      </c>
      <c r="J595" s="3">
        <v>0.0</v>
      </c>
      <c r="K595" s="2" t="s">
        <v>2883</v>
      </c>
      <c r="L595" s="2"/>
      <c r="M595" s="170" t="s">
        <v>455</v>
      </c>
      <c r="N595" s="2" t="s">
        <v>406</v>
      </c>
      <c r="O595" s="3">
        <v>0.5</v>
      </c>
      <c r="P595" s="2" t="s">
        <v>363</v>
      </c>
      <c r="Q595" s="3">
        <v>0.0</v>
      </c>
      <c r="T595" s="2" t="s">
        <v>777</v>
      </c>
      <c r="U595" s="171">
        <v>0.0</v>
      </c>
      <c r="V595" s="172">
        <v>46014.0</v>
      </c>
      <c r="W595" s="3">
        <v>200.0</v>
      </c>
      <c r="X595" s="172">
        <v>46057.642782766205</v>
      </c>
      <c r="Y595" s="172"/>
      <c r="Z595" s="3">
        <v>46002.0</v>
      </c>
      <c r="AA595" s="3"/>
    </row>
    <row r="596">
      <c r="A596" s="3">
        <v>6.793765748995E12</v>
      </c>
      <c r="B596" s="2" t="s">
        <v>2884</v>
      </c>
      <c r="C596" s="2" t="s">
        <v>2885</v>
      </c>
      <c r="D596" s="169">
        <v>46002.0</v>
      </c>
      <c r="E596" s="2">
        <v>3.360442122E9</v>
      </c>
      <c r="F596" s="2" t="s">
        <v>2886</v>
      </c>
      <c r="G596" s="2" t="s">
        <v>368</v>
      </c>
      <c r="H596" s="2">
        <v>249.0</v>
      </c>
      <c r="I596" s="2">
        <v>2.8120050020214E13</v>
      </c>
      <c r="J596" s="3">
        <v>0.0</v>
      </c>
      <c r="L596" s="2"/>
      <c r="M596" s="174" t="s">
        <v>409</v>
      </c>
      <c r="N596" s="2" t="s">
        <v>462</v>
      </c>
      <c r="O596" s="3">
        <v>0.5</v>
      </c>
      <c r="P596" s="2" t="s">
        <v>73</v>
      </c>
      <c r="Q596" s="3">
        <v>0.0</v>
      </c>
      <c r="T596" s="2" t="s">
        <v>674</v>
      </c>
      <c r="U596" s="3">
        <v>249.0</v>
      </c>
      <c r="V596" s="172">
        <v>46007.0</v>
      </c>
      <c r="W596" s="3">
        <v>230.0</v>
      </c>
      <c r="X596" s="172">
        <v>46003.52658564815</v>
      </c>
      <c r="Y596" s="172"/>
      <c r="Z596" s="3">
        <v>46002.0</v>
      </c>
      <c r="AA596" s="3"/>
    </row>
    <row r="597">
      <c r="A597" s="3">
        <v>6.793779413251E12</v>
      </c>
      <c r="B597" s="2" t="s">
        <v>2887</v>
      </c>
      <c r="C597" s="2" t="s">
        <v>2888</v>
      </c>
      <c r="D597" s="169">
        <v>46002.0</v>
      </c>
      <c r="E597" s="2">
        <v>3.014639029E9</v>
      </c>
      <c r="F597" s="2" t="s">
        <v>2889</v>
      </c>
      <c r="G597" s="2" t="s">
        <v>368</v>
      </c>
      <c r="H597" s="2">
        <v>0.0</v>
      </c>
      <c r="I597" s="2">
        <v>2.5120050020213E13</v>
      </c>
      <c r="J597" s="3">
        <v>0.0</v>
      </c>
      <c r="K597" s="2" t="s">
        <v>2890</v>
      </c>
      <c r="L597" s="2"/>
      <c r="M597" s="170" t="s">
        <v>455</v>
      </c>
      <c r="N597" s="2" t="s">
        <v>406</v>
      </c>
      <c r="O597" s="3">
        <v>0.5</v>
      </c>
      <c r="P597" s="2" t="s">
        <v>363</v>
      </c>
      <c r="Q597" s="3">
        <v>0.0</v>
      </c>
      <c r="T597" s="2" t="s">
        <v>599</v>
      </c>
      <c r="U597" s="171">
        <v>0.0</v>
      </c>
      <c r="V597" s="172">
        <v>46010.0</v>
      </c>
      <c r="W597" s="3">
        <v>120.0</v>
      </c>
      <c r="X597" s="172">
        <v>46057.642782766205</v>
      </c>
      <c r="Y597" s="172"/>
      <c r="Z597" s="3">
        <v>46002.0</v>
      </c>
      <c r="AA597" s="3"/>
    </row>
    <row r="598">
      <c r="A598" s="3">
        <v>6.793779872003E12</v>
      </c>
      <c r="B598" s="2" t="s">
        <v>2891</v>
      </c>
      <c r="C598" s="2" t="s">
        <v>2892</v>
      </c>
      <c r="D598" s="169">
        <v>46002.0</v>
      </c>
      <c r="E598" s="2">
        <v>3.016438881E9</v>
      </c>
      <c r="F598" s="2" t="s">
        <v>2893</v>
      </c>
      <c r="G598" s="2" t="s">
        <v>2725</v>
      </c>
      <c r="H598" s="2">
        <v>3099.0</v>
      </c>
      <c r="I598" s="2">
        <v>2.5120050020208E13</v>
      </c>
      <c r="J598" s="3">
        <v>2.0</v>
      </c>
      <c r="L598" s="2" t="s">
        <v>27</v>
      </c>
      <c r="M598" s="174" t="s">
        <v>409</v>
      </c>
      <c r="N598" s="2" t="s">
        <v>462</v>
      </c>
      <c r="O598" s="3">
        <v>0.5</v>
      </c>
      <c r="P598" s="2" t="s">
        <v>363</v>
      </c>
      <c r="Q598" s="3">
        <v>920.0</v>
      </c>
      <c r="T598" s="2" t="s">
        <v>674</v>
      </c>
      <c r="U598" s="171">
        <v>3099.0</v>
      </c>
      <c r="V598" s="172">
        <v>46007.0</v>
      </c>
      <c r="W598" s="3">
        <v>324.0</v>
      </c>
      <c r="X598" s="172">
        <v>46006.613483796296</v>
      </c>
      <c r="Y598" s="172"/>
      <c r="Z598" s="3">
        <v>46002.0</v>
      </c>
      <c r="AA598" s="3"/>
    </row>
    <row r="599">
      <c r="A599" s="3">
        <v>6.793787998467E12</v>
      </c>
      <c r="B599" s="2" t="s">
        <v>2894</v>
      </c>
      <c r="C599" s="2" t="s">
        <v>2895</v>
      </c>
      <c r="D599" s="169">
        <v>46002.0</v>
      </c>
      <c r="E599" s="2">
        <v>3.034440184E9</v>
      </c>
      <c r="F599" s="2" t="s">
        <v>2896</v>
      </c>
      <c r="G599" s="2" t="s">
        <v>506</v>
      </c>
      <c r="H599" s="2">
        <v>2748.0</v>
      </c>
      <c r="I599" s="2">
        <v>2.2120050020212E13</v>
      </c>
      <c r="J599" s="3">
        <v>1.0</v>
      </c>
      <c r="L599" s="2" t="s">
        <v>512</v>
      </c>
      <c r="M599" s="174" t="s">
        <v>409</v>
      </c>
      <c r="N599" s="2" t="s">
        <v>462</v>
      </c>
      <c r="O599" s="3">
        <v>0.5</v>
      </c>
      <c r="P599" s="2" t="s">
        <v>363</v>
      </c>
      <c r="Q599" s="3">
        <v>850.0</v>
      </c>
      <c r="T599" s="2" t="s">
        <v>674</v>
      </c>
      <c r="U599" s="171">
        <v>2748.0</v>
      </c>
      <c r="V599" s="172">
        <v>46007.0</v>
      </c>
      <c r="W599" s="3">
        <v>330.0</v>
      </c>
      <c r="X599" s="172">
        <v>46006.74228009259</v>
      </c>
      <c r="Y599" s="172"/>
      <c r="Z599" s="3">
        <v>46002.0</v>
      </c>
      <c r="AA599" s="3"/>
    </row>
    <row r="600">
      <c r="A600" s="3">
        <v>6.793790324995E12</v>
      </c>
      <c r="B600" s="2" t="s">
        <v>2897</v>
      </c>
      <c r="C600" s="175" t="s">
        <v>2898</v>
      </c>
      <c r="D600" s="169">
        <v>46002.0</v>
      </c>
      <c r="E600" s="2">
        <v>3.005068203E9</v>
      </c>
      <c r="F600" s="175" t="s">
        <v>2899</v>
      </c>
      <c r="G600" s="175" t="s">
        <v>2900</v>
      </c>
      <c r="H600" s="2">
        <v>2749.0</v>
      </c>
      <c r="I600" s="2">
        <v>2.5120050020227E13</v>
      </c>
      <c r="J600" s="3">
        <v>2.0</v>
      </c>
      <c r="L600" s="2" t="s">
        <v>926</v>
      </c>
      <c r="M600" s="174" t="s">
        <v>409</v>
      </c>
      <c r="N600" s="2" t="s">
        <v>462</v>
      </c>
      <c r="O600" s="3">
        <v>0.5</v>
      </c>
      <c r="P600" s="2" t="s">
        <v>363</v>
      </c>
      <c r="Q600" s="3">
        <v>980.0</v>
      </c>
      <c r="T600" s="2" t="s">
        <v>674</v>
      </c>
      <c r="U600" s="171">
        <v>2749.0</v>
      </c>
      <c r="V600" s="172">
        <v>46007.0</v>
      </c>
      <c r="W600" s="3">
        <v>310.0</v>
      </c>
      <c r="X600" s="172">
        <v>46006.61064814815</v>
      </c>
      <c r="Y600" s="172"/>
      <c r="Z600" s="3">
        <v>46002.0</v>
      </c>
      <c r="AA600" s="3"/>
    </row>
    <row r="601">
      <c r="A601" s="3">
        <v>6.793794027779E12</v>
      </c>
      <c r="B601" s="2" t="s">
        <v>2901</v>
      </c>
      <c r="C601" s="2" t="s">
        <v>2902</v>
      </c>
      <c r="D601" s="169">
        <v>46002.0</v>
      </c>
      <c r="E601" s="173" t="s">
        <v>2903</v>
      </c>
      <c r="F601" s="2" t="s">
        <v>2904</v>
      </c>
      <c r="G601" s="2" t="s">
        <v>2905</v>
      </c>
      <c r="H601" s="2">
        <v>4001.0</v>
      </c>
      <c r="I601" s="2">
        <v>2.9120050020209E13</v>
      </c>
      <c r="J601" s="3">
        <v>2.0</v>
      </c>
      <c r="K601" s="2" t="s">
        <v>241</v>
      </c>
      <c r="L601" s="2" t="s">
        <v>2906</v>
      </c>
      <c r="M601" s="174" t="s">
        <v>409</v>
      </c>
      <c r="N601" s="2" t="s">
        <v>462</v>
      </c>
      <c r="O601" s="3">
        <v>0.5</v>
      </c>
      <c r="P601" s="2" t="s">
        <v>363</v>
      </c>
      <c r="Q601" s="3">
        <v>960.0</v>
      </c>
      <c r="T601" s="2" t="s">
        <v>674</v>
      </c>
      <c r="U601" s="3">
        <v>4001.0</v>
      </c>
      <c r="V601" s="172">
        <v>46007.0</v>
      </c>
      <c r="W601" s="3">
        <v>324.0</v>
      </c>
      <c r="X601" s="172">
        <v>46004.4877662037</v>
      </c>
      <c r="Y601" s="172"/>
      <c r="Z601" s="3">
        <v>46002.0</v>
      </c>
      <c r="AA601" s="3"/>
    </row>
    <row r="602">
      <c r="A602" s="3">
        <v>6.793797304579E12</v>
      </c>
      <c r="B602" s="2" t="s">
        <v>2907</v>
      </c>
      <c r="C602" s="2" t="s">
        <v>2908</v>
      </c>
      <c r="D602" s="169">
        <v>46002.0</v>
      </c>
      <c r="E602" s="2">
        <v>3.334851072E9</v>
      </c>
      <c r="F602" s="2" t="s">
        <v>2904</v>
      </c>
      <c r="G602" s="2" t="s">
        <v>2905</v>
      </c>
      <c r="H602" s="2">
        <v>4099.0</v>
      </c>
      <c r="I602" s="2">
        <v>2.8120050020481E13</v>
      </c>
      <c r="J602" s="3">
        <v>1.0</v>
      </c>
      <c r="K602" s="2" t="s">
        <v>511</v>
      </c>
      <c r="L602" s="2" t="s">
        <v>2909</v>
      </c>
      <c r="M602" s="174" t="s">
        <v>409</v>
      </c>
      <c r="N602" s="2" t="s">
        <v>462</v>
      </c>
      <c r="O602" s="3">
        <v>0.5</v>
      </c>
      <c r="P602" s="2" t="s">
        <v>73</v>
      </c>
      <c r="Q602" s="3">
        <v>1600.0</v>
      </c>
      <c r="T602" s="2" t="s">
        <v>777</v>
      </c>
      <c r="U602" s="171">
        <v>4099.0</v>
      </c>
      <c r="V602" s="172">
        <v>46014.0</v>
      </c>
      <c r="W602" s="3">
        <v>384.0</v>
      </c>
      <c r="X602" s="172">
        <v>46011.604351851856</v>
      </c>
      <c r="Y602" s="172"/>
      <c r="Z602" s="3">
        <v>46002.0</v>
      </c>
      <c r="AA602" s="3"/>
    </row>
    <row r="603">
      <c r="A603" s="3">
        <v>6.793885286659E12</v>
      </c>
      <c r="B603" s="2" t="s">
        <v>2910</v>
      </c>
      <c r="C603" s="2" t="s">
        <v>2911</v>
      </c>
      <c r="D603" s="169">
        <v>46002.0</v>
      </c>
      <c r="E603" s="173" t="s">
        <v>2912</v>
      </c>
      <c r="F603" s="2" t="s">
        <v>2913</v>
      </c>
      <c r="G603" s="2" t="s">
        <v>493</v>
      </c>
      <c r="H603" s="2">
        <v>5700.0</v>
      </c>
      <c r="I603" s="2">
        <v>2.612005002021E13</v>
      </c>
      <c r="J603" s="3">
        <v>4.0</v>
      </c>
      <c r="K603" s="2" t="s">
        <v>511</v>
      </c>
      <c r="L603" s="2" t="s">
        <v>2914</v>
      </c>
      <c r="M603" s="174" t="s">
        <v>409</v>
      </c>
      <c r="N603" s="2" t="s">
        <v>462</v>
      </c>
      <c r="O603" s="3">
        <v>0.5</v>
      </c>
      <c r="P603" s="2" t="s">
        <v>363</v>
      </c>
      <c r="Q603" s="3">
        <v>1880.0</v>
      </c>
      <c r="T603" s="2" t="s">
        <v>674</v>
      </c>
      <c r="U603" s="171">
        <v>5700.0</v>
      </c>
      <c r="V603" s="172">
        <v>46007.0</v>
      </c>
      <c r="W603" s="3">
        <v>455.0</v>
      </c>
      <c r="X603" s="172">
        <v>46005.75783564815</v>
      </c>
      <c r="Y603" s="172"/>
      <c r="Z603" s="3">
        <v>46002.0</v>
      </c>
      <c r="AA603" s="3"/>
    </row>
    <row r="604">
      <c r="A604" s="3">
        <v>6.793893347587E12</v>
      </c>
      <c r="B604" s="2" t="s">
        <v>2915</v>
      </c>
      <c r="C604" s="2" t="s">
        <v>2338</v>
      </c>
      <c r="D604" s="169">
        <v>46002.0</v>
      </c>
      <c r="E604" s="173" t="s">
        <v>2339</v>
      </c>
      <c r="F604" s="2" t="s">
        <v>2340</v>
      </c>
      <c r="G604" s="2" t="s">
        <v>781</v>
      </c>
      <c r="H604" s="2">
        <v>3949.0</v>
      </c>
      <c r="I604" s="2">
        <v>2.6120050020248E13</v>
      </c>
      <c r="J604" s="3">
        <v>3.0</v>
      </c>
      <c r="K604" s="2" t="s">
        <v>2916</v>
      </c>
      <c r="L604" s="2" t="s">
        <v>2917</v>
      </c>
      <c r="M604" s="174" t="s">
        <v>409</v>
      </c>
      <c r="N604" s="2" t="s">
        <v>462</v>
      </c>
      <c r="O604" s="3">
        <v>0.5</v>
      </c>
      <c r="P604" s="2" t="s">
        <v>363</v>
      </c>
      <c r="Q604" s="3">
        <v>1530.0</v>
      </c>
      <c r="T604" s="2" t="s">
        <v>674</v>
      </c>
      <c r="U604" s="3">
        <v>3949.0</v>
      </c>
      <c r="V604" s="172">
        <v>46007.0</v>
      </c>
      <c r="W604" s="3">
        <v>213.0</v>
      </c>
      <c r="X604" s="172">
        <v>46006.47589120371</v>
      </c>
      <c r="Y604" s="172"/>
      <c r="Z604" s="3">
        <v>46002.0</v>
      </c>
      <c r="AA604" s="3"/>
    </row>
    <row r="605">
      <c r="A605" s="3">
        <v>6.793895510275E12</v>
      </c>
      <c r="B605" s="2" t="s">
        <v>2918</v>
      </c>
      <c r="C605" s="2" t="s">
        <v>2919</v>
      </c>
      <c r="D605" s="169">
        <v>46002.0</v>
      </c>
      <c r="E605" s="2">
        <v>3.078744036E9</v>
      </c>
      <c r="F605" s="2" t="s">
        <v>2920</v>
      </c>
      <c r="G605" s="2" t="s">
        <v>368</v>
      </c>
      <c r="H605" s="2">
        <v>0.0</v>
      </c>
      <c r="I605" s="2">
        <v>2.0120050020211E13</v>
      </c>
      <c r="J605" s="3">
        <v>0.0</v>
      </c>
      <c r="K605" s="2" t="s">
        <v>2921</v>
      </c>
      <c r="L605" s="2"/>
      <c r="M605" s="170" t="s">
        <v>455</v>
      </c>
      <c r="N605" s="2" t="s">
        <v>406</v>
      </c>
      <c r="O605" s="3">
        <v>0.5</v>
      </c>
      <c r="P605" s="2" t="s">
        <v>363</v>
      </c>
      <c r="Q605" s="3">
        <v>0.0</v>
      </c>
      <c r="T605" s="2" t="s">
        <v>599</v>
      </c>
      <c r="U605" s="171">
        <v>0.0</v>
      </c>
      <c r="V605" s="172">
        <v>46010.0</v>
      </c>
      <c r="W605" s="3">
        <v>200.0</v>
      </c>
      <c r="X605" s="172">
        <v>46057.642782766205</v>
      </c>
      <c r="Y605" s="172"/>
      <c r="Z605" s="3">
        <v>46002.0</v>
      </c>
      <c r="AA605" s="3"/>
    </row>
    <row r="606">
      <c r="A606" s="3">
        <v>6.793915564291E12</v>
      </c>
      <c r="B606" s="2" t="s">
        <v>2922</v>
      </c>
      <c r="C606" s="2" t="s">
        <v>1336</v>
      </c>
      <c r="D606" s="169">
        <v>46002.0</v>
      </c>
      <c r="E606" s="173" t="s">
        <v>2923</v>
      </c>
      <c r="F606" s="2" t="s">
        <v>2924</v>
      </c>
      <c r="G606" s="2" t="s">
        <v>2925</v>
      </c>
      <c r="H606" s="2">
        <v>249.0</v>
      </c>
      <c r="I606" s="2">
        <v>2.1120050020387E13</v>
      </c>
      <c r="J606" s="3">
        <v>0.0</v>
      </c>
      <c r="K606" s="2" t="s">
        <v>2926</v>
      </c>
      <c r="L606" s="2"/>
      <c r="M606" s="174" t="s">
        <v>409</v>
      </c>
      <c r="N606" s="2" t="s">
        <v>462</v>
      </c>
      <c r="O606" s="3">
        <v>0.5</v>
      </c>
      <c r="P606" s="2" t="s">
        <v>73</v>
      </c>
      <c r="Q606" s="3">
        <v>0.0</v>
      </c>
      <c r="T606" s="2" t="s">
        <v>777</v>
      </c>
      <c r="U606" s="2">
        <v>249.0</v>
      </c>
      <c r="V606" s="172">
        <v>46014.0</v>
      </c>
      <c r="W606" s="3">
        <v>430.0</v>
      </c>
      <c r="X606" s="172">
        <v>46011.587013888886</v>
      </c>
      <c r="Y606" s="172"/>
      <c r="Z606" s="3">
        <v>46002.0</v>
      </c>
      <c r="AA606" s="3"/>
    </row>
    <row r="607">
      <c r="A607" s="3">
        <v>6.793925329155E12</v>
      </c>
      <c r="B607" s="2" t="s">
        <v>2927</v>
      </c>
      <c r="C607" s="2" t="s">
        <v>2928</v>
      </c>
      <c r="D607" s="169">
        <v>46002.0</v>
      </c>
      <c r="E607" s="173" t="s">
        <v>2929</v>
      </c>
      <c r="F607" s="2" t="s">
        <v>2930</v>
      </c>
      <c r="G607" s="2" t="s">
        <v>461</v>
      </c>
      <c r="H607" s="2">
        <v>2749.0</v>
      </c>
      <c r="I607" s="2">
        <v>2.0120050020226E13</v>
      </c>
      <c r="J607" s="3">
        <v>2.0</v>
      </c>
      <c r="L607" s="2" t="s">
        <v>16</v>
      </c>
      <c r="M607" s="174" t="s">
        <v>409</v>
      </c>
      <c r="N607" s="2" t="s">
        <v>462</v>
      </c>
      <c r="O607" s="3">
        <v>0.5</v>
      </c>
      <c r="P607" s="2" t="s">
        <v>363</v>
      </c>
      <c r="Q607" s="3">
        <v>980.0</v>
      </c>
      <c r="T607" s="2" t="s">
        <v>674</v>
      </c>
      <c r="U607" s="171">
        <v>2749.0</v>
      </c>
      <c r="V607" s="172">
        <v>46007.0</v>
      </c>
      <c r="W607" s="3">
        <v>310.0</v>
      </c>
      <c r="X607" s="172">
        <v>46004.58980324074</v>
      </c>
      <c r="Y607" s="172"/>
      <c r="Z607" s="3">
        <v>46002.0</v>
      </c>
      <c r="AA607" s="3"/>
    </row>
    <row r="608">
      <c r="A608" s="3">
        <v>6.793987358979E12</v>
      </c>
      <c r="B608" s="2" t="s">
        <v>2931</v>
      </c>
      <c r="C608" s="2" t="s">
        <v>2932</v>
      </c>
      <c r="D608" s="169">
        <v>46002.0</v>
      </c>
      <c r="E608" s="173" t="s">
        <v>2933</v>
      </c>
      <c r="F608" s="2" t="s">
        <v>2934</v>
      </c>
      <c r="G608" s="2" t="s">
        <v>541</v>
      </c>
      <c r="H608" s="2">
        <v>0.0</v>
      </c>
      <c r="I608" s="2">
        <v>2.5120050020239E13</v>
      </c>
      <c r="J608" s="3">
        <v>0.0</v>
      </c>
      <c r="K608" s="2" t="s">
        <v>2935</v>
      </c>
      <c r="L608" s="2"/>
      <c r="M608" s="170" t="s">
        <v>455</v>
      </c>
      <c r="N608" s="2" t="s">
        <v>406</v>
      </c>
      <c r="O608" s="3">
        <v>0.5</v>
      </c>
      <c r="P608" s="2" t="s">
        <v>363</v>
      </c>
      <c r="Q608" s="3">
        <v>0.0</v>
      </c>
      <c r="T608" s="2" t="s">
        <v>777</v>
      </c>
      <c r="U608" s="171">
        <v>0.0</v>
      </c>
      <c r="V608" s="172">
        <v>46014.0</v>
      </c>
      <c r="W608" s="3">
        <v>200.0</v>
      </c>
      <c r="X608" s="172">
        <v>46057.642782766205</v>
      </c>
      <c r="Y608" s="172"/>
      <c r="Z608" s="3">
        <v>46002.0</v>
      </c>
      <c r="AA608" s="3"/>
    </row>
    <row r="609">
      <c r="A609" s="3">
        <v>6.793988636931E12</v>
      </c>
      <c r="B609" s="2" t="s">
        <v>2936</v>
      </c>
      <c r="C609" s="2" t="s">
        <v>2937</v>
      </c>
      <c r="D609" s="169">
        <v>46002.0</v>
      </c>
      <c r="E609" s="173" t="s">
        <v>2938</v>
      </c>
      <c r="F609" s="2" t="s">
        <v>2939</v>
      </c>
      <c r="G609" s="2" t="s">
        <v>1395</v>
      </c>
      <c r="H609" s="2">
        <v>3099.0</v>
      </c>
      <c r="I609" s="2">
        <v>2.5120050020294E13</v>
      </c>
      <c r="J609" s="3">
        <v>2.0</v>
      </c>
      <c r="L609" s="2" t="s">
        <v>906</v>
      </c>
      <c r="M609" s="174" t="s">
        <v>409</v>
      </c>
      <c r="N609" s="2" t="s">
        <v>462</v>
      </c>
      <c r="O609" s="3">
        <v>0.5</v>
      </c>
      <c r="P609" s="2" t="s">
        <v>363</v>
      </c>
      <c r="Q609" s="3">
        <v>920.0</v>
      </c>
      <c r="T609" s="2" t="s">
        <v>674</v>
      </c>
      <c r="U609" s="171">
        <v>3099.0</v>
      </c>
      <c r="V609" s="172">
        <v>46007.0</v>
      </c>
      <c r="W609" s="3">
        <v>337.0</v>
      </c>
      <c r="X609" s="172">
        <v>46006.740023148144</v>
      </c>
      <c r="Y609" s="172"/>
      <c r="Z609" s="3">
        <v>46002.0</v>
      </c>
      <c r="AA609" s="3"/>
    </row>
    <row r="610">
      <c r="A610" s="3">
        <v>6.793989095683E12</v>
      </c>
      <c r="B610" s="2" t="s">
        <v>2940</v>
      </c>
      <c r="C610" s="2" t="s">
        <v>2932</v>
      </c>
      <c r="D610" s="169">
        <v>46002.0</v>
      </c>
      <c r="E610" s="173" t="s">
        <v>2933</v>
      </c>
      <c r="F610" s="2" t="s">
        <v>2934</v>
      </c>
      <c r="G610" s="2" t="s">
        <v>541</v>
      </c>
      <c r="H610" s="2">
        <v>0.0</v>
      </c>
      <c r="J610" s="3">
        <v>0.0</v>
      </c>
      <c r="K610" s="2" t="s">
        <v>760</v>
      </c>
      <c r="L610" s="2"/>
      <c r="M610" s="2" t="s">
        <v>468</v>
      </c>
      <c r="N610" s="2" t="s">
        <v>406</v>
      </c>
      <c r="O610" s="3">
        <v>0.5</v>
      </c>
      <c r="Q610" s="3">
        <v>0.0</v>
      </c>
      <c r="U610" s="141"/>
      <c r="X610" s="172">
        <v>46057.642782766205</v>
      </c>
      <c r="Y610" s="172"/>
      <c r="Z610" s="3">
        <v>46002.0</v>
      </c>
      <c r="AA610" s="3"/>
    </row>
    <row r="611">
      <c r="A611" s="3">
        <v>6.794028941571E12</v>
      </c>
      <c r="B611" s="2" t="s">
        <v>2941</v>
      </c>
      <c r="C611" s="2" t="s">
        <v>2942</v>
      </c>
      <c r="D611" s="169">
        <v>46002.0</v>
      </c>
      <c r="E611" s="2">
        <v>3.461912704E9</v>
      </c>
      <c r="F611" s="2" t="s">
        <v>2943</v>
      </c>
      <c r="G611" s="2" t="s">
        <v>506</v>
      </c>
      <c r="H611" s="2">
        <v>0.0</v>
      </c>
      <c r="I611" s="2">
        <v>2.1120050020263E13</v>
      </c>
      <c r="J611" s="3">
        <v>0.0</v>
      </c>
      <c r="K611" s="2" t="s">
        <v>2944</v>
      </c>
      <c r="L611" s="2"/>
      <c r="M611" s="170" t="s">
        <v>455</v>
      </c>
      <c r="N611" s="2" t="s">
        <v>406</v>
      </c>
      <c r="O611" s="3">
        <v>0.5</v>
      </c>
      <c r="P611" s="2" t="s">
        <v>73</v>
      </c>
      <c r="Q611" s="3">
        <v>0.0</v>
      </c>
      <c r="T611" s="2" t="s">
        <v>777</v>
      </c>
      <c r="U611" s="171">
        <v>0.0</v>
      </c>
      <c r="V611" s="172">
        <v>46014.0</v>
      </c>
      <c r="W611" s="3">
        <v>313.0</v>
      </c>
      <c r="X611" s="172">
        <v>46057.642782766205</v>
      </c>
      <c r="Y611" s="172"/>
      <c r="Z611" s="3">
        <v>46002.0</v>
      </c>
      <c r="AA611" s="3"/>
    </row>
    <row r="612">
      <c r="A612" s="3">
        <v>6.794046112003E12</v>
      </c>
      <c r="B612" s="2" t="s">
        <v>2945</v>
      </c>
      <c r="C612" s="2" t="s">
        <v>1028</v>
      </c>
      <c r="D612" s="169">
        <v>46002.0</v>
      </c>
      <c r="E612" s="2">
        <v>3.322123893E9</v>
      </c>
      <c r="F612" s="2" t="s">
        <v>2946</v>
      </c>
      <c r="G612" s="2" t="s">
        <v>993</v>
      </c>
      <c r="H612" s="2">
        <v>2748.0</v>
      </c>
      <c r="I612" s="2">
        <v>2.8120050020238E13</v>
      </c>
      <c r="J612" s="3">
        <v>1.0</v>
      </c>
      <c r="L612" s="2" t="s">
        <v>946</v>
      </c>
      <c r="M612" s="174" t="s">
        <v>409</v>
      </c>
      <c r="N612" s="2" t="s">
        <v>462</v>
      </c>
      <c r="O612" s="3">
        <v>0.5</v>
      </c>
      <c r="P612" s="2" t="s">
        <v>73</v>
      </c>
      <c r="Q612" s="3">
        <v>850.0</v>
      </c>
      <c r="T612" s="2" t="s">
        <v>599</v>
      </c>
      <c r="U612" s="171">
        <v>2748.0</v>
      </c>
      <c r="V612" s="172">
        <v>46010.0</v>
      </c>
      <c r="W612" s="3">
        <v>310.0</v>
      </c>
      <c r="X612" s="172">
        <v>46008.6175462963</v>
      </c>
      <c r="Y612" s="172"/>
      <c r="Z612" s="3">
        <v>46002.0</v>
      </c>
      <c r="AA612" s="3"/>
    </row>
    <row r="613">
      <c r="A613" s="3">
        <v>6.794069016835E12</v>
      </c>
      <c r="B613" s="2" t="s">
        <v>2947</v>
      </c>
      <c r="C613" s="2" t="s">
        <v>2197</v>
      </c>
      <c r="D613" s="169">
        <v>46002.0</v>
      </c>
      <c r="E613" s="2">
        <v>3.005270799E9</v>
      </c>
      <c r="F613" s="2" t="s">
        <v>2948</v>
      </c>
      <c r="G613" s="2" t="s">
        <v>2949</v>
      </c>
      <c r="H613" s="2">
        <v>6199.0</v>
      </c>
      <c r="I613" s="2">
        <v>2.612005002033E13</v>
      </c>
      <c r="J613" s="3">
        <v>4.0</v>
      </c>
      <c r="L613" s="2" t="s">
        <v>2950</v>
      </c>
      <c r="M613" s="174" t="s">
        <v>409</v>
      </c>
      <c r="N613" s="2" t="s">
        <v>462</v>
      </c>
      <c r="O613" s="3">
        <v>0.5</v>
      </c>
      <c r="P613" s="2" t="s">
        <v>363</v>
      </c>
      <c r="Q613" s="3">
        <v>2930.0</v>
      </c>
      <c r="T613" s="2" t="s">
        <v>599</v>
      </c>
      <c r="U613" s="171">
        <v>6199.0</v>
      </c>
      <c r="V613" s="172">
        <v>46010.0</v>
      </c>
      <c r="W613" s="3">
        <v>561.0</v>
      </c>
      <c r="X613" s="172">
        <v>46008.64607638889</v>
      </c>
      <c r="Y613" s="172"/>
      <c r="Z613" s="3">
        <v>46002.0</v>
      </c>
      <c r="AA613" s="3"/>
    </row>
    <row r="614">
      <c r="A614" s="3">
        <v>6.794079076611E12</v>
      </c>
      <c r="B614" s="2" t="s">
        <v>2951</v>
      </c>
      <c r="C614" s="2" t="s">
        <v>2952</v>
      </c>
      <c r="D614" s="169">
        <v>46002.0</v>
      </c>
      <c r="E614" s="2">
        <v>3.093442141E9</v>
      </c>
      <c r="F614" s="2" t="s">
        <v>2953</v>
      </c>
      <c r="G614" s="2" t="s">
        <v>493</v>
      </c>
      <c r="H614" s="2">
        <v>0.0</v>
      </c>
      <c r="I614" s="2">
        <v>2.1120050020331E13</v>
      </c>
      <c r="J614" s="3">
        <v>0.0</v>
      </c>
      <c r="K614" s="2" t="s">
        <v>2954</v>
      </c>
      <c r="L614" s="2"/>
      <c r="M614" s="170" t="s">
        <v>455</v>
      </c>
      <c r="N614" s="2" t="s">
        <v>406</v>
      </c>
      <c r="O614" s="3">
        <v>0.5</v>
      </c>
      <c r="P614" s="2" t="s">
        <v>73</v>
      </c>
      <c r="Q614" s="3">
        <v>0.0</v>
      </c>
      <c r="U614" s="141"/>
      <c r="X614" s="172">
        <v>46057.642782766205</v>
      </c>
      <c r="Y614" s="172"/>
      <c r="Z614" s="3">
        <v>46002.0</v>
      </c>
      <c r="AA614" s="3"/>
    </row>
    <row r="615">
      <c r="A615" s="3">
        <v>6.794106339587E12</v>
      </c>
      <c r="B615" s="2" t="s">
        <v>2955</v>
      </c>
      <c r="C615" s="2" t="s">
        <v>2956</v>
      </c>
      <c r="D615" s="169">
        <v>46002.0</v>
      </c>
      <c r="E615" s="173" t="s">
        <v>2957</v>
      </c>
      <c r="F615" s="2" t="s">
        <v>2958</v>
      </c>
      <c r="G615" s="2" t="s">
        <v>368</v>
      </c>
      <c r="H615" s="2">
        <v>7848.0</v>
      </c>
      <c r="I615" s="2">
        <v>2.2120050020332E13</v>
      </c>
      <c r="J615" s="3">
        <v>4.0</v>
      </c>
      <c r="K615" s="2" t="s">
        <v>511</v>
      </c>
      <c r="L615" s="2" t="s">
        <v>2959</v>
      </c>
      <c r="M615" s="174" t="s">
        <v>409</v>
      </c>
      <c r="N615" s="2" t="s">
        <v>462</v>
      </c>
      <c r="O615" s="3">
        <v>0.5</v>
      </c>
      <c r="P615" s="2" t="s">
        <v>363</v>
      </c>
      <c r="Q615" s="3">
        <v>3760.0</v>
      </c>
      <c r="T615" s="2" t="s">
        <v>599</v>
      </c>
      <c r="U615" s="171">
        <v>7848.0</v>
      </c>
      <c r="V615" s="172">
        <v>46010.0</v>
      </c>
      <c r="W615" s="3">
        <v>501.0</v>
      </c>
      <c r="X615" s="172">
        <v>46007.71303240741</v>
      </c>
      <c r="Y615" s="172"/>
      <c r="Z615" s="3">
        <v>46002.0</v>
      </c>
      <c r="AA615" s="3"/>
    </row>
    <row r="616">
      <c r="A616" s="3">
        <v>6.794156540163E12</v>
      </c>
      <c r="B616" s="2" t="s">
        <v>2960</v>
      </c>
      <c r="C616" s="2" t="s">
        <v>2292</v>
      </c>
      <c r="D616" s="169">
        <v>46002.0</v>
      </c>
      <c r="E616" s="173" t="s">
        <v>2961</v>
      </c>
      <c r="F616" s="2" t="s">
        <v>2293</v>
      </c>
      <c r="G616" s="2" t="s">
        <v>781</v>
      </c>
      <c r="H616" s="2">
        <v>5499.0</v>
      </c>
      <c r="I616" s="2">
        <v>2.7120050020264E13</v>
      </c>
      <c r="J616" s="3">
        <v>5.0</v>
      </c>
      <c r="L616" s="2" t="s">
        <v>2962</v>
      </c>
      <c r="M616" s="174" t="s">
        <v>409</v>
      </c>
      <c r="N616" s="2" t="s">
        <v>462</v>
      </c>
      <c r="O616" s="3">
        <v>0.5</v>
      </c>
      <c r="P616" s="2" t="s">
        <v>363</v>
      </c>
      <c r="Q616" s="3">
        <v>3230.0</v>
      </c>
      <c r="T616" s="2" t="s">
        <v>674</v>
      </c>
      <c r="U616" s="3">
        <v>5499.0</v>
      </c>
      <c r="V616" s="172">
        <v>46007.0</v>
      </c>
      <c r="W616" s="3">
        <v>487.0</v>
      </c>
      <c r="X616" s="172">
        <v>46006.58283564815</v>
      </c>
      <c r="Y616" s="172"/>
      <c r="Z616" s="3">
        <v>46002.0</v>
      </c>
      <c r="AA616" s="3"/>
    </row>
    <row r="617">
      <c r="A617" s="3">
        <v>6.794185539843E12</v>
      </c>
      <c r="B617" s="2" t="s">
        <v>2963</v>
      </c>
      <c r="C617" s="2" t="s">
        <v>2964</v>
      </c>
      <c r="D617" s="169">
        <v>46002.0</v>
      </c>
      <c r="E617" s="2">
        <v>3.20706063E9</v>
      </c>
      <c r="F617" s="2" t="s">
        <v>2965</v>
      </c>
      <c r="G617" s="2" t="s">
        <v>2966</v>
      </c>
      <c r="H617" s="2">
        <v>2749.0</v>
      </c>
      <c r="I617" s="2">
        <v>2.8120050020257E13</v>
      </c>
      <c r="J617" s="3">
        <v>2.0</v>
      </c>
      <c r="L617" s="2" t="s">
        <v>35</v>
      </c>
      <c r="M617" s="174" t="s">
        <v>409</v>
      </c>
      <c r="N617" s="2" t="s">
        <v>462</v>
      </c>
      <c r="O617" s="3">
        <v>0.5</v>
      </c>
      <c r="P617" s="2" t="s">
        <v>73</v>
      </c>
      <c r="Q617" s="3">
        <v>980.0</v>
      </c>
      <c r="T617" s="2" t="s">
        <v>674</v>
      </c>
      <c r="U617" s="171">
        <v>2749.0</v>
      </c>
      <c r="V617" s="172">
        <v>46007.0</v>
      </c>
      <c r="W617" s="3">
        <v>310.0</v>
      </c>
      <c r="X617" s="172">
        <v>46006.67743055556</v>
      </c>
      <c r="Y617" s="172"/>
      <c r="Z617" s="3">
        <v>46002.0</v>
      </c>
      <c r="AA617" s="3"/>
    </row>
    <row r="618">
      <c r="A618" s="3">
        <v>6.794359898371E12</v>
      </c>
      <c r="B618" s="2" t="s">
        <v>2967</v>
      </c>
      <c r="C618" s="2" t="s">
        <v>2968</v>
      </c>
      <c r="D618" s="169">
        <v>46002.0</v>
      </c>
      <c r="E618" s="2">
        <v>3.230915989E9</v>
      </c>
      <c r="F618" s="2" t="s">
        <v>2969</v>
      </c>
      <c r="G618" s="2" t="s">
        <v>506</v>
      </c>
      <c r="H618" s="2">
        <v>4649.0</v>
      </c>
      <c r="I618" s="2">
        <v>2.1120050020262E13</v>
      </c>
      <c r="J618" s="3">
        <v>2.0</v>
      </c>
      <c r="L618" s="2" t="s">
        <v>913</v>
      </c>
      <c r="M618" s="174" t="s">
        <v>409</v>
      </c>
      <c r="N618" s="2" t="s">
        <v>462</v>
      </c>
      <c r="O618" s="3">
        <v>0.5</v>
      </c>
      <c r="P618" s="2" t="s">
        <v>73</v>
      </c>
      <c r="Q618" s="3">
        <v>1700.0</v>
      </c>
      <c r="T618" s="2" t="s">
        <v>599</v>
      </c>
      <c r="U618" s="171">
        <v>4649.0</v>
      </c>
      <c r="V618" s="172">
        <v>46010.0</v>
      </c>
      <c r="W618" s="3">
        <v>406.0</v>
      </c>
      <c r="X618" s="172">
        <v>46007.479363425926</v>
      </c>
      <c r="Y618" s="172"/>
      <c r="Z618" s="3">
        <v>46002.0</v>
      </c>
      <c r="AA618" s="3"/>
    </row>
    <row r="619">
      <c r="A619" s="3">
        <v>6.794362749187E12</v>
      </c>
      <c r="B619" s="2" t="s">
        <v>2970</v>
      </c>
      <c r="C619" s="2" t="s">
        <v>2971</v>
      </c>
      <c r="D619" s="169">
        <v>46002.0</v>
      </c>
      <c r="E619" s="2">
        <v>3.452052408E9</v>
      </c>
      <c r="F619" s="2" t="s">
        <v>2972</v>
      </c>
      <c r="G619" s="2" t="s">
        <v>493</v>
      </c>
      <c r="H619" s="2">
        <v>3099.0</v>
      </c>
      <c r="I619" s="2">
        <v>2.2120050020333E13</v>
      </c>
      <c r="J619" s="3">
        <v>2.0</v>
      </c>
      <c r="L619" s="2" t="s">
        <v>50</v>
      </c>
      <c r="M619" s="174" t="s">
        <v>409</v>
      </c>
      <c r="N619" s="2" t="s">
        <v>462</v>
      </c>
      <c r="O619" s="3">
        <v>0.5</v>
      </c>
      <c r="P619" s="2" t="s">
        <v>363</v>
      </c>
      <c r="Q619" s="3">
        <v>920.0</v>
      </c>
      <c r="T619" s="2" t="s">
        <v>777</v>
      </c>
      <c r="U619" s="171">
        <v>3099.0</v>
      </c>
      <c r="V619" s="172">
        <v>46014.0</v>
      </c>
      <c r="W619" s="3">
        <v>337.0</v>
      </c>
      <c r="X619" s="172">
        <v>46010.7899537037</v>
      </c>
      <c r="Y619" s="172"/>
      <c r="Z619" s="3">
        <v>46002.0</v>
      </c>
      <c r="AA619" s="3"/>
    </row>
    <row r="620">
      <c r="A620" s="3">
        <v>6.794539892995E12</v>
      </c>
      <c r="B620" s="2" t="s">
        <v>2973</v>
      </c>
      <c r="C620" s="2" t="s">
        <v>2974</v>
      </c>
      <c r="D620" s="169">
        <v>46002.0</v>
      </c>
      <c r="E620" s="2">
        <v>3.03988806E9</v>
      </c>
      <c r="F620" s="2" t="s">
        <v>2975</v>
      </c>
      <c r="G620" s="2" t="s">
        <v>2976</v>
      </c>
      <c r="H620" s="2">
        <v>0.0</v>
      </c>
      <c r="J620" s="3">
        <v>0.0</v>
      </c>
      <c r="L620" s="2"/>
      <c r="M620" s="2" t="s">
        <v>468</v>
      </c>
      <c r="N620" s="2" t="s">
        <v>406</v>
      </c>
      <c r="O620" s="3">
        <v>0.5</v>
      </c>
      <c r="Q620" s="3">
        <v>0.0</v>
      </c>
      <c r="U620" s="141"/>
      <c r="X620" s="172">
        <v>46057.642782766205</v>
      </c>
      <c r="Y620" s="172"/>
      <c r="Z620" s="3">
        <v>46002.0</v>
      </c>
      <c r="AA620" s="3"/>
    </row>
    <row r="621">
      <c r="A621" s="3">
        <v>6.794596712707E12</v>
      </c>
      <c r="B621" s="2" t="s">
        <v>2977</v>
      </c>
      <c r="C621" s="2" t="s">
        <v>2788</v>
      </c>
      <c r="D621" s="169">
        <v>46002.0</v>
      </c>
      <c r="E621" s="2">
        <v>3.208295771E9</v>
      </c>
      <c r="F621" s="2" t="s">
        <v>2978</v>
      </c>
      <c r="G621" s="2" t="s">
        <v>2979</v>
      </c>
      <c r="H621" s="2">
        <v>0.0</v>
      </c>
      <c r="I621" s="2">
        <v>1.7300906601E11</v>
      </c>
      <c r="J621" s="3">
        <v>0.0</v>
      </c>
      <c r="K621" s="2" t="s">
        <v>2980</v>
      </c>
      <c r="L621" s="2"/>
      <c r="M621" s="170" t="s">
        <v>455</v>
      </c>
      <c r="N621" s="2" t="s">
        <v>406</v>
      </c>
      <c r="O621" s="3">
        <v>0.5</v>
      </c>
      <c r="P621" s="2" t="s">
        <v>501</v>
      </c>
      <c r="Q621" s="3">
        <v>0.0</v>
      </c>
      <c r="T621" s="2" t="s">
        <v>2981</v>
      </c>
      <c r="U621" s="141"/>
      <c r="W621" s="3">
        <v>501.0</v>
      </c>
      <c r="X621" s="172">
        <v>46057.694969398144</v>
      </c>
      <c r="Y621" s="172"/>
      <c r="Z621" s="3">
        <v>46002.0</v>
      </c>
      <c r="AA621" s="3"/>
    </row>
    <row r="622">
      <c r="A622" s="3">
        <v>6.794687054083E12</v>
      </c>
      <c r="B622" s="2" t="s">
        <v>2982</v>
      </c>
      <c r="C622" s="2" t="s">
        <v>2983</v>
      </c>
      <c r="D622" s="169">
        <v>46003.0</v>
      </c>
      <c r="E622" s="2">
        <v>3.117700131E9</v>
      </c>
      <c r="F622" s="2" t="s">
        <v>2984</v>
      </c>
      <c r="G622" s="2" t="s">
        <v>693</v>
      </c>
      <c r="H622" s="2">
        <v>0.0</v>
      </c>
      <c r="I622" s="2">
        <v>2.2120050020247E13</v>
      </c>
      <c r="J622" s="3">
        <v>0.0</v>
      </c>
      <c r="K622" s="2" t="s">
        <v>2985</v>
      </c>
      <c r="L622" s="2"/>
      <c r="M622" s="170" t="s">
        <v>455</v>
      </c>
      <c r="N622" s="2" t="s">
        <v>406</v>
      </c>
      <c r="O622" s="3">
        <v>0.5</v>
      </c>
      <c r="P622" s="2" t="s">
        <v>363</v>
      </c>
      <c r="Q622" s="3">
        <v>0.0</v>
      </c>
      <c r="T622" s="2" t="s">
        <v>777</v>
      </c>
      <c r="U622" s="171">
        <v>0.0</v>
      </c>
      <c r="V622" s="172">
        <v>46014.0</v>
      </c>
      <c r="W622" s="3">
        <v>213.0</v>
      </c>
      <c r="X622" s="172">
        <v>46057.642782766205</v>
      </c>
      <c r="Y622" s="172"/>
      <c r="Z622" s="3">
        <v>46003.0</v>
      </c>
      <c r="AA622" s="3"/>
    </row>
    <row r="623">
      <c r="A623" s="3">
        <v>6.794696360195E12</v>
      </c>
      <c r="B623" s="2" t="s">
        <v>2986</v>
      </c>
      <c r="C623" s="2" t="s">
        <v>2987</v>
      </c>
      <c r="D623" s="169">
        <v>46003.0</v>
      </c>
      <c r="E623" s="173" t="s">
        <v>2988</v>
      </c>
      <c r="F623" s="2" t="s">
        <v>2989</v>
      </c>
      <c r="G623" s="2" t="s">
        <v>2990</v>
      </c>
      <c r="H623" s="2">
        <v>0.0</v>
      </c>
      <c r="J623" s="3">
        <v>0.0</v>
      </c>
      <c r="K623" s="2" t="s">
        <v>2991</v>
      </c>
      <c r="L623" s="2"/>
      <c r="M623" s="2" t="s">
        <v>468</v>
      </c>
      <c r="N623" s="2" t="s">
        <v>406</v>
      </c>
      <c r="O623" s="3">
        <v>0.5</v>
      </c>
      <c r="Q623" s="3">
        <v>0.0</v>
      </c>
      <c r="U623" s="141"/>
      <c r="X623" s="172">
        <v>46057.642782766205</v>
      </c>
      <c r="Y623" s="172"/>
      <c r="Z623" s="3">
        <v>46003.0</v>
      </c>
      <c r="AA623" s="3"/>
    </row>
    <row r="624">
      <c r="A624" s="3">
        <v>6.794696392963E12</v>
      </c>
      <c r="B624" s="2" t="s">
        <v>2992</v>
      </c>
      <c r="C624" s="2" t="s">
        <v>2993</v>
      </c>
      <c r="D624" s="169">
        <v>46003.0</v>
      </c>
      <c r="E624" s="2">
        <v>3.317440598E9</v>
      </c>
      <c r="F624" s="2" t="s">
        <v>2994</v>
      </c>
      <c r="G624" s="2" t="s">
        <v>2995</v>
      </c>
      <c r="H624" s="2">
        <v>2748.0</v>
      </c>
      <c r="I624" s="2">
        <v>2.9120050020256E13</v>
      </c>
      <c r="J624" s="3">
        <v>1.0</v>
      </c>
      <c r="L624" s="2" t="s">
        <v>557</v>
      </c>
      <c r="M624" s="174" t="s">
        <v>409</v>
      </c>
      <c r="N624" s="2" t="s">
        <v>462</v>
      </c>
      <c r="O624" s="3">
        <v>0.5</v>
      </c>
      <c r="P624" s="2" t="s">
        <v>363</v>
      </c>
      <c r="Q624" s="3">
        <v>850.0</v>
      </c>
      <c r="T624" s="2" t="s">
        <v>599</v>
      </c>
      <c r="U624" s="171">
        <v>2748.0</v>
      </c>
      <c r="V624" s="172">
        <v>46010.0</v>
      </c>
      <c r="W624" s="3">
        <v>337.0</v>
      </c>
      <c r="X624" s="172">
        <v>46008.64744212963</v>
      </c>
      <c r="Y624" s="172"/>
      <c r="Z624" s="3">
        <v>46003.0</v>
      </c>
      <c r="AA624" s="3"/>
    </row>
    <row r="625">
      <c r="A625" s="3">
        <v>6.794704650499E12</v>
      </c>
      <c r="B625" s="2" t="s">
        <v>2996</v>
      </c>
      <c r="C625" s="2" t="s">
        <v>1703</v>
      </c>
      <c r="D625" s="169">
        <v>46003.0</v>
      </c>
      <c r="E625" s="2">
        <v>3.136413462E9</v>
      </c>
      <c r="F625" s="2" t="s">
        <v>2997</v>
      </c>
      <c r="G625" s="2" t="s">
        <v>2998</v>
      </c>
      <c r="H625" s="2">
        <v>0.0</v>
      </c>
      <c r="J625" s="3">
        <v>0.0</v>
      </c>
      <c r="K625" s="2" t="s">
        <v>537</v>
      </c>
      <c r="L625" s="2"/>
      <c r="M625" s="2" t="s">
        <v>468</v>
      </c>
      <c r="N625" s="2" t="s">
        <v>406</v>
      </c>
      <c r="O625" s="3">
        <v>0.5</v>
      </c>
      <c r="Q625" s="3">
        <v>0.0</v>
      </c>
      <c r="U625" s="141"/>
      <c r="X625" s="172">
        <v>46057.642782766205</v>
      </c>
      <c r="Y625" s="172"/>
      <c r="Z625" s="3">
        <v>46003.0</v>
      </c>
      <c r="AA625" s="3"/>
    </row>
    <row r="626">
      <c r="A626" s="3">
        <v>6.794738008323E12</v>
      </c>
      <c r="B626" s="2" t="s">
        <v>2999</v>
      </c>
      <c r="C626" s="2" t="s">
        <v>3000</v>
      </c>
      <c r="D626" s="169">
        <v>46003.0</v>
      </c>
      <c r="E626" s="2">
        <v>3.14402586E9</v>
      </c>
      <c r="F626" s="2" t="s">
        <v>3001</v>
      </c>
      <c r="G626" s="2" t="s">
        <v>368</v>
      </c>
      <c r="H626" s="2">
        <v>2748.0</v>
      </c>
      <c r="I626" s="2">
        <v>2.3120050020255E13</v>
      </c>
      <c r="J626" s="3">
        <v>1.0</v>
      </c>
      <c r="L626" s="2" t="s">
        <v>500</v>
      </c>
      <c r="M626" s="174" t="s">
        <v>409</v>
      </c>
      <c r="N626" s="2" t="s">
        <v>462</v>
      </c>
      <c r="O626" s="3">
        <v>0.5</v>
      </c>
      <c r="P626" s="2" t="s">
        <v>363</v>
      </c>
      <c r="Q626" s="3">
        <v>850.0</v>
      </c>
      <c r="T626" s="2" t="s">
        <v>674</v>
      </c>
      <c r="U626" s="171">
        <v>2748.0</v>
      </c>
      <c r="V626" s="172">
        <v>46007.0</v>
      </c>
      <c r="W626" s="3">
        <v>217.0</v>
      </c>
      <c r="X626" s="172">
        <v>46004.546053240745</v>
      </c>
      <c r="Y626" s="172"/>
      <c r="Z626" s="3">
        <v>46003.0</v>
      </c>
      <c r="AA626" s="3"/>
    </row>
    <row r="627">
      <c r="A627" s="3">
        <v>6.794822615299E12</v>
      </c>
      <c r="B627" s="2" t="s">
        <v>3002</v>
      </c>
      <c r="C627" s="2" t="s">
        <v>3003</v>
      </c>
      <c r="D627" s="169">
        <v>46003.0</v>
      </c>
      <c r="E627" s="173" t="s">
        <v>3004</v>
      </c>
      <c r="F627" s="2" t="s">
        <v>3005</v>
      </c>
      <c r="G627" s="2" t="s">
        <v>368</v>
      </c>
      <c r="H627" s="2">
        <v>249.0</v>
      </c>
      <c r="I627" s="2">
        <v>2.612005002048E13</v>
      </c>
      <c r="J627" s="3">
        <v>0.0</v>
      </c>
      <c r="K627" s="2" t="s">
        <v>241</v>
      </c>
      <c r="L627" s="2"/>
      <c r="M627" s="174" t="s">
        <v>409</v>
      </c>
      <c r="N627" s="2" t="s">
        <v>462</v>
      </c>
      <c r="O627" s="3">
        <v>0.5</v>
      </c>
      <c r="P627" s="2" t="s">
        <v>363</v>
      </c>
      <c r="Q627" s="3">
        <v>0.0</v>
      </c>
      <c r="T627" s="2" t="s">
        <v>599</v>
      </c>
      <c r="U627" s="3">
        <v>249.0</v>
      </c>
      <c r="V627" s="172">
        <v>46010.0</v>
      </c>
      <c r="W627" s="3">
        <v>231.0</v>
      </c>
      <c r="X627" s="172">
        <v>46009.478680555556</v>
      </c>
      <c r="Y627" s="172"/>
      <c r="Z627" s="3">
        <v>46003.0</v>
      </c>
      <c r="AA627" s="3"/>
    </row>
    <row r="628">
      <c r="A628" s="3">
        <v>6.795180048643E12</v>
      </c>
      <c r="B628" s="2" t="s">
        <v>3006</v>
      </c>
      <c r="C628" s="2" t="s">
        <v>3007</v>
      </c>
      <c r="D628" s="169">
        <v>46003.0</v>
      </c>
      <c r="E628" s="2">
        <v>3.106462181E9</v>
      </c>
      <c r="F628" s="2" t="s">
        <v>3008</v>
      </c>
      <c r="G628" s="2" t="s">
        <v>541</v>
      </c>
      <c r="H628" s="2">
        <v>4649.0</v>
      </c>
      <c r="I628" s="2">
        <v>2.8120050020254E13</v>
      </c>
      <c r="J628" s="3">
        <v>2.0</v>
      </c>
      <c r="L628" s="2" t="s">
        <v>913</v>
      </c>
      <c r="M628" s="174" t="s">
        <v>409</v>
      </c>
      <c r="N628" s="2" t="s">
        <v>462</v>
      </c>
      <c r="O628" s="3">
        <v>0.5</v>
      </c>
      <c r="P628" s="2" t="s">
        <v>73</v>
      </c>
      <c r="Q628" s="3">
        <v>1700.0</v>
      </c>
      <c r="T628" s="2" t="s">
        <v>674</v>
      </c>
      <c r="U628" s="171">
        <v>4649.0</v>
      </c>
      <c r="V628" s="172">
        <v>46007.0</v>
      </c>
      <c r="W628" s="3">
        <v>406.0</v>
      </c>
      <c r="X628" s="172">
        <v>46005.58907407407</v>
      </c>
      <c r="Y628" s="172"/>
      <c r="Z628" s="3">
        <v>46003.0</v>
      </c>
      <c r="AA628" s="3"/>
    </row>
    <row r="629">
      <c r="A629" s="3">
        <v>6.795205247235E12</v>
      </c>
      <c r="B629" s="2" t="s">
        <v>3009</v>
      </c>
      <c r="C629" s="2" t="s">
        <v>3010</v>
      </c>
      <c r="D629" s="169">
        <v>46003.0</v>
      </c>
      <c r="E629" s="2">
        <v>3.398330333E9</v>
      </c>
      <c r="F629" s="2" t="s">
        <v>3011</v>
      </c>
      <c r="G629" s="2" t="s">
        <v>368</v>
      </c>
      <c r="H629" s="2">
        <v>0.0</v>
      </c>
      <c r="I629" s="2">
        <v>2.7120050020246E13</v>
      </c>
      <c r="J629" s="3">
        <v>0.0</v>
      </c>
      <c r="K629" s="2" t="s">
        <v>3012</v>
      </c>
      <c r="L629" s="2"/>
      <c r="M629" s="170" t="s">
        <v>455</v>
      </c>
      <c r="N629" s="2" t="s">
        <v>406</v>
      </c>
      <c r="O629" s="3">
        <v>0.5</v>
      </c>
      <c r="P629" s="2" t="s">
        <v>363</v>
      </c>
      <c r="Q629" s="3">
        <v>0.0</v>
      </c>
      <c r="T629" s="2" t="s">
        <v>777</v>
      </c>
      <c r="U629" s="171">
        <v>0.0</v>
      </c>
      <c r="V629" s="172">
        <v>46014.0</v>
      </c>
      <c r="W629" s="3">
        <v>107.0</v>
      </c>
      <c r="X629" s="172">
        <v>46057.642782766205</v>
      </c>
      <c r="Y629" s="172"/>
      <c r="Z629" s="3">
        <v>46003.0</v>
      </c>
      <c r="AA629" s="3"/>
    </row>
    <row r="630">
      <c r="A630" s="3">
        <v>6.795211571459E12</v>
      </c>
      <c r="B630" s="2" t="s">
        <v>3013</v>
      </c>
      <c r="C630" s="2" t="s">
        <v>3014</v>
      </c>
      <c r="D630" s="169">
        <v>46003.0</v>
      </c>
      <c r="E630" s="2">
        <v>3.408529303E9</v>
      </c>
      <c r="F630" s="2" t="s">
        <v>3015</v>
      </c>
      <c r="G630" s="2" t="s">
        <v>3016</v>
      </c>
      <c r="H630" s="2">
        <v>0.0</v>
      </c>
      <c r="I630" s="2">
        <v>2.2120050020253E13</v>
      </c>
      <c r="J630" s="3">
        <v>0.0</v>
      </c>
      <c r="K630" s="2" t="s">
        <v>3017</v>
      </c>
      <c r="L630" s="2"/>
      <c r="M630" s="170" t="s">
        <v>455</v>
      </c>
      <c r="N630" s="2" t="s">
        <v>406</v>
      </c>
      <c r="O630" s="3">
        <v>0.5</v>
      </c>
      <c r="P630" s="2" t="s">
        <v>363</v>
      </c>
      <c r="Q630" s="3">
        <v>0.0</v>
      </c>
      <c r="T630" s="2" t="s">
        <v>599</v>
      </c>
      <c r="U630" s="171">
        <v>0.0</v>
      </c>
      <c r="V630" s="172">
        <v>46010.0</v>
      </c>
      <c r="W630" s="3">
        <v>313.0</v>
      </c>
      <c r="X630" s="172">
        <v>46057.642782766205</v>
      </c>
      <c r="Y630" s="172"/>
      <c r="Z630" s="3">
        <v>46003.0</v>
      </c>
      <c r="AA630" s="3"/>
    </row>
    <row r="631">
      <c r="A631" s="3">
        <v>6.795442553091E12</v>
      </c>
      <c r="B631" s="2" t="s">
        <v>3018</v>
      </c>
      <c r="C631" s="2" t="s">
        <v>3019</v>
      </c>
      <c r="D631" s="169">
        <v>46003.0</v>
      </c>
      <c r="E631" s="173" t="s">
        <v>3020</v>
      </c>
      <c r="F631" s="2" t="s">
        <v>3021</v>
      </c>
      <c r="G631" s="2" t="s">
        <v>366</v>
      </c>
      <c r="H631" s="2">
        <v>2749.0</v>
      </c>
      <c r="I631" s="2">
        <v>2.8120050020258E13</v>
      </c>
      <c r="J631" s="3">
        <v>2.0</v>
      </c>
      <c r="K631" s="2" t="s">
        <v>511</v>
      </c>
      <c r="L631" s="2" t="s">
        <v>926</v>
      </c>
      <c r="M631" s="174" t="s">
        <v>409</v>
      </c>
      <c r="N631" s="2" t="s">
        <v>462</v>
      </c>
      <c r="O631" s="3">
        <v>0.5</v>
      </c>
      <c r="P631" s="2" t="s">
        <v>73</v>
      </c>
      <c r="Q631" s="3">
        <v>980.0</v>
      </c>
      <c r="T631" s="2" t="s">
        <v>674</v>
      </c>
      <c r="U631" s="171">
        <v>2749.0</v>
      </c>
      <c r="V631" s="172">
        <v>46007.0</v>
      </c>
      <c r="W631" s="3">
        <v>310.0</v>
      </c>
      <c r="X631" s="172">
        <v>46005.741168981476</v>
      </c>
      <c r="Y631" s="172"/>
      <c r="Z631" s="3">
        <v>46003.0</v>
      </c>
      <c r="AA631" s="3"/>
    </row>
    <row r="632">
      <c r="A632" s="3">
        <v>6.795477418243E12</v>
      </c>
      <c r="B632" s="2" t="s">
        <v>3022</v>
      </c>
      <c r="C632" s="2" t="s">
        <v>3023</v>
      </c>
      <c r="D632" s="169">
        <v>46003.0</v>
      </c>
      <c r="E632" s="173" t="s">
        <v>3024</v>
      </c>
      <c r="F632" s="2" t="s">
        <v>3025</v>
      </c>
      <c r="G632" s="2" t="s">
        <v>541</v>
      </c>
      <c r="H632" s="2">
        <v>6899.0</v>
      </c>
      <c r="I632" s="2">
        <v>2.0120050020318E13</v>
      </c>
      <c r="J632" s="3">
        <v>3.0</v>
      </c>
      <c r="K632" s="2" t="s">
        <v>3026</v>
      </c>
      <c r="L632" s="2" t="s">
        <v>3027</v>
      </c>
      <c r="M632" s="174" t="s">
        <v>409</v>
      </c>
      <c r="N632" s="2" t="s">
        <v>462</v>
      </c>
      <c r="O632" s="3">
        <v>0.5</v>
      </c>
      <c r="P632" s="2" t="s">
        <v>363</v>
      </c>
      <c r="Q632" s="3">
        <v>3100.0</v>
      </c>
      <c r="T632" s="2" t="s">
        <v>599</v>
      </c>
      <c r="U632" s="3">
        <v>6899.0</v>
      </c>
      <c r="V632" s="172">
        <v>46010.0</v>
      </c>
      <c r="W632" s="3">
        <v>313.0</v>
      </c>
      <c r="X632" s="172">
        <v>46008.79141203704</v>
      </c>
      <c r="Y632" s="172"/>
      <c r="Z632" s="3">
        <v>46003.0</v>
      </c>
      <c r="AA632" s="3"/>
    </row>
    <row r="633">
      <c r="A633" s="3">
        <v>6.795497767171E12</v>
      </c>
      <c r="B633" s="2" t="s">
        <v>3028</v>
      </c>
      <c r="C633" s="2" t="s">
        <v>3029</v>
      </c>
      <c r="D633" s="169">
        <v>46003.0</v>
      </c>
      <c r="E633" s="2">
        <v>3.013009778E9</v>
      </c>
      <c r="F633" s="2" t="s">
        <v>2258</v>
      </c>
      <c r="G633" s="2" t="s">
        <v>506</v>
      </c>
      <c r="H633" s="2">
        <v>4649.0</v>
      </c>
      <c r="I633" s="2">
        <v>2.5120050020252E13</v>
      </c>
      <c r="J633" s="3">
        <v>2.0</v>
      </c>
      <c r="L633" s="2" t="s">
        <v>994</v>
      </c>
      <c r="M633" s="174" t="s">
        <v>409</v>
      </c>
      <c r="N633" s="2" t="s">
        <v>462</v>
      </c>
      <c r="O633" s="3">
        <v>0.5</v>
      </c>
      <c r="P633" s="2" t="s">
        <v>363</v>
      </c>
      <c r="Q633" s="3">
        <v>1700.0</v>
      </c>
      <c r="T633" s="2" t="s">
        <v>674</v>
      </c>
      <c r="U633" s="171">
        <v>4649.0</v>
      </c>
      <c r="V633" s="172">
        <v>46007.0</v>
      </c>
      <c r="W633" s="3">
        <v>406.0</v>
      </c>
      <c r="X633" s="172">
        <v>46006.64748842592</v>
      </c>
      <c r="Y633" s="172"/>
      <c r="Z633" s="3">
        <v>46003.0</v>
      </c>
      <c r="AA633" s="3"/>
    </row>
    <row r="634">
      <c r="A634" s="3">
        <v>6.795514085635E12</v>
      </c>
      <c r="B634" s="2" t="s">
        <v>3030</v>
      </c>
      <c r="C634" s="2" t="s">
        <v>3031</v>
      </c>
      <c r="D634" s="169">
        <v>46003.0</v>
      </c>
      <c r="E634" s="2">
        <v>3.352621497E9</v>
      </c>
      <c r="F634" s="2" t="s">
        <v>3032</v>
      </c>
      <c r="G634" s="2" t="s">
        <v>493</v>
      </c>
      <c r="H634" s="2">
        <v>2749.0</v>
      </c>
      <c r="I634" s="2">
        <v>2.5120050020245E13</v>
      </c>
      <c r="J634" s="3">
        <v>2.0</v>
      </c>
      <c r="L634" s="2" t="s">
        <v>35</v>
      </c>
      <c r="M634" s="174" t="s">
        <v>409</v>
      </c>
      <c r="N634" s="2" t="s">
        <v>462</v>
      </c>
      <c r="O634" s="3">
        <v>0.5</v>
      </c>
      <c r="P634" s="2" t="s">
        <v>363</v>
      </c>
      <c r="Q634" s="3">
        <v>980.0</v>
      </c>
      <c r="T634" s="2" t="s">
        <v>674</v>
      </c>
      <c r="U634" s="171">
        <v>2749.0</v>
      </c>
      <c r="V634" s="172">
        <v>46007.0</v>
      </c>
      <c r="W634" s="3">
        <v>323.0</v>
      </c>
      <c r="X634" s="172">
        <v>46006.69605324074</v>
      </c>
      <c r="Y634" s="172"/>
      <c r="Z634" s="3">
        <v>46003.0</v>
      </c>
      <c r="AA634" s="3"/>
    </row>
    <row r="635">
      <c r="A635" s="3">
        <v>6.795527979267E12</v>
      </c>
      <c r="B635" s="2" t="s">
        <v>3033</v>
      </c>
      <c r="C635" s="2" t="s">
        <v>3034</v>
      </c>
      <c r="D635" s="169">
        <v>46003.0</v>
      </c>
      <c r="E635" s="2">
        <v>3.312315584E9</v>
      </c>
      <c r="F635" s="2" t="s">
        <v>3035</v>
      </c>
      <c r="G635" s="2" t="s">
        <v>493</v>
      </c>
      <c r="H635" s="2">
        <v>0.0</v>
      </c>
      <c r="J635" s="3">
        <v>0.0</v>
      </c>
      <c r="K635" s="2" t="s">
        <v>537</v>
      </c>
      <c r="L635" s="2"/>
      <c r="M635" s="2" t="s">
        <v>468</v>
      </c>
      <c r="N635" s="2" t="s">
        <v>406</v>
      </c>
      <c r="O635" s="3">
        <v>0.5</v>
      </c>
      <c r="Q635" s="3">
        <v>0.0</v>
      </c>
      <c r="U635" s="141"/>
      <c r="X635" s="172">
        <v>46057.642782766205</v>
      </c>
      <c r="Y635" s="172"/>
      <c r="Z635" s="3">
        <v>46003.0</v>
      </c>
      <c r="AA635" s="3"/>
    </row>
    <row r="636">
      <c r="A636" s="3">
        <v>6.795554619651E12</v>
      </c>
      <c r="B636" s="2" t="s">
        <v>3036</v>
      </c>
      <c r="C636" s="2" t="s">
        <v>1299</v>
      </c>
      <c r="D636" s="169">
        <v>46003.0</v>
      </c>
      <c r="E636" s="173" t="s">
        <v>2564</v>
      </c>
      <c r="F636" s="2" t="s">
        <v>2001</v>
      </c>
      <c r="G636" s="2" t="s">
        <v>368</v>
      </c>
      <c r="H636" s="2">
        <v>0.0</v>
      </c>
      <c r="I636" s="2">
        <v>2.1120050020259E13</v>
      </c>
      <c r="J636" s="3">
        <v>0.0</v>
      </c>
      <c r="K636" s="2" t="s">
        <v>3037</v>
      </c>
      <c r="L636" s="2"/>
      <c r="M636" s="170" t="s">
        <v>455</v>
      </c>
      <c r="N636" s="2" t="s">
        <v>406</v>
      </c>
      <c r="O636" s="3">
        <v>0.5</v>
      </c>
      <c r="P636" s="2" t="s">
        <v>73</v>
      </c>
      <c r="Q636" s="3">
        <v>0.0</v>
      </c>
      <c r="T636" s="2" t="s">
        <v>599</v>
      </c>
      <c r="U636" s="171">
        <v>0.0</v>
      </c>
      <c r="V636" s="172">
        <v>46010.0</v>
      </c>
      <c r="W636" s="3">
        <v>120.0</v>
      </c>
      <c r="X636" s="172">
        <v>46057.642782766205</v>
      </c>
      <c r="Y636" s="172"/>
      <c r="Z636" s="3">
        <v>46003.0</v>
      </c>
      <c r="AA636" s="3"/>
    </row>
    <row r="637">
      <c r="A637" s="3">
        <v>6.795567268099E12</v>
      </c>
      <c r="B637" s="2" t="s">
        <v>3038</v>
      </c>
      <c r="C637" s="2" t="s">
        <v>3039</v>
      </c>
      <c r="D637" s="169">
        <v>46003.0</v>
      </c>
      <c r="E637" s="173" t="s">
        <v>3040</v>
      </c>
      <c r="F637" s="2" t="s">
        <v>3041</v>
      </c>
      <c r="G637" s="2" t="s">
        <v>3042</v>
      </c>
      <c r="H637" s="2">
        <v>0.0</v>
      </c>
      <c r="I637" s="2">
        <v>2.7120050020244E13</v>
      </c>
      <c r="J637" s="3">
        <v>0.0</v>
      </c>
      <c r="K637" s="2" t="s">
        <v>3043</v>
      </c>
      <c r="L637" s="2"/>
      <c r="M637" s="170" t="s">
        <v>455</v>
      </c>
      <c r="N637" s="2" t="s">
        <v>406</v>
      </c>
      <c r="O637" s="3">
        <v>0.5</v>
      </c>
      <c r="P637" s="2" t="s">
        <v>363</v>
      </c>
      <c r="Q637" s="3">
        <v>0.0</v>
      </c>
      <c r="T637" s="2" t="s">
        <v>777</v>
      </c>
      <c r="U637" s="171">
        <v>0.0</v>
      </c>
      <c r="V637" s="172">
        <v>46014.0</v>
      </c>
      <c r="W637" s="3">
        <v>200.0</v>
      </c>
      <c r="X637" s="172">
        <v>46057.642782766205</v>
      </c>
      <c r="Y637" s="172"/>
      <c r="Z637" s="3">
        <v>46003.0</v>
      </c>
      <c r="AA637" s="3"/>
    </row>
    <row r="638">
      <c r="A638" s="3">
        <v>6.795601445123E12</v>
      </c>
      <c r="B638" s="2" t="s">
        <v>3044</v>
      </c>
      <c r="C638" s="2" t="s">
        <v>3045</v>
      </c>
      <c r="D638" s="169">
        <v>46003.0</v>
      </c>
      <c r="E638" s="2">
        <v>3.33541643E9</v>
      </c>
      <c r="F638" s="2" t="s">
        <v>3046</v>
      </c>
      <c r="G638" s="2" t="s">
        <v>1696</v>
      </c>
      <c r="H638" s="2">
        <v>2748.0</v>
      </c>
      <c r="I638" s="2">
        <v>2.6120050020251E13</v>
      </c>
      <c r="J638" s="3">
        <v>1.0</v>
      </c>
      <c r="L638" s="2" t="s">
        <v>557</v>
      </c>
      <c r="M638" s="174" t="s">
        <v>409</v>
      </c>
      <c r="N638" s="2" t="s">
        <v>462</v>
      </c>
      <c r="O638" s="3">
        <v>0.5</v>
      </c>
      <c r="P638" s="2" t="s">
        <v>363</v>
      </c>
      <c r="Q638" s="3">
        <v>850.0</v>
      </c>
      <c r="T638" s="2" t="s">
        <v>599</v>
      </c>
      <c r="U638" s="171">
        <v>2748.0</v>
      </c>
      <c r="V638" s="172">
        <v>46010.0</v>
      </c>
      <c r="W638" s="3">
        <v>330.0</v>
      </c>
      <c r="X638" s="172">
        <v>46009.61189814815</v>
      </c>
      <c r="Y638" s="172"/>
      <c r="Z638" s="3">
        <v>46003.0</v>
      </c>
      <c r="AA638" s="3"/>
    </row>
    <row r="639">
      <c r="A639" s="3">
        <v>6.795607277827E12</v>
      </c>
      <c r="B639" s="2" t="s">
        <v>3047</v>
      </c>
      <c r="C639" s="2" t="s">
        <v>2197</v>
      </c>
      <c r="D639" s="169">
        <v>46003.0</v>
      </c>
      <c r="E639" s="2">
        <v>3.4962643E9</v>
      </c>
      <c r="F639" s="2" t="s">
        <v>3048</v>
      </c>
      <c r="G639" s="2" t="s">
        <v>3049</v>
      </c>
      <c r="H639" s="2">
        <v>2748.0</v>
      </c>
      <c r="I639" s="2">
        <v>2.612005002026E13</v>
      </c>
      <c r="J639" s="3">
        <v>1.0</v>
      </c>
      <c r="K639" s="2" t="s">
        <v>241</v>
      </c>
      <c r="L639" s="2" t="s">
        <v>946</v>
      </c>
      <c r="M639" s="174" t="s">
        <v>409</v>
      </c>
      <c r="N639" s="2" t="s">
        <v>462</v>
      </c>
      <c r="O639" s="3">
        <v>0.5</v>
      </c>
      <c r="P639" s="2" t="s">
        <v>363</v>
      </c>
      <c r="Q639" s="3">
        <v>850.0</v>
      </c>
      <c r="T639" s="2" t="s">
        <v>674</v>
      </c>
      <c r="U639" s="171">
        <v>2748.0</v>
      </c>
      <c r="V639" s="172">
        <v>46007.0</v>
      </c>
      <c r="W639" s="3">
        <v>310.0</v>
      </c>
      <c r="X639" s="172">
        <v>46006.75096064815</v>
      </c>
      <c r="Y639" s="172"/>
      <c r="Z639" s="3">
        <v>46003.0</v>
      </c>
      <c r="AA639" s="3"/>
    </row>
    <row r="640">
      <c r="A640" s="3">
        <v>6.795632935171E12</v>
      </c>
      <c r="B640" s="2" t="s">
        <v>3050</v>
      </c>
      <c r="C640" s="2" t="s">
        <v>3051</v>
      </c>
      <c r="D640" s="169">
        <v>46003.0</v>
      </c>
      <c r="E640" s="2">
        <v>3.223666662E9</v>
      </c>
      <c r="F640" s="2" t="s">
        <v>3052</v>
      </c>
      <c r="G640" s="2" t="s">
        <v>506</v>
      </c>
      <c r="H640" s="2">
        <v>4649.0</v>
      </c>
      <c r="I640" s="2">
        <v>2.412005002025E13</v>
      </c>
      <c r="J640" s="3">
        <v>2.0</v>
      </c>
      <c r="L640" s="2" t="s">
        <v>532</v>
      </c>
      <c r="M640" s="174" t="s">
        <v>409</v>
      </c>
      <c r="N640" s="2" t="s">
        <v>462</v>
      </c>
      <c r="O640" s="3">
        <v>0.5</v>
      </c>
      <c r="P640" s="2" t="s">
        <v>363</v>
      </c>
      <c r="Q640" s="3">
        <v>1700.0</v>
      </c>
      <c r="T640" s="2" t="s">
        <v>674</v>
      </c>
      <c r="U640" s="171">
        <v>4649.0</v>
      </c>
      <c r="V640" s="172">
        <v>46007.0</v>
      </c>
      <c r="W640" s="3">
        <v>499.0</v>
      </c>
      <c r="X640" s="172">
        <v>46006.7453125</v>
      </c>
      <c r="Y640" s="172"/>
      <c r="Z640" s="3">
        <v>46003.0</v>
      </c>
      <c r="AA640" s="3"/>
    </row>
    <row r="641">
      <c r="A641" s="3">
        <v>6.795645583619E12</v>
      </c>
      <c r="B641" s="2" t="s">
        <v>3053</v>
      </c>
      <c r="C641" s="2" t="s">
        <v>3054</v>
      </c>
      <c r="D641" s="169">
        <v>46003.0</v>
      </c>
      <c r="E641" s="2">
        <v>3.358132964E9</v>
      </c>
      <c r="F641" s="2" t="s">
        <v>3055</v>
      </c>
      <c r="G641" s="2" t="s">
        <v>3056</v>
      </c>
      <c r="H641" s="2">
        <v>2749.0</v>
      </c>
      <c r="I641" s="2">
        <v>2.3120050020243E13</v>
      </c>
      <c r="J641" s="3">
        <v>2.0</v>
      </c>
      <c r="L641" s="2" t="s">
        <v>35</v>
      </c>
      <c r="M641" s="174" t="s">
        <v>409</v>
      </c>
      <c r="N641" s="2" t="s">
        <v>462</v>
      </c>
      <c r="O641" s="3">
        <v>0.5</v>
      </c>
      <c r="P641" s="2" t="s">
        <v>363</v>
      </c>
      <c r="Q641" s="3">
        <v>980.0</v>
      </c>
      <c r="T641" s="2" t="s">
        <v>599</v>
      </c>
      <c r="U641" s="171">
        <v>2749.0</v>
      </c>
      <c r="V641" s="172">
        <v>46010.0</v>
      </c>
      <c r="W641" s="3">
        <v>323.0</v>
      </c>
      <c r="X641" s="172">
        <v>46009.671805555554</v>
      </c>
      <c r="Y641" s="172"/>
      <c r="Z641" s="3">
        <v>46003.0</v>
      </c>
      <c r="AA641" s="3"/>
    </row>
    <row r="642">
      <c r="A642" s="3">
        <v>6.795648205059E12</v>
      </c>
      <c r="B642" s="2" t="s">
        <v>3057</v>
      </c>
      <c r="C642" s="2" t="s">
        <v>3058</v>
      </c>
      <c r="D642" s="169">
        <v>46003.0</v>
      </c>
      <c r="E642" s="2">
        <v>3.048156214E9</v>
      </c>
      <c r="F642" s="2" t="s">
        <v>3059</v>
      </c>
      <c r="G642" s="2" t="s">
        <v>368</v>
      </c>
      <c r="H642" s="2">
        <v>2699.0</v>
      </c>
      <c r="I642" s="2">
        <v>2.2120050020242E13</v>
      </c>
      <c r="J642" s="3">
        <v>1.0</v>
      </c>
      <c r="L642" s="2" t="s">
        <v>2234</v>
      </c>
      <c r="M642" s="174" t="s">
        <v>409</v>
      </c>
      <c r="N642" s="2" t="s">
        <v>462</v>
      </c>
      <c r="O642" s="3">
        <v>0.5</v>
      </c>
      <c r="P642" s="2" t="s">
        <v>363</v>
      </c>
      <c r="Q642" s="3">
        <v>1075.0</v>
      </c>
      <c r="T642" s="2" t="s">
        <v>674</v>
      </c>
      <c r="U642" s="171">
        <v>2699.0</v>
      </c>
      <c r="V642" s="172">
        <v>46007.0</v>
      </c>
      <c r="W642" s="3">
        <v>228.0</v>
      </c>
      <c r="X642" s="172">
        <v>46006.568240740744</v>
      </c>
      <c r="Y642" s="172"/>
      <c r="Z642" s="3">
        <v>46003.0</v>
      </c>
      <c r="AA642" s="3"/>
    </row>
    <row r="643">
      <c r="A643" s="3">
        <v>6.795658428675E12</v>
      </c>
      <c r="B643" s="2" t="s">
        <v>3060</v>
      </c>
      <c r="C643" s="2" t="s">
        <v>3061</v>
      </c>
      <c r="D643" s="169">
        <v>46003.0</v>
      </c>
      <c r="E643" s="173" t="s">
        <v>3062</v>
      </c>
      <c r="F643" s="2" t="s">
        <v>3063</v>
      </c>
      <c r="G643" s="2" t="s">
        <v>3064</v>
      </c>
      <c r="H643" s="2">
        <v>2748.0</v>
      </c>
      <c r="I643" s="2">
        <v>2.7120050020249E13</v>
      </c>
      <c r="J643" s="3">
        <v>1.0</v>
      </c>
      <c r="K643" s="2" t="s">
        <v>511</v>
      </c>
      <c r="L643" s="2" t="s">
        <v>512</v>
      </c>
      <c r="M643" s="174" t="s">
        <v>409</v>
      </c>
      <c r="N643" s="2" t="s">
        <v>462</v>
      </c>
      <c r="O643" s="3">
        <v>0.5</v>
      </c>
      <c r="P643" s="2" t="s">
        <v>363</v>
      </c>
      <c r="Q643" s="3">
        <v>850.0</v>
      </c>
      <c r="T643" s="2" t="s">
        <v>599</v>
      </c>
      <c r="U643" s="171">
        <v>2748.0</v>
      </c>
      <c r="V643" s="172">
        <v>46010.0</v>
      </c>
      <c r="W643" s="3">
        <v>337.0</v>
      </c>
      <c r="X643" s="172">
        <v>46007.89451388889</v>
      </c>
      <c r="Y643" s="172"/>
      <c r="Z643" s="3">
        <v>46003.0</v>
      </c>
      <c r="AA643" s="3"/>
    </row>
    <row r="644">
      <c r="A644" s="3">
        <v>6.795672158467E12</v>
      </c>
      <c r="B644" s="2" t="s">
        <v>3065</v>
      </c>
      <c r="C644" s="2" t="s">
        <v>3066</v>
      </c>
      <c r="D644" s="169">
        <v>46003.0</v>
      </c>
      <c r="E644" s="2">
        <v>3.356459E9</v>
      </c>
      <c r="F644" s="2" t="s">
        <v>3067</v>
      </c>
      <c r="G644" s="2" t="s">
        <v>3068</v>
      </c>
      <c r="H644" s="2">
        <v>2749.0</v>
      </c>
      <c r="I644" s="2">
        <v>2.6120050020241E13</v>
      </c>
      <c r="J644" s="3">
        <v>2.0</v>
      </c>
      <c r="L644" s="2" t="s">
        <v>16</v>
      </c>
      <c r="M644" s="174" t="s">
        <v>409</v>
      </c>
      <c r="N644" s="2" t="s">
        <v>462</v>
      </c>
      <c r="O644" s="3">
        <v>0.5</v>
      </c>
      <c r="P644" s="2" t="s">
        <v>363</v>
      </c>
      <c r="Q644" s="3">
        <v>980.0</v>
      </c>
      <c r="T644" s="2" t="s">
        <v>599</v>
      </c>
      <c r="U644" s="171">
        <v>2749.0</v>
      </c>
      <c r="V644" s="172">
        <v>46010.0</v>
      </c>
      <c r="W644" s="3">
        <v>310.0</v>
      </c>
      <c r="X644" s="172">
        <v>46007.735543981486</v>
      </c>
      <c r="Y644" s="172"/>
      <c r="Z644" s="3">
        <v>46003.0</v>
      </c>
      <c r="AA644" s="3"/>
    </row>
    <row r="645">
      <c r="A645" s="3">
        <v>6.795697422595E12</v>
      </c>
      <c r="B645" s="2" t="s">
        <v>3069</v>
      </c>
      <c r="C645" s="2" t="s">
        <v>3070</v>
      </c>
      <c r="D645" s="169">
        <v>46003.0</v>
      </c>
      <c r="E645" s="2">
        <v>3.419161561E9</v>
      </c>
      <c r="F645" s="2" t="s">
        <v>3071</v>
      </c>
      <c r="G645" s="2" t="s">
        <v>672</v>
      </c>
      <c r="H645" s="2">
        <v>1799.0</v>
      </c>
      <c r="I645" s="2">
        <v>2.7120050020261E13</v>
      </c>
      <c r="J645" s="3">
        <v>1.0</v>
      </c>
      <c r="L645" s="2" t="s">
        <v>2154</v>
      </c>
      <c r="M645" s="174" t="s">
        <v>409</v>
      </c>
      <c r="N645" s="2" t="s">
        <v>462</v>
      </c>
      <c r="O645" s="3">
        <v>0.5</v>
      </c>
      <c r="P645" s="2" t="s">
        <v>363</v>
      </c>
      <c r="Q645" s="3">
        <v>490.0</v>
      </c>
      <c r="T645" s="2" t="s">
        <v>599</v>
      </c>
      <c r="U645" s="171">
        <v>1799.0</v>
      </c>
      <c r="V645" s="172">
        <v>46010.0</v>
      </c>
      <c r="W645" s="3">
        <v>285.0</v>
      </c>
      <c r="X645" s="172">
        <v>46007.68423611111</v>
      </c>
      <c r="Y645" s="172"/>
      <c r="Z645" s="3">
        <v>46003.0</v>
      </c>
      <c r="AA645" s="3"/>
    </row>
    <row r="646">
      <c r="A646" s="3">
        <v>6.795700764931E12</v>
      </c>
      <c r="B646" s="2" t="s">
        <v>3072</v>
      </c>
      <c r="C646" s="2" t="s">
        <v>3073</v>
      </c>
      <c r="D646" s="169">
        <v>46003.0</v>
      </c>
      <c r="E646" s="2">
        <v>3.117031925E9</v>
      </c>
      <c r="F646" s="2" t="s">
        <v>3074</v>
      </c>
      <c r="G646" s="2" t="s">
        <v>368</v>
      </c>
      <c r="H646" s="2">
        <v>0.0</v>
      </c>
      <c r="I646" s="2">
        <v>1.666064014E9</v>
      </c>
      <c r="J646" s="3">
        <v>0.0</v>
      </c>
      <c r="K646" s="2" t="s">
        <v>3075</v>
      </c>
      <c r="L646" s="2"/>
      <c r="M646" s="2" t="s">
        <v>468</v>
      </c>
      <c r="N646" s="2" t="s">
        <v>406</v>
      </c>
      <c r="O646" s="3">
        <v>0.5</v>
      </c>
      <c r="P646" s="2" t="s">
        <v>837</v>
      </c>
      <c r="Q646" s="3">
        <v>0.0</v>
      </c>
      <c r="U646" s="141"/>
      <c r="X646" s="172">
        <v>46059.31647197917</v>
      </c>
      <c r="Y646" s="172"/>
      <c r="Z646" s="3">
        <v>46003.0</v>
      </c>
      <c r="AA646" s="3"/>
    </row>
    <row r="647">
      <c r="A647" s="3">
        <v>6.795705843971E12</v>
      </c>
      <c r="B647" s="2" t="s">
        <v>3076</v>
      </c>
      <c r="C647" s="2" t="s">
        <v>3077</v>
      </c>
      <c r="D647" s="169">
        <v>46003.0</v>
      </c>
      <c r="E647" s="173" t="s">
        <v>3078</v>
      </c>
      <c r="F647" s="2" t="s">
        <v>3079</v>
      </c>
      <c r="G647" s="2" t="s">
        <v>368</v>
      </c>
      <c r="H647" s="2">
        <v>0.0</v>
      </c>
      <c r="I647" s="2">
        <v>2.4120050020392E13</v>
      </c>
      <c r="J647" s="3">
        <v>0.0</v>
      </c>
      <c r="K647" s="2" t="s">
        <v>3080</v>
      </c>
      <c r="L647" s="2"/>
      <c r="M647" s="170" t="s">
        <v>455</v>
      </c>
      <c r="N647" s="2" t="s">
        <v>406</v>
      </c>
      <c r="O647" s="3">
        <v>0.5</v>
      </c>
      <c r="P647" s="2" t="s">
        <v>363</v>
      </c>
      <c r="Q647" s="3">
        <v>0.0</v>
      </c>
      <c r="T647" s="2" t="s">
        <v>777</v>
      </c>
      <c r="U647" s="171">
        <v>0.0</v>
      </c>
      <c r="V647" s="172">
        <v>46014.0</v>
      </c>
      <c r="W647" s="3">
        <v>120.0</v>
      </c>
      <c r="X647" s="172">
        <v>46057.642782766205</v>
      </c>
      <c r="Y647" s="172"/>
      <c r="Z647" s="3">
        <v>46003.0</v>
      </c>
      <c r="AA647" s="3"/>
    </row>
    <row r="648">
      <c r="A648" s="3">
        <v>6.795707351299E12</v>
      </c>
      <c r="B648" s="2" t="s">
        <v>3081</v>
      </c>
      <c r="C648" s="2" t="s">
        <v>3082</v>
      </c>
      <c r="D648" s="169">
        <v>46003.0</v>
      </c>
      <c r="E648" s="2">
        <v>3.328447779E9</v>
      </c>
      <c r="F648" s="2" t="s">
        <v>3083</v>
      </c>
      <c r="G648" s="2" t="s">
        <v>368</v>
      </c>
      <c r="H648" s="2">
        <v>4649.0</v>
      </c>
      <c r="I648" s="2">
        <v>2.0120050020292E13</v>
      </c>
      <c r="J648" s="3">
        <v>2.0</v>
      </c>
      <c r="L648" s="2" t="s">
        <v>532</v>
      </c>
      <c r="M648" s="174" t="s">
        <v>409</v>
      </c>
      <c r="N648" s="2" t="s">
        <v>462</v>
      </c>
      <c r="O648" s="3">
        <v>0.5</v>
      </c>
      <c r="P648" s="2" t="s">
        <v>363</v>
      </c>
      <c r="Q648" s="3">
        <v>1700.0</v>
      </c>
      <c r="T648" s="2" t="s">
        <v>599</v>
      </c>
      <c r="U648" s="171">
        <v>4649.0</v>
      </c>
      <c r="V648" s="172">
        <v>46010.0</v>
      </c>
      <c r="W648" s="3">
        <v>306.0</v>
      </c>
      <c r="X648" s="172">
        <v>46007.64126157407</v>
      </c>
      <c r="Y648" s="172"/>
      <c r="Z648" s="3">
        <v>46003.0</v>
      </c>
      <c r="AA648" s="3"/>
    </row>
    <row r="649">
      <c r="A649" s="3">
        <v>6.795715215619E12</v>
      </c>
      <c r="B649" s="2" t="s">
        <v>3084</v>
      </c>
      <c r="C649" s="2" t="s">
        <v>3085</v>
      </c>
      <c r="D649" s="169">
        <v>46003.0</v>
      </c>
      <c r="E649" s="2">
        <v>3.008967799E9</v>
      </c>
      <c r="F649" s="2" t="s">
        <v>3086</v>
      </c>
      <c r="G649" s="2" t="s">
        <v>2241</v>
      </c>
      <c r="H649" s="2">
        <v>249.0</v>
      </c>
      <c r="I649" s="2">
        <v>2.5120050020265E13</v>
      </c>
      <c r="J649" s="3">
        <v>0.0</v>
      </c>
      <c r="K649" s="2" t="s">
        <v>3087</v>
      </c>
      <c r="L649" s="2"/>
      <c r="M649" s="170" t="s">
        <v>455</v>
      </c>
      <c r="N649" s="2" t="s">
        <v>406</v>
      </c>
      <c r="O649" s="3">
        <v>0.5</v>
      </c>
      <c r="P649" s="2" t="s">
        <v>363</v>
      </c>
      <c r="Q649" s="3">
        <v>0.0</v>
      </c>
      <c r="T649" s="2" t="s">
        <v>2140</v>
      </c>
      <c r="U649" s="171">
        <v>0.0</v>
      </c>
      <c r="V649" s="172">
        <v>46021.0</v>
      </c>
      <c r="W649" s="3">
        <v>200.0</v>
      </c>
      <c r="X649" s="172">
        <v>46057.642782766205</v>
      </c>
      <c r="Y649" s="172"/>
      <c r="Z649" s="3">
        <v>46003.0</v>
      </c>
      <c r="AA649" s="3"/>
    </row>
    <row r="650">
      <c r="A650" s="3">
        <v>6.795734384899E12</v>
      </c>
      <c r="B650" s="2" t="s">
        <v>3088</v>
      </c>
      <c r="C650" s="2" t="s">
        <v>3089</v>
      </c>
      <c r="D650" s="169">
        <v>46003.0</v>
      </c>
      <c r="E650" s="2">
        <v>3.44128899E9</v>
      </c>
      <c r="F650" s="2" t="s">
        <v>3090</v>
      </c>
      <c r="G650" s="2" t="s">
        <v>672</v>
      </c>
      <c r="H650" s="2">
        <v>0.0</v>
      </c>
      <c r="I650" s="2">
        <v>2.9120050020335E13</v>
      </c>
      <c r="J650" s="3">
        <v>0.0</v>
      </c>
      <c r="L650" s="2"/>
      <c r="M650" s="170" t="s">
        <v>455</v>
      </c>
      <c r="N650" s="2" t="s">
        <v>406</v>
      </c>
      <c r="O650" s="3">
        <v>0.5</v>
      </c>
      <c r="P650" s="2" t="s">
        <v>363</v>
      </c>
      <c r="Q650" s="3">
        <v>0.0</v>
      </c>
      <c r="U650" s="141"/>
      <c r="X650" s="172">
        <v>46057.642782766205</v>
      </c>
      <c r="Y650" s="172"/>
      <c r="Z650" s="3">
        <v>46003.0</v>
      </c>
      <c r="AA650" s="3"/>
    </row>
    <row r="651">
      <c r="A651" s="3">
        <v>6.795740446979E12</v>
      </c>
      <c r="B651" s="2" t="s">
        <v>3091</v>
      </c>
      <c r="C651" s="2" t="s">
        <v>3092</v>
      </c>
      <c r="D651" s="169">
        <v>46003.0</v>
      </c>
      <c r="E651" s="2">
        <v>5.46509592E8</v>
      </c>
      <c r="F651" s="2" t="s">
        <v>3093</v>
      </c>
      <c r="G651" s="2" t="s">
        <v>2807</v>
      </c>
      <c r="H651" s="2">
        <v>3099.0</v>
      </c>
      <c r="I651" s="2">
        <v>2.5120050020266E13</v>
      </c>
      <c r="J651" s="3">
        <v>2.0</v>
      </c>
      <c r="L651" s="2" t="s">
        <v>3094</v>
      </c>
      <c r="M651" s="174" t="s">
        <v>409</v>
      </c>
      <c r="N651" s="2" t="s">
        <v>462</v>
      </c>
      <c r="O651" s="3">
        <v>0.5</v>
      </c>
      <c r="P651" s="2" t="s">
        <v>363</v>
      </c>
      <c r="Q651" s="3">
        <v>960.0</v>
      </c>
      <c r="T651" s="2" t="s">
        <v>674</v>
      </c>
      <c r="U651" s="171">
        <v>3099.0</v>
      </c>
      <c r="V651" s="172">
        <v>46007.0</v>
      </c>
      <c r="W651" s="3">
        <v>324.0</v>
      </c>
      <c r="X651" s="172">
        <v>46006.46555555555</v>
      </c>
      <c r="Y651" s="172"/>
      <c r="Z651" s="3">
        <v>46003.0</v>
      </c>
      <c r="AA651" s="3"/>
    </row>
    <row r="652">
      <c r="A652" s="3">
        <v>6.795746935043E12</v>
      </c>
      <c r="B652" s="2" t="s">
        <v>3095</v>
      </c>
      <c r="C652" s="2" t="s">
        <v>3096</v>
      </c>
      <c r="D652" s="169">
        <v>46003.0</v>
      </c>
      <c r="E652" s="2">
        <v>3.006798987E9</v>
      </c>
      <c r="F652" s="2" t="s">
        <v>3097</v>
      </c>
      <c r="G652" s="2" t="s">
        <v>3098</v>
      </c>
      <c r="H652" s="2">
        <v>2749.0</v>
      </c>
      <c r="I652" s="2">
        <v>2.6120050020267E13</v>
      </c>
      <c r="J652" s="3">
        <v>2.0</v>
      </c>
      <c r="L652" s="2" t="s">
        <v>16</v>
      </c>
      <c r="M652" s="174" t="s">
        <v>409</v>
      </c>
      <c r="N652" s="2" t="s">
        <v>462</v>
      </c>
      <c r="O652" s="3">
        <v>0.5</v>
      </c>
      <c r="P652" s="2" t="s">
        <v>363</v>
      </c>
      <c r="Q652" s="3">
        <v>980.0</v>
      </c>
      <c r="T652" s="2" t="s">
        <v>599</v>
      </c>
      <c r="U652" s="171">
        <v>2749.0</v>
      </c>
      <c r="V652" s="172">
        <v>46010.0</v>
      </c>
      <c r="W652" s="3">
        <v>310.0</v>
      </c>
      <c r="X652" s="172">
        <v>46007.81452546296</v>
      </c>
      <c r="Y652" s="172"/>
      <c r="Z652" s="3">
        <v>46003.0</v>
      </c>
      <c r="AA652" s="3"/>
    </row>
    <row r="653">
      <c r="A653" s="3">
        <v>6.795750867203E12</v>
      </c>
      <c r="B653" s="2" t="s">
        <v>3099</v>
      </c>
      <c r="C653" s="2" t="s">
        <v>3100</v>
      </c>
      <c r="D653" s="169">
        <v>46003.0</v>
      </c>
      <c r="E653" s="2">
        <v>3.072303886E9</v>
      </c>
      <c r="F653" s="2" t="s">
        <v>3101</v>
      </c>
      <c r="G653" s="2" t="s">
        <v>3102</v>
      </c>
      <c r="H653" s="2">
        <v>0.0</v>
      </c>
      <c r="I653" s="2">
        <v>2.7120050020291E13</v>
      </c>
      <c r="J653" s="3">
        <v>0.0</v>
      </c>
      <c r="K653" s="2" t="s">
        <v>3103</v>
      </c>
      <c r="L653" s="2"/>
      <c r="M653" s="170" t="s">
        <v>455</v>
      </c>
      <c r="N653" s="2" t="s">
        <v>406</v>
      </c>
      <c r="O653" s="3">
        <v>0.5</v>
      </c>
      <c r="P653" s="2" t="s">
        <v>363</v>
      </c>
      <c r="Q653" s="3">
        <v>0.0</v>
      </c>
      <c r="T653" s="2" t="s">
        <v>2140</v>
      </c>
      <c r="U653" s="171">
        <v>0.0</v>
      </c>
      <c r="V653" s="172">
        <v>46021.0</v>
      </c>
      <c r="W653" s="3">
        <v>320.0</v>
      </c>
      <c r="X653" s="172">
        <v>46057.642782766205</v>
      </c>
      <c r="Y653" s="172"/>
      <c r="Z653" s="3">
        <v>46003.0</v>
      </c>
      <c r="AA653" s="3"/>
    </row>
    <row r="654">
      <c r="A654" s="3">
        <v>6.795756110083E12</v>
      </c>
      <c r="B654" s="2" t="s">
        <v>3104</v>
      </c>
      <c r="C654" s="2" t="s">
        <v>3105</v>
      </c>
      <c r="D654" s="169">
        <v>46003.0</v>
      </c>
      <c r="E654" s="173" t="s">
        <v>3106</v>
      </c>
      <c r="F654" s="2" t="s">
        <v>3107</v>
      </c>
      <c r="G654" s="2" t="s">
        <v>1323</v>
      </c>
      <c r="H654" s="2">
        <v>2000.0</v>
      </c>
      <c r="I654" s="2">
        <v>2.812005002029E13</v>
      </c>
      <c r="J654" s="3">
        <v>1.0</v>
      </c>
      <c r="K654" s="2" t="s">
        <v>3108</v>
      </c>
      <c r="L654" s="2" t="s">
        <v>557</v>
      </c>
      <c r="M654" s="174" t="s">
        <v>409</v>
      </c>
      <c r="N654" s="2" t="s">
        <v>462</v>
      </c>
      <c r="O654" s="3">
        <v>0.5</v>
      </c>
      <c r="P654" s="2" t="s">
        <v>73</v>
      </c>
      <c r="Q654" s="3">
        <v>850.0</v>
      </c>
      <c r="T654" s="2" t="s">
        <v>674</v>
      </c>
      <c r="U654" s="3">
        <v>2000.0</v>
      </c>
      <c r="V654" s="172">
        <v>46007.0</v>
      </c>
      <c r="W654" s="3">
        <v>290.0</v>
      </c>
      <c r="X654" s="172">
        <v>46006.58494212963</v>
      </c>
      <c r="Y654" s="172"/>
      <c r="Z654" s="3">
        <v>46003.0</v>
      </c>
      <c r="AA654" s="3"/>
    </row>
    <row r="655">
      <c r="A655" s="3">
        <v>6.795758600451E12</v>
      </c>
      <c r="B655" s="2" t="s">
        <v>3109</v>
      </c>
      <c r="C655" s="2" t="s">
        <v>3110</v>
      </c>
      <c r="D655" s="169">
        <v>46003.0</v>
      </c>
      <c r="E655" s="173" t="s">
        <v>3111</v>
      </c>
      <c r="F655" s="2" t="s">
        <v>3112</v>
      </c>
      <c r="G655" s="2" t="s">
        <v>1425</v>
      </c>
      <c r="H655" s="2">
        <v>0.0</v>
      </c>
      <c r="I655" s="2" t="s">
        <v>3113</v>
      </c>
      <c r="J655" s="3">
        <v>0.0</v>
      </c>
      <c r="K655" s="2" t="s">
        <v>3114</v>
      </c>
      <c r="L655" s="2"/>
      <c r="M655" s="170" t="s">
        <v>455</v>
      </c>
      <c r="N655" s="2" t="s">
        <v>406</v>
      </c>
      <c r="O655" s="3">
        <v>0.5</v>
      </c>
      <c r="P655" s="2" t="s">
        <v>640</v>
      </c>
      <c r="Q655" s="3">
        <v>0.0</v>
      </c>
      <c r="T655" s="2" t="s">
        <v>2981</v>
      </c>
      <c r="U655" s="141"/>
      <c r="W655" s="3">
        <v>501.0</v>
      </c>
      <c r="X655" s="172">
        <v>46057.69518185185</v>
      </c>
      <c r="Y655" s="172"/>
      <c r="Z655" s="3">
        <v>46003.0</v>
      </c>
      <c r="AA655" s="3"/>
    </row>
    <row r="656">
      <c r="A656" s="3">
        <v>6.795800740099E12</v>
      </c>
      <c r="B656" s="2" t="s">
        <v>3115</v>
      </c>
      <c r="C656" s="2" t="s">
        <v>3116</v>
      </c>
      <c r="D656" s="169">
        <v>46003.0</v>
      </c>
      <c r="E656" s="2">
        <v>3.156556896E9</v>
      </c>
      <c r="F656" s="2" t="s">
        <v>3117</v>
      </c>
      <c r="G656" s="2" t="s">
        <v>506</v>
      </c>
      <c r="H656" s="2">
        <v>0.0</v>
      </c>
      <c r="J656" s="3">
        <v>0.0</v>
      </c>
      <c r="K656" s="2" t="s">
        <v>537</v>
      </c>
      <c r="L656" s="2"/>
      <c r="M656" s="2" t="s">
        <v>468</v>
      </c>
      <c r="N656" s="2" t="s">
        <v>406</v>
      </c>
      <c r="O656" s="3">
        <v>0.5</v>
      </c>
      <c r="Q656" s="3">
        <v>0.0</v>
      </c>
      <c r="U656" s="141"/>
      <c r="X656" s="172">
        <v>46057.642782766205</v>
      </c>
      <c r="Y656" s="172"/>
      <c r="Z656" s="3">
        <v>46003.0</v>
      </c>
      <c r="AA656" s="3"/>
    </row>
    <row r="657">
      <c r="A657" s="3">
        <v>6.795807785219E12</v>
      </c>
      <c r="B657" s="2" t="s">
        <v>3118</v>
      </c>
      <c r="C657" s="2" t="s">
        <v>3119</v>
      </c>
      <c r="D657" s="169">
        <v>46003.0</v>
      </c>
      <c r="E657" s="173" t="s">
        <v>3120</v>
      </c>
      <c r="F657" s="2" t="s">
        <v>3121</v>
      </c>
      <c r="G657" s="2" t="s">
        <v>3122</v>
      </c>
      <c r="H657" s="2">
        <v>2748.0</v>
      </c>
      <c r="I657" s="2">
        <v>2.0120050020289E13</v>
      </c>
      <c r="J657" s="3">
        <v>1.0</v>
      </c>
      <c r="L657" s="2" t="s">
        <v>684</v>
      </c>
      <c r="M657" s="174" t="s">
        <v>409</v>
      </c>
      <c r="N657" s="2" t="s">
        <v>462</v>
      </c>
      <c r="O657" s="3">
        <v>0.5</v>
      </c>
      <c r="P657" s="2" t="s">
        <v>363</v>
      </c>
      <c r="Q657" s="3">
        <v>850.0</v>
      </c>
      <c r="T657" s="2" t="s">
        <v>599</v>
      </c>
      <c r="U657" s="171">
        <v>2748.0</v>
      </c>
      <c r="V657" s="172">
        <v>46010.0</v>
      </c>
      <c r="W657" s="3">
        <v>330.0</v>
      </c>
      <c r="X657" s="172">
        <v>46007.502962962964</v>
      </c>
      <c r="Y657" s="172"/>
      <c r="Z657" s="3">
        <v>46003.0</v>
      </c>
      <c r="AA657" s="3"/>
    </row>
    <row r="658">
      <c r="A658" s="3">
        <v>6.795813028099E12</v>
      </c>
      <c r="B658" s="2" t="s">
        <v>3123</v>
      </c>
      <c r="C658" s="2" t="s">
        <v>3124</v>
      </c>
      <c r="D658" s="169">
        <v>46003.0</v>
      </c>
      <c r="E658" s="2">
        <v>3.214442478E9</v>
      </c>
      <c r="F658" s="2" t="s">
        <v>3125</v>
      </c>
      <c r="G658" s="2" t="s">
        <v>368</v>
      </c>
      <c r="H658" s="2">
        <v>2748.0</v>
      </c>
      <c r="I658" s="2">
        <v>2.7120050020288E13</v>
      </c>
      <c r="J658" s="3">
        <v>1.0</v>
      </c>
      <c r="L658" s="2" t="s">
        <v>519</v>
      </c>
      <c r="M658" s="174" t="s">
        <v>409</v>
      </c>
      <c r="N658" s="2" t="s">
        <v>462</v>
      </c>
      <c r="O658" s="3">
        <v>0.5</v>
      </c>
      <c r="P658" s="2" t="s">
        <v>363</v>
      </c>
      <c r="Q658" s="3">
        <v>850.0</v>
      </c>
      <c r="T658" s="2" t="s">
        <v>674</v>
      </c>
      <c r="U658" s="171">
        <v>2748.0</v>
      </c>
      <c r="V658" s="172">
        <v>46007.0</v>
      </c>
      <c r="W658" s="3">
        <v>230.0</v>
      </c>
      <c r="X658" s="172">
        <v>46006.677349537036</v>
      </c>
      <c r="Y658" s="172"/>
      <c r="Z658" s="3">
        <v>46003.0</v>
      </c>
      <c r="AA658" s="3"/>
    </row>
    <row r="659">
      <c r="A659" s="3">
        <v>6.795817844995E12</v>
      </c>
      <c r="B659" s="2" t="s">
        <v>3126</v>
      </c>
      <c r="C659" s="2" t="s">
        <v>585</v>
      </c>
      <c r="D659" s="169">
        <v>46003.0</v>
      </c>
      <c r="E659" s="2">
        <v>3.365436106E9</v>
      </c>
      <c r="F659" s="2" t="s">
        <v>3127</v>
      </c>
      <c r="G659" s="2" t="s">
        <v>781</v>
      </c>
      <c r="H659" s="2">
        <v>2748.0</v>
      </c>
      <c r="I659" s="2">
        <v>2.8120050020287E13</v>
      </c>
      <c r="J659" s="3">
        <v>1.0</v>
      </c>
      <c r="L659" s="2" t="s">
        <v>557</v>
      </c>
      <c r="M659" s="174" t="s">
        <v>409</v>
      </c>
      <c r="N659" s="2" t="s">
        <v>462</v>
      </c>
      <c r="O659" s="3">
        <v>0.5</v>
      </c>
      <c r="P659" s="2" t="s">
        <v>73</v>
      </c>
      <c r="Q659" s="3">
        <v>850.0</v>
      </c>
      <c r="T659" s="2" t="s">
        <v>674</v>
      </c>
      <c r="U659" s="171">
        <v>2748.0</v>
      </c>
      <c r="V659" s="172">
        <v>46007.0</v>
      </c>
      <c r="W659" s="3">
        <v>323.0</v>
      </c>
      <c r="X659" s="172">
        <v>46006.493263888886</v>
      </c>
      <c r="Y659" s="172"/>
      <c r="Z659" s="3">
        <v>46003.0</v>
      </c>
      <c r="AA659" s="3"/>
    </row>
    <row r="660">
      <c r="A660" s="3">
        <v>6.795824038147E12</v>
      </c>
      <c r="B660" s="2" t="s">
        <v>3128</v>
      </c>
      <c r="C660" s="2" t="s">
        <v>3129</v>
      </c>
      <c r="D660" s="169">
        <v>46003.0</v>
      </c>
      <c r="E660" s="2">
        <v>3.431002471E9</v>
      </c>
      <c r="F660" s="2" t="s">
        <v>3130</v>
      </c>
      <c r="G660" s="2" t="s">
        <v>506</v>
      </c>
      <c r="H660" s="2">
        <v>4099.0</v>
      </c>
      <c r="I660" s="2">
        <v>2.5120050020293E13</v>
      </c>
      <c r="J660" s="3">
        <v>1.0</v>
      </c>
      <c r="L660" s="2" t="s">
        <v>782</v>
      </c>
      <c r="M660" s="174" t="s">
        <v>409</v>
      </c>
      <c r="N660" s="2" t="s">
        <v>462</v>
      </c>
      <c r="O660" s="3">
        <v>0.5</v>
      </c>
      <c r="P660" s="2" t="s">
        <v>363</v>
      </c>
      <c r="Q660" s="3">
        <v>1600.0</v>
      </c>
      <c r="T660" s="2" t="s">
        <v>674</v>
      </c>
      <c r="U660" s="171">
        <v>4099.0</v>
      </c>
      <c r="V660" s="172">
        <v>46007.0</v>
      </c>
      <c r="W660" s="3">
        <v>384.0</v>
      </c>
      <c r="X660" s="172">
        <v>46006.50644675926</v>
      </c>
      <c r="Y660" s="172"/>
      <c r="Z660" s="3">
        <v>46003.0</v>
      </c>
      <c r="AA660" s="3"/>
    </row>
    <row r="661">
      <c r="A661" s="3">
        <v>6.795858641155E12</v>
      </c>
      <c r="B661" s="2" t="s">
        <v>3131</v>
      </c>
      <c r="C661" s="2" t="s">
        <v>3132</v>
      </c>
      <c r="D661" s="169">
        <v>46003.0</v>
      </c>
      <c r="E661" s="2">
        <v>3.489069021E9</v>
      </c>
      <c r="F661" s="2" t="s">
        <v>3133</v>
      </c>
      <c r="G661" s="2" t="s">
        <v>917</v>
      </c>
      <c r="H661" s="2">
        <v>2748.0</v>
      </c>
      <c r="I661" s="2">
        <v>2.8120050020456E13</v>
      </c>
      <c r="J661" s="3">
        <v>1.0</v>
      </c>
      <c r="K661" s="2" t="s">
        <v>511</v>
      </c>
      <c r="L661" s="2" t="s">
        <v>500</v>
      </c>
      <c r="M661" s="174" t="s">
        <v>409</v>
      </c>
      <c r="N661" s="2" t="s">
        <v>462</v>
      </c>
      <c r="O661" s="3">
        <v>0.5</v>
      </c>
      <c r="P661" s="2" t="s">
        <v>73</v>
      </c>
      <c r="Q661" s="3">
        <v>850.0</v>
      </c>
      <c r="T661" s="2" t="s">
        <v>777</v>
      </c>
      <c r="U661" s="171">
        <v>2748.0</v>
      </c>
      <c r="V661" s="172">
        <v>46014.0</v>
      </c>
      <c r="W661" s="3">
        <v>323.0</v>
      </c>
      <c r="X661" s="172">
        <v>46011.55923611111</v>
      </c>
      <c r="Y661" s="172"/>
      <c r="Z661" s="3">
        <v>46003.0</v>
      </c>
      <c r="AA661" s="3"/>
    </row>
    <row r="662">
      <c r="A662" s="3">
        <v>6.795879153923E12</v>
      </c>
      <c r="B662" s="2" t="s">
        <v>3134</v>
      </c>
      <c r="C662" s="2" t="s">
        <v>3135</v>
      </c>
      <c r="D662" s="169">
        <v>46003.0</v>
      </c>
      <c r="E662" s="2">
        <v>3.337111865E9</v>
      </c>
      <c r="F662" s="2" t="s">
        <v>3136</v>
      </c>
      <c r="G662" s="2" t="s">
        <v>493</v>
      </c>
      <c r="H662" s="2">
        <v>2749.0</v>
      </c>
      <c r="I662" s="2">
        <v>2.6120050020268E13</v>
      </c>
      <c r="J662" s="3">
        <v>1.0</v>
      </c>
      <c r="L662" s="2" t="s">
        <v>3137</v>
      </c>
      <c r="M662" s="174" t="s">
        <v>409</v>
      </c>
      <c r="N662" s="2" t="s">
        <v>462</v>
      </c>
      <c r="O662" s="3">
        <v>0.5</v>
      </c>
      <c r="P662" s="2" t="s">
        <v>363</v>
      </c>
      <c r="Q662" s="3">
        <v>1300.0</v>
      </c>
      <c r="T662" s="2" t="s">
        <v>599</v>
      </c>
      <c r="U662" s="171">
        <v>2749.0</v>
      </c>
      <c r="V662" s="172">
        <v>46010.0</v>
      </c>
      <c r="W662" s="3">
        <v>323.0</v>
      </c>
      <c r="X662" s="172">
        <v>46007.742013888885</v>
      </c>
      <c r="Y662" s="172"/>
      <c r="Z662" s="3">
        <v>46003.0</v>
      </c>
      <c r="AA662" s="3"/>
    </row>
    <row r="663">
      <c r="A663" s="3">
        <v>6.795942625539E12</v>
      </c>
      <c r="B663" s="2" t="s">
        <v>3138</v>
      </c>
      <c r="C663" s="2" t="s">
        <v>3139</v>
      </c>
      <c r="D663" s="169">
        <v>46003.0</v>
      </c>
      <c r="E663" s="2">
        <v>3.022138684E9</v>
      </c>
      <c r="F663" s="2" t="s">
        <v>3140</v>
      </c>
      <c r="G663" s="2" t="s">
        <v>493</v>
      </c>
      <c r="H663" s="2">
        <v>2748.0</v>
      </c>
      <c r="I663" s="2">
        <v>2.8120050020286E13</v>
      </c>
      <c r="J663" s="3">
        <v>1.0</v>
      </c>
      <c r="L663" s="2" t="s">
        <v>1289</v>
      </c>
      <c r="M663" s="174" t="s">
        <v>409</v>
      </c>
      <c r="N663" s="2" t="s">
        <v>462</v>
      </c>
      <c r="O663" s="3">
        <v>0.5</v>
      </c>
      <c r="P663" s="2" t="s">
        <v>73</v>
      </c>
      <c r="Q663" s="3">
        <v>850.0</v>
      </c>
      <c r="T663" s="2" t="s">
        <v>599</v>
      </c>
      <c r="U663" s="171">
        <v>2748.0</v>
      </c>
      <c r="V663" s="172">
        <v>46010.0</v>
      </c>
      <c r="W663" s="3">
        <v>323.0</v>
      </c>
      <c r="X663" s="172">
        <v>46007.52452546296</v>
      </c>
      <c r="Y663" s="172"/>
      <c r="Z663" s="3">
        <v>46003.0</v>
      </c>
      <c r="AA663" s="3"/>
    </row>
    <row r="664">
      <c r="A664" s="3">
        <v>6.795998953731E12</v>
      </c>
      <c r="B664" s="2" t="s">
        <v>3141</v>
      </c>
      <c r="C664" s="2" t="s">
        <v>3142</v>
      </c>
      <c r="D664" s="169">
        <v>46003.0</v>
      </c>
      <c r="E664" s="173" t="s">
        <v>3143</v>
      </c>
      <c r="F664" s="2" t="s">
        <v>3144</v>
      </c>
      <c r="G664" s="2" t="s">
        <v>2725</v>
      </c>
      <c r="H664" s="2">
        <v>1299.0</v>
      </c>
      <c r="I664" s="2">
        <v>2.3120050020436E13</v>
      </c>
      <c r="J664" s="3">
        <v>1.0</v>
      </c>
      <c r="L664" s="2" t="s">
        <v>1169</v>
      </c>
      <c r="M664" s="174" t="s">
        <v>409</v>
      </c>
      <c r="N664" s="2" t="s">
        <v>462</v>
      </c>
      <c r="O664" s="3">
        <v>0.5</v>
      </c>
      <c r="P664" s="2" t="s">
        <v>363</v>
      </c>
      <c r="Q664" s="3">
        <v>550.0</v>
      </c>
      <c r="T664" s="2" t="s">
        <v>599</v>
      </c>
      <c r="U664" s="171">
        <v>1299.0</v>
      </c>
      <c r="V664" s="172">
        <v>46010.0</v>
      </c>
      <c r="W664" s="3">
        <v>252.0</v>
      </c>
      <c r="X664" s="172">
        <v>46009.72827546296</v>
      </c>
      <c r="Y664" s="172"/>
      <c r="Z664" s="3">
        <v>46003.0</v>
      </c>
      <c r="AA664" s="3"/>
    </row>
    <row r="665">
      <c r="A665" s="3">
        <v>6.796008194307E12</v>
      </c>
      <c r="B665" s="2" t="s">
        <v>3145</v>
      </c>
      <c r="C665" s="2" t="s">
        <v>3146</v>
      </c>
      <c r="D665" s="169">
        <v>46003.0</v>
      </c>
      <c r="E665" s="2">
        <v>3.015757572E9</v>
      </c>
      <c r="F665" s="2" t="s">
        <v>3147</v>
      </c>
      <c r="G665" s="2" t="s">
        <v>3148</v>
      </c>
      <c r="H665" s="2">
        <v>3099.0</v>
      </c>
      <c r="I665" s="2">
        <v>2.5120050020336E13</v>
      </c>
      <c r="J665" s="3">
        <v>2.0</v>
      </c>
      <c r="L665" s="2" t="s">
        <v>40</v>
      </c>
      <c r="M665" s="174" t="s">
        <v>409</v>
      </c>
      <c r="N665" s="2" t="s">
        <v>462</v>
      </c>
      <c r="O665" s="3">
        <v>0.5</v>
      </c>
      <c r="P665" s="2" t="s">
        <v>363</v>
      </c>
      <c r="Q665" s="3">
        <v>920.0</v>
      </c>
      <c r="T665" s="2" t="s">
        <v>599</v>
      </c>
      <c r="U665" s="171">
        <v>3099.0</v>
      </c>
      <c r="V665" s="172">
        <v>46010.0</v>
      </c>
      <c r="W665" s="3">
        <v>324.0</v>
      </c>
      <c r="X665" s="172">
        <v>46009.43423611111</v>
      </c>
      <c r="Y665" s="172"/>
      <c r="Z665" s="3">
        <v>46003.0</v>
      </c>
      <c r="AA665" s="3"/>
    </row>
    <row r="666">
      <c r="A666" s="3">
        <v>6.796021235971E12</v>
      </c>
      <c r="B666" s="2" t="s">
        <v>3149</v>
      </c>
      <c r="C666" s="2" t="s">
        <v>3150</v>
      </c>
      <c r="D666" s="169">
        <v>46003.0</v>
      </c>
      <c r="E666" s="173" t="s">
        <v>3151</v>
      </c>
      <c r="F666" s="2" t="s">
        <v>3152</v>
      </c>
      <c r="G666" s="2" t="s">
        <v>1762</v>
      </c>
      <c r="H666" s="2">
        <v>0.0</v>
      </c>
      <c r="I666" s="2" t="s">
        <v>3153</v>
      </c>
      <c r="J666" s="3">
        <v>0.0</v>
      </c>
      <c r="K666" s="2" t="s">
        <v>3154</v>
      </c>
      <c r="L666" s="2"/>
      <c r="M666" s="170" t="s">
        <v>455</v>
      </c>
      <c r="N666" s="2" t="s">
        <v>406</v>
      </c>
      <c r="O666" s="3">
        <v>0.5</v>
      </c>
      <c r="P666" s="2" t="s">
        <v>640</v>
      </c>
      <c r="Q666" s="3">
        <v>0.0</v>
      </c>
      <c r="T666" s="2" t="s">
        <v>2981</v>
      </c>
      <c r="U666" s="141"/>
      <c r="W666" s="3">
        <v>292.2</v>
      </c>
      <c r="X666" s="172">
        <v>46057.642782766205</v>
      </c>
      <c r="Y666" s="172"/>
      <c r="Z666" s="3">
        <v>46003.0</v>
      </c>
      <c r="AA666" s="3"/>
    </row>
    <row r="667">
      <c r="A667" s="3">
        <v>6.796162498819E12</v>
      </c>
      <c r="B667" s="2" t="s">
        <v>3155</v>
      </c>
      <c r="C667" s="2" t="s">
        <v>3156</v>
      </c>
      <c r="D667" s="169">
        <v>46003.0</v>
      </c>
      <c r="E667" s="2">
        <v>3.333691639E9</v>
      </c>
      <c r="F667" s="2" t="s">
        <v>3157</v>
      </c>
      <c r="G667" s="2" t="s">
        <v>493</v>
      </c>
      <c r="H667" s="2">
        <v>2748.0</v>
      </c>
      <c r="I667" s="2">
        <v>2.7120050020285E13</v>
      </c>
      <c r="J667" s="3">
        <v>1.0</v>
      </c>
      <c r="L667" s="2" t="s">
        <v>500</v>
      </c>
      <c r="M667" s="174" t="s">
        <v>409</v>
      </c>
      <c r="N667" s="2" t="s">
        <v>462</v>
      </c>
      <c r="O667" s="3">
        <v>0.5</v>
      </c>
      <c r="P667" s="2" t="s">
        <v>363</v>
      </c>
      <c r="Q667" s="3">
        <v>850.0</v>
      </c>
      <c r="T667" s="2" t="s">
        <v>599</v>
      </c>
      <c r="U667" s="171">
        <v>2748.0</v>
      </c>
      <c r="V667" s="172">
        <v>46010.0</v>
      </c>
      <c r="W667" s="3">
        <v>323.0</v>
      </c>
      <c r="X667" s="172">
        <v>46007.50711805555</v>
      </c>
      <c r="Y667" s="172"/>
      <c r="Z667" s="3">
        <v>46003.0</v>
      </c>
      <c r="AA667" s="3"/>
    </row>
    <row r="668">
      <c r="A668" s="3">
        <v>6.796177703171E12</v>
      </c>
      <c r="B668" s="2" t="s">
        <v>3158</v>
      </c>
      <c r="C668" s="2" t="s">
        <v>3159</v>
      </c>
      <c r="D668" s="169">
        <v>46003.0</v>
      </c>
      <c r="E668" s="2">
        <v>3.454459608E9</v>
      </c>
      <c r="F668" s="2" t="s">
        <v>3160</v>
      </c>
      <c r="G668" s="2" t="s">
        <v>493</v>
      </c>
      <c r="H668" s="2">
        <v>3099.0</v>
      </c>
      <c r="I668" s="2">
        <v>2.5120050020337E13</v>
      </c>
      <c r="J668" s="3">
        <v>2.0</v>
      </c>
      <c r="L668" s="2" t="s">
        <v>27</v>
      </c>
      <c r="M668" s="174" t="s">
        <v>409</v>
      </c>
      <c r="N668" s="2" t="s">
        <v>462</v>
      </c>
      <c r="O668" s="3">
        <v>0.5</v>
      </c>
      <c r="P668" s="2" t="s">
        <v>363</v>
      </c>
      <c r="Q668" s="3">
        <v>920.0</v>
      </c>
      <c r="T668" s="2" t="s">
        <v>777</v>
      </c>
      <c r="U668" s="171">
        <v>3099.0</v>
      </c>
      <c r="V668" s="172">
        <v>46014.0</v>
      </c>
      <c r="W668" s="3">
        <v>337.0</v>
      </c>
      <c r="X668" s="172">
        <v>46010.539768518516</v>
      </c>
      <c r="Y668" s="172"/>
      <c r="Z668" s="3">
        <v>46003.0</v>
      </c>
      <c r="AA668" s="3"/>
    </row>
    <row r="669">
      <c r="A669" s="3">
        <v>6.796283740419E12</v>
      </c>
      <c r="B669" s="2" t="s">
        <v>3161</v>
      </c>
      <c r="C669" s="2" t="s">
        <v>615</v>
      </c>
      <c r="D669" s="169">
        <v>46003.0</v>
      </c>
      <c r="E669" s="173" t="s">
        <v>2227</v>
      </c>
      <c r="F669" s="2" t="s">
        <v>616</v>
      </c>
      <c r="G669" s="2" t="s">
        <v>617</v>
      </c>
      <c r="H669" s="2">
        <v>0.0</v>
      </c>
      <c r="J669" s="3">
        <v>0.0</v>
      </c>
      <c r="K669" s="2" t="s">
        <v>3162</v>
      </c>
      <c r="L669" s="2"/>
      <c r="M669" s="2" t="s">
        <v>468</v>
      </c>
      <c r="N669" s="2" t="s">
        <v>406</v>
      </c>
      <c r="O669" s="3">
        <v>0.5</v>
      </c>
      <c r="Q669" s="3">
        <v>0.0</v>
      </c>
      <c r="U669" s="141"/>
      <c r="X669" s="172">
        <v>46057.642782766205</v>
      </c>
      <c r="Y669" s="172"/>
      <c r="Z669" s="3">
        <v>46003.0</v>
      </c>
      <c r="AA669" s="3"/>
    </row>
    <row r="670">
      <c r="A670" s="3">
        <v>6.796307300611E12</v>
      </c>
      <c r="B670" s="2" t="s">
        <v>3163</v>
      </c>
      <c r="C670" s="2" t="s">
        <v>3164</v>
      </c>
      <c r="D670" s="169">
        <v>46003.0</v>
      </c>
      <c r="E670" s="2">
        <v>3.072219393E9</v>
      </c>
      <c r="F670" s="2" t="s">
        <v>3165</v>
      </c>
      <c r="G670" s="2" t="s">
        <v>2725</v>
      </c>
      <c r="H670" s="2">
        <v>0.0</v>
      </c>
      <c r="J670" s="3">
        <v>0.0</v>
      </c>
      <c r="K670" s="2" t="s">
        <v>3166</v>
      </c>
      <c r="L670" s="2"/>
      <c r="M670" s="2" t="s">
        <v>468</v>
      </c>
      <c r="N670" s="2" t="s">
        <v>406</v>
      </c>
      <c r="O670" s="3">
        <v>0.5</v>
      </c>
      <c r="Q670" s="3">
        <v>0.0</v>
      </c>
      <c r="U670" s="141"/>
      <c r="X670" s="172">
        <v>46057.642782766205</v>
      </c>
      <c r="Y670" s="172"/>
      <c r="Z670" s="3">
        <v>46003.0</v>
      </c>
      <c r="AA670" s="3"/>
    </row>
    <row r="671">
      <c r="A671" s="3">
        <v>6.796331876611E12</v>
      </c>
      <c r="B671" s="2" t="s">
        <v>3167</v>
      </c>
      <c r="C671" s="2" t="s">
        <v>3168</v>
      </c>
      <c r="D671" s="169">
        <v>46003.0</v>
      </c>
      <c r="E671" s="2">
        <v>3.079325709E9</v>
      </c>
      <c r="F671" s="2" t="s">
        <v>3169</v>
      </c>
      <c r="G671" s="2" t="s">
        <v>493</v>
      </c>
      <c r="H671" s="2">
        <v>0.0</v>
      </c>
      <c r="I671" s="2">
        <v>2.8120050020393E13</v>
      </c>
      <c r="J671" s="3">
        <v>0.0</v>
      </c>
      <c r="K671" s="2" t="s">
        <v>2653</v>
      </c>
      <c r="L671" s="2"/>
      <c r="M671" s="170" t="s">
        <v>455</v>
      </c>
      <c r="N671" s="2" t="s">
        <v>406</v>
      </c>
      <c r="O671" s="3">
        <v>0.5</v>
      </c>
      <c r="P671" s="2" t="s">
        <v>73</v>
      </c>
      <c r="Q671" s="3">
        <v>0.0</v>
      </c>
      <c r="T671" s="2" t="s">
        <v>2140</v>
      </c>
      <c r="U671" s="171">
        <v>0.0</v>
      </c>
      <c r="V671" s="172">
        <v>46021.0</v>
      </c>
      <c r="W671" s="3">
        <v>227.0</v>
      </c>
      <c r="X671" s="172">
        <v>46057.642782766205</v>
      </c>
      <c r="Y671" s="172"/>
      <c r="Z671" s="3">
        <v>46003.0</v>
      </c>
      <c r="AA671" s="3"/>
    </row>
    <row r="672">
      <c r="A672" s="3">
        <v>6.796395249923E12</v>
      </c>
      <c r="B672" s="2" t="s">
        <v>3170</v>
      </c>
      <c r="C672" s="2" t="s">
        <v>3171</v>
      </c>
      <c r="D672" s="169">
        <v>46004.0</v>
      </c>
      <c r="E672" s="2">
        <v>3.01281867E9</v>
      </c>
      <c r="F672" s="2" t="s">
        <v>3172</v>
      </c>
      <c r="G672" s="2" t="s">
        <v>3173</v>
      </c>
      <c r="H672" s="2">
        <v>0.0</v>
      </c>
      <c r="I672" s="2" t="s">
        <v>3174</v>
      </c>
      <c r="J672" s="3">
        <v>0.0</v>
      </c>
      <c r="K672" s="2" t="s">
        <v>3175</v>
      </c>
      <c r="L672" s="2"/>
      <c r="M672" s="170" t="s">
        <v>455</v>
      </c>
      <c r="N672" s="2" t="s">
        <v>406</v>
      </c>
      <c r="O672" s="3">
        <v>0.5</v>
      </c>
      <c r="P672" s="2" t="s">
        <v>640</v>
      </c>
      <c r="Q672" s="3">
        <v>0.0</v>
      </c>
      <c r="T672" s="2" t="s">
        <v>2981</v>
      </c>
      <c r="U672" s="141"/>
      <c r="W672" s="3">
        <v>292.2</v>
      </c>
      <c r="X672" s="172">
        <v>46057.642782766205</v>
      </c>
      <c r="Y672" s="172"/>
      <c r="Z672" s="3">
        <v>46004.0</v>
      </c>
      <c r="AA672" s="3"/>
    </row>
    <row r="673">
      <c r="A673" s="3">
        <v>6.796398035203E12</v>
      </c>
      <c r="B673" s="2" t="s">
        <v>3176</v>
      </c>
      <c r="C673" s="2" t="s">
        <v>3177</v>
      </c>
      <c r="D673" s="169">
        <v>46004.0</v>
      </c>
      <c r="E673" s="2">
        <v>3.211111583E9</v>
      </c>
      <c r="F673" s="2" t="s">
        <v>3178</v>
      </c>
      <c r="G673" s="2" t="s">
        <v>368</v>
      </c>
      <c r="H673" s="2">
        <v>0.0</v>
      </c>
      <c r="I673" s="2">
        <v>2.6120050020394E13</v>
      </c>
      <c r="J673" s="3">
        <v>0.0</v>
      </c>
      <c r="K673" s="2" t="s">
        <v>3179</v>
      </c>
      <c r="L673" s="2"/>
      <c r="M673" s="170" t="s">
        <v>455</v>
      </c>
      <c r="N673" s="2" t="s">
        <v>406</v>
      </c>
      <c r="O673" s="3">
        <v>0.5</v>
      </c>
      <c r="P673" s="2" t="s">
        <v>363</v>
      </c>
      <c r="Q673" s="3">
        <v>0.0</v>
      </c>
      <c r="T673" s="2" t="s">
        <v>777</v>
      </c>
      <c r="U673" s="171">
        <v>0.0</v>
      </c>
      <c r="V673" s="172">
        <v>46014.0</v>
      </c>
      <c r="W673" s="3">
        <v>120.0</v>
      </c>
      <c r="X673" s="172">
        <v>46057.64278277778</v>
      </c>
      <c r="Y673" s="172"/>
      <c r="Z673" s="3">
        <v>46004.0</v>
      </c>
      <c r="AA673" s="3"/>
    </row>
    <row r="674">
      <c r="A674" s="3">
        <v>6.796405178627E12</v>
      </c>
      <c r="B674" s="2" t="s">
        <v>3180</v>
      </c>
      <c r="C674" s="2" t="s">
        <v>3181</v>
      </c>
      <c r="D674" s="169">
        <v>46004.0</v>
      </c>
      <c r="E674" s="173" t="s">
        <v>3182</v>
      </c>
      <c r="F674" s="2" t="s">
        <v>3183</v>
      </c>
      <c r="G674" s="2" t="s">
        <v>506</v>
      </c>
      <c r="H674" s="2">
        <v>2748.0</v>
      </c>
      <c r="I674" s="2">
        <v>2.2120050020284E13</v>
      </c>
      <c r="J674" s="3">
        <v>1.0</v>
      </c>
      <c r="L674" s="2" t="s">
        <v>519</v>
      </c>
      <c r="M674" s="174" t="s">
        <v>409</v>
      </c>
      <c r="N674" s="2" t="s">
        <v>462</v>
      </c>
      <c r="O674" s="3">
        <v>0.5</v>
      </c>
      <c r="P674" s="2" t="s">
        <v>363</v>
      </c>
      <c r="Q674" s="3">
        <v>850.0</v>
      </c>
      <c r="T674" s="2" t="s">
        <v>674</v>
      </c>
      <c r="U674" s="171">
        <v>2748.0</v>
      </c>
      <c r="V674" s="172">
        <v>46007.0</v>
      </c>
      <c r="W674" s="3">
        <v>310.0</v>
      </c>
      <c r="X674" s="172">
        <v>46005.57865740741</v>
      </c>
      <c r="Y674" s="172"/>
      <c r="Z674" s="3">
        <v>46004.0</v>
      </c>
      <c r="AA674" s="3"/>
    </row>
    <row r="675">
      <c r="A675" s="3">
        <v>6.796436734211E12</v>
      </c>
      <c r="B675" s="2" t="s">
        <v>3184</v>
      </c>
      <c r="C675" s="2" t="s">
        <v>3185</v>
      </c>
      <c r="D675" s="169">
        <v>46004.0</v>
      </c>
      <c r="E675" s="2">
        <v>3.224282607E9</v>
      </c>
      <c r="F675" s="2" t="s">
        <v>3186</v>
      </c>
      <c r="G675" s="2" t="s">
        <v>368</v>
      </c>
      <c r="H675" s="2">
        <v>2449.0</v>
      </c>
      <c r="I675" s="2">
        <v>2.5120050020283E13</v>
      </c>
      <c r="J675" s="3">
        <v>1.0</v>
      </c>
      <c r="L675" s="2" t="s">
        <v>519</v>
      </c>
      <c r="M675" s="174" t="s">
        <v>409</v>
      </c>
      <c r="N675" s="2" t="s">
        <v>462</v>
      </c>
      <c r="O675" s="3">
        <v>0.5</v>
      </c>
      <c r="P675" s="2" t="s">
        <v>363</v>
      </c>
      <c r="Q675" s="3">
        <v>850.0</v>
      </c>
      <c r="T675" s="2" t="s">
        <v>674</v>
      </c>
      <c r="U675" s="3">
        <v>2449.0</v>
      </c>
      <c r="V675" s="172">
        <v>46007.0</v>
      </c>
      <c r="W675" s="3">
        <v>306.0</v>
      </c>
      <c r="X675" s="172">
        <v>46006.6190625</v>
      </c>
      <c r="Y675" s="172"/>
      <c r="Z675" s="3">
        <v>46004.0</v>
      </c>
      <c r="AA675" s="3"/>
    </row>
    <row r="676">
      <c r="A676" s="3">
        <v>6.796535955715E12</v>
      </c>
      <c r="B676" s="2" t="s">
        <v>3187</v>
      </c>
      <c r="C676" s="2" t="s">
        <v>3188</v>
      </c>
      <c r="D676" s="169">
        <v>46004.0</v>
      </c>
      <c r="E676" s="2">
        <v>3.366122712E9</v>
      </c>
      <c r="F676" s="2" t="s">
        <v>3189</v>
      </c>
      <c r="G676" s="2" t="s">
        <v>688</v>
      </c>
      <c r="H676" s="2">
        <v>0.0</v>
      </c>
      <c r="I676" s="2">
        <v>2.4120050020269E13</v>
      </c>
      <c r="J676" s="3">
        <v>0.0</v>
      </c>
      <c r="K676" s="2" t="s">
        <v>3190</v>
      </c>
      <c r="L676" s="2"/>
      <c r="M676" s="170" t="s">
        <v>455</v>
      </c>
      <c r="N676" s="2" t="s">
        <v>406</v>
      </c>
      <c r="O676" s="3">
        <v>0.5</v>
      </c>
      <c r="P676" s="2" t="s">
        <v>363</v>
      </c>
      <c r="Q676" s="3">
        <v>0.0</v>
      </c>
      <c r="T676" s="2" t="s">
        <v>777</v>
      </c>
      <c r="U676" s="171">
        <v>0.0</v>
      </c>
      <c r="V676" s="172">
        <v>46014.0</v>
      </c>
      <c r="W676" s="3">
        <v>200.0</v>
      </c>
      <c r="X676" s="172">
        <v>46057.64278277778</v>
      </c>
      <c r="Y676" s="172"/>
      <c r="Z676" s="3">
        <v>46004.0</v>
      </c>
      <c r="AA676" s="3"/>
    </row>
    <row r="677">
      <c r="A677" s="3">
        <v>6.796557615363E12</v>
      </c>
      <c r="B677" s="2" t="s">
        <v>3191</v>
      </c>
      <c r="C677" s="2" t="s">
        <v>3192</v>
      </c>
      <c r="D677" s="169">
        <v>46004.0</v>
      </c>
      <c r="E677" s="173" t="s">
        <v>3193</v>
      </c>
      <c r="F677" s="2" t="s">
        <v>3194</v>
      </c>
      <c r="G677" s="2" t="s">
        <v>1111</v>
      </c>
      <c r="H677" s="2">
        <v>3099.0</v>
      </c>
      <c r="I677" s="2">
        <v>2.6120050020395E13</v>
      </c>
      <c r="J677" s="3">
        <v>2.0</v>
      </c>
      <c r="K677" s="2" t="s">
        <v>511</v>
      </c>
      <c r="L677" s="2" t="s">
        <v>27</v>
      </c>
      <c r="M677" s="174" t="s">
        <v>409</v>
      </c>
      <c r="N677" s="2" t="s">
        <v>462</v>
      </c>
      <c r="O677" s="3">
        <v>0.5</v>
      </c>
      <c r="P677" s="2" t="s">
        <v>363</v>
      </c>
      <c r="Q677" s="3">
        <v>920.0</v>
      </c>
      <c r="T677" s="2" t="s">
        <v>599</v>
      </c>
      <c r="U677" s="171">
        <v>3099.0</v>
      </c>
      <c r="V677" s="172">
        <v>46010.0</v>
      </c>
      <c r="W677" s="3">
        <v>324.0</v>
      </c>
      <c r="X677" s="172">
        <v>46008.614074074074</v>
      </c>
      <c r="Y677" s="172"/>
      <c r="Z677" s="3">
        <v>46004.0</v>
      </c>
      <c r="AA677" s="3"/>
    </row>
    <row r="678">
      <c r="A678" s="3">
        <v>6.796740821251E12</v>
      </c>
      <c r="B678" s="2" t="s">
        <v>3195</v>
      </c>
      <c r="C678" s="2" t="s">
        <v>3196</v>
      </c>
      <c r="D678" s="169">
        <v>46004.0</v>
      </c>
      <c r="E678" s="2">
        <v>3.323001866E9</v>
      </c>
      <c r="F678" s="2" t="s">
        <v>3197</v>
      </c>
      <c r="G678" s="2" t="s">
        <v>493</v>
      </c>
      <c r="H678" s="2">
        <v>4649.0</v>
      </c>
      <c r="I678" s="2">
        <v>2.5120050020282E13</v>
      </c>
      <c r="J678" s="3">
        <v>2.0</v>
      </c>
      <c r="L678" s="2" t="s">
        <v>913</v>
      </c>
      <c r="M678" s="174" t="s">
        <v>409</v>
      </c>
      <c r="N678" s="2" t="s">
        <v>462</v>
      </c>
      <c r="O678" s="3">
        <v>0.5</v>
      </c>
      <c r="P678" s="2" t="s">
        <v>363</v>
      </c>
      <c r="Q678" s="3">
        <v>1700.0</v>
      </c>
      <c r="T678" s="2" t="s">
        <v>599</v>
      </c>
      <c r="U678" s="171">
        <v>4649.0</v>
      </c>
      <c r="V678" s="172">
        <v>46010.0</v>
      </c>
      <c r="W678" s="3">
        <v>506.0</v>
      </c>
      <c r="X678" s="172">
        <v>46007.75555555556</v>
      </c>
      <c r="Y678" s="172"/>
      <c r="Z678" s="3">
        <v>46004.0</v>
      </c>
      <c r="AA678" s="3"/>
    </row>
    <row r="679">
      <c r="A679" s="3">
        <v>6.796752027907E12</v>
      </c>
      <c r="B679" s="2" t="s">
        <v>3198</v>
      </c>
      <c r="C679" s="2" t="s">
        <v>3199</v>
      </c>
      <c r="D679" s="169">
        <v>46004.0</v>
      </c>
      <c r="E679" s="2">
        <v>3.008171717E9</v>
      </c>
      <c r="F679" s="2" t="s">
        <v>3200</v>
      </c>
      <c r="G679" s="2" t="s">
        <v>541</v>
      </c>
      <c r="H679" s="2">
        <v>0.0</v>
      </c>
      <c r="I679" s="2">
        <v>2.812005002027E13</v>
      </c>
      <c r="J679" s="3">
        <v>0.0</v>
      </c>
      <c r="K679" s="2" t="s">
        <v>3201</v>
      </c>
      <c r="L679" s="2"/>
      <c r="M679" s="170" t="s">
        <v>455</v>
      </c>
      <c r="N679" s="2" t="s">
        <v>406</v>
      </c>
      <c r="O679" s="3">
        <v>0.5</v>
      </c>
      <c r="P679" s="2" t="s">
        <v>73</v>
      </c>
      <c r="Q679" s="3">
        <v>0.0</v>
      </c>
      <c r="T679" s="2" t="s">
        <v>777</v>
      </c>
      <c r="U679" s="171">
        <v>0.0</v>
      </c>
      <c r="V679" s="172">
        <v>46014.0</v>
      </c>
      <c r="W679" s="3">
        <v>200.0</v>
      </c>
      <c r="X679" s="172">
        <v>46057.64278277778</v>
      </c>
      <c r="Y679" s="172"/>
      <c r="Z679" s="3">
        <v>46004.0</v>
      </c>
      <c r="AA679" s="3"/>
    </row>
    <row r="680">
      <c r="A680" s="3">
        <v>6.796799148291E12</v>
      </c>
      <c r="B680" s="2" t="s">
        <v>3202</v>
      </c>
      <c r="C680" s="2" t="s">
        <v>3203</v>
      </c>
      <c r="D680" s="169">
        <v>46004.0</v>
      </c>
      <c r="E680" s="2">
        <v>3.0097961E9</v>
      </c>
      <c r="F680" s="2" t="s">
        <v>3204</v>
      </c>
      <c r="G680" s="2" t="s">
        <v>3205</v>
      </c>
      <c r="H680" s="2">
        <v>0.0</v>
      </c>
      <c r="J680" s="3">
        <v>0.0</v>
      </c>
      <c r="K680" s="2" t="s">
        <v>3206</v>
      </c>
      <c r="L680" s="2"/>
      <c r="M680" s="2" t="s">
        <v>468</v>
      </c>
      <c r="N680" s="2" t="s">
        <v>406</v>
      </c>
      <c r="O680" s="3">
        <v>0.5</v>
      </c>
      <c r="Q680" s="3">
        <v>0.0</v>
      </c>
      <c r="U680" s="141"/>
      <c r="X680" s="172">
        <v>46057.64278277778</v>
      </c>
      <c r="Y680" s="172"/>
      <c r="Z680" s="3">
        <v>46004.0</v>
      </c>
      <c r="AA680" s="3"/>
    </row>
    <row r="681">
      <c r="A681" s="3">
        <v>6.796804227331E12</v>
      </c>
      <c r="B681" s="2" t="s">
        <v>3207</v>
      </c>
      <c r="C681" s="2" t="s">
        <v>3203</v>
      </c>
      <c r="D681" s="169">
        <v>46004.0</v>
      </c>
      <c r="E681" s="2">
        <v>3.3097961E9</v>
      </c>
      <c r="F681" s="2" t="s">
        <v>3204</v>
      </c>
      <c r="G681" s="2" t="s">
        <v>3205</v>
      </c>
      <c r="H681" s="2">
        <v>0.0</v>
      </c>
      <c r="J681" s="3">
        <v>0.0</v>
      </c>
      <c r="K681" s="2" t="s">
        <v>3206</v>
      </c>
      <c r="L681" s="2"/>
      <c r="M681" s="2" t="s">
        <v>468</v>
      </c>
      <c r="N681" s="2" t="s">
        <v>406</v>
      </c>
      <c r="O681" s="3">
        <v>0.5</v>
      </c>
      <c r="Q681" s="3">
        <v>0.0</v>
      </c>
      <c r="U681" s="141"/>
      <c r="X681" s="172">
        <v>46057.64278277778</v>
      </c>
      <c r="Y681" s="172"/>
      <c r="Z681" s="3">
        <v>46004.0</v>
      </c>
      <c r="AA681" s="3"/>
    </row>
    <row r="682">
      <c r="A682" s="3">
        <v>6.796815761667E12</v>
      </c>
      <c r="B682" s="2" t="s">
        <v>3208</v>
      </c>
      <c r="C682" s="2" t="s">
        <v>3209</v>
      </c>
      <c r="D682" s="169">
        <v>46004.0</v>
      </c>
      <c r="E682" s="2">
        <v>3.337877173E9</v>
      </c>
      <c r="F682" s="2" t="s">
        <v>3210</v>
      </c>
      <c r="G682" s="2" t="s">
        <v>506</v>
      </c>
      <c r="H682" s="2">
        <v>2749.0</v>
      </c>
      <c r="I682" s="2">
        <v>2.3120050020271E13</v>
      </c>
      <c r="J682" s="3">
        <v>2.0</v>
      </c>
      <c r="L682" s="2" t="s">
        <v>926</v>
      </c>
      <c r="M682" s="174" t="s">
        <v>409</v>
      </c>
      <c r="N682" s="2" t="s">
        <v>462</v>
      </c>
      <c r="O682" s="3">
        <v>0.5</v>
      </c>
      <c r="P682" s="2" t="s">
        <v>363</v>
      </c>
      <c r="Q682" s="3">
        <v>980.0</v>
      </c>
      <c r="T682" s="2" t="s">
        <v>674</v>
      </c>
      <c r="U682" s="171">
        <v>2749.0</v>
      </c>
      <c r="V682" s="172">
        <v>46007.0</v>
      </c>
      <c r="W682" s="3">
        <v>310.0</v>
      </c>
      <c r="X682" s="172">
        <v>46006.54189814815</v>
      </c>
      <c r="Y682" s="172"/>
      <c r="Z682" s="3">
        <v>46004.0</v>
      </c>
      <c r="AA682" s="3"/>
    </row>
    <row r="683">
      <c r="A683" s="3">
        <v>6.797002604803E12</v>
      </c>
      <c r="B683" s="2" t="s">
        <v>3211</v>
      </c>
      <c r="C683" s="2" t="s">
        <v>3212</v>
      </c>
      <c r="D683" s="169">
        <v>46004.0</v>
      </c>
      <c r="E683" s="2">
        <v>3.07663894E9</v>
      </c>
      <c r="F683" s="2" t="s">
        <v>3213</v>
      </c>
      <c r="G683" s="2" t="s">
        <v>461</v>
      </c>
      <c r="H683" s="2">
        <v>2748.0</v>
      </c>
      <c r="I683" s="2">
        <v>2.7120050020281E13</v>
      </c>
      <c r="J683" s="3">
        <v>1.0</v>
      </c>
      <c r="L683" s="2" t="s">
        <v>519</v>
      </c>
      <c r="M683" s="174" t="s">
        <v>409</v>
      </c>
      <c r="N683" s="2" t="s">
        <v>462</v>
      </c>
      <c r="O683" s="3">
        <v>0.5</v>
      </c>
      <c r="P683" s="2" t="s">
        <v>363</v>
      </c>
      <c r="Q683" s="3">
        <v>850.0</v>
      </c>
      <c r="T683" s="2" t="s">
        <v>674</v>
      </c>
      <c r="U683" s="171">
        <v>2748.0</v>
      </c>
      <c r="V683" s="172">
        <v>46007.0</v>
      </c>
      <c r="W683" s="3">
        <v>310.0</v>
      </c>
      <c r="X683" s="172">
        <v>46006.5849537037</v>
      </c>
      <c r="Y683" s="172"/>
      <c r="Z683" s="3">
        <v>46004.0</v>
      </c>
      <c r="AA683" s="3"/>
    </row>
    <row r="684">
      <c r="A684" s="3">
        <v>6.797023478019E12</v>
      </c>
      <c r="B684" s="2" t="s">
        <v>3214</v>
      </c>
      <c r="C684" s="2" t="s">
        <v>3215</v>
      </c>
      <c r="D684" s="169">
        <v>46004.0</v>
      </c>
      <c r="E684" s="173" t="s">
        <v>3216</v>
      </c>
      <c r="F684" s="2" t="s">
        <v>3217</v>
      </c>
      <c r="G684" s="2" t="s">
        <v>3218</v>
      </c>
      <c r="H684" s="2">
        <v>0.0</v>
      </c>
      <c r="I684" s="2">
        <v>2.1120050020272E13</v>
      </c>
      <c r="J684" s="3">
        <v>0.0</v>
      </c>
      <c r="K684" s="2" t="s">
        <v>2139</v>
      </c>
      <c r="L684" s="2"/>
      <c r="M684" s="170" t="s">
        <v>455</v>
      </c>
      <c r="N684" s="2" t="s">
        <v>406</v>
      </c>
      <c r="O684" s="3">
        <v>0.5</v>
      </c>
      <c r="P684" s="2" t="s">
        <v>73</v>
      </c>
      <c r="Q684" s="3">
        <v>0.0</v>
      </c>
      <c r="T684" s="2" t="s">
        <v>2140</v>
      </c>
      <c r="U684" s="171">
        <v>0.0</v>
      </c>
      <c r="V684" s="172">
        <v>46021.0</v>
      </c>
      <c r="W684" s="3">
        <v>213.0</v>
      </c>
      <c r="X684" s="172">
        <v>46057.64278277778</v>
      </c>
      <c r="Y684" s="172"/>
      <c r="Z684" s="3">
        <v>46004.0</v>
      </c>
      <c r="AA684" s="3"/>
    </row>
    <row r="685">
      <c r="A685" s="3">
        <v>6.797105987843E12</v>
      </c>
      <c r="B685" s="2" t="s">
        <v>3219</v>
      </c>
      <c r="C685" s="2" t="s">
        <v>3220</v>
      </c>
      <c r="D685" s="169">
        <v>46004.0</v>
      </c>
      <c r="E685" s="2">
        <v>3.087011947E9</v>
      </c>
      <c r="F685" s="2" t="s">
        <v>3221</v>
      </c>
      <c r="G685" s="2" t="s">
        <v>374</v>
      </c>
      <c r="H685" s="2">
        <v>1499.0</v>
      </c>
      <c r="I685" s="2">
        <v>2.7120050020273E13</v>
      </c>
      <c r="J685" s="3">
        <v>1.0</v>
      </c>
      <c r="L685" s="2" t="s">
        <v>3222</v>
      </c>
      <c r="M685" s="174" t="s">
        <v>409</v>
      </c>
      <c r="N685" s="2" t="s">
        <v>462</v>
      </c>
      <c r="O685" s="3">
        <v>0.5</v>
      </c>
      <c r="P685" s="2" t="s">
        <v>363</v>
      </c>
      <c r="Q685" s="3">
        <v>490.0</v>
      </c>
      <c r="T685" s="2" t="s">
        <v>674</v>
      </c>
      <c r="U685" s="3">
        <v>1499.0</v>
      </c>
      <c r="V685" s="172">
        <v>46007.0</v>
      </c>
      <c r="W685" s="3">
        <v>310.0</v>
      </c>
      <c r="X685" s="172">
        <v>46006.50366898148</v>
      </c>
      <c r="Y685" s="172"/>
      <c r="Z685" s="3">
        <v>46004.0</v>
      </c>
      <c r="AA685" s="3"/>
    </row>
    <row r="686">
      <c r="A686" s="3">
        <v>6.797110509827E12</v>
      </c>
      <c r="B686" s="2" t="s">
        <v>3223</v>
      </c>
      <c r="C686" s="2" t="s">
        <v>779</v>
      </c>
      <c r="D686" s="169">
        <v>46004.0</v>
      </c>
      <c r="E686" s="2">
        <v>3.013140222E9</v>
      </c>
      <c r="F686" s="2" t="s">
        <v>3224</v>
      </c>
      <c r="G686" s="2" t="s">
        <v>1630</v>
      </c>
      <c r="H686" s="2">
        <v>0.0</v>
      </c>
      <c r="I686" s="2">
        <v>2.9120050020274E13</v>
      </c>
      <c r="J686" s="3">
        <v>0.0</v>
      </c>
      <c r="K686" s="2" t="s">
        <v>3225</v>
      </c>
      <c r="L686" s="2"/>
      <c r="M686" s="170" t="s">
        <v>455</v>
      </c>
      <c r="N686" s="2" t="s">
        <v>406</v>
      </c>
      <c r="O686" s="3">
        <v>0.5</v>
      </c>
      <c r="P686" s="2" t="s">
        <v>363</v>
      </c>
      <c r="Q686" s="3">
        <v>0.0</v>
      </c>
      <c r="T686" s="2" t="s">
        <v>1468</v>
      </c>
      <c r="U686" s="171">
        <v>0.0</v>
      </c>
      <c r="V686" s="172">
        <v>46017.0</v>
      </c>
      <c r="W686" s="3">
        <v>200.0</v>
      </c>
      <c r="X686" s="172">
        <v>46057.64278277778</v>
      </c>
      <c r="Y686" s="172"/>
      <c r="Z686" s="3">
        <v>46004.0</v>
      </c>
      <c r="AA686" s="3"/>
    </row>
    <row r="687">
      <c r="A687" s="3">
        <v>6.797114736899E12</v>
      </c>
      <c r="B687" s="2" t="s">
        <v>3226</v>
      </c>
      <c r="C687" s="2" t="s">
        <v>3227</v>
      </c>
      <c r="D687" s="169">
        <v>46004.0</v>
      </c>
      <c r="E687" s="2">
        <v>3.238107997E9</v>
      </c>
      <c r="F687" s="2" t="s">
        <v>3228</v>
      </c>
      <c r="G687" s="2" t="s">
        <v>3229</v>
      </c>
      <c r="H687" s="2">
        <v>2749.0</v>
      </c>
      <c r="I687" s="2">
        <v>2.9120050020275E13</v>
      </c>
      <c r="J687" s="3">
        <v>2.0</v>
      </c>
      <c r="L687" s="2" t="s">
        <v>16</v>
      </c>
      <c r="M687" s="174" t="s">
        <v>409</v>
      </c>
      <c r="N687" s="2" t="s">
        <v>462</v>
      </c>
      <c r="O687" s="3">
        <v>0.5</v>
      </c>
      <c r="P687" s="2" t="s">
        <v>363</v>
      </c>
      <c r="Q687" s="3">
        <v>980.0</v>
      </c>
      <c r="T687" s="2" t="s">
        <v>1468</v>
      </c>
      <c r="U687" s="171">
        <v>2749.0</v>
      </c>
      <c r="V687" s="172">
        <v>46017.0</v>
      </c>
      <c r="W687" s="3">
        <v>323.0</v>
      </c>
      <c r="X687" s="172">
        <v>46015.68011574074</v>
      </c>
      <c r="Y687" s="172"/>
      <c r="Z687" s="3">
        <v>46004.0</v>
      </c>
      <c r="AA687" s="3"/>
    </row>
    <row r="688">
      <c r="A688" s="3">
        <v>6.797152715011E12</v>
      </c>
      <c r="B688" s="2" t="s">
        <v>3230</v>
      </c>
      <c r="C688" s="2" t="s">
        <v>3231</v>
      </c>
      <c r="D688" s="169">
        <v>46004.0</v>
      </c>
      <c r="E688" s="173" t="s">
        <v>3232</v>
      </c>
      <c r="F688" s="2" t="s">
        <v>3233</v>
      </c>
      <c r="G688" s="2" t="s">
        <v>493</v>
      </c>
      <c r="H688" s="2">
        <v>3099.0</v>
      </c>
      <c r="I688" s="2">
        <v>2.3120050020437E13</v>
      </c>
      <c r="J688" s="3">
        <v>2.0</v>
      </c>
      <c r="K688" s="2" t="s">
        <v>511</v>
      </c>
      <c r="L688" s="2" t="s">
        <v>50</v>
      </c>
      <c r="M688" s="174" t="s">
        <v>409</v>
      </c>
      <c r="N688" s="2" t="s">
        <v>462</v>
      </c>
      <c r="O688" s="3">
        <v>0.5</v>
      </c>
      <c r="P688" s="2" t="s">
        <v>363</v>
      </c>
      <c r="Q688" s="3">
        <v>920.0</v>
      </c>
      <c r="T688" s="2" t="s">
        <v>777</v>
      </c>
      <c r="U688" s="171">
        <v>3099.0</v>
      </c>
      <c r="V688" s="172">
        <v>46014.0</v>
      </c>
      <c r="W688" s="3">
        <v>337.0</v>
      </c>
      <c r="X688" s="172">
        <v>46011.715474537035</v>
      </c>
      <c r="Y688" s="172"/>
      <c r="Z688" s="3">
        <v>46004.0</v>
      </c>
      <c r="AA688" s="3"/>
    </row>
    <row r="689">
      <c r="A689" s="3">
        <v>6.797198819587E12</v>
      </c>
      <c r="B689" s="2" t="s">
        <v>3234</v>
      </c>
      <c r="C689" s="2" t="s">
        <v>3235</v>
      </c>
      <c r="D689" s="169">
        <v>46004.0</v>
      </c>
      <c r="E689" s="2">
        <v>3.196698051E9</v>
      </c>
      <c r="F689" s="2" t="s">
        <v>3236</v>
      </c>
      <c r="G689" s="2" t="s">
        <v>3237</v>
      </c>
      <c r="H689" s="2">
        <v>0.0</v>
      </c>
      <c r="I689" s="2">
        <v>2.412005002028E13</v>
      </c>
      <c r="J689" s="3">
        <v>0.0</v>
      </c>
      <c r="K689" s="2" t="s">
        <v>2139</v>
      </c>
      <c r="L689" s="2"/>
      <c r="M689" s="170" t="s">
        <v>455</v>
      </c>
      <c r="N689" s="2" t="s">
        <v>406</v>
      </c>
      <c r="O689" s="3">
        <v>0.5</v>
      </c>
      <c r="P689" s="2" t="s">
        <v>363</v>
      </c>
      <c r="Q689" s="3">
        <v>0.0</v>
      </c>
      <c r="T689" s="2" t="s">
        <v>2140</v>
      </c>
      <c r="U689" s="171">
        <v>0.0</v>
      </c>
      <c r="V689" s="172">
        <v>46021.0</v>
      </c>
      <c r="W689" s="3">
        <v>213.0</v>
      </c>
      <c r="X689" s="172">
        <v>46057.64278277778</v>
      </c>
      <c r="Y689" s="172"/>
      <c r="Z689" s="3">
        <v>46004.0</v>
      </c>
      <c r="AA689" s="3"/>
    </row>
    <row r="690">
      <c r="A690" s="3">
        <v>6.797201604867E12</v>
      </c>
      <c r="B690" s="2" t="s">
        <v>3238</v>
      </c>
      <c r="C690" s="2" t="s">
        <v>3239</v>
      </c>
      <c r="D690" s="169">
        <v>46004.0</v>
      </c>
      <c r="E690" s="173" t="s">
        <v>3240</v>
      </c>
      <c r="F690" s="2" t="s">
        <v>3241</v>
      </c>
      <c r="G690" s="2" t="s">
        <v>368</v>
      </c>
      <c r="H690" s="2">
        <v>3099.0</v>
      </c>
      <c r="I690" s="2">
        <v>2.6120050020276E13</v>
      </c>
      <c r="J690" s="3">
        <v>2.0</v>
      </c>
      <c r="L690" s="2" t="s">
        <v>3242</v>
      </c>
      <c r="M690" s="174" t="s">
        <v>409</v>
      </c>
      <c r="N690" s="2" t="s">
        <v>462</v>
      </c>
      <c r="O690" s="3">
        <v>0.5</v>
      </c>
      <c r="P690" s="2" t="s">
        <v>363</v>
      </c>
      <c r="Q690" s="3">
        <v>1000.0</v>
      </c>
      <c r="T690" s="2" t="s">
        <v>674</v>
      </c>
      <c r="U690" s="171">
        <v>3099.0</v>
      </c>
      <c r="V690" s="172">
        <v>46007.0</v>
      </c>
      <c r="W690" s="3">
        <v>244.0</v>
      </c>
      <c r="X690" s="172">
        <v>46006.7099537037</v>
      </c>
      <c r="Y690" s="172"/>
      <c r="Z690" s="3">
        <v>46004.0</v>
      </c>
      <c r="AA690" s="3"/>
    </row>
    <row r="691">
      <c r="A691" s="3">
        <v>6.797203374339E12</v>
      </c>
      <c r="B691" s="2" t="s">
        <v>3243</v>
      </c>
      <c r="C691" s="2" t="s">
        <v>3244</v>
      </c>
      <c r="D691" s="169">
        <v>46004.0</v>
      </c>
      <c r="E691" s="2">
        <v>3.147175339E9</v>
      </c>
      <c r="F691" s="2" t="s">
        <v>3245</v>
      </c>
      <c r="G691" s="2" t="s">
        <v>3237</v>
      </c>
      <c r="H691" s="2">
        <v>4649.0</v>
      </c>
      <c r="I691" s="2">
        <v>2.6120050020279E13</v>
      </c>
      <c r="J691" s="3">
        <v>2.0</v>
      </c>
      <c r="L691" s="2" t="s">
        <v>913</v>
      </c>
      <c r="M691" s="174" t="s">
        <v>409</v>
      </c>
      <c r="N691" s="2" t="s">
        <v>462</v>
      </c>
      <c r="O691" s="3">
        <v>0.5</v>
      </c>
      <c r="P691" s="2" t="s">
        <v>363</v>
      </c>
      <c r="Q691" s="3">
        <v>1700.0</v>
      </c>
      <c r="T691" s="2" t="s">
        <v>599</v>
      </c>
      <c r="U691" s="171">
        <v>4649.0</v>
      </c>
      <c r="V691" s="172">
        <v>46010.0</v>
      </c>
      <c r="W691" s="3">
        <v>506.0</v>
      </c>
      <c r="X691" s="172">
        <v>46008.80925925926</v>
      </c>
      <c r="Y691" s="172"/>
      <c r="Z691" s="3">
        <v>46004.0</v>
      </c>
      <c r="AA691" s="3"/>
    </row>
    <row r="692">
      <c r="A692" s="3">
        <v>6.797276512515E12</v>
      </c>
      <c r="B692" s="2" t="s">
        <v>3246</v>
      </c>
      <c r="C692" s="2" t="s">
        <v>3247</v>
      </c>
      <c r="D692" s="169">
        <v>46004.0</v>
      </c>
      <c r="E692" s="2">
        <v>3.218482112E9</v>
      </c>
      <c r="F692" s="2" t="s">
        <v>3248</v>
      </c>
      <c r="G692" s="2" t="s">
        <v>368</v>
      </c>
      <c r="H692" s="2">
        <v>3099.0</v>
      </c>
      <c r="I692" s="2">
        <v>2.1120050020431E13</v>
      </c>
      <c r="J692" s="3">
        <v>2.0</v>
      </c>
      <c r="L692" s="2" t="s">
        <v>906</v>
      </c>
      <c r="M692" s="174" t="s">
        <v>409</v>
      </c>
      <c r="N692" s="2" t="s">
        <v>462</v>
      </c>
      <c r="O692" s="3">
        <v>0.5</v>
      </c>
      <c r="P692" s="2" t="s">
        <v>73</v>
      </c>
      <c r="Q692" s="3">
        <v>920.0</v>
      </c>
      <c r="T692" s="2" t="s">
        <v>599</v>
      </c>
      <c r="U692" s="171">
        <v>3099.0</v>
      </c>
      <c r="V692" s="172">
        <v>46010.0</v>
      </c>
      <c r="W692" s="3">
        <v>231.0</v>
      </c>
      <c r="X692" s="172">
        <v>46008.67247685185</v>
      </c>
      <c r="Y692" s="172"/>
      <c r="Z692" s="3">
        <v>46004.0</v>
      </c>
      <c r="AA692" s="3"/>
    </row>
    <row r="693">
      <c r="A693" s="3">
        <v>6.797283262723E12</v>
      </c>
      <c r="B693" s="2" t="s">
        <v>3249</v>
      </c>
      <c r="C693" s="2" t="s">
        <v>3250</v>
      </c>
      <c r="D693" s="169">
        <v>46004.0</v>
      </c>
      <c r="E693" s="173" t="s">
        <v>3251</v>
      </c>
      <c r="F693" s="2" t="s">
        <v>3252</v>
      </c>
      <c r="G693" s="2" t="s">
        <v>3253</v>
      </c>
      <c r="H693" s="2">
        <v>2748.0</v>
      </c>
      <c r="I693" s="2">
        <v>2.8120050020547E13</v>
      </c>
      <c r="J693" s="3">
        <v>1.0</v>
      </c>
      <c r="K693" s="2" t="s">
        <v>3254</v>
      </c>
      <c r="L693" s="2" t="s">
        <v>512</v>
      </c>
      <c r="M693" s="174" t="s">
        <v>409</v>
      </c>
      <c r="N693" s="2" t="s">
        <v>406</v>
      </c>
      <c r="O693" s="3">
        <v>0.5</v>
      </c>
      <c r="P693" s="2" t="s">
        <v>73</v>
      </c>
      <c r="Q693" s="3">
        <v>850.0</v>
      </c>
      <c r="T693" s="2" t="s">
        <v>777</v>
      </c>
      <c r="U693" s="2">
        <v>2748.0</v>
      </c>
      <c r="V693" s="172">
        <v>46014.0</v>
      </c>
      <c r="W693" s="3">
        <v>322.0</v>
      </c>
      <c r="X693" s="172">
        <v>46013.88909722222</v>
      </c>
      <c r="Y693" s="172"/>
      <c r="Z693" s="3">
        <v>46004.0</v>
      </c>
      <c r="AA693" s="3"/>
    </row>
    <row r="694">
      <c r="A694" s="3">
        <v>6.797292568835E12</v>
      </c>
      <c r="B694" s="2" t="s">
        <v>3255</v>
      </c>
      <c r="C694" s="2" t="s">
        <v>3256</v>
      </c>
      <c r="D694" s="169">
        <v>46004.0</v>
      </c>
      <c r="E694" s="2">
        <v>3.115453501E9</v>
      </c>
      <c r="F694" s="2" t="s">
        <v>3257</v>
      </c>
      <c r="G694" s="2" t="s">
        <v>506</v>
      </c>
      <c r="H694" s="2">
        <v>0.0</v>
      </c>
      <c r="J694" s="3">
        <v>0.0</v>
      </c>
      <c r="K694" s="2" t="s">
        <v>3258</v>
      </c>
      <c r="L694" s="2"/>
      <c r="M694" s="2" t="s">
        <v>468</v>
      </c>
      <c r="N694" s="2" t="s">
        <v>406</v>
      </c>
      <c r="O694" s="3">
        <v>0.5</v>
      </c>
      <c r="Q694" s="3">
        <v>0.0</v>
      </c>
      <c r="U694" s="141"/>
      <c r="X694" s="172">
        <v>46057.64278277778</v>
      </c>
      <c r="Y694" s="172"/>
      <c r="Z694" s="3">
        <v>46004.0</v>
      </c>
      <c r="AA694" s="3"/>
    </row>
    <row r="695">
      <c r="A695" s="3">
        <v>6.797294305539E12</v>
      </c>
      <c r="B695" s="2" t="s">
        <v>3259</v>
      </c>
      <c r="C695" s="2" t="s">
        <v>3256</v>
      </c>
      <c r="D695" s="169">
        <v>46004.0</v>
      </c>
      <c r="E695" s="173" t="s">
        <v>3260</v>
      </c>
      <c r="F695" s="2" t="s">
        <v>3261</v>
      </c>
      <c r="G695" s="2" t="s">
        <v>506</v>
      </c>
      <c r="H695" s="2">
        <v>0.0</v>
      </c>
      <c r="I695" s="2">
        <v>2.6120050020432E13</v>
      </c>
      <c r="J695" s="3">
        <v>0.0</v>
      </c>
      <c r="K695" s="2" t="s">
        <v>3262</v>
      </c>
      <c r="L695" s="2"/>
      <c r="M695" s="170" t="s">
        <v>455</v>
      </c>
      <c r="N695" s="2" t="s">
        <v>406</v>
      </c>
      <c r="O695" s="3">
        <v>0.5</v>
      </c>
      <c r="P695" s="2" t="s">
        <v>363</v>
      </c>
      <c r="Q695" s="3">
        <v>0.0</v>
      </c>
      <c r="T695" s="2" t="s">
        <v>1468</v>
      </c>
      <c r="U695" s="171">
        <v>0.0</v>
      </c>
      <c r="V695" s="172">
        <v>46017.0</v>
      </c>
      <c r="W695" s="3">
        <v>220.0</v>
      </c>
      <c r="X695" s="172">
        <v>46057.64278277778</v>
      </c>
      <c r="Y695" s="172"/>
      <c r="Z695" s="3">
        <v>46004.0</v>
      </c>
      <c r="AA695" s="3"/>
    </row>
    <row r="696">
      <c r="A696" s="3">
        <v>6.797319799043E12</v>
      </c>
      <c r="B696" s="2" t="s">
        <v>3263</v>
      </c>
      <c r="C696" s="2" t="s">
        <v>3264</v>
      </c>
      <c r="D696" s="169">
        <v>46004.0</v>
      </c>
      <c r="E696" s="2">
        <v>3.131095315E9</v>
      </c>
      <c r="F696" s="2" t="s">
        <v>3265</v>
      </c>
      <c r="G696" s="2" t="s">
        <v>3266</v>
      </c>
      <c r="H696" s="2">
        <v>2749.0</v>
      </c>
      <c r="I696" s="2">
        <v>2.6120050020277E13</v>
      </c>
      <c r="J696" s="3">
        <v>2.0</v>
      </c>
      <c r="L696" s="2" t="s">
        <v>35</v>
      </c>
      <c r="M696" s="174" t="s">
        <v>409</v>
      </c>
      <c r="N696" s="2" t="s">
        <v>462</v>
      </c>
      <c r="O696" s="3">
        <v>0.5</v>
      </c>
      <c r="P696" s="2" t="s">
        <v>363</v>
      </c>
      <c r="Q696" s="3">
        <v>980.0</v>
      </c>
      <c r="T696" s="2" t="s">
        <v>599</v>
      </c>
      <c r="U696" s="171">
        <v>2749.0</v>
      </c>
      <c r="V696" s="172">
        <v>46010.0</v>
      </c>
      <c r="W696" s="3">
        <v>323.0</v>
      </c>
      <c r="X696" s="172">
        <v>46008.61201388889</v>
      </c>
      <c r="Y696" s="172"/>
      <c r="Z696" s="3">
        <v>46004.0</v>
      </c>
      <c r="AA696" s="3"/>
    </row>
    <row r="697">
      <c r="A697" s="3">
        <v>6.797322944771E12</v>
      </c>
      <c r="B697" s="2" t="s">
        <v>3267</v>
      </c>
      <c r="C697" s="2" t="s">
        <v>3268</v>
      </c>
      <c r="D697" s="169">
        <v>46004.0</v>
      </c>
      <c r="E697" s="173" t="s">
        <v>3269</v>
      </c>
      <c r="F697" s="2" t="s">
        <v>3270</v>
      </c>
      <c r="G697" s="2" t="s">
        <v>366</v>
      </c>
      <c r="H697" s="2">
        <v>2749.0</v>
      </c>
      <c r="I697" s="2">
        <v>2.8120050020278E13</v>
      </c>
      <c r="J697" s="3">
        <v>2.0</v>
      </c>
      <c r="L697" s="2" t="s">
        <v>926</v>
      </c>
      <c r="M697" s="174" t="s">
        <v>409</v>
      </c>
      <c r="N697" s="2" t="s">
        <v>462</v>
      </c>
      <c r="O697" s="3">
        <v>0.5</v>
      </c>
      <c r="P697" s="2" t="s">
        <v>73</v>
      </c>
      <c r="Q697" s="3">
        <v>980.0</v>
      </c>
      <c r="T697" s="2" t="s">
        <v>599</v>
      </c>
      <c r="U697" s="171">
        <v>2749.0</v>
      </c>
      <c r="V697" s="172">
        <v>46010.0</v>
      </c>
      <c r="W697" s="3">
        <v>310.0</v>
      </c>
      <c r="X697" s="172">
        <v>46007.549525462964</v>
      </c>
      <c r="Y697" s="172"/>
      <c r="Z697" s="3">
        <v>46004.0</v>
      </c>
      <c r="AA697" s="3"/>
    </row>
    <row r="698">
      <c r="A698" s="3">
        <v>6.797323239683E12</v>
      </c>
      <c r="B698" s="2" t="s">
        <v>3271</v>
      </c>
      <c r="C698" s="2" t="s">
        <v>2788</v>
      </c>
      <c r="D698" s="169">
        <v>46004.0</v>
      </c>
      <c r="E698" s="2">
        <v>3.293704518E9</v>
      </c>
      <c r="F698" s="2" t="s">
        <v>3272</v>
      </c>
      <c r="G698" s="2" t="s">
        <v>3273</v>
      </c>
      <c r="H698" s="2">
        <v>0.0</v>
      </c>
      <c r="J698" s="3">
        <v>0.0</v>
      </c>
      <c r="K698" s="2" t="s">
        <v>3274</v>
      </c>
      <c r="L698" s="2"/>
      <c r="M698" s="2" t="s">
        <v>468</v>
      </c>
      <c r="N698" s="2" t="s">
        <v>406</v>
      </c>
      <c r="O698" s="3">
        <v>0.5</v>
      </c>
      <c r="Q698" s="3">
        <v>0.0</v>
      </c>
      <c r="U698" s="141"/>
      <c r="X698" s="172">
        <v>46057.64278277778</v>
      </c>
      <c r="Y698" s="172"/>
      <c r="Z698" s="3">
        <v>46004.0</v>
      </c>
      <c r="AA698" s="3"/>
    </row>
    <row r="699">
      <c r="A699" s="3">
        <v>6.797355221251E12</v>
      </c>
      <c r="B699" s="2" t="s">
        <v>3275</v>
      </c>
      <c r="C699" s="2" t="s">
        <v>3276</v>
      </c>
      <c r="D699" s="169">
        <v>46004.0</v>
      </c>
      <c r="E699" s="173" t="s">
        <v>3277</v>
      </c>
      <c r="F699" s="2" t="s">
        <v>3278</v>
      </c>
      <c r="G699" s="2" t="s">
        <v>1156</v>
      </c>
      <c r="H699" s="2">
        <v>4649.0</v>
      </c>
      <c r="I699" s="2">
        <v>2.3120050020319E13</v>
      </c>
      <c r="J699" s="3">
        <v>2.0</v>
      </c>
      <c r="K699" s="2" t="s">
        <v>3279</v>
      </c>
      <c r="L699" s="2" t="s">
        <v>913</v>
      </c>
      <c r="M699" s="174" t="s">
        <v>409</v>
      </c>
      <c r="N699" s="2" t="s">
        <v>406</v>
      </c>
      <c r="O699" s="3">
        <v>0.5</v>
      </c>
      <c r="P699" s="2" t="s">
        <v>363</v>
      </c>
      <c r="Q699" s="3">
        <v>1700.0</v>
      </c>
      <c r="T699" s="2" t="s">
        <v>777</v>
      </c>
      <c r="U699" s="2">
        <v>4649.0</v>
      </c>
      <c r="V699" s="172">
        <v>46014.0</v>
      </c>
      <c r="W699" s="3">
        <v>396.0</v>
      </c>
      <c r="X699" s="172">
        <v>46011.74824074074</v>
      </c>
      <c r="Y699" s="172"/>
      <c r="Z699" s="3">
        <v>46004.0</v>
      </c>
      <c r="AA699" s="3"/>
    </row>
    <row r="700">
      <c r="A700" s="3">
        <v>6.797357318403E12</v>
      </c>
      <c r="B700" s="2" t="s">
        <v>3280</v>
      </c>
      <c r="C700" s="2" t="s">
        <v>3281</v>
      </c>
      <c r="D700" s="169">
        <v>46004.0</v>
      </c>
      <c r="E700" s="2">
        <v>3.347515553E9</v>
      </c>
      <c r="F700" s="2" t="s">
        <v>3282</v>
      </c>
      <c r="G700" s="2" t="s">
        <v>493</v>
      </c>
      <c r="H700" s="2">
        <v>0.0</v>
      </c>
      <c r="I700" s="2">
        <v>2.0120050020338E13</v>
      </c>
      <c r="J700" s="3">
        <v>0.0</v>
      </c>
      <c r="K700" s="2" t="s">
        <v>2139</v>
      </c>
      <c r="L700" s="2"/>
      <c r="M700" s="170" t="s">
        <v>455</v>
      </c>
      <c r="N700" s="2" t="s">
        <v>406</v>
      </c>
      <c r="O700" s="3">
        <v>0.5</v>
      </c>
      <c r="P700" s="2" t="s">
        <v>363</v>
      </c>
      <c r="Q700" s="3">
        <v>0.0</v>
      </c>
      <c r="T700" s="2" t="s">
        <v>2140</v>
      </c>
      <c r="U700" s="171">
        <v>0.0</v>
      </c>
      <c r="V700" s="172">
        <v>46021.0</v>
      </c>
      <c r="W700" s="3">
        <v>213.0</v>
      </c>
      <c r="X700" s="172">
        <v>46057.64278277778</v>
      </c>
      <c r="Y700" s="172"/>
      <c r="Z700" s="3">
        <v>46004.0</v>
      </c>
      <c r="AA700" s="3"/>
    </row>
    <row r="701">
      <c r="A701" s="3">
        <v>6.797364953347E12</v>
      </c>
      <c r="B701" s="2" t="s">
        <v>3283</v>
      </c>
      <c r="C701" s="2" t="s">
        <v>3284</v>
      </c>
      <c r="D701" s="169">
        <v>46004.0</v>
      </c>
      <c r="E701" s="2">
        <v>3.003545627E9</v>
      </c>
      <c r="F701" s="2" t="s">
        <v>3285</v>
      </c>
      <c r="G701" s="2" t="s">
        <v>3286</v>
      </c>
      <c r="H701" s="2">
        <v>0.0</v>
      </c>
      <c r="I701" s="2">
        <v>2.2120050020391E13</v>
      </c>
      <c r="J701" s="3">
        <v>0.0</v>
      </c>
      <c r="K701" s="2" t="s">
        <v>3287</v>
      </c>
      <c r="L701" s="2"/>
      <c r="M701" s="170" t="s">
        <v>455</v>
      </c>
      <c r="N701" s="2" t="s">
        <v>406</v>
      </c>
      <c r="O701" s="3">
        <v>0.5</v>
      </c>
      <c r="P701" s="2" t="s">
        <v>363</v>
      </c>
      <c r="Q701" s="3">
        <v>0.0</v>
      </c>
      <c r="T701" s="2" t="s">
        <v>2140</v>
      </c>
      <c r="U701" s="171">
        <v>0.0</v>
      </c>
      <c r="V701" s="172">
        <v>46021.0</v>
      </c>
      <c r="W701" s="3">
        <v>213.0</v>
      </c>
      <c r="X701" s="172">
        <v>46057.64278277778</v>
      </c>
      <c r="Y701" s="172"/>
      <c r="Z701" s="3">
        <v>46004.0</v>
      </c>
      <c r="AA701" s="3"/>
    </row>
    <row r="702">
      <c r="A702" s="3">
        <v>6.797368492291E12</v>
      </c>
      <c r="B702" s="2" t="s">
        <v>3288</v>
      </c>
      <c r="C702" s="2" t="s">
        <v>3289</v>
      </c>
      <c r="D702" s="169">
        <v>46004.0</v>
      </c>
      <c r="E702" s="2">
        <v>3.000092037E9</v>
      </c>
      <c r="F702" s="2" t="s">
        <v>3290</v>
      </c>
      <c r="G702" s="2" t="s">
        <v>541</v>
      </c>
      <c r="H702" s="2">
        <v>0.0</v>
      </c>
      <c r="J702" s="3">
        <v>0.0</v>
      </c>
      <c r="K702" s="2" t="s">
        <v>3291</v>
      </c>
      <c r="L702" s="2"/>
      <c r="M702" s="2" t="s">
        <v>468</v>
      </c>
      <c r="N702" s="2" t="s">
        <v>406</v>
      </c>
      <c r="O702" s="3">
        <v>0.5</v>
      </c>
      <c r="Q702" s="3">
        <v>0.0</v>
      </c>
      <c r="U702" s="141"/>
      <c r="X702" s="172">
        <v>46057.64278277778</v>
      </c>
      <c r="Y702" s="172"/>
      <c r="Z702" s="3">
        <v>46004.0</v>
      </c>
      <c r="AA702" s="3"/>
    </row>
    <row r="703">
      <c r="A703" s="3">
        <v>6.797380387075E12</v>
      </c>
      <c r="B703" s="2" t="s">
        <v>3292</v>
      </c>
      <c r="C703" s="2" t="s">
        <v>3293</v>
      </c>
      <c r="D703" s="169">
        <v>46004.0</v>
      </c>
      <c r="E703" s="2">
        <v>3.360353079E9</v>
      </c>
      <c r="F703" s="2" t="s">
        <v>3294</v>
      </c>
      <c r="G703" s="2" t="s">
        <v>3295</v>
      </c>
      <c r="H703" s="2">
        <v>2849.0</v>
      </c>
      <c r="I703" s="2">
        <v>2.6120050020339E13</v>
      </c>
      <c r="J703" s="3">
        <v>2.0</v>
      </c>
      <c r="L703" s="2" t="s">
        <v>593</v>
      </c>
      <c r="M703" s="174" t="s">
        <v>409</v>
      </c>
      <c r="N703" s="2" t="s">
        <v>462</v>
      </c>
      <c r="O703" s="3">
        <v>0.5</v>
      </c>
      <c r="P703" s="2" t="s">
        <v>363</v>
      </c>
      <c r="Q703" s="3">
        <v>1050.0</v>
      </c>
      <c r="T703" s="2" t="s">
        <v>599</v>
      </c>
      <c r="U703" s="171">
        <v>2849.0</v>
      </c>
      <c r="V703" s="172">
        <v>46010.0</v>
      </c>
      <c r="W703" s="3">
        <v>327.0</v>
      </c>
      <c r="X703" s="172">
        <v>46009.729479166665</v>
      </c>
      <c r="Y703" s="172"/>
      <c r="Z703" s="3">
        <v>46004.0</v>
      </c>
      <c r="AA703" s="3"/>
    </row>
    <row r="704">
      <c r="A704" s="3">
        <v>6.797441204483E12</v>
      </c>
      <c r="B704" s="2" t="s">
        <v>3296</v>
      </c>
      <c r="C704" s="2" t="s">
        <v>3297</v>
      </c>
      <c r="D704" s="169">
        <v>46004.0</v>
      </c>
      <c r="E704" s="2">
        <v>3.037125824E9</v>
      </c>
      <c r="F704" s="2" t="s">
        <v>3298</v>
      </c>
      <c r="G704" s="2" t="s">
        <v>368</v>
      </c>
      <c r="H704" s="2">
        <v>0.0</v>
      </c>
      <c r="I704" s="2">
        <v>2.3120050020368E13</v>
      </c>
      <c r="J704" s="3">
        <v>0.0</v>
      </c>
      <c r="K704" s="2" t="s">
        <v>3299</v>
      </c>
      <c r="L704" s="2"/>
      <c r="M704" s="170" t="s">
        <v>455</v>
      </c>
      <c r="N704" s="2" t="s">
        <v>406</v>
      </c>
      <c r="O704" s="3">
        <v>0.5</v>
      </c>
      <c r="P704" s="2" t="s">
        <v>363</v>
      </c>
      <c r="Q704" s="3">
        <v>0.0</v>
      </c>
      <c r="T704" s="2" t="s">
        <v>1468</v>
      </c>
      <c r="U704" s="171">
        <v>0.0</v>
      </c>
      <c r="V704" s="172">
        <v>46017.0</v>
      </c>
      <c r="W704" s="3">
        <v>120.0</v>
      </c>
      <c r="X704" s="172">
        <v>46057.64278277778</v>
      </c>
      <c r="Y704" s="172"/>
      <c r="Z704" s="3">
        <v>46004.0</v>
      </c>
      <c r="AA704" s="3"/>
    </row>
    <row r="705">
      <c r="A705" s="3">
        <v>6.797449363715E12</v>
      </c>
      <c r="B705" s="2" t="s">
        <v>3300</v>
      </c>
      <c r="C705" s="2" t="s">
        <v>2835</v>
      </c>
      <c r="D705" s="169">
        <v>46004.0</v>
      </c>
      <c r="E705" s="173" t="s">
        <v>2836</v>
      </c>
      <c r="F705" s="2" t="s">
        <v>2837</v>
      </c>
      <c r="G705" s="2" t="s">
        <v>2838</v>
      </c>
      <c r="H705" s="2">
        <v>1299.0</v>
      </c>
      <c r="I705" s="2">
        <v>2.412005002034E13</v>
      </c>
      <c r="J705" s="3">
        <v>1.0</v>
      </c>
      <c r="L705" s="2" t="s">
        <v>3301</v>
      </c>
      <c r="M705" s="174" t="s">
        <v>409</v>
      </c>
      <c r="N705" s="2" t="s">
        <v>462</v>
      </c>
      <c r="O705" s="3">
        <v>0.5</v>
      </c>
      <c r="P705" s="2" t="s">
        <v>363</v>
      </c>
      <c r="Q705" s="3">
        <v>550.0</v>
      </c>
      <c r="T705" s="2" t="s">
        <v>599</v>
      </c>
      <c r="U705" s="171">
        <v>1299.0</v>
      </c>
      <c r="V705" s="172">
        <v>46010.0</v>
      </c>
      <c r="W705" s="3">
        <v>252.0</v>
      </c>
      <c r="X705" s="172">
        <v>46008.54115740741</v>
      </c>
      <c r="Y705" s="172"/>
      <c r="Z705" s="3">
        <v>46004.0</v>
      </c>
      <c r="AA705" s="3"/>
    </row>
    <row r="706">
      <c r="A706" s="3">
        <v>6.797492125955E12</v>
      </c>
      <c r="B706" s="2" t="s">
        <v>3302</v>
      </c>
      <c r="C706" s="2" t="s">
        <v>2197</v>
      </c>
      <c r="D706" s="169">
        <v>46004.0</v>
      </c>
      <c r="E706" s="173" t="s">
        <v>3303</v>
      </c>
      <c r="F706" s="2" t="s">
        <v>3304</v>
      </c>
      <c r="G706" s="2" t="s">
        <v>3305</v>
      </c>
      <c r="H706" s="2">
        <v>2748.0</v>
      </c>
      <c r="I706" s="2">
        <v>2.2120050020407E13</v>
      </c>
      <c r="J706" s="3">
        <v>1.0</v>
      </c>
      <c r="K706" s="2" t="s">
        <v>511</v>
      </c>
      <c r="L706" s="2" t="s">
        <v>3306</v>
      </c>
      <c r="M706" s="174" t="s">
        <v>409</v>
      </c>
      <c r="N706" s="2" t="s">
        <v>462</v>
      </c>
      <c r="O706" s="3">
        <v>0.5</v>
      </c>
      <c r="P706" s="2" t="s">
        <v>363</v>
      </c>
      <c r="Q706" s="3">
        <v>1100.0</v>
      </c>
      <c r="T706" s="2" t="s">
        <v>777</v>
      </c>
      <c r="U706" s="171">
        <v>2748.0</v>
      </c>
      <c r="V706" s="172">
        <v>46014.0</v>
      </c>
      <c r="W706" s="3">
        <v>310.0</v>
      </c>
      <c r="X706" s="172">
        <v>46011.85177083334</v>
      </c>
      <c r="Y706" s="172"/>
      <c r="Z706" s="3">
        <v>46004.0</v>
      </c>
      <c r="AA706" s="3"/>
    </row>
    <row r="707">
      <c r="A707" s="3">
        <v>6.797496713475E12</v>
      </c>
      <c r="B707" s="2" t="s">
        <v>3307</v>
      </c>
      <c r="C707" s="2" t="s">
        <v>3308</v>
      </c>
      <c r="D707" s="169">
        <v>46004.0</v>
      </c>
      <c r="E707" s="2">
        <v>3.287836606E9</v>
      </c>
      <c r="F707" s="2" t="s">
        <v>3309</v>
      </c>
      <c r="G707" s="2" t="s">
        <v>3310</v>
      </c>
      <c r="H707" s="2">
        <v>0.0</v>
      </c>
      <c r="I707" s="2">
        <v>6.350044312E9</v>
      </c>
      <c r="J707" s="3">
        <v>0.0</v>
      </c>
      <c r="K707" s="2" t="s">
        <v>3311</v>
      </c>
      <c r="L707" s="2"/>
      <c r="M707" s="2" t="s">
        <v>468</v>
      </c>
      <c r="N707" s="2" t="s">
        <v>406</v>
      </c>
      <c r="O707" s="3">
        <v>0.5</v>
      </c>
      <c r="P707" s="2" t="s">
        <v>837</v>
      </c>
      <c r="Q707" s="3">
        <v>0.0</v>
      </c>
      <c r="U707" s="141"/>
      <c r="X707" s="172">
        <v>46059.31647609954</v>
      </c>
      <c r="Y707" s="172"/>
      <c r="Z707" s="3">
        <v>46004.0</v>
      </c>
      <c r="AA707" s="3"/>
    </row>
    <row r="708">
      <c r="A708" s="3">
        <v>6.797499367683E12</v>
      </c>
      <c r="B708" s="2" t="s">
        <v>3312</v>
      </c>
      <c r="C708" s="2" t="s">
        <v>3308</v>
      </c>
      <c r="D708" s="169">
        <v>46004.0</v>
      </c>
      <c r="E708" s="2">
        <v>3.327608202E9</v>
      </c>
      <c r="F708" s="2" t="s">
        <v>3313</v>
      </c>
      <c r="G708" s="2" t="s">
        <v>3310</v>
      </c>
      <c r="H708" s="2">
        <v>2748.0</v>
      </c>
      <c r="I708" s="2">
        <v>2.8120050020388E13</v>
      </c>
      <c r="J708" s="3">
        <v>1.0</v>
      </c>
      <c r="K708" s="2" t="s">
        <v>3314</v>
      </c>
      <c r="L708" s="2" t="s">
        <v>519</v>
      </c>
      <c r="M708" s="174" t="s">
        <v>409</v>
      </c>
      <c r="N708" s="2" t="s">
        <v>462</v>
      </c>
      <c r="O708" s="3">
        <v>0.5</v>
      </c>
      <c r="P708" s="2" t="s">
        <v>73</v>
      </c>
      <c r="Q708" s="3">
        <v>850.0</v>
      </c>
      <c r="T708" s="2" t="s">
        <v>599</v>
      </c>
      <c r="U708" s="171">
        <v>2748.0</v>
      </c>
      <c r="V708" s="172">
        <v>46010.0</v>
      </c>
      <c r="W708" s="3">
        <v>330.0</v>
      </c>
      <c r="X708" s="172">
        <v>46008.582129629634</v>
      </c>
      <c r="Y708" s="172"/>
      <c r="Z708" s="3">
        <v>46004.0</v>
      </c>
      <c r="AA708" s="3"/>
    </row>
    <row r="709">
      <c r="A709" s="3">
        <v>6.797512212739E12</v>
      </c>
      <c r="B709" s="2" t="s">
        <v>3315</v>
      </c>
      <c r="C709" s="2" t="s">
        <v>3316</v>
      </c>
      <c r="D709" s="169">
        <v>46004.0</v>
      </c>
      <c r="E709" s="2">
        <v>3.218427105E9</v>
      </c>
      <c r="F709" s="2" t="s">
        <v>3317</v>
      </c>
      <c r="G709" s="2" t="s">
        <v>368</v>
      </c>
      <c r="H709" s="2">
        <v>1799.0</v>
      </c>
      <c r="I709" s="2">
        <v>2.2120050020342E13</v>
      </c>
      <c r="J709" s="3">
        <v>1.0</v>
      </c>
      <c r="L709" s="2" t="s">
        <v>3222</v>
      </c>
      <c r="M709" s="174" t="s">
        <v>409</v>
      </c>
      <c r="N709" s="2" t="s">
        <v>462</v>
      </c>
      <c r="O709" s="3">
        <v>0.5</v>
      </c>
      <c r="P709" s="2" t="s">
        <v>363</v>
      </c>
      <c r="Q709" s="3">
        <v>490.0</v>
      </c>
      <c r="T709" s="2" t="s">
        <v>599</v>
      </c>
      <c r="U709" s="171">
        <v>1799.0</v>
      </c>
      <c r="V709" s="172">
        <v>46010.0</v>
      </c>
      <c r="W709" s="3">
        <v>179.0</v>
      </c>
      <c r="X709" s="172">
        <v>46007.55092592593</v>
      </c>
      <c r="Y709" s="172"/>
      <c r="Z709" s="3">
        <v>46004.0</v>
      </c>
      <c r="AA709" s="3"/>
    </row>
    <row r="710">
      <c r="A710" s="3">
        <v>6.797525745923E12</v>
      </c>
      <c r="B710" s="2" t="s">
        <v>3318</v>
      </c>
      <c r="C710" s="2" t="s">
        <v>3319</v>
      </c>
      <c r="D710" s="169">
        <v>46004.0</v>
      </c>
      <c r="E710" s="2">
        <v>3.009394028E9</v>
      </c>
      <c r="F710" s="2" t="s">
        <v>3320</v>
      </c>
      <c r="G710" s="2" t="s">
        <v>781</v>
      </c>
      <c r="H710" s="2">
        <v>4649.0</v>
      </c>
      <c r="I710" s="2">
        <v>2.7120050020369E13</v>
      </c>
      <c r="J710" s="3">
        <v>2.0</v>
      </c>
      <c r="L710" s="2" t="s">
        <v>913</v>
      </c>
      <c r="M710" s="174" t="s">
        <v>409</v>
      </c>
      <c r="N710" s="2" t="s">
        <v>462</v>
      </c>
      <c r="O710" s="3">
        <v>0.5</v>
      </c>
      <c r="P710" s="2" t="s">
        <v>363</v>
      </c>
      <c r="Q710" s="3">
        <v>1700.0</v>
      </c>
      <c r="T710" s="2" t="s">
        <v>599</v>
      </c>
      <c r="U710" s="171">
        <v>4649.0</v>
      </c>
      <c r="V710" s="172">
        <v>46010.0</v>
      </c>
      <c r="W710" s="3">
        <v>413.0</v>
      </c>
      <c r="X710" s="172">
        <v>46008.51965277777</v>
      </c>
      <c r="Y710" s="172"/>
      <c r="Z710" s="3">
        <v>46004.0</v>
      </c>
      <c r="AA710" s="3"/>
    </row>
    <row r="711">
      <c r="A711" s="3">
        <v>6.797655310595E12</v>
      </c>
      <c r="B711" s="2" t="s">
        <v>3321</v>
      </c>
      <c r="C711" s="2" t="s">
        <v>883</v>
      </c>
      <c r="D711" s="169">
        <v>46004.0</v>
      </c>
      <c r="E711" s="173" t="s">
        <v>3322</v>
      </c>
      <c r="F711" s="2" t="s">
        <v>884</v>
      </c>
      <c r="G711" s="2" t="s">
        <v>885</v>
      </c>
      <c r="H711" s="2">
        <v>0.0</v>
      </c>
      <c r="I711" s="2">
        <v>1.73009066497E11</v>
      </c>
      <c r="J711" s="3">
        <v>0.0</v>
      </c>
      <c r="K711" s="2" t="s">
        <v>537</v>
      </c>
      <c r="L711" s="2"/>
      <c r="M711" s="170" t="s">
        <v>455</v>
      </c>
      <c r="N711" s="2" t="s">
        <v>406</v>
      </c>
      <c r="O711" s="3">
        <v>0.5</v>
      </c>
      <c r="P711" s="2" t="s">
        <v>501</v>
      </c>
      <c r="Q711" s="3">
        <v>0.0</v>
      </c>
      <c r="T711" s="2" t="s">
        <v>2981</v>
      </c>
      <c r="U711" s="141"/>
      <c r="W711" s="3">
        <v>292.2</v>
      </c>
      <c r="X711" s="172">
        <v>46057.64278277778</v>
      </c>
      <c r="Y711" s="172"/>
      <c r="Z711" s="3">
        <v>46004.0</v>
      </c>
      <c r="AA711" s="3"/>
    </row>
    <row r="712">
      <c r="A712" s="3">
        <v>6.797776978179E12</v>
      </c>
      <c r="B712" s="2" t="s">
        <v>3323</v>
      </c>
      <c r="C712" s="2" t="s">
        <v>3324</v>
      </c>
      <c r="D712" s="169">
        <v>46004.0</v>
      </c>
      <c r="E712" s="2">
        <v>3.468207506E9</v>
      </c>
      <c r="F712" s="2" t="s">
        <v>3325</v>
      </c>
      <c r="G712" s="2" t="s">
        <v>493</v>
      </c>
      <c r="H712" s="2">
        <v>0.0</v>
      </c>
      <c r="I712" s="2">
        <v>2.512005002037E13</v>
      </c>
      <c r="J712" s="3">
        <v>0.0</v>
      </c>
      <c r="K712" s="2" t="s">
        <v>3326</v>
      </c>
      <c r="L712" s="2"/>
      <c r="M712" s="170" t="s">
        <v>455</v>
      </c>
      <c r="N712" s="2" t="s">
        <v>406</v>
      </c>
      <c r="O712" s="3">
        <v>0.5</v>
      </c>
      <c r="P712" s="2" t="s">
        <v>363</v>
      </c>
      <c r="Q712" s="3">
        <v>0.0</v>
      </c>
      <c r="T712" s="2" t="s">
        <v>2140</v>
      </c>
      <c r="U712" s="171">
        <v>0.0</v>
      </c>
      <c r="V712" s="172">
        <v>46021.0</v>
      </c>
      <c r="W712" s="3">
        <v>213.0</v>
      </c>
      <c r="X712" s="172">
        <v>46057.64278277778</v>
      </c>
      <c r="Y712" s="172"/>
      <c r="Z712" s="3">
        <v>46004.0</v>
      </c>
      <c r="AA712" s="3"/>
    </row>
    <row r="713">
      <c r="A713" s="3">
        <v>6.797854933251E12</v>
      </c>
      <c r="B713" s="2" t="s">
        <v>3327</v>
      </c>
      <c r="C713" s="2" t="s">
        <v>3328</v>
      </c>
      <c r="D713" s="169">
        <v>46004.0</v>
      </c>
      <c r="E713" s="173" t="s">
        <v>3329</v>
      </c>
      <c r="F713" s="2" t="s">
        <v>3330</v>
      </c>
      <c r="G713" s="2" t="s">
        <v>493</v>
      </c>
      <c r="H713" s="2">
        <v>0.0</v>
      </c>
      <c r="I713" s="2">
        <v>2.2120050020371E13</v>
      </c>
      <c r="J713" s="3">
        <v>0.0</v>
      </c>
      <c r="K713" s="2" t="s">
        <v>3331</v>
      </c>
      <c r="L713" s="2"/>
      <c r="M713" s="170" t="s">
        <v>455</v>
      </c>
      <c r="N713" s="2" t="s">
        <v>406</v>
      </c>
      <c r="O713" s="3">
        <v>0.5</v>
      </c>
      <c r="P713" s="2" t="s">
        <v>363</v>
      </c>
      <c r="Q713" s="3">
        <v>0.0</v>
      </c>
      <c r="U713" s="141"/>
      <c r="X713" s="172">
        <v>46057.64278277778</v>
      </c>
      <c r="Y713" s="172"/>
      <c r="Z713" s="3">
        <v>46004.0</v>
      </c>
      <c r="AA713" s="3"/>
    </row>
    <row r="714">
      <c r="A714" s="3">
        <v>6.797893599491E12</v>
      </c>
      <c r="B714" s="2" t="s">
        <v>3332</v>
      </c>
      <c r="C714" s="2" t="s">
        <v>3333</v>
      </c>
      <c r="D714" s="169">
        <v>46004.0</v>
      </c>
      <c r="E714" s="2">
        <v>3.192929431E9</v>
      </c>
      <c r="F714" s="2" t="s">
        <v>3334</v>
      </c>
      <c r="G714" s="2" t="s">
        <v>3335</v>
      </c>
      <c r="H714" s="2">
        <v>249.0</v>
      </c>
      <c r="I714" s="2">
        <v>2.9120050020372E13</v>
      </c>
      <c r="J714" s="3">
        <v>0.0</v>
      </c>
      <c r="L714" s="2"/>
      <c r="M714" s="174" t="s">
        <v>409</v>
      </c>
      <c r="N714" s="2" t="s">
        <v>462</v>
      </c>
      <c r="O714" s="3">
        <v>0.5</v>
      </c>
      <c r="P714" s="2" t="s">
        <v>363</v>
      </c>
      <c r="Q714" s="3">
        <v>0.0</v>
      </c>
      <c r="T714" s="2" t="s">
        <v>599</v>
      </c>
      <c r="U714" s="3">
        <v>249.0</v>
      </c>
      <c r="V714" s="172">
        <v>46010.0</v>
      </c>
      <c r="W714" s="3">
        <v>384.0</v>
      </c>
      <c r="X714" s="172">
        <v>46008.49811342593</v>
      </c>
      <c r="Y714" s="172"/>
      <c r="Z714" s="3">
        <v>46004.0</v>
      </c>
      <c r="AA714" s="3"/>
    </row>
    <row r="715">
      <c r="A715" s="3">
        <v>6.797909786883E12</v>
      </c>
      <c r="B715" s="2" t="s">
        <v>3336</v>
      </c>
      <c r="C715" s="2" t="s">
        <v>3337</v>
      </c>
      <c r="D715" s="169">
        <v>46004.0</v>
      </c>
      <c r="E715" s="2">
        <v>5.67965054E8</v>
      </c>
      <c r="F715" s="2" t="s">
        <v>3338</v>
      </c>
      <c r="G715" s="2" t="s">
        <v>3339</v>
      </c>
      <c r="H715" s="2">
        <v>0.0</v>
      </c>
      <c r="J715" s="3">
        <v>0.0</v>
      </c>
      <c r="K715" s="2" t="s">
        <v>3340</v>
      </c>
      <c r="L715" s="2"/>
      <c r="M715" s="2" t="s">
        <v>468</v>
      </c>
      <c r="N715" s="2" t="s">
        <v>406</v>
      </c>
      <c r="O715" s="3">
        <v>0.5</v>
      </c>
      <c r="Q715" s="3">
        <v>0.0</v>
      </c>
      <c r="U715" s="141"/>
      <c r="X715" s="172">
        <v>46057.64278277778</v>
      </c>
      <c r="Y715" s="172"/>
      <c r="Z715" s="3">
        <v>46004.0</v>
      </c>
      <c r="AA715" s="3"/>
    </row>
    <row r="716">
      <c r="A716" s="3">
        <v>6.797942751491E12</v>
      </c>
      <c r="B716" s="2" t="s">
        <v>3341</v>
      </c>
      <c r="C716" s="2" t="s">
        <v>3342</v>
      </c>
      <c r="D716" s="169">
        <v>46004.0</v>
      </c>
      <c r="E716" s="2">
        <v>3.000698805E9</v>
      </c>
      <c r="F716" s="2" t="s">
        <v>3343</v>
      </c>
      <c r="G716" s="2" t="s">
        <v>1055</v>
      </c>
      <c r="H716" s="2">
        <v>2748.0</v>
      </c>
      <c r="I716" s="2">
        <v>2.1120050020389E13</v>
      </c>
      <c r="J716" s="3">
        <v>1.0</v>
      </c>
      <c r="K716" s="2" t="s">
        <v>511</v>
      </c>
      <c r="L716" s="2" t="s">
        <v>519</v>
      </c>
      <c r="M716" s="174" t="s">
        <v>409</v>
      </c>
      <c r="N716" s="2" t="s">
        <v>462</v>
      </c>
      <c r="O716" s="3">
        <v>0.5</v>
      </c>
      <c r="P716" s="2" t="s">
        <v>73</v>
      </c>
      <c r="Q716" s="3">
        <v>850.0</v>
      </c>
      <c r="T716" s="2" t="s">
        <v>599</v>
      </c>
      <c r="U716" s="171">
        <v>2748.0</v>
      </c>
      <c r="V716" s="172">
        <v>46010.0</v>
      </c>
      <c r="W716" s="3">
        <v>330.0</v>
      </c>
      <c r="X716" s="172">
        <v>46008.557175925926</v>
      </c>
      <c r="Y716" s="172"/>
      <c r="Z716" s="3">
        <v>46004.0</v>
      </c>
      <c r="AA716" s="3"/>
    </row>
    <row r="717">
      <c r="A717" s="3">
        <v>6.797970899203E12</v>
      </c>
      <c r="B717" s="2" t="s">
        <v>3344</v>
      </c>
      <c r="C717" s="2" t="s">
        <v>3345</v>
      </c>
      <c r="D717" s="169">
        <v>46004.0</v>
      </c>
      <c r="E717" s="2">
        <v>3.000718839E9</v>
      </c>
      <c r="F717" s="2" t="s">
        <v>3346</v>
      </c>
      <c r="G717" s="2" t="s">
        <v>3347</v>
      </c>
      <c r="H717" s="2">
        <v>0.0</v>
      </c>
      <c r="J717" s="3">
        <v>0.0</v>
      </c>
      <c r="K717" s="2" t="s">
        <v>3348</v>
      </c>
      <c r="L717" s="2"/>
      <c r="M717" s="2" t="s">
        <v>468</v>
      </c>
      <c r="N717" s="2" t="s">
        <v>406</v>
      </c>
      <c r="O717" s="3">
        <v>0.5</v>
      </c>
      <c r="Q717" s="3">
        <v>0.0</v>
      </c>
      <c r="U717" s="141"/>
      <c r="X717" s="172">
        <v>46057.64278277778</v>
      </c>
      <c r="Y717" s="172"/>
      <c r="Z717" s="3">
        <v>46004.0</v>
      </c>
      <c r="AA717" s="3"/>
    </row>
    <row r="718">
      <c r="A718" s="3">
        <v>6.797993017603E12</v>
      </c>
      <c r="B718" s="2" t="s">
        <v>3349</v>
      </c>
      <c r="C718" s="2" t="s">
        <v>3350</v>
      </c>
      <c r="D718" s="169">
        <v>46004.0</v>
      </c>
      <c r="E718" s="2">
        <v>3.342413004E9</v>
      </c>
      <c r="F718" s="2" t="s">
        <v>3351</v>
      </c>
      <c r="G718" s="2" t="s">
        <v>672</v>
      </c>
      <c r="H718" s="2">
        <v>4099.0</v>
      </c>
      <c r="I718" s="2">
        <v>2.4120050020373E13</v>
      </c>
      <c r="J718" s="3">
        <v>1.0</v>
      </c>
      <c r="L718" s="2" t="s">
        <v>608</v>
      </c>
      <c r="M718" s="174" t="s">
        <v>409</v>
      </c>
      <c r="N718" s="2" t="s">
        <v>462</v>
      </c>
      <c r="O718" s="3">
        <v>0.5</v>
      </c>
      <c r="P718" s="2" t="s">
        <v>363</v>
      </c>
      <c r="Q718" s="3">
        <v>1600.0</v>
      </c>
      <c r="T718" s="2" t="s">
        <v>777</v>
      </c>
      <c r="U718" s="171">
        <v>4099.0</v>
      </c>
      <c r="V718" s="172">
        <v>46014.0</v>
      </c>
      <c r="W718" s="3">
        <v>391.0</v>
      </c>
      <c r="X718" s="172">
        <v>46010.5765625</v>
      </c>
      <c r="Y718" s="172"/>
      <c r="Z718" s="3">
        <v>46004.0</v>
      </c>
      <c r="AA718" s="3"/>
    </row>
    <row r="719">
      <c r="A719" s="3">
        <v>6.798076805379E12</v>
      </c>
      <c r="B719" s="2" t="s">
        <v>3352</v>
      </c>
      <c r="C719" s="2" t="s">
        <v>3353</v>
      </c>
      <c r="D719" s="169">
        <v>46005.0</v>
      </c>
      <c r="E719" s="173" t="s">
        <v>3354</v>
      </c>
      <c r="F719" s="2" t="s">
        <v>3355</v>
      </c>
      <c r="G719" s="2" t="s">
        <v>3356</v>
      </c>
      <c r="H719" s="2">
        <v>2749.0</v>
      </c>
      <c r="I719" s="2">
        <v>2.9120050020396E13</v>
      </c>
      <c r="J719" s="3">
        <v>2.0</v>
      </c>
      <c r="K719" s="2" t="s">
        <v>511</v>
      </c>
      <c r="L719" s="2" t="s">
        <v>926</v>
      </c>
      <c r="M719" s="174" t="s">
        <v>409</v>
      </c>
      <c r="N719" s="2" t="s">
        <v>462</v>
      </c>
      <c r="O719" s="3">
        <v>0.5</v>
      </c>
      <c r="P719" s="2" t="s">
        <v>363</v>
      </c>
      <c r="Q719" s="3">
        <v>980.0</v>
      </c>
      <c r="T719" s="2" t="s">
        <v>777</v>
      </c>
      <c r="U719" s="171">
        <v>2749.0</v>
      </c>
      <c r="V719" s="172">
        <v>46014.0</v>
      </c>
      <c r="W719" s="3">
        <v>310.0</v>
      </c>
      <c r="X719" s="172">
        <v>46010.71616898148</v>
      </c>
      <c r="Y719" s="172"/>
      <c r="Z719" s="3">
        <v>46005.0</v>
      </c>
      <c r="AA719" s="3"/>
    </row>
    <row r="720">
      <c r="A720" s="3">
        <v>6.798098366723E12</v>
      </c>
      <c r="B720" s="2" t="s">
        <v>3357</v>
      </c>
      <c r="C720" s="2" t="s">
        <v>3358</v>
      </c>
      <c r="D720" s="169">
        <v>46005.0</v>
      </c>
      <c r="E720" s="2">
        <v>3.336799797E9</v>
      </c>
      <c r="F720" s="2" t="s">
        <v>3359</v>
      </c>
      <c r="G720" s="2" t="s">
        <v>506</v>
      </c>
      <c r="H720" s="2">
        <v>4099.0</v>
      </c>
      <c r="I720" s="2">
        <v>2.0120050020315E13</v>
      </c>
      <c r="J720" s="3">
        <v>1.0</v>
      </c>
      <c r="L720" s="2" t="s">
        <v>608</v>
      </c>
      <c r="M720" s="174" t="s">
        <v>409</v>
      </c>
      <c r="N720" s="2" t="s">
        <v>462</v>
      </c>
      <c r="O720" s="3">
        <v>0.5</v>
      </c>
      <c r="P720" s="2" t="s">
        <v>363</v>
      </c>
      <c r="Q720" s="3">
        <v>1600.0</v>
      </c>
      <c r="T720" s="2" t="s">
        <v>599</v>
      </c>
      <c r="U720" s="171">
        <v>4099.0</v>
      </c>
      <c r="V720" s="172">
        <v>46010.0</v>
      </c>
      <c r="W720" s="3">
        <v>384.0</v>
      </c>
      <c r="X720" s="172">
        <v>46008.53909722222</v>
      </c>
      <c r="Y720" s="172"/>
      <c r="Z720" s="3">
        <v>46005.0</v>
      </c>
      <c r="AA720" s="3"/>
    </row>
    <row r="721">
      <c r="A721" s="3">
        <v>6.798157775107E12</v>
      </c>
      <c r="B721" s="2" t="s">
        <v>3360</v>
      </c>
      <c r="C721" s="2" t="s">
        <v>3361</v>
      </c>
      <c r="D721" s="169">
        <v>46005.0</v>
      </c>
      <c r="E721" s="173" t="s">
        <v>3362</v>
      </c>
      <c r="F721" s="2" t="s">
        <v>3363</v>
      </c>
      <c r="G721" s="2" t="s">
        <v>3364</v>
      </c>
      <c r="H721" s="2">
        <v>2749.0</v>
      </c>
      <c r="I721" s="2">
        <v>2.6120050020383E13</v>
      </c>
      <c r="J721" s="3">
        <v>2.0</v>
      </c>
      <c r="K721" s="2" t="s">
        <v>511</v>
      </c>
      <c r="L721" s="2" t="s">
        <v>926</v>
      </c>
      <c r="M721" s="174" t="s">
        <v>409</v>
      </c>
      <c r="N721" s="2" t="s">
        <v>462</v>
      </c>
      <c r="O721" s="3">
        <v>0.5</v>
      </c>
      <c r="P721" s="2" t="s">
        <v>363</v>
      </c>
      <c r="Q721" s="3">
        <v>980.0</v>
      </c>
      <c r="T721" s="2" t="s">
        <v>599</v>
      </c>
      <c r="U721" s="171">
        <v>2749.0</v>
      </c>
      <c r="V721" s="172">
        <v>46010.0</v>
      </c>
      <c r="W721" s="3">
        <v>323.0</v>
      </c>
      <c r="X721" s="172">
        <v>46009.59324074074</v>
      </c>
      <c r="Y721" s="172"/>
      <c r="Z721" s="3">
        <v>46005.0</v>
      </c>
      <c r="AA721" s="3"/>
    </row>
    <row r="722">
      <c r="A722" s="3">
        <v>6.798185005315E12</v>
      </c>
      <c r="B722" s="2" t="s">
        <v>3365</v>
      </c>
      <c r="C722" s="2" t="s">
        <v>3366</v>
      </c>
      <c r="D722" s="169">
        <v>46005.0</v>
      </c>
      <c r="E722" s="173" t="s">
        <v>3367</v>
      </c>
      <c r="F722" s="2" t="s">
        <v>3368</v>
      </c>
      <c r="G722" s="2" t="s">
        <v>493</v>
      </c>
      <c r="H722" s="2">
        <v>0.0</v>
      </c>
      <c r="I722" s="2">
        <v>2.6120050020343E13</v>
      </c>
      <c r="J722" s="3">
        <v>0.0</v>
      </c>
      <c r="L722" s="2"/>
      <c r="M722" s="170" t="s">
        <v>455</v>
      </c>
      <c r="N722" s="2" t="s">
        <v>406</v>
      </c>
      <c r="O722" s="3">
        <v>0.5</v>
      </c>
      <c r="P722" s="2" t="s">
        <v>363</v>
      </c>
      <c r="Q722" s="3">
        <v>0.0</v>
      </c>
      <c r="U722" s="141"/>
      <c r="X722" s="172">
        <v>46057.64278277778</v>
      </c>
      <c r="Y722" s="172"/>
      <c r="Z722" s="3">
        <v>46005.0</v>
      </c>
      <c r="AA722" s="3"/>
    </row>
    <row r="723">
      <c r="A723" s="3">
        <v>6.798222328067E12</v>
      </c>
      <c r="B723" s="2" t="s">
        <v>3369</v>
      </c>
      <c r="C723" s="2" t="s">
        <v>3370</v>
      </c>
      <c r="D723" s="169">
        <v>46005.0</v>
      </c>
      <c r="E723" s="173" t="s">
        <v>3371</v>
      </c>
      <c r="F723" s="2" t="s">
        <v>3372</v>
      </c>
      <c r="G723" s="2" t="s">
        <v>3373</v>
      </c>
      <c r="H723" s="2">
        <v>2748.0</v>
      </c>
      <c r="I723" s="2" t="s">
        <v>3374</v>
      </c>
      <c r="J723" s="3">
        <v>1.0</v>
      </c>
      <c r="K723" s="2" t="s">
        <v>3375</v>
      </c>
      <c r="L723" s="2" t="s">
        <v>512</v>
      </c>
      <c r="M723" s="170" t="s">
        <v>455</v>
      </c>
      <c r="N723" s="2" t="s">
        <v>406</v>
      </c>
      <c r="O723" s="3">
        <v>0.5</v>
      </c>
      <c r="P723" s="2" t="s">
        <v>640</v>
      </c>
      <c r="Q723" s="3">
        <v>850.0</v>
      </c>
      <c r="T723" s="2" t="s">
        <v>3376</v>
      </c>
      <c r="U723" s="141"/>
      <c r="W723" s="3">
        <v>292.2</v>
      </c>
      <c r="X723" s="172">
        <v>46057.64278277778</v>
      </c>
      <c r="Y723" s="172"/>
      <c r="Z723" s="3">
        <v>46005.0</v>
      </c>
      <c r="AA723" s="3"/>
    </row>
    <row r="724">
      <c r="A724" s="3">
        <v>6.798229045507E12</v>
      </c>
      <c r="B724" s="2" t="s">
        <v>3377</v>
      </c>
      <c r="C724" s="2" t="s">
        <v>3378</v>
      </c>
      <c r="D724" s="169">
        <v>46005.0</v>
      </c>
      <c r="E724" s="2">
        <v>3.165332844E9</v>
      </c>
      <c r="F724" s="2" t="s">
        <v>3379</v>
      </c>
      <c r="G724" s="2" t="s">
        <v>366</v>
      </c>
      <c r="H724" s="2">
        <v>0.0</v>
      </c>
      <c r="J724" s="3">
        <v>0.0</v>
      </c>
      <c r="K724" s="2" t="s">
        <v>3380</v>
      </c>
      <c r="L724" s="2"/>
      <c r="M724" s="2" t="s">
        <v>468</v>
      </c>
      <c r="N724" s="2" t="s">
        <v>406</v>
      </c>
      <c r="O724" s="3">
        <v>0.5</v>
      </c>
      <c r="Q724" s="3">
        <v>0.0</v>
      </c>
      <c r="U724" s="141"/>
      <c r="X724" s="172">
        <v>46057.64278277778</v>
      </c>
      <c r="Y724" s="172"/>
      <c r="Z724" s="3">
        <v>46005.0</v>
      </c>
      <c r="AA724" s="3"/>
    </row>
    <row r="725">
      <c r="A725" s="3">
        <v>6.798402060547E12</v>
      </c>
      <c r="B725" s="2" t="s">
        <v>3381</v>
      </c>
      <c r="C725" s="2" t="s">
        <v>3382</v>
      </c>
      <c r="D725" s="169">
        <v>46005.0</v>
      </c>
      <c r="E725" s="173" t="s">
        <v>3383</v>
      </c>
      <c r="F725" s="2" t="s">
        <v>3384</v>
      </c>
      <c r="G725" s="2" t="s">
        <v>541</v>
      </c>
      <c r="H725" s="2">
        <v>3099.0</v>
      </c>
      <c r="I725" s="2">
        <v>2.6120050020438E13</v>
      </c>
      <c r="J725" s="3">
        <v>2.0</v>
      </c>
      <c r="L725" s="2" t="s">
        <v>27</v>
      </c>
      <c r="M725" s="174" t="s">
        <v>409</v>
      </c>
      <c r="N725" s="2" t="s">
        <v>462</v>
      </c>
      <c r="O725" s="3">
        <v>0.5</v>
      </c>
      <c r="P725" s="2" t="s">
        <v>363</v>
      </c>
      <c r="Q725" s="3">
        <v>920.0</v>
      </c>
      <c r="T725" s="2" t="s">
        <v>777</v>
      </c>
      <c r="U725" s="171">
        <v>3099.0</v>
      </c>
      <c r="V725" s="172">
        <v>46014.0</v>
      </c>
      <c r="W725" s="3">
        <v>324.0</v>
      </c>
      <c r="X725" s="172">
        <v>46010.58699074074</v>
      </c>
      <c r="Y725" s="172"/>
      <c r="Z725" s="3">
        <v>46005.0</v>
      </c>
      <c r="AA725" s="3"/>
    </row>
    <row r="726">
      <c r="A726" s="3">
        <v>6.798454620419E12</v>
      </c>
      <c r="B726" s="2" t="s">
        <v>3385</v>
      </c>
      <c r="C726" s="2" t="s">
        <v>3386</v>
      </c>
      <c r="D726" s="169">
        <v>46005.0</v>
      </c>
      <c r="E726" s="173" t="s">
        <v>3387</v>
      </c>
      <c r="F726" s="2" t="s">
        <v>3388</v>
      </c>
      <c r="G726" s="2" t="s">
        <v>536</v>
      </c>
      <c r="H726" s="2">
        <v>3999.0</v>
      </c>
      <c r="I726" s="2">
        <v>2.0120050020408E13</v>
      </c>
      <c r="J726" s="3">
        <v>2.0</v>
      </c>
      <c r="K726" s="2" t="s">
        <v>511</v>
      </c>
      <c r="L726" s="2" t="s">
        <v>913</v>
      </c>
      <c r="M726" s="174" t="s">
        <v>409</v>
      </c>
      <c r="N726" s="2" t="s">
        <v>462</v>
      </c>
      <c r="O726" s="3">
        <v>0.5</v>
      </c>
      <c r="P726" s="2" t="s">
        <v>363</v>
      </c>
      <c r="Q726" s="3">
        <v>1700.0</v>
      </c>
      <c r="T726" s="2" t="s">
        <v>777</v>
      </c>
      <c r="U726" s="171">
        <v>3999.0</v>
      </c>
      <c r="V726" s="172">
        <v>46014.0</v>
      </c>
      <c r="W726" s="3">
        <v>480.0</v>
      </c>
      <c r="X726" s="172">
        <v>46011.64326388889</v>
      </c>
      <c r="Y726" s="172"/>
      <c r="Z726" s="3">
        <v>46005.0</v>
      </c>
      <c r="AA726" s="3"/>
    </row>
    <row r="727">
      <c r="A727" s="3">
        <v>6.798459109635E12</v>
      </c>
      <c r="B727" s="2" t="s">
        <v>3389</v>
      </c>
      <c r="C727" s="2" t="s">
        <v>3390</v>
      </c>
      <c r="D727" s="169">
        <v>46005.0</v>
      </c>
      <c r="E727" s="2">
        <v>3.097865505E9</v>
      </c>
      <c r="F727" s="2" t="s">
        <v>3391</v>
      </c>
      <c r="G727" s="2" t="s">
        <v>366</v>
      </c>
      <c r="H727" s="2">
        <v>0.0</v>
      </c>
      <c r="I727" s="2">
        <v>2.8120050020314E13</v>
      </c>
      <c r="J727" s="3">
        <v>0.0</v>
      </c>
      <c r="K727" s="2" t="s">
        <v>3392</v>
      </c>
      <c r="L727" s="2"/>
      <c r="M727" s="170" t="s">
        <v>455</v>
      </c>
      <c r="N727" s="2" t="s">
        <v>406</v>
      </c>
      <c r="O727" s="3">
        <v>0.5</v>
      </c>
      <c r="P727" s="2" t="s">
        <v>73</v>
      </c>
      <c r="Q727" s="3">
        <v>0.0</v>
      </c>
      <c r="T727" s="2" t="s">
        <v>2140</v>
      </c>
      <c r="U727" s="171">
        <v>0.0</v>
      </c>
      <c r="V727" s="172">
        <v>46021.0</v>
      </c>
      <c r="W727" s="3">
        <v>220.0</v>
      </c>
      <c r="X727" s="172">
        <v>46057.64278277778</v>
      </c>
      <c r="Y727" s="172"/>
      <c r="Z727" s="3">
        <v>46005.0</v>
      </c>
      <c r="AA727" s="3"/>
    </row>
    <row r="728">
      <c r="A728" s="3">
        <v>6.798700937475E12</v>
      </c>
      <c r="B728" s="2" t="s">
        <v>3393</v>
      </c>
      <c r="C728" s="2" t="s">
        <v>3394</v>
      </c>
      <c r="D728" s="169">
        <v>46005.0</v>
      </c>
      <c r="E728" s="2">
        <v>3.004793709E9</v>
      </c>
      <c r="F728" s="2" t="s">
        <v>3395</v>
      </c>
      <c r="G728" s="2" t="s">
        <v>3396</v>
      </c>
      <c r="H728" s="2">
        <v>0.0</v>
      </c>
      <c r="J728" s="3">
        <v>0.0</v>
      </c>
      <c r="K728" s="2" t="s">
        <v>760</v>
      </c>
      <c r="L728" s="2"/>
      <c r="M728" s="2" t="s">
        <v>468</v>
      </c>
      <c r="N728" s="2" t="s">
        <v>406</v>
      </c>
      <c r="O728" s="3">
        <v>0.5</v>
      </c>
      <c r="Q728" s="3">
        <v>0.0</v>
      </c>
      <c r="U728" s="141"/>
      <c r="X728" s="172">
        <v>46057.64278277778</v>
      </c>
      <c r="Y728" s="172"/>
      <c r="Z728" s="3">
        <v>46005.0</v>
      </c>
      <c r="AA728" s="3"/>
    </row>
    <row r="729">
      <c r="A729" s="3">
        <v>6.798703165699E12</v>
      </c>
      <c r="B729" s="2" t="s">
        <v>3397</v>
      </c>
      <c r="C729" s="2" t="s">
        <v>3398</v>
      </c>
      <c r="D729" s="169">
        <v>46005.0</v>
      </c>
      <c r="E729" s="2">
        <v>3.709155614E9</v>
      </c>
      <c r="F729" s="2" t="s">
        <v>3399</v>
      </c>
      <c r="G729" s="2" t="s">
        <v>541</v>
      </c>
      <c r="H729" s="2">
        <v>0.0</v>
      </c>
      <c r="I729" s="2">
        <v>2.8120050020384E13</v>
      </c>
      <c r="J729" s="3">
        <v>0.0</v>
      </c>
      <c r="K729" s="2" t="s">
        <v>3400</v>
      </c>
      <c r="L729" s="2"/>
      <c r="M729" s="170" t="s">
        <v>455</v>
      </c>
      <c r="N729" s="2" t="s">
        <v>406</v>
      </c>
      <c r="O729" s="3">
        <v>0.5</v>
      </c>
      <c r="P729" s="2" t="s">
        <v>73</v>
      </c>
      <c r="Q729" s="3">
        <v>0.0</v>
      </c>
      <c r="T729" s="2" t="s">
        <v>777</v>
      </c>
      <c r="U729" s="171">
        <v>0.0</v>
      </c>
      <c r="V729" s="172">
        <v>46014.0</v>
      </c>
      <c r="W729" s="3">
        <v>220.0</v>
      </c>
      <c r="X729" s="172">
        <v>46057.64278277778</v>
      </c>
      <c r="Y729" s="172"/>
      <c r="Z729" s="3">
        <v>46005.0</v>
      </c>
      <c r="AA729" s="3"/>
    </row>
    <row r="730">
      <c r="A730" s="3">
        <v>6.798706180355E12</v>
      </c>
      <c r="B730" s="2" t="s">
        <v>3401</v>
      </c>
      <c r="C730" s="2" t="s">
        <v>3394</v>
      </c>
      <c r="D730" s="169">
        <v>46005.0</v>
      </c>
      <c r="E730" s="173" t="s">
        <v>3402</v>
      </c>
      <c r="F730" s="2" t="s">
        <v>3395</v>
      </c>
      <c r="G730" s="2" t="s">
        <v>3396</v>
      </c>
      <c r="H730" s="2">
        <v>0.0</v>
      </c>
      <c r="I730" s="2">
        <v>2.6120050020385E13</v>
      </c>
      <c r="J730" s="3">
        <v>0.0</v>
      </c>
      <c r="K730" s="2" t="s">
        <v>3403</v>
      </c>
      <c r="L730" s="2"/>
      <c r="M730" s="170" t="s">
        <v>455</v>
      </c>
      <c r="N730" s="2" t="s">
        <v>406</v>
      </c>
      <c r="O730" s="3">
        <v>0.5</v>
      </c>
      <c r="P730" s="2" t="s">
        <v>363</v>
      </c>
      <c r="Q730" s="3">
        <v>0.0</v>
      </c>
      <c r="T730" s="2" t="s">
        <v>1468</v>
      </c>
      <c r="U730" s="171">
        <v>0.0</v>
      </c>
      <c r="V730" s="172">
        <v>46017.0</v>
      </c>
      <c r="W730" s="3">
        <v>313.0</v>
      </c>
      <c r="X730" s="172">
        <v>46057.64278277778</v>
      </c>
      <c r="Y730" s="172"/>
      <c r="Z730" s="3">
        <v>46005.0</v>
      </c>
      <c r="AA730" s="3"/>
    </row>
    <row r="731">
      <c r="A731" s="3">
        <v>6.798728036611E12</v>
      </c>
      <c r="B731" s="2" t="s">
        <v>3404</v>
      </c>
      <c r="C731" s="2" t="s">
        <v>3405</v>
      </c>
      <c r="D731" s="169">
        <v>46005.0</v>
      </c>
      <c r="E731" s="2">
        <v>3.00538906E9</v>
      </c>
      <c r="F731" s="2" t="s">
        <v>3406</v>
      </c>
      <c r="G731" s="2" t="s">
        <v>693</v>
      </c>
      <c r="H731" s="2">
        <v>3999.0</v>
      </c>
      <c r="I731" s="2">
        <v>2.3120050020386E13</v>
      </c>
      <c r="J731" s="3">
        <v>2.0</v>
      </c>
      <c r="L731" s="2" t="s">
        <v>913</v>
      </c>
      <c r="M731" s="174" t="s">
        <v>409</v>
      </c>
      <c r="N731" s="2" t="s">
        <v>462</v>
      </c>
      <c r="O731" s="3">
        <v>0.5</v>
      </c>
      <c r="P731" s="2" t="s">
        <v>363</v>
      </c>
      <c r="Q731" s="3">
        <v>1700.0</v>
      </c>
      <c r="T731" s="2" t="s">
        <v>599</v>
      </c>
      <c r="U731" s="171">
        <v>3999.0</v>
      </c>
      <c r="V731" s="172">
        <v>46010.0</v>
      </c>
      <c r="W731" s="3">
        <v>480.0</v>
      </c>
      <c r="X731" s="172">
        <v>46009.656493055554</v>
      </c>
      <c r="Y731" s="172"/>
      <c r="Z731" s="3">
        <v>46005.0</v>
      </c>
      <c r="AA731" s="3"/>
    </row>
    <row r="732">
      <c r="A732" s="3">
        <v>6.798776959235E12</v>
      </c>
      <c r="B732" s="2" t="s">
        <v>3407</v>
      </c>
      <c r="C732" s="2" t="s">
        <v>3408</v>
      </c>
      <c r="D732" s="169">
        <v>46005.0</v>
      </c>
      <c r="E732" s="2">
        <v>3.276594814E9</v>
      </c>
      <c r="F732" s="2" t="s">
        <v>3409</v>
      </c>
      <c r="G732" s="2" t="s">
        <v>1257</v>
      </c>
      <c r="H732" s="2">
        <v>249.0</v>
      </c>
      <c r="I732" s="2">
        <v>2.7120050020377E13</v>
      </c>
      <c r="J732" s="3">
        <v>0.0</v>
      </c>
      <c r="K732" s="2" t="s">
        <v>241</v>
      </c>
      <c r="L732" s="2"/>
      <c r="M732" s="174" t="s">
        <v>409</v>
      </c>
      <c r="N732" s="2" t="s">
        <v>462</v>
      </c>
      <c r="O732" s="3">
        <v>0.5</v>
      </c>
      <c r="P732" s="2" t="s">
        <v>363</v>
      </c>
      <c r="Q732" s="3">
        <v>0.0</v>
      </c>
      <c r="T732" s="2" t="s">
        <v>599</v>
      </c>
      <c r="U732" s="3">
        <v>249.0</v>
      </c>
      <c r="V732" s="172">
        <v>46010.0</v>
      </c>
      <c r="W732" s="3">
        <v>412.0</v>
      </c>
      <c r="X732" s="172">
        <v>46007.56129629629</v>
      </c>
      <c r="Y732" s="172"/>
      <c r="Z732" s="3">
        <v>46005.0</v>
      </c>
      <c r="AA732" s="3"/>
    </row>
    <row r="733">
      <c r="A733" s="3">
        <v>6.798779678979E12</v>
      </c>
      <c r="B733" s="2" t="s">
        <v>3410</v>
      </c>
      <c r="C733" s="2" t="s">
        <v>3411</v>
      </c>
      <c r="D733" s="169">
        <v>46005.0</v>
      </c>
      <c r="E733" s="2">
        <v>3.156172194E9</v>
      </c>
      <c r="F733" s="2" t="s">
        <v>3412</v>
      </c>
      <c r="G733" s="2" t="s">
        <v>2543</v>
      </c>
      <c r="H733" s="2">
        <v>0.0</v>
      </c>
      <c r="I733" s="2">
        <v>2.0120050020374E13</v>
      </c>
      <c r="J733" s="3">
        <v>0.0</v>
      </c>
      <c r="K733" s="2" t="s">
        <v>2864</v>
      </c>
      <c r="L733" s="2"/>
      <c r="M733" s="170" t="s">
        <v>455</v>
      </c>
      <c r="N733" s="2" t="s">
        <v>406</v>
      </c>
      <c r="O733" s="3">
        <v>0.5</v>
      </c>
      <c r="P733" s="2" t="s">
        <v>363</v>
      </c>
      <c r="Q733" s="3">
        <v>0.0</v>
      </c>
      <c r="T733" s="2" t="s">
        <v>777</v>
      </c>
      <c r="U733" s="171">
        <v>0.0</v>
      </c>
      <c r="V733" s="172">
        <v>46014.0</v>
      </c>
      <c r="W733" s="3">
        <v>220.0</v>
      </c>
      <c r="X733" s="172">
        <v>46057.64278277778</v>
      </c>
      <c r="Y733" s="172"/>
      <c r="Z733" s="3">
        <v>46005.0</v>
      </c>
      <c r="AA733" s="3"/>
    </row>
    <row r="734">
      <c r="A734" s="3">
        <v>6.798822932739E12</v>
      </c>
      <c r="B734" s="2" t="s">
        <v>3413</v>
      </c>
      <c r="C734" s="2" t="s">
        <v>3414</v>
      </c>
      <c r="D734" s="169">
        <v>46005.0</v>
      </c>
      <c r="E734" s="2">
        <v>3.056232701E9</v>
      </c>
      <c r="F734" s="2" t="s">
        <v>3415</v>
      </c>
      <c r="G734" s="2" t="s">
        <v>368</v>
      </c>
      <c r="H734" s="2">
        <v>0.0</v>
      </c>
      <c r="I734" s="2">
        <v>2.9120050020313E13</v>
      </c>
      <c r="J734" s="3">
        <v>0.0</v>
      </c>
      <c r="K734" s="2" t="s">
        <v>3416</v>
      </c>
      <c r="L734" s="2"/>
      <c r="M734" s="170" t="s">
        <v>455</v>
      </c>
      <c r="N734" s="2" t="s">
        <v>406</v>
      </c>
      <c r="O734" s="3">
        <v>0.5</v>
      </c>
      <c r="P734" s="2" t="s">
        <v>363</v>
      </c>
      <c r="Q734" s="3">
        <v>0.0</v>
      </c>
      <c r="T734" s="2" t="s">
        <v>777</v>
      </c>
      <c r="U734" s="171">
        <v>0.0</v>
      </c>
      <c r="V734" s="172">
        <v>46014.0</v>
      </c>
      <c r="W734" s="3">
        <v>120.0</v>
      </c>
      <c r="X734" s="172">
        <v>46057.64278277778</v>
      </c>
      <c r="Y734" s="172"/>
      <c r="Z734" s="3">
        <v>46005.0</v>
      </c>
      <c r="AA734" s="3"/>
    </row>
    <row r="735">
      <c r="A735" s="3">
        <v>6.798824571139E12</v>
      </c>
      <c r="B735" s="2" t="s">
        <v>3417</v>
      </c>
      <c r="C735" s="2" t="s">
        <v>3418</v>
      </c>
      <c r="D735" s="169">
        <v>46005.0</v>
      </c>
      <c r="E735" s="2">
        <v>3.2489212E9</v>
      </c>
      <c r="F735" s="2" t="s">
        <v>3419</v>
      </c>
      <c r="G735" s="2" t="s">
        <v>3420</v>
      </c>
      <c r="H735" s="2">
        <v>2748.0</v>
      </c>
      <c r="I735" s="2">
        <v>1.73009066603E11</v>
      </c>
      <c r="J735" s="3">
        <v>1.0</v>
      </c>
      <c r="L735" s="2" t="s">
        <v>2028</v>
      </c>
      <c r="M735" s="174" t="s">
        <v>409</v>
      </c>
      <c r="N735" s="2" t="s">
        <v>462</v>
      </c>
      <c r="O735" s="3">
        <v>0.5</v>
      </c>
      <c r="P735" s="2" t="s">
        <v>501</v>
      </c>
      <c r="Q735" s="3">
        <v>1400.0</v>
      </c>
      <c r="T735" s="2" t="s">
        <v>2981</v>
      </c>
      <c r="U735" s="171">
        <v>2748.0</v>
      </c>
      <c r="W735" s="3">
        <v>610.92</v>
      </c>
      <c r="X735" s="172">
        <v>46057.73280337963</v>
      </c>
      <c r="Y735" s="172"/>
      <c r="Z735" s="3">
        <v>46005.0</v>
      </c>
      <c r="AA735" s="3"/>
    </row>
    <row r="736">
      <c r="A736" s="3">
        <v>6.798828732675E12</v>
      </c>
      <c r="B736" s="2" t="s">
        <v>3421</v>
      </c>
      <c r="C736" s="2" t="s">
        <v>3422</v>
      </c>
      <c r="D736" s="169">
        <v>46005.0</v>
      </c>
      <c r="E736" s="2">
        <v>3.190549426E9</v>
      </c>
      <c r="F736" s="2" t="s">
        <v>3423</v>
      </c>
      <c r="G736" s="2" t="s">
        <v>1012</v>
      </c>
      <c r="H736" s="2">
        <v>0.0</v>
      </c>
      <c r="J736" s="3">
        <v>0.0</v>
      </c>
      <c r="K736" s="2" t="s">
        <v>3424</v>
      </c>
      <c r="L736" s="2"/>
      <c r="M736" s="2" t="s">
        <v>468</v>
      </c>
      <c r="N736" s="2" t="s">
        <v>406</v>
      </c>
      <c r="O736" s="3">
        <v>0.5</v>
      </c>
      <c r="Q736" s="3">
        <v>0.0</v>
      </c>
      <c r="U736" s="141"/>
      <c r="X736" s="172">
        <v>46057.64278277778</v>
      </c>
      <c r="Y736" s="172"/>
      <c r="Z736" s="3">
        <v>46005.0</v>
      </c>
      <c r="AA736" s="3"/>
    </row>
    <row r="737">
      <c r="A737" s="3">
        <v>6.798841381123E12</v>
      </c>
      <c r="B737" s="2" t="s">
        <v>3425</v>
      </c>
      <c r="C737" s="2" t="s">
        <v>3426</v>
      </c>
      <c r="D737" s="169">
        <v>46005.0</v>
      </c>
      <c r="E737" s="2">
        <v>3.4579098E9</v>
      </c>
      <c r="F737" s="2" t="s">
        <v>3427</v>
      </c>
      <c r="G737" s="2" t="s">
        <v>3428</v>
      </c>
      <c r="H737" s="2">
        <v>3999.0</v>
      </c>
      <c r="I737" s="2">
        <v>2.6120050020312E13</v>
      </c>
      <c r="J737" s="3">
        <v>2.0</v>
      </c>
      <c r="L737" s="2" t="s">
        <v>532</v>
      </c>
      <c r="M737" s="174" t="s">
        <v>409</v>
      </c>
      <c r="N737" s="2" t="s">
        <v>462</v>
      </c>
      <c r="O737" s="3">
        <v>0.5</v>
      </c>
      <c r="P737" s="2" t="s">
        <v>363</v>
      </c>
      <c r="Q737" s="3">
        <v>1700.0</v>
      </c>
      <c r="T737" s="2" t="s">
        <v>599</v>
      </c>
      <c r="U737" s="171">
        <v>3999.0</v>
      </c>
      <c r="V737" s="172">
        <v>46010.0</v>
      </c>
      <c r="W737" s="3">
        <v>473.0</v>
      </c>
      <c r="X737" s="172">
        <v>46008.662893518514</v>
      </c>
      <c r="Y737" s="172"/>
      <c r="Z737" s="3">
        <v>46005.0</v>
      </c>
      <c r="AA737" s="3"/>
    </row>
    <row r="738">
      <c r="A738" s="3">
        <v>6.798842396931E12</v>
      </c>
      <c r="B738" s="2" t="s">
        <v>3429</v>
      </c>
      <c r="C738" s="2" t="s">
        <v>3430</v>
      </c>
      <c r="D738" s="169">
        <v>46005.0</v>
      </c>
      <c r="E738" s="173" t="s">
        <v>3431</v>
      </c>
      <c r="F738" s="2" t="s">
        <v>3432</v>
      </c>
      <c r="G738" s="2" t="s">
        <v>1323</v>
      </c>
      <c r="H738" s="2">
        <v>4999.0</v>
      </c>
      <c r="I738" s="2">
        <v>2.5120050020378E13</v>
      </c>
      <c r="J738" s="3">
        <v>3.0</v>
      </c>
      <c r="L738" s="2" t="s">
        <v>3433</v>
      </c>
      <c r="M738" s="174" t="s">
        <v>409</v>
      </c>
      <c r="N738" s="2" t="s">
        <v>462</v>
      </c>
      <c r="O738" s="3">
        <v>0.5</v>
      </c>
      <c r="P738" s="2" t="s">
        <v>363</v>
      </c>
      <c r="Q738" s="3">
        <v>2380.0</v>
      </c>
      <c r="T738" s="2" t="s">
        <v>599</v>
      </c>
      <c r="U738" s="171">
        <v>4999.0</v>
      </c>
      <c r="V738" s="172">
        <v>46010.0</v>
      </c>
      <c r="W738" s="3">
        <v>420.0</v>
      </c>
      <c r="X738" s="172">
        <v>46007.59469907408</v>
      </c>
      <c r="Y738" s="172"/>
      <c r="Z738" s="3">
        <v>46005.0</v>
      </c>
      <c r="AA738" s="3"/>
    </row>
    <row r="739">
      <c r="A739" s="3">
        <v>6.798869790979E12</v>
      </c>
      <c r="B739" s="2" t="s">
        <v>3434</v>
      </c>
      <c r="C739" s="2" t="s">
        <v>3435</v>
      </c>
      <c r="D739" s="169">
        <v>46005.0</v>
      </c>
      <c r="E739" s="2">
        <v>3.018452729E9</v>
      </c>
      <c r="F739" s="2" t="s">
        <v>3436</v>
      </c>
      <c r="G739" s="2" t="s">
        <v>368</v>
      </c>
      <c r="H739" s="2">
        <v>1799.0</v>
      </c>
      <c r="I739" s="2">
        <v>2.8120050020344E13</v>
      </c>
      <c r="J739" s="3">
        <v>1.0</v>
      </c>
      <c r="L739" s="2" t="s">
        <v>1185</v>
      </c>
      <c r="M739" s="174" t="s">
        <v>409</v>
      </c>
      <c r="N739" s="2" t="s">
        <v>462</v>
      </c>
      <c r="O739" s="3">
        <v>0.5</v>
      </c>
      <c r="P739" s="2" t="s">
        <v>73</v>
      </c>
      <c r="Q739" s="3">
        <v>490.0</v>
      </c>
      <c r="T739" s="2" t="s">
        <v>599</v>
      </c>
      <c r="U739" s="171">
        <v>1799.0</v>
      </c>
      <c r="V739" s="172">
        <v>46010.0</v>
      </c>
      <c r="W739" s="3">
        <v>179.0</v>
      </c>
      <c r="X739" s="172">
        <v>46007.642546296294</v>
      </c>
      <c r="Y739" s="172"/>
      <c r="Z739" s="3">
        <v>46005.0</v>
      </c>
      <c r="AA739" s="3"/>
    </row>
    <row r="740">
      <c r="A740" s="3">
        <v>6.799263531267E12</v>
      </c>
      <c r="B740" s="2" t="s">
        <v>3437</v>
      </c>
      <c r="C740" s="2" t="s">
        <v>3438</v>
      </c>
      <c r="D740" s="169">
        <v>46005.0</v>
      </c>
      <c r="E740" s="2">
        <v>3.433944272E9</v>
      </c>
      <c r="F740" s="2" t="s">
        <v>3439</v>
      </c>
      <c r="G740" s="2" t="s">
        <v>1361</v>
      </c>
      <c r="H740" s="2">
        <v>1299.0</v>
      </c>
      <c r="I740" s="2">
        <v>2.5120050020345E13</v>
      </c>
      <c r="J740" s="3">
        <v>1.0</v>
      </c>
      <c r="L740" s="2" t="s">
        <v>3440</v>
      </c>
      <c r="M740" s="174" t="s">
        <v>409</v>
      </c>
      <c r="N740" s="2" t="s">
        <v>462</v>
      </c>
      <c r="O740" s="3">
        <v>0.5</v>
      </c>
      <c r="P740" s="2" t="s">
        <v>363</v>
      </c>
      <c r="Q740" s="3">
        <v>550.0</v>
      </c>
      <c r="T740" s="2" t="s">
        <v>599</v>
      </c>
      <c r="U740" s="171">
        <v>1299.0</v>
      </c>
      <c r="V740" s="172">
        <v>46010.0</v>
      </c>
      <c r="W740" s="3">
        <v>265.0</v>
      </c>
      <c r="X740" s="172">
        <v>46009.675891203704</v>
      </c>
      <c r="Y740" s="172"/>
      <c r="Z740" s="3">
        <v>46005.0</v>
      </c>
      <c r="AA740" s="3"/>
    </row>
    <row r="741">
      <c r="A741" s="3">
        <v>6.799271624963E12</v>
      </c>
      <c r="B741" s="2" t="s">
        <v>3441</v>
      </c>
      <c r="C741" s="2" t="s">
        <v>3442</v>
      </c>
      <c r="D741" s="169">
        <v>46005.0</v>
      </c>
      <c r="E741" s="173" t="s">
        <v>3443</v>
      </c>
      <c r="F741" s="2" t="s">
        <v>3444</v>
      </c>
      <c r="G741" s="2" t="s">
        <v>3445</v>
      </c>
      <c r="H741" s="2">
        <v>249.0</v>
      </c>
      <c r="I741" s="2">
        <v>2.8120050020346E13</v>
      </c>
      <c r="J741" s="3">
        <v>0.0</v>
      </c>
      <c r="L741" s="2"/>
      <c r="M741" s="174" t="s">
        <v>409</v>
      </c>
      <c r="N741" s="2" t="s">
        <v>462</v>
      </c>
      <c r="O741" s="3">
        <v>0.5</v>
      </c>
      <c r="P741" s="2" t="s">
        <v>73</v>
      </c>
      <c r="Q741" s="3">
        <v>0.0</v>
      </c>
      <c r="T741" s="2" t="s">
        <v>599</v>
      </c>
      <c r="U741" s="3">
        <v>249.0</v>
      </c>
      <c r="V741" s="172">
        <v>46010.0</v>
      </c>
      <c r="W741" s="3">
        <v>324.0</v>
      </c>
      <c r="X741" s="172">
        <v>46008.76831018519</v>
      </c>
      <c r="Y741" s="172"/>
      <c r="Z741" s="3">
        <v>46005.0</v>
      </c>
      <c r="AA741" s="3"/>
    </row>
    <row r="742">
      <c r="A742" s="3">
        <v>6.799274213635E12</v>
      </c>
      <c r="B742" s="2" t="s">
        <v>3446</v>
      </c>
      <c r="C742" s="2" t="s">
        <v>3447</v>
      </c>
      <c r="D742" s="169">
        <v>46005.0</v>
      </c>
      <c r="E742" s="173" t="s">
        <v>3448</v>
      </c>
      <c r="F742" s="2" t="s">
        <v>3449</v>
      </c>
      <c r="G742" s="2" t="s">
        <v>1016</v>
      </c>
      <c r="H742" s="2">
        <v>3999.0</v>
      </c>
      <c r="I742" s="2">
        <v>2.6120050020311E13</v>
      </c>
      <c r="J742" s="3">
        <v>2.0</v>
      </c>
      <c r="L742" s="2" t="s">
        <v>994</v>
      </c>
      <c r="M742" s="174" t="s">
        <v>409</v>
      </c>
      <c r="N742" s="2" t="s">
        <v>462</v>
      </c>
      <c r="O742" s="3">
        <v>0.5</v>
      </c>
      <c r="P742" s="2" t="s">
        <v>363</v>
      </c>
      <c r="Q742" s="3">
        <v>1700.0</v>
      </c>
      <c r="T742" s="2" t="s">
        <v>599</v>
      </c>
      <c r="U742" s="171">
        <v>3999.0</v>
      </c>
      <c r="V742" s="172">
        <v>46010.0</v>
      </c>
      <c r="W742" s="3">
        <v>380.0</v>
      </c>
      <c r="X742" s="172">
        <v>46008.59190972222</v>
      </c>
      <c r="Y742" s="172"/>
      <c r="Z742" s="3">
        <v>46005.0</v>
      </c>
      <c r="AA742" s="3"/>
    </row>
    <row r="743">
      <c r="A743" s="3">
        <v>6.799289549059E12</v>
      </c>
      <c r="B743" s="2" t="s">
        <v>3450</v>
      </c>
      <c r="C743" s="2" t="s">
        <v>3451</v>
      </c>
      <c r="D743" s="169">
        <v>46005.0</v>
      </c>
      <c r="E743" s="173" t="s">
        <v>3452</v>
      </c>
      <c r="F743" s="2" t="s">
        <v>3453</v>
      </c>
      <c r="G743" s="2" t="s">
        <v>374</v>
      </c>
      <c r="H743" s="2">
        <v>2748.0</v>
      </c>
      <c r="I743" s="2">
        <v>2.4120050020397E13</v>
      </c>
      <c r="J743" s="3">
        <v>1.0</v>
      </c>
      <c r="K743" s="2" t="s">
        <v>3454</v>
      </c>
      <c r="L743" s="2" t="s">
        <v>3455</v>
      </c>
      <c r="M743" s="174" t="s">
        <v>409</v>
      </c>
      <c r="N743" s="2" t="s">
        <v>462</v>
      </c>
      <c r="O743" s="3">
        <v>0.5</v>
      </c>
      <c r="P743" s="2" t="s">
        <v>363</v>
      </c>
      <c r="Q743" s="3">
        <v>1400.0</v>
      </c>
      <c r="T743" s="2" t="s">
        <v>777</v>
      </c>
      <c r="U743" s="171">
        <v>2748.0</v>
      </c>
      <c r="V743" s="172">
        <v>46014.0</v>
      </c>
      <c r="W743" s="3">
        <v>310.0</v>
      </c>
      <c r="X743" s="172">
        <v>46013.72380787037</v>
      </c>
      <c r="Y743" s="172"/>
      <c r="Z743" s="3">
        <v>46005.0</v>
      </c>
      <c r="AA743" s="3"/>
    </row>
    <row r="744">
      <c r="A744" s="3">
        <v>6.799306326275E12</v>
      </c>
      <c r="B744" s="2" t="s">
        <v>3456</v>
      </c>
      <c r="C744" s="2" t="s">
        <v>3457</v>
      </c>
      <c r="D744" s="169">
        <v>46005.0</v>
      </c>
      <c r="E744" s="173" t="s">
        <v>3458</v>
      </c>
      <c r="F744" s="2" t="s">
        <v>3459</v>
      </c>
      <c r="G744" s="2" t="s">
        <v>366</v>
      </c>
      <c r="H744" s="2">
        <v>3999.0</v>
      </c>
      <c r="I744" s="2">
        <v>2.4120050020409E13</v>
      </c>
      <c r="J744" s="3">
        <v>2.0</v>
      </c>
      <c r="K744" s="2" t="s">
        <v>3460</v>
      </c>
      <c r="L744" s="2" t="s">
        <v>994</v>
      </c>
      <c r="M744" s="174" t="s">
        <v>409</v>
      </c>
      <c r="N744" s="2" t="s">
        <v>462</v>
      </c>
      <c r="O744" s="3">
        <v>0.5</v>
      </c>
      <c r="P744" s="2" t="s">
        <v>363</v>
      </c>
      <c r="Q744" s="3">
        <v>1700.0</v>
      </c>
      <c r="T744" s="2" t="s">
        <v>599</v>
      </c>
      <c r="U744" s="3">
        <v>3999.0</v>
      </c>
      <c r="V744" s="172">
        <v>46010.0</v>
      </c>
      <c r="W744" s="3">
        <v>370.0</v>
      </c>
      <c r="X744" s="172">
        <v>46008.52380787037</v>
      </c>
      <c r="Y744" s="172"/>
      <c r="Z744" s="3">
        <v>46005.0</v>
      </c>
      <c r="AA744" s="3"/>
    </row>
    <row r="745">
      <c r="A745" s="3">
        <v>6.799345123587E12</v>
      </c>
      <c r="B745" s="2" t="s">
        <v>3461</v>
      </c>
      <c r="C745" s="2" t="s">
        <v>3462</v>
      </c>
      <c r="D745" s="169">
        <v>46005.0</v>
      </c>
      <c r="E745" s="2">
        <v>3.033724906E9</v>
      </c>
      <c r="F745" s="2" t="s">
        <v>3463</v>
      </c>
      <c r="G745" s="2" t="s">
        <v>1498</v>
      </c>
      <c r="H745" s="2">
        <v>0.0</v>
      </c>
      <c r="I745" s="2">
        <v>2.2120050020347E13</v>
      </c>
      <c r="J745" s="3">
        <v>0.0</v>
      </c>
      <c r="K745" s="2" t="s">
        <v>3464</v>
      </c>
      <c r="L745" s="2"/>
      <c r="M745" s="170" t="s">
        <v>455</v>
      </c>
      <c r="N745" s="2" t="s">
        <v>406</v>
      </c>
      <c r="O745" s="3">
        <v>0.5</v>
      </c>
      <c r="P745" s="2" t="s">
        <v>363</v>
      </c>
      <c r="Q745" s="3">
        <v>0.0</v>
      </c>
      <c r="T745" s="2" t="s">
        <v>2140</v>
      </c>
      <c r="U745" s="171">
        <v>0.0</v>
      </c>
      <c r="V745" s="172">
        <v>46021.0</v>
      </c>
      <c r="W745" s="3">
        <v>213.0</v>
      </c>
      <c r="X745" s="172">
        <v>46057.64278277778</v>
      </c>
      <c r="Y745" s="172"/>
      <c r="Z745" s="3">
        <v>46005.0</v>
      </c>
      <c r="AA745" s="3"/>
    </row>
    <row r="746">
      <c r="A746" s="3">
        <v>6.799349055747E12</v>
      </c>
      <c r="B746" s="2" t="s">
        <v>3465</v>
      </c>
      <c r="C746" s="2" t="s">
        <v>3466</v>
      </c>
      <c r="D746" s="169">
        <v>46005.0</v>
      </c>
      <c r="E746" s="2">
        <v>3.00740384E9</v>
      </c>
      <c r="F746" s="2" t="s">
        <v>3467</v>
      </c>
      <c r="G746" s="2" t="s">
        <v>855</v>
      </c>
      <c r="H746" s="2">
        <v>2749.0</v>
      </c>
      <c r="I746" s="2">
        <v>2.4120050020348E13</v>
      </c>
      <c r="J746" s="3">
        <v>2.0</v>
      </c>
      <c r="L746" s="2" t="s">
        <v>35</v>
      </c>
      <c r="M746" s="174" t="s">
        <v>409</v>
      </c>
      <c r="N746" s="2" t="s">
        <v>462</v>
      </c>
      <c r="O746" s="3">
        <v>0.5</v>
      </c>
      <c r="P746" s="2" t="s">
        <v>363</v>
      </c>
      <c r="Q746" s="3">
        <v>980.0</v>
      </c>
      <c r="T746" s="2" t="s">
        <v>599</v>
      </c>
      <c r="U746" s="171">
        <v>2749.0</v>
      </c>
      <c r="V746" s="172">
        <v>46010.0</v>
      </c>
      <c r="W746" s="3">
        <v>310.0</v>
      </c>
      <c r="X746" s="172">
        <v>46007.591203703705</v>
      </c>
      <c r="Y746" s="172"/>
      <c r="Z746" s="3">
        <v>46005.0</v>
      </c>
      <c r="AA746" s="3"/>
    </row>
    <row r="747">
      <c r="A747" s="3">
        <v>6.799353643267E12</v>
      </c>
      <c r="B747" s="2" t="s">
        <v>3468</v>
      </c>
      <c r="C747" s="2" t="s">
        <v>3469</v>
      </c>
      <c r="D747" s="169">
        <v>46005.0</v>
      </c>
      <c r="E747" s="2">
        <v>3.367300667E9</v>
      </c>
      <c r="F747" s="2" t="s">
        <v>3470</v>
      </c>
      <c r="G747" s="2" t="s">
        <v>493</v>
      </c>
      <c r="H747" s="2">
        <v>4349.0</v>
      </c>
      <c r="I747" s="2">
        <v>2.1120050020349E13</v>
      </c>
      <c r="J747" s="3">
        <v>3.0</v>
      </c>
      <c r="L747" s="2" t="s">
        <v>3471</v>
      </c>
      <c r="M747" s="174" t="s">
        <v>409</v>
      </c>
      <c r="N747" s="2" t="s">
        <v>462</v>
      </c>
      <c r="O747" s="3">
        <v>0.5</v>
      </c>
      <c r="P747" s="2" t="s">
        <v>73</v>
      </c>
      <c r="Q747" s="3">
        <v>1510.0</v>
      </c>
      <c r="T747" s="2" t="s">
        <v>777</v>
      </c>
      <c r="U747" s="171">
        <v>4349.0</v>
      </c>
      <c r="V747" s="172">
        <v>46014.0</v>
      </c>
      <c r="W747" s="3">
        <v>401.0</v>
      </c>
      <c r="X747" s="172">
        <v>46010.81898148148</v>
      </c>
      <c r="Y747" s="172"/>
      <c r="Z747" s="3">
        <v>46005.0</v>
      </c>
      <c r="AA747" s="3"/>
    </row>
    <row r="748">
      <c r="A748" s="3">
        <v>6.799358558467E12</v>
      </c>
      <c r="B748" s="2" t="s">
        <v>3472</v>
      </c>
      <c r="C748" s="2" t="s">
        <v>3473</v>
      </c>
      <c r="D748" s="169">
        <v>46005.0</v>
      </c>
      <c r="E748" s="2">
        <v>3.219479906E9</v>
      </c>
      <c r="F748" s="2" t="s">
        <v>3474</v>
      </c>
      <c r="G748" s="2" t="s">
        <v>368</v>
      </c>
      <c r="H748" s="2">
        <v>3099.0</v>
      </c>
      <c r="I748" s="2">
        <v>2.512005002035E13</v>
      </c>
      <c r="J748" s="3">
        <v>2.0</v>
      </c>
      <c r="L748" s="2" t="s">
        <v>662</v>
      </c>
      <c r="M748" s="174" t="s">
        <v>409</v>
      </c>
      <c r="N748" s="2" t="s">
        <v>462</v>
      </c>
      <c r="O748" s="3">
        <v>0.5</v>
      </c>
      <c r="P748" s="2" t="s">
        <v>363</v>
      </c>
      <c r="Q748" s="3">
        <v>960.0</v>
      </c>
      <c r="T748" s="2" t="s">
        <v>599</v>
      </c>
      <c r="U748" s="171">
        <v>3099.0</v>
      </c>
      <c r="V748" s="172">
        <v>46010.0</v>
      </c>
      <c r="W748" s="3">
        <v>231.0</v>
      </c>
      <c r="X748" s="172">
        <v>46007.50990740741</v>
      </c>
      <c r="Y748" s="172"/>
      <c r="Z748" s="3">
        <v>46005.0</v>
      </c>
      <c r="AA748" s="3"/>
    </row>
    <row r="749">
      <c r="A749" s="3">
        <v>6.799364587779E12</v>
      </c>
      <c r="B749" s="2" t="s">
        <v>3475</v>
      </c>
      <c r="C749" s="2" t="s">
        <v>3476</v>
      </c>
      <c r="D749" s="169">
        <v>46005.0</v>
      </c>
      <c r="E749" s="2">
        <v>3.004633334E9</v>
      </c>
      <c r="F749" s="2" t="s">
        <v>3477</v>
      </c>
      <c r="G749" s="2" t="s">
        <v>1328</v>
      </c>
      <c r="H749" s="2">
        <v>2749.0</v>
      </c>
      <c r="I749" s="2">
        <v>2.7120050020351E13</v>
      </c>
      <c r="J749" s="3">
        <v>2.0</v>
      </c>
      <c r="L749" s="2" t="s">
        <v>926</v>
      </c>
      <c r="M749" s="174" t="s">
        <v>409</v>
      </c>
      <c r="N749" s="2" t="s">
        <v>462</v>
      </c>
      <c r="O749" s="3">
        <v>0.5</v>
      </c>
      <c r="P749" s="2" t="s">
        <v>363</v>
      </c>
      <c r="Q749" s="3">
        <v>980.0</v>
      </c>
      <c r="T749" s="2" t="s">
        <v>599</v>
      </c>
      <c r="U749" s="171">
        <v>2749.0</v>
      </c>
      <c r="V749" s="172">
        <v>46010.0</v>
      </c>
      <c r="W749" s="3">
        <v>310.0</v>
      </c>
      <c r="X749" s="172">
        <v>46008.79622685185</v>
      </c>
      <c r="Y749" s="172"/>
      <c r="Z749" s="3">
        <v>46005.0</v>
      </c>
      <c r="AA749" s="3"/>
    </row>
    <row r="750">
      <c r="A750" s="3">
        <v>6.799369240835E12</v>
      </c>
      <c r="B750" s="2" t="s">
        <v>3478</v>
      </c>
      <c r="C750" s="2" t="s">
        <v>3479</v>
      </c>
      <c r="D750" s="169">
        <v>46005.0</v>
      </c>
      <c r="E750" s="2">
        <v>3.00825272E9</v>
      </c>
      <c r="F750" s="2" t="s">
        <v>3480</v>
      </c>
      <c r="G750" s="2" t="s">
        <v>493</v>
      </c>
      <c r="H750" s="2">
        <v>2748.0</v>
      </c>
      <c r="I750" s="2">
        <v>2.512005002031E13</v>
      </c>
      <c r="J750" s="3">
        <v>1.0</v>
      </c>
      <c r="L750" s="2" t="s">
        <v>500</v>
      </c>
      <c r="M750" s="174" t="s">
        <v>409</v>
      </c>
      <c r="N750" s="2" t="s">
        <v>462</v>
      </c>
      <c r="O750" s="3">
        <v>0.5</v>
      </c>
      <c r="P750" s="2" t="s">
        <v>363</v>
      </c>
      <c r="Q750" s="3">
        <v>850.0</v>
      </c>
      <c r="T750" s="2" t="s">
        <v>777</v>
      </c>
      <c r="U750" s="171">
        <v>2748.0</v>
      </c>
      <c r="V750" s="172">
        <v>46014.0</v>
      </c>
      <c r="W750" s="3">
        <v>323.0</v>
      </c>
      <c r="X750" s="172">
        <v>46013.66342592593</v>
      </c>
      <c r="Y750" s="172"/>
      <c r="Z750" s="3">
        <v>46005.0</v>
      </c>
      <c r="AA750" s="3"/>
    </row>
    <row r="751">
      <c r="A751" s="3">
        <v>6.799399223555E12</v>
      </c>
      <c r="B751" s="2" t="s">
        <v>3481</v>
      </c>
      <c r="C751" s="2" t="s">
        <v>3482</v>
      </c>
      <c r="D751" s="169">
        <v>46005.0</v>
      </c>
      <c r="E751" s="2">
        <v>3.323228029E9</v>
      </c>
      <c r="F751" s="2" t="s">
        <v>3483</v>
      </c>
      <c r="G751" s="2" t="s">
        <v>3484</v>
      </c>
      <c r="H751" s="2">
        <v>2749.0</v>
      </c>
      <c r="I751" s="2">
        <v>2.4120050020352E13</v>
      </c>
      <c r="J751" s="3">
        <v>2.0</v>
      </c>
      <c r="L751" s="2" t="s">
        <v>35</v>
      </c>
      <c r="M751" s="174" t="s">
        <v>409</v>
      </c>
      <c r="N751" s="2" t="s">
        <v>462</v>
      </c>
      <c r="O751" s="3">
        <v>0.5</v>
      </c>
      <c r="P751" s="2" t="s">
        <v>363</v>
      </c>
      <c r="Q751" s="3">
        <v>980.0</v>
      </c>
      <c r="T751" s="2" t="s">
        <v>599</v>
      </c>
      <c r="U751" s="171">
        <v>2749.0</v>
      </c>
      <c r="V751" s="172">
        <v>46010.0</v>
      </c>
      <c r="W751" s="3">
        <v>323.0</v>
      </c>
      <c r="X751" s="172">
        <v>46009.90202546296</v>
      </c>
      <c r="Y751" s="172"/>
      <c r="Z751" s="3">
        <v>46005.0</v>
      </c>
      <c r="AA751" s="3"/>
    </row>
    <row r="752">
      <c r="A752" s="3">
        <v>6.799412723971E12</v>
      </c>
      <c r="B752" s="2" t="s">
        <v>3485</v>
      </c>
      <c r="C752" s="2" t="s">
        <v>2007</v>
      </c>
      <c r="D752" s="169">
        <v>46005.0</v>
      </c>
      <c r="E752" s="2">
        <v>3.009208777E9</v>
      </c>
      <c r="F752" s="2" t="s">
        <v>3486</v>
      </c>
      <c r="G752" s="2" t="s">
        <v>493</v>
      </c>
      <c r="H752" s="2">
        <v>3999.0</v>
      </c>
      <c r="I752" s="2">
        <v>2.2120050020309E13</v>
      </c>
      <c r="J752" s="3">
        <v>2.0</v>
      </c>
      <c r="L752" s="2" t="s">
        <v>479</v>
      </c>
      <c r="M752" s="174" t="s">
        <v>409</v>
      </c>
      <c r="N752" s="2" t="s">
        <v>462</v>
      </c>
      <c r="O752" s="3">
        <v>0.5</v>
      </c>
      <c r="P752" s="2" t="s">
        <v>363</v>
      </c>
      <c r="Q752" s="3">
        <v>1700.0</v>
      </c>
      <c r="T752" s="2" t="s">
        <v>777</v>
      </c>
      <c r="U752" s="171">
        <v>3999.0</v>
      </c>
      <c r="V752" s="172">
        <v>46014.0</v>
      </c>
      <c r="W752" s="3">
        <v>387.0</v>
      </c>
      <c r="X752" s="172">
        <v>46010.63077546297</v>
      </c>
      <c r="Y752" s="172"/>
      <c r="Z752" s="3">
        <v>46005.0</v>
      </c>
      <c r="AA752" s="3"/>
    </row>
    <row r="753">
      <c r="A753" s="3">
        <v>6.799416328451E12</v>
      </c>
      <c r="B753" s="2" t="s">
        <v>3487</v>
      </c>
      <c r="C753" s="2" t="s">
        <v>3488</v>
      </c>
      <c r="D753" s="169">
        <v>46005.0</v>
      </c>
      <c r="E753" s="173" t="s">
        <v>3489</v>
      </c>
      <c r="F753" s="2" t="s">
        <v>3490</v>
      </c>
      <c r="G753" s="2" t="s">
        <v>366</v>
      </c>
      <c r="H753" s="2">
        <v>2299.0</v>
      </c>
      <c r="I753" s="2">
        <v>2.2120050020308E13</v>
      </c>
      <c r="J753" s="3">
        <v>1.0</v>
      </c>
      <c r="L753" s="2" t="s">
        <v>3491</v>
      </c>
      <c r="M753" s="174" t="s">
        <v>409</v>
      </c>
      <c r="N753" s="2" t="s">
        <v>462</v>
      </c>
      <c r="O753" s="3">
        <v>0.5</v>
      </c>
      <c r="P753" s="2" t="s">
        <v>363</v>
      </c>
      <c r="Q753" s="3">
        <v>850.0</v>
      </c>
      <c r="T753" s="2" t="s">
        <v>599</v>
      </c>
      <c r="U753" s="171">
        <v>2299.0</v>
      </c>
      <c r="V753" s="172">
        <v>46010.0</v>
      </c>
      <c r="W753" s="3">
        <v>292.0</v>
      </c>
      <c r="X753" s="172">
        <v>46008.88357638889</v>
      </c>
      <c r="Y753" s="172"/>
      <c r="Z753" s="3">
        <v>46005.0</v>
      </c>
      <c r="AA753" s="3"/>
    </row>
    <row r="754">
      <c r="A754" s="3">
        <v>6.799430582531E12</v>
      </c>
      <c r="B754" s="2" t="s">
        <v>3492</v>
      </c>
      <c r="C754" s="2" t="s">
        <v>3493</v>
      </c>
      <c r="D754" s="169">
        <v>46005.0</v>
      </c>
      <c r="E754" s="2">
        <v>3.413793277E9</v>
      </c>
      <c r="F754" s="2" t="s">
        <v>3494</v>
      </c>
      <c r="G754" s="2" t="s">
        <v>3495</v>
      </c>
      <c r="H754" s="2">
        <v>0.0</v>
      </c>
      <c r="J754" s="3">
        <v>0.0</v>
      </c>
      <c r="K754" s="2" t="s">
        <v>2277</v>
      </c>
      <c r="L754" s="2"/>
      <c r="M754" s="2" t="s">
        <v>468</v>
      </c>
      <c r="N754" s="2" t="s">
        <v>406</v>
      </c>
      <c r="O754" s="3">
        <v>0.5</v>
      </c>
      <c r="Q754" s="3">
        <v>0.0</v>
      </c>
      <c r="U754" s="141"/>
      <c r="X754" s="172">
        <v>46057.64278277778</v>
      </c>
      <c r="Y754" s="172"/>
      <c r="Z754" s="3">
        <v>46005.0</v>
      </c>
      <c r="AA754" s="3"/>
    </row>
    <row r="755">
      <c r="A755" s="3">
        <v>6.799468298499E12</v>
      </c>
      <c r="B755" s="2" t="s">
        <v>3496</v>
      </c>
      <c r="C755" s="2" t="s">
        <v>3497</v>
      </c>
      <c r="D755" s="169">
        <v>46005.0</v>
      </c>
      <c r="E755" s="173" t="s">
        <v>3498</v>
      </c>
      <c r="F755" s="2" t="s">
        <v>3499</v>
      </c>
      <c r="G755" s="2" t="s">
        <v>3500</v>
      </c>
      <c r="H755" s="2">
        <v>2749.0</v>
      </c>
      <c r="I755" s="2">
        <v>2.3120050020353E13</v>
      </c>
      <c r="J755" s="3">
        <v>2.0</v>
      </c>
      <c r="K755" s="2" t="s">
        <v>511</v>
      </c>
      <c r="L755" s="2" t="s">
        <v>926</v>
      </c>
      <c r="M755" s="174" t="s">
        <v>409</v>
      </c>
      <c r="N755" s="2" t="s">
        <v>462</v>
      </c>
      <c r="O755" s="3">
        <v>0.5</v>
      </c>
      <c r="P755" s="2" t="s">
        <v>363</v>
      </c>
      <c r="Q755" s="3">
        <v>980.0</v>
      </c>
      <c r="T755" s="2" t="s">
        <v>599</v>
      </c>
      <c r="U755" s="171">
        <v>2749.0</v>
      </c>
      <c r="V755" s="172">
        <v>46010.0</v>
      </c>
      <c r="W755" s="3">
        <v>337.0</v>
      </c>
      <c r="X755" s="172">
        <v>46008.49607638889</v>
      </c>
      <c r="Y755" s="172"/>
      <c r="Z755" s="3">
        <v>46005.0</v>
      </c>
      <c r="AA755" s="3"/>
    </row>
    <row r="756">
      <c r="A756" s="3">
        <v>6.799514173699E12</v>
      </c>
      <c r="B756" s="2" t="s">
        <v>3501</v>
      </c>
      <c r="C756" s="2" t="s">
        <v>2183</v>
      </c>
      <c r="D756" s="169">
        <v>46005.0</v>
      </c>
      <c r="E756" s="2">
        <v>3.497497698E9</v>
      </c>
      <c r="F756" s="2" t="s">
        <v>3502</v>
      </c>
      <c r="G756" s="2" t="s">
        <v>3503</v>
      </c>
      <c r="H756" s="2">
        <v>2748.0</v>
      </c>
      <c r="I756" s="2">
        <v>2.2120050020307E13</v>
      </c>
      <c r="J756" s="3">
        <v>1.0</v>
      </c>
      <c r="L756" s="2" t="s">
        <v>519</v>
      </c>
      <c r="M756" s="174" t="s">
        <v>409</v>
      </c>
      <c r="N756" s="2" t="s">
        <v>462</v>
      </c>
      <c r="O756" s="3">
        <v>0.5</v>
      </c>
      <c r="P756" s="2" t="s">
        <v>363</v>
      </c>
      <c r="Q756" s="3">
        <v>850.0</v>
      </c>
      <c r="T756" s="2" t="s">
        <v>599</v>
      </c>
      <c r="U756" s="171">
        <v>2748.0</v>
      </c>
      <c r="V756" s="172">
        <v>46010.0</v>
      </c>
      <c r="W756" s="3">
        <v>330.0</v>
      </c>
      <c r="X756" s="172">
        <v>46008.56690972223</v>
      </c>
      <c r="Y756" s="172"/>
      <c r="Z756" s="3">
        <v>46005.0</v>
      </c>
      <c r="AA756" s="3"/>
    </row>
    <row r="757">
      <c r="A757" s="3">
        <v>6.799600189699E12</v>
      </c>
      <c r="B757" s="2" t="s">
        <v>3504</v>
      </c>
      <c r="C757" s="2" t="s">
        <v>3505</v>
      </c>
      <c r="D757" s="169">
        <v>46005.0</v>
      </c>
      <c r="E757" s="2">
        <v>3.206029243E9</v>
      </c>
      <c r="F757" s="2" t="s">
        <v>3506</v>
      </c>
      <c r="G757" s="2" t="s">
        <v>366</v>
      </c>
      <c r="H757" s="2">
        <v>2748.0</v>
      </c>
      <c r="I757" s="2">
        <v>2.3120050020375E13</v>
      </c>
      <c r="J757" s="3">
        <v>1.0</v>
      </c>
      <c r="K757" s="2" t="s">
        <v>511</v>
      </c>
      <c r="L757" s="2" t="s">
        <v>557</v>
      </c>
      <c r="M757" s="174" t="s">
        <v>409</v>
      </c>
      <c r="N757" s="2" t="s">
        <v>462</v>
      </c>
      <c r="O757" s="3">
        <v>0.5</v>
      </c>
      <c r="P757" s="2" t="s">
        <v>363</v>
      </c>
      <c r="Q757" s="3">
        <v>850.0</v>
      </c>
      <c r="T757" s="2" t="s">
        <v>599</v>
      </c>
      <c r="U757" s="171">
        <v>2748.0</v>
      </c>
      <c r="V757" s="172">
        <v>46010.0</v>
      </c>
      <c r="W757" s="3">
        <v>330.0</v>
      </c>
      <c r="X757" s="172">
        <v>46009.62739583333</v>
      </c>
      <c r="Y757" s="172"/>
      <c r="Z757" s="3">
        <v>46005.0</v>
      </c>
      <c r="AA757" s="3"/>
    </row>
    <row r="758">
      <c r="A758" s="3">
        <v>6.799604809987E12</v>
      </c>
      <c r="B758" s="2" t="s">
        <v>3507</v>
      </c>
      <c r="C758" s="2" t="s">
        <v>3508</v>
      </c>
      <c r="D758" s="169">
        <v>46005.0</v>
      </c>
      <c r="E758" s="2">
        <v>3.113996109E9</v>
      </c>
      <c r="F758" s="2" t="s">
        <v>3509</v>
      </c>
      <c r="G758" s="2" t="s">
        <v>493</v>
      </c>
      <c r="H758" s="2">
        <v>3999.0</v>
      </c>
      <c r="I758" s="2">
        <v>2.8120050020306E13</v>
      </c>
      <c r="J758" s="3">
        <v>2.0</v>
      </c>
      <c r="L758" s="2" t="s">
        <v>479</v>
      </c>
      <c r="M758" s="174" t="s">
        <v>409</v>
      </c>
      <c r="N758" s="2" t="s">
        <v>462</v>
      </c>
      <c r="O758" s="3">
        <v>0.5</v>
      </c>
      <c r="P758" s="2" t="s">
        <v>73</v>
      </c>
      <c r="Q758" s="3">
        <v>1700.0</v>
      </c>
      <c r="T758" s="2" t="s">
        <v>777</v>
      </c>
      <c r="U758" s="171">
        <v>3999.0</v>
      </c>
      <c r="V758" s="172">
        <v>46014.0</v>
      </c>
      <c r="W758" s="3">
        <v>387.0</v>
      </c>
      <c r="X758" s="172">
        <v>46010.53212962963</v>
      </c>
      <c r="Y758" s="172"/>
      <c r="Z758" s="3">
        <v>46005.0</v>
      </c>
      <c r="AA758" s="3"/>
    </row>
    <row r="759">
      <c r="A759" s="3">
        <v>6.799623192835E12</v>
      </c>
      <c r="B759" s="2" t="s">
        <v>3510</v>
      </c>
      <c r="C759" s="2" t="s">
        <v>2148</v>
      </c>
      <c r="D759" s="169">
        <v>46005.0</v>
      </c>
      <c r="E759" s="2">
        <v>3.458585359E9</v>
      </c>
      <c r="F759" s="2" t="s">
        <v>3511</v>
      </c>
      <c r="G759" s="2" t="s">
        <v>1087</v>
      </c>
      <c r="H759" s="2">
        <v>0.0</v>
      </c>
      <c r="J759" s="3">
        <v>0.0</v>
      </c>
      <c r="K759" s="2" t="s">
        <v>3380</v>
      </c>
      <c r="L759" s="2"/>
      <c r="M759" s="2" t="s">
        <v>468</v>
      </c>
      <c r="N759" s="2" t="s">
        <v>406</v>
      </c>
      <c r="O759" s="3">
        <v>0.5</v>
      </c>
      <c r="Q759" s="3">
        <v>0.0</v>
      </c>
      <c r="U759" s="141"/>
      <c r="X759" s="172">
        <v>46057.64278277778</v>
      </c>
      <c r="Y759" s="172"/>
      <c r="Z759" s="3">
        <v>46005.0</v>
      </c>
      <c r="AA759" s="3"/>
    </row>
    <row r="760">
      <c r="A760" s="3">
        <v>6.799710880003E12</v>
      </c>
      <c r="B760" s="2" t="s">
        <v>3512</v>
      </c>
      <c r="C760" s="2" t="s">
        <v>3513</v>
      </c>
      <c r="D760" s="169">
        <v>46005.0</v>
      </c>
      <c r="E760" s="2">
        <v>3.052222919E9</v>
      </c>
      <c r="F760" s="2" t="s">
        <v>3514</v>
      </c>
      <c r="G760" s="2" t="s">
        <v>368</v>
      </c>
      <c r="H760" s="2">
        <v>2649.0</v>
      </c>
      <c r="I760" s="2">
        <v>2.6120050020354E13</v>
      </c>
      <c r="J760" s="3">
        <v>2.0</v>
      </c>
      <c r="L760" s="2" t="s">
        <v>3515</v>
      </c>
      <c r="M760" s="174" t="s">
        <v>409</v>
      </c>
      <c r="N760" s="2" t="s">
        <v>462</v>
      </c>
      <c r="O760" s="3">
        <v>0.5</v>
      </c>
      <c r="P760" s="2" t="s">
        <v>363</v>
      </c>
      <c r="Q760" s="3">
        <v>1100.0</v>
      </c>
      <c r="T760" s="2" t="s">
        <v>599</v>
      </c>
      <c r="U760" s="171">
        <v>2649.0</v>
      </c>
      <c r="V760" s="172">
        <v>46010.0</v>
      </c>
      <c r="W760" s="3">
        <v>226.0</v>
      </c>
      <c r="X760" s="172">
        <v>46007.52873842593</v>
      </c>
      <c r="Y760" s="172"/>
      <c r="Z760" s="3">
        <v>46005.0</v>
      </c>
      <c r="AA760" s="3"/>
    </row>
    <row r="761">
      <c r="A761" s="3">
        <v>6.799712059651E12</v>
      </c>
      <c r="B761" s="2" t="s">
        <v>3516</v>
      </c>
      <c r="C761" s="2" t="s">
        <v>2468</v>
      </c>
      <c r="D761" s="169">
        <v>46005.0</v>
      </c>
      <c r="E761" s="2">
        <v>3.187809346E9</v>
      </c>
      <c r="F761" s="2" t="s">
        <v>3517</v>
      </c>
      <c r="G761" s="2" t="s">
        <v>3518</v>
      </c>
      <c r="H761" s="2">
        <v>2748.0</v>
      </c>
      <c r="I761" s="2">
        <v>2.3120050020355E13</v>
      </c>
      <c r="J761" s="3">
        <v>1.0</v>
      </c>
      <c r="K761" s="2" t="s">
        <v>511</v>
      </c>
      <c r="L761" s="2" t="s">
        <v>3519</v>
      </c>
      <c r="M761" s="174" t="s">
        <v>409</v>
      </c>
      <c r="N761" s="2" t="s">
        <v>462</v>
      </c>
      <c r="O761" s="3">
        <v>0.5</v>
      </c>
      <c r="P761" s="2" t="s">
        <v>363</v>
      </c>
      <c r="Q761" s="3">
        <v>1400.0</v>
      </c>
      <c r="T761" s="2" t="s">
        <v>599</v>
      </c>
      <c r="U761" s="171">
        <v>2748.0</v>
      </c>
      <c r="V761" s="172">
        <v>46010.0</v>
      </c>
      <c r="W761" s="3">
        <v>323.0</v>
      </c>
      <c r="X761" s="172">
        <v>46009.712858796294</v>
      </c>
      <c r="Y761" s="172"/>
      <c r="Z761" s="3">
        <v>46005.0</v>
      </c>
      <c r="AA761" s="3"/>
    </row>
    <row r="762">
      <c r="A762" s="3">
        <v>6.799726182659E12</v>
      </c>
      <c r="B762" s="2" t="s">
        <v>3520</v>
      </c>
      <c r="C762" s="2" t="s">
        <v>3521</v>
      </c>
      <c r="D762" s="169">
        <v>46005.0</v>
      </c>
      <c r="E762" s="2">
        <v>3.121051005E9</v>
      </c>
      <c r="F762" s="2" t="s">
        <v>3522</v>
      </c>
      <c r="G762" s="2" t="s">
        <v>493</v>
      </c>
      <c r="H762" s="2">
        <v>0.0</v>
      </c>
      <c r="I762" s="2">
        <v>2.6120050020305E13</v>
      </c>
      <c r="J762" s="3">
        <v>0.0</v>
      </c>
      <c r="K762" s="2" t="s">
        <v>3523</v>
      </c>
      <c r="L762" s="2"/>
      <c r="M762" s="170" t="s">
        <v>455</v>
      </c>
      <c r="N762" s="2" t="s">
        <v>406</v>
      </c>
      <c r="O762" s="3">
        <v>0.5</v>
      </c>
      <c r="P762" s="2" t="s">
        <v>363</v>
      </c>
      <c r="Q762" s="3">
        <v>0.0</v>
      </c>
      <c r="T762" s="2" t="s">
        <v>2140</v>
      </c>
      <c r="U762" s="171">
        <v>0.0</v>
      </c>
      <c r="V762" s="172">
        <v>46021.0</v>
      </c>
      <c r="W762" s="3">
        <v>227.0</v>
      </c>
      <c r="X762" s="172">
        <v>46057.64278277778</v>
      </c>
      <c r="Y762" s="172"/>
      <c r="Z762" s="3">
        <v>46005.0</v>
      </c>
      <c r="AA762" s="3"/>
    </row>
    <row r="763">
      <c r="A763" s="3">
        <v>6.799743189251E12</v>
      </c>
      <c r="B763" s="2" t="s">
        <v>3524</v>
      </c>
      <c r="C763" s="2" t="s">
        <v>3525</v>
      </c>
      <c r="D763" s="169">
        <v>46005.0</v>
      </c>
      <c r="E763" s="173" t="s">
        <v>3526</v>
      </c>
      <c r="F763" s="2" t="s">
        <v>3527</v>
      </c>
      <c r="G763" s="2" t="s">
        <v>3528</v>
      </c>
      <c r="H763" s="2">
        <v>2125.0</v>
      </c>
      <c r="I763" s="2">
        <v>2.6120050020487E13</v>
      </c>
      <c r="J763" s="3">
        <v>1.0</v>
      </c>
      <c r="K763" s="2" t="s">
        <v>511</v>
      </c>
      <c r="L763" s="2" t="s">
        <v>519</v>
      </c>
      <c r="M763" s="174" t="s">
        <v>409</v>
      </c>
      <c r="N763" s="2" t="s">
        <v>462</v>
      </c>
      <c r="O763" s="3">
        <v>0.5</v>
      </c>
      <c r="P763" s="2" t="s">
        <v>363</v>
      </c>
      <c r="Q763" s="3">
        <v>850.0</v>
      </c>
      <c r="T763" s="2" t="s">
        <v>777</v>
      </c>
      <c r="U763" s="3">
        <v>2125.0</v>
      </c>
      <c r="V763" s="172">
        <v>46014.0</v>
      </c>
      <c r="W763" s="3">
        <v>200.0</v>
      </c>
      <c r="X763" s="172">
        <v>46011.560636574075</v>
      </c>
      <c r="Y763" s="172"/>
      <c r="Z763" s="3">
        <v>46005.0</v>
      </c>
      <c r="AA763" s="3"/>
    </row>
    <row r="764">
      <c r="A764" s="3">
        <v>6.799763472643E12</v>
      </c>
      <c r="B764" s="2" t="s">
        <v>3529</v>
      </c>
      <c r="C764" s="2" t="s">
        <v>3530</v>
      </c>
      <c r="D764" s="169">
        <v>46005.0</v>
      </c>
      <c r="E764" s="173" t="s">
        <v>3531</v>
      </c>
      <c r="F764" s="2" t="s">
        <v>3532</v>
      </c>
      <c r="G764" s="2" t="s">
        <v>802</v>
      </c>
      <c r="H764" s="2">
        <v>2748.0</v>
      </c>
      <c r="I764" s="2">
        <v>2.012005002041E13</v>
      </c>
      <c r="J764" s="3">
        <v>1.0</v>
      </c>
      <c r="K764" s="2" t="s">
        <v>511</v>
      </c>
      <c r="L764" s="2" t="s">
        <v>500</v>
      </c>
      <c r="M764" s="174" t="s">
        <v>409</v>
      </c>
      <c r="N764" s="2" t="s">
        <v>462</v>
      </c>
      <c r="O764" s="3">
        <v>0.5</v>
      </c>
      <c r="P764" s="2" t="s">
        <v>363</v>
      </c>
      <c r="Q764" s="3">
        <v>850.0</v>
      </c>
      <c r="T764" s="2" t="s">
        <v>777</v>
      </c>
      <c r="U764" s="171">
        <v>2748.0</v>
      </c>
      <c r="V764" s="172">
        <v>46014.0</v>
      </c>
      <c r="W764" s="3">
        <v>323.0</v>
      </c>
      <c r="X764" s="172">
        <v>46010.51685185185</v>
      </c>
      <c r="Y764" s="172"/>
      <c r="Z764" s="3">
        <v>46005.0</v>
      </c>
      <c r="AA764" s="3"/>
    </row>
    <row r="765">
      <c r="A765" s="3">
        <v>6.799820161283E12</v>
      </c>
      <c r="B765" s="2" t="s">
        <v>3533</v>
      </c>
      <c r="C765" s="2" t="s">
        <v>3534</v>
      </c>
      <c r="D765" s="169">
        <v>46005.0</v>
      </c>
      <c r="E765" s="2">
        <v>3.070001729E9</v>
      </c>
      <c r="F765" s="2" t="s">
        <v>3535</v>
      </c>
      <c r="G765" s="2" t="s">
        <v>506</v>
      </c>
      <c r="H765" s="2">
        <v>1999.0</v>
      </c>
      <c r="I765" s="2">
        <v>2.7120050020356E13</v>
      </c>
      <c r="J765" s="3">
        <v>1.0</v>
      </c>
      <c r="L765" s="2" t="s">
        <v>3536</v>
      </c>
      <c r="M765" s="174" t="s">
        <v>409</v>
      </c>
      <c r="N765" s="2" t="s">
        <v>462</v>
      </c>
      <c r="O765" s="3">
        <v>0.5</v>
      </c>
      <c r="P765" s="2" t="s">
        <v>363</v>
      </c>
      <c r="Q765" s="3">
        <v>1100.0</v>
      </c>
      <c r="T765" s="2" t="s">
        <v>599</v>
      </c>
      <c r="U765" s="171">
        <v>1999.0</v>
      </c>
      <c r="V765" s="172">
        <v>46010.0</v>
      </c>
      <c r="W765" s="3">
        <v>280.0</v>
      </c>
      <c r="X765" s="172">
        <v>46008.55295138889</v>
      </c>
      <c r="Y765" s="172"/>
      <c r="Z765" s="3">
        <v>46005.0</v>
      </c>
      <c r="AA765" s="3"/>
    </row>
    <row r="766">
      <c r="A766" s="3">
        <v>6.799837298947E12</v>
      </c>
      <c r="B766" s="2" t="s">
        <v>3537</v>
      </c>
      <c r="C766" s="2" t="s">
        <v>3538</v>
      </c>
      <c r="D766" s="169">
        <v>46005.0</v>
      </c>
      <c r="E766" s="2">
        <v>3.245555904E9</v>
      </c>
      <c r="F766" s="2" t="s">
        <v>3539</v>
      </c>
      <c r="G766" s="2" t="s">
        <v>368</v>
      </c>
      <c r="H766" s="2">
        <v>4099.0</v>
      </c>
      <c r="I766" s="2">
        <v>2.7120050020304E13</v>
      </c>
      <c r="J766" s="3">
        <v>1.0</v>
      </c>
      <c r="L766" s="2" t="s">
        <v>608</v>
      </c>
      <c r="M766" s="174" t="s">
        <v>409</v>
      </c>
      <c r="N766" s="2" t="s">
        <v>462</v>
      </c>
      <c r="O766" s="3">
        <v>0.5</v>
      </c>
      <c r="P766" s="2" t="s">
        <v>363</v>
      </c>
      <c r="Q766" s="3">
        <v>1600.0</v>
      </c>
      <c r="T766" s="2" t="s">
        <v>599</v>
      </c>
      <c r="U766" s="171">
        <v>4099.0</v>
      </c>
      <c r="V766" s="172">
        <v>46010.0</v>
      </c>
      <c r="W766" s="3">
        <v>284.0</v>
      </c>
      <c r="X766" s="172">
        <v>46007.534259259264</v>
      </c>
      <c r="Y766" s="172"/>
      <c r="Z766" s="3">
        <v>46005.0</v>
      </c>
      <c r="AA766" s="3"/>
    </row>
    <row r="767">
      <c r="A767" s="3">
        <v>6.799853682947E12</v>
      </c>
      <c r="B767" s="2" t="s">
        <v>3540</v>
      </c>
      <c r="C767" s="2" t="s">
        <v>3541</v>
      </c>
      <c r="D767" s="169">
        <v>46005.0</v>
      </c>
      <c r="E767" s="2">
        <v>3.333724835E9</v>
      </c>
      <c r="F767" s="2" t="s">
        <v>3542</v>
      </c>
      <c r="G767" s="2" t="s">
        <v>693</v>
      </c>
      <c r="H767" s="2">
        <v>0.0</v>
      </c>
      <c r="I767" s="2">
        <v>2.6120050020303E13</v>
      </c>
      <c r="J767" s="3">
        <v>0.0</v>
      </c>
      <c r="K767" s="2" t="s">
        <v>3543</v>
      </c>
      <c r="L767" s="2"/>
      <c r="M767" s="170" t="s">
        <v>455</v>
      </c>
      <c r="N767" s="2" t="s">
        <v>406</v>
      </c>
      <c r="O767" s="3">
        <v>0.5</v>
      </c>
      <c r="P767" s="2" t="s">
        <v>363</v>
      </c>
      <c r="Q767" s="3">
        <v>0.0</v>
      </c>
      <c r="T767" s="2" t="s">
        <v>2140</v>
      </c>
      <c r="U767" s="171">
        <v>0.0</v>
      </c>
      <c r="V767" s="172">
        <v>46021.0</v>
      </c>
      <c r="W767" s="3">
        <v>320.0</v>
      </c>
      <c r="X767" s="172">
        <v>46057.64278277778</v>
      </c>
      <c r="Y767" s="172"/>
      <c r="Z767" s="3">
        <v>46005.0</v>
      </c>
      <c r="AA767" s="3"/>
    </row>
    <row r="768">
      <c r="A768" s="3">
        <v>6.799880192259E12</v>
      </c>
      <c r="B768" s="2" t="s">
        <v>3544</v>
      </c>
      <c r="C768" s="2" t="s">
        <v>3545</v>
      </c>
      <c r="D768" s="169">
        <v>46005.0</v>
      </c>
      <c r="E768" s="2">
        <v>3.323566695E9</v>
      </c>
      <c r="F768" s="2" t="s">
        <v>3546</v>
      </c>
      <c r="G768" s="2" t="s">
        <v>493</v>
      </c>
      <c r="H768" s="2">
        <v>2749.0</v>
      </c>
      <c r="I768" s="2">
        <v>2.2120050020357E13</v>
      </c>
      <c r="J768" s="3">
        <v>2.0</v>
      </c>
      <c r="L768" s="2" t="s">
        <v>35</v>
      </c>
      <c r="M768" s="174" t="s">
        <v>409</v>
      </c>
      <c r="N768" s="2" t="s">
        <v>462</v>
      </c>
      <c r="O768" s="3">
        <v>0.5</v>
      </c>
      <c r="P768" s="2" t="s">
        <v>363</v>
      </c>
      <c r="Q768" s="3">
        <v>980.0</v>
      </c>
      <c r="T768" s="2" t="s">
        <v>599</v>
      </c>
      <c r="U768" s="171">
        <v>2749.0</v>
      </c>
      <c r="V768" s="172">
        <v>46010.0</v>
      </c>
      <c r="W768" s="3">
        <v>337.0</v>
      </c>
      <c r="X768" s="172">
        <v>46009.55018518519</v>
      </c>
      <c r="Y768" s="172"/>
      <c r="Z768" s="3">
        <v>46005.0</v>
      </c>
      <c r="AA768" s="3"/>
    </row>
    <row r="769">
      <c r="A769" s="3">
        <v>6.799920169219E12</v>
      </c>
      <c r="B769" s="2" t="s">
        <v>3547</v>
      </c>
      <c r="C769" s="2" t="s">
        <v>3548</v>
      </c>
      <c r="D769" s="169">
        <v>46005.0</v>
      </c>
      <c r="E769" s="173" t="s">
        <v>3549</v>
      </c>
      <c r="F769" s="2" t="s">
        <v>3550</v>
      </c>
      <c r="G769" s="2" t="s">
        <v>493</v>
      </c>
      <c r="H769" s="2">
        <v>5700.0</v>
      </c>
      <c r="I769" s="2">
        <v>2.5120050020358E13</v>
      </c>
      <c r="J769" s="3">
        <v>4.0</v>
      </c>
      <c r="L769" s="2" t="s">
        <v>3551</v>
      </c>
      <c r="M769" s="174" t="s">
        <v>409</v>
      </c>
      <c r="N769" s="2" t="s">
        <v>462</v>
      </c>
      <c r="O769" s="3">
        <v>0.5</v>
      </c>
      <c r="P769" s="2" t="s">
        <v>363</v>
      </c>
      <c r="Q769" s="3">
        <v>1880.0</v>
      </c>
      <c r="T769" s="2" t="s">
        <v>777</v>
      </c>
      <c r="U769" s="171">
        <v>5700.0</v>
      </c>
      <c r="V769" s="172">
        <v>46014.0</v>
      </c>
      <c r="W769" s="3">
        <v>455.0</v>
      </c>
      <c r="X769" s="172">
        <v>46010.74408564815</v>
      </c>
      <c r="Y769" s="172"/>
      <c r="Z769" s="3">
        <v>46005.0</v>
      </c>
      <c r="AA769" s="3"/>
    </row>
    <row r="770">
      <c r="A770" s="3">
        <v>6.799947268355E12</v>
      </c>
      <c r="B770" s="2" t="s">
        <v>3552</v>
      </c>
      <c r="C770" s="2" t="s">
        <v>3553</v>
      </c>
      <c r="D770" s="169">
        <v>46005.0</v>
      </c>
      <c r="E770" s="173" t="s">
        <v>3554</v>
      </c>
      <c r="F770" s="2" t="s">
        <v>3555</v>
      </c>
      <c r="G770" s="2" t="s">
        <v>749</v>
      </c>
      <c r="H770" s="2">
        <v>2397.0</v>
      </c>
      <c r="I770" s="2">
        <v>2.1120050020433E13</v>
      </c>
      <c r="J770" s="3">
        <v>1.0</v>
      </c>
      <c r="K770" s="2" t="s">
        <v>511</v>
      </c>
      <c r="L770" s="2" t="s">
        <v>500</v>
      </c>
      <c r="M770" s="174" t="s">
        <v>409</v>
      </c>
      <c r="N770" s="2" t="s">
        <v>462</v>
      </c>
      <c r="O770" s="3">
        <v>0.5</v>
      </c>
      <c r="P770" s="2" t="s">
        <v>73</v>
      </c>
      <c r="Q770" s="3">
        <v>850.0</v>
      </c>
      <c r="T770" s="2" t="s">
        <v>599</v>
      </c>
      <c r="U770" s="3">
        <v>2397.0</v>
      </c>
      <c r="V770" s="172">
        <v>46010.0</v>
      </c>
      <c r="W770" s="3">
        <v>310.0</v>
      </c>
      <c r="X770" s="172">
        <v>46008.61824074074</v>
      </c>
      <c r="Y770" s="172"/>
      <c r="Z770" s="3">
        <v>46005.0</v>
      </c>
      <c r="AA770" s="3"/>
    </row>
    <row r="771">
      <c r="A771" s="3">
        <v>6.800002973955E12</v>
      </c>
      <c r="B771" s="2" t="s">
        <v>3556</v>
      </c>
      <c r="C771" s="2" t="s">
        <v>3557</v>
      </c>
      <c r="D771" s="169">
        <v>46006.0</v>
      </c>
      <c r="E771" s="2">
        <v>3.440190957E9</v>
      </c>
      <c r="F771" s="2" t="s">
        <v>3558</v>
      </c>
      <c r="G771" s="2" t="s">
        <v>368</v>
      </c>
      <c r="H771" s="2">
        <v>1499.0</v>
      </c>
      <c r="I771" s="2">
        <v>2.6120050020359E13</v>
      </c>
      <c r="J771" s="3">
        <v>1.0</v>
      </c>
      <c r="L771" s="2" t="s">
        <v>3559</v>
      </c>
      <c r="M771" s="174" t="s">
        <v>409</v>
      </c>
      <c r="N771" s="2" t="s">
        <v>462</v>
      </c>
      <c r="O771" s="3">
        <v>0.5</v>
      </c>
      <c r="P771" s="2" t="s">
        <v>363</v>
      </c>
      <c r="Q771" s="3">
        <v>550.0</v>
      </c>
      <c r="T771" s="2" t="s">
        <v>599</v>
      </c>
      <c r="U771" s="171">
        <v>1499.0</v>
      </c>
      <c r="V771" s="172">
        <v>46010.0</v>
      </c>
      <c r="W771" s="3">
        <v>167.0</v>
      </c>
      <c r="X771" s="172">
        <v>46007.58490740741</v>
      </c>
      <c r="Y771" s="172"/>
      <c r="Z771" s="3">
        <v>46006.0</v>
      </c>
      <c r="AA771" s="3"/>
    </row>
    <row r="772">
      <c r="A772" s="3">
        <v>6.800003727619E12</v>
      </c>
      <c r="B772" s="2" t="s">
        <v>3560</v>
      </c>
      <c r="C772" s="2" t="s">
        <v>3561</v>
      </c>
      <c r="D772" s="169">
        <v>46006.0</v>
      </c>
      <c r="E772" s="2">
        <v>3.455954423E9</v>
      </c>
      <c r="F772" s="2" t="s">
        <v>3562</v>
      </c>
      <c r="G772" s="2" t="s">
        <v>493</v>
      </c>
      <c r="H772" s="2">
        <v>2748.0</v>
      </c>
      <c r="I772" s="2">
        <v>2.2120050020302E13</v>
      </c>
      <c r="J772" s="3">
        <v>1.0</v>
      </c>
      <c r="L772" s="2" t="s">
        <v>512</v>
      </c>
      <c r="M772" s="174" t="s">
        <v>409</v>
      </c>
      <c r="N772" s="2" t="s">
        <v>462</v>
      </c>
      <c r="O772" s="3">
        <v>0.5</v>
      </c>
      <c r="P772" s="2" t="s">
        <v>363</v>
      </c>
      <c r="Q772" s="3">
        <v>850.0</v>
      </c>
      <c r="T772" s="2" t="s">
        <v>777</v>
      </c>
      <c r="U772" s="171">
        <v>2748.0</v>
      </c>
      <c r="V772" s="172">
        <v>46014.0</v>
      </c>
      <c r="W772" s="3">
        <v>337.0</v>
      </c>
      <c r="X772" s="172">
        <v>46010.64671296296</v>
      </c>
      <c r="Y772" s="172"/>
      <c r="Z772" s="3">
        <v>46006.0</v>
      </c>
      <c r="AA772" s="3"/>
    </row>
    <row r="773">
      <c r="A773" s="3">
        <v>6.800034562307E12</v>
      </c>
      <c r="B773" s="2" t="s">
        <v>3563</v>
      </c>
      <c r="C773" s="2" t="s">
        <v>3564</v>
      </c>
      <c r="D773" s="169">
        <v>46006.0</v>
      </c>
      <c r="E773" s="2">
        <v>3.459649701E9</v>
      </c>
      <c r="F773" s="2" t="s">
        <v>3565</v>
      </c>
      <c r="G773" s="2" t="s">
        <v>1439</v>
      </c>
      <c r="H773" s="2">
        <v>2748.0</v>
      </c>
      <c r="I773" s="2">
        <v>2.312005002036E13</v>
      </c>
      <c r="J773" s="3">
        <v>1.0</v>
      </c>
      <c r="L773" s="2" t="s">
        <v>2075</v>
      </c>
      <c r="M773" s="174" t="s">
        <v>409</v>
      </c>
      <c r="N773" s="2" t="s">
        <v>462</v>
      </c>
      <c r="O773" s="3">
        <v>0.5</v>
      </c>
      <c r="P773" s="2" t="s">
        <v>363</v>
      </c>
      <c r="Q773" s="3">
        <v>1300.0</v>
      </c>
      <c r="T773" s="2" t="s">
        <v>599</v>
      </c>
      <c r="U773" s="171">
        <v>2748.0</v>
      </c>
      <c r="V773" s="172">
        <v>46010.0</v>
      </c>
      <c r="W773" s="3">
        <v>323.0</v>
      </c>
      <c r="X773" s="172">
        <v>46009.535625000004</v>
      </c>
      <c r="Y773" s="172"/>
      <c r="Z773" s="3">
        <v>46006.0</v>
      </c>
      <c r="AA773" s="3"/>
    </row>
    <row r="774">
      <c r="A774" s="3">
        <v>6.800161997059E12</v>
      </c>
      <c r="B774" s="2" t="s">
        <v>3566</v>
      </c>
      <c r="C774" s="2" t="s">
        <v>3567</v>
      </c>
      <c r="D774" s="169">
        <v>46006.0</v>
      </c>
      <c r="E774" s="2">
        <v>3.222860167E9</v>
      </c>
      <c r="F774" s="2" t="s">
        <v>3568</v>
      </c>
      <c r="G774" s="2" t="s">
        <v>493</v>
      </c>
      <c r="H774" s="2">
        <v>3999.0</v>
      </c>
      <c r="I774" s="2">
        <v>2.9120050020301E13</v>
      </c>
      <c r="J774" s="3">
        <v>2.0</v>
      </c>
      <c r="L774" s="2" t="s">
        <v>994</v>
      </c>
      <c r="M774" s="174" t="s">
        <v>409</v>
      </c>
      <c r="N774" s="2" t="s">
        <v>462</v>
      </c>
      <c r="O774" s="3">
        <v>0.5</v>
      </c>
      <c r="P774" s="2" t="s">
        <v>363</v>
      </c>
      <c r="Q774" s="3">
        <v>1700.0</v>
      </c>
      <c r="T774" s="2" t="s">
        <v>777</v>
      </c>
      <c r="U774" s="171">
        <v>3999.0</v>
      </c>
      <c r="V774" s="172">
        <v>46014.0</v>
      </c>
      <c r="W774" s="3">
        <v>387.0</v>
      </c>
      <c r="X774" s="172">
        <v>46010.70162037037</v>
      </c>
      <c r="Y774" s="172"/>
      <c r="Z774" s="3">
        <v>46006.0</v>
      </c>
      <c r="AA774" s="3"/>
    </row>
    <row r="775">
      <c r="A775" s="3">
        <v>6.800189718787E12</v>
      </c>
      <c r="B775" s="2" t="s">
        <v>3569</v>
      </c>
      <c r="C775" s="2" t="s">
        <v>2816</v>
      </c>
      <c r="D775" s="169">
        <v>46006.0</v>
      </c>
      <c r="E775" s="2">
        <v>3.702065951E9</v>
      </c>
      <c r="F775" s="2" t="s">
        <v>3570</v>
      </c>
      <c r="G775" s="2" t="s">
        <v>493</v>
      </c>
      <c r="H775" s="2">
        <v>2749.0</v>
      </c>
      <c r="I775" s="2">
        <v>2.5120050020361E13</v>
      </c>
      <c r="J775" s="3">
        <v>2.0</v>
      </c>
      <c r="L775" s="2" t="s">
        <v>16</v>
      </c>
      <c r="M775" s="174" t="s">
        <v>409</v>
      </c>
      <c r="N775" s="2" t="s">
        <v>462</v>
      </c>
      <c r="O775" s="3">
        <v>0.5</v>
      </c>
      <c r="P775" s="2" t="s">
        <v>363</v>
      </c>
      <c r="Q775" s="3">
        <v>980.0</v>
      </c>
      <c r="T775" s="2" t="s">
        <v>777</v>
      </c>
      <c r="U775" s="171">
        <v>2749.0</v>
      </c>
      <c r="V775" s="172">
        <v>46014.0</v>
      </c>
      <c r="W775" s="3">
        <v>323.0</v>
      </c>
      <c r="X775" s="172">
        <v>46011.85028935185</v>
      </c>
      <c r="Y775" s="172"/>
      <c r="Z775" s="3">
        <v>46006.0</v>
      </c>
      <c r="AA775" s="3"/>
    </row>
    <row r="776">
      <c r="A776" s="3">
        <v>6.800410902787E12</v>
      </c>
      <c r="B776" s="2" t="s">
        <v>3571</v>
      </c>
      <c r="C776" s="2" t="s">
        <v>3572</v>
      </c>
      <c r="D776" s="169">
        <v>46006.0</v>
      </c>
      <c r="E776" s="2">
        <v>3.099999889E9</v>
      </c>
      <c r="F776" s="2" t="s">
        <v>3573</v>
      </c>
      <c r="G776" s="2" t="s">
        <v>366</v>
      </c>
      <c r="H776" s="2">
        <v>2999.0</v>
      </c>
      <c r="I776" s="2">
        <v>2.5120050020362E13</v>
      </c>
      <c r="J776" s="3">
        <v>2.0</v>
      </c>
      <c r="L776" s="2" t="s">
        <v>3574</v>
      </c>
      <c r="M776" s="174" t="s">
        <v>409</v>
      </c>
      <c r="N776" s="2" t="s">
        <v>462</v>
      </c>
      <c r="O776" s="3">
        <v>0.5</v>
      </c>
      <c r="P776" s="2" t="s">
        <v>363</v>
      </c>
      <c r="Q776" s="3">
        <v>1040.0</v>
      </c>
      <c r="T776" s="2" t="s">
        <v>599</v>
      </c>
      <c r="U776" s="171">
        <v>2999.0</v>
      </c>
      <c r="V776" s="172">
        <v>46010.0</v>
      </c>
      <c r="W776" s="3">
        <v>340.0</v>
      </c>
      <c r="X776" s="172">
        <v>46008.70673611111</v>
      </c>
      <c r="Y776" s="172"/>
      <c r="Z776" s="3">
        <v>46006.0</v>
      </c>
      <c r="AA776" s="3"/>
    </row>
    <row r="777">
      <c r="A777" s="3">
        <v>6.800453468419E12</v>
      </c>
      <c r="B777" s="2" t="s">
        <v>3575</v>
      </c>
      <c r="C777" s="2" t="s">
        <v>3576</v>
      </c>
      <c r="D777" s="169">
        <v>46006.0</v>
      </c>
      <c r="E777" s="2">
        <v>3.035577632E9</v>
      </c>
      <c r="F777" s="2" t="s">
        <v>3577</v>
      </c>
      <c r="G777" s="2" t="s">
        <v>822</v>
      </c>
      <c r="H777" s="2">
        <v>0.0</v>
      </c>
      <c r="J777" s="3">
        <v>0.0</v>
      </c>
      <c r="K777" s="2" t="s">
        <v>537</v>
      </c>
      <c r="L777" s="2"/>
      <c r="M777" s="2" t="s">
        <v>468</v>
      </c>
      <c r="N777" s="2" t="s">
        <v>406</v>
      </c>
      <c r="O777" s="3">
        <v>0.5</v>
      </c>
      <c r="Q777" s="3">
        <v>0.0</v>
      </c>
      <c r="U777" s="141"/>
      <c r="X777" s="172">
        <v>46057.64278277778</v>
      </c>
      <c r="Y777" s="172"/>
      <c r="Z777" s="3">
        <v>46006.0</v>
      </c>
      <c r="AA777" s="3"/>
    </row>
    <row r="778">
      <c r="A778" s="3">
        <v>6.800521986307E12</v>
      </c>
      <c r="B778" s="2" t="s">
        <v>3578</v>
      </c>
      <c r="C778" s="2" t="s">
        <v>3579</v>
      </c>
      <c r="D778" s="169">
        <v>46006.0</v>
      </c>
      <c r="E778" s="173" t="s">
        <v>3580</v>
      </c>
      <c r="F778" s="2" t="s">
        <v>3581</v>
      </c>
      <c r="G778" s="2" t="s">
        <v>693</v>
      </c>
      <c r="H778" s="2">
        <v>2749.0</v>
      </c>
      <c r="I778" s="2">
        <v>2.2120050020363E13</v>
      </c>
      <c r="J778" s="3">
        <v>2.0</v>
      </c>
      <c r="L778" s="2" t="s">
        <v>35</v>
      </c>
      <c r="M778" s="174" t="s">
        <v>409</v>
      </c>
      <c r="N778" s="2" t="s">
        <v>462</v>
      </c>
      <c r="O778" s="3">
        <v>0.5</v>
      </c>
      <c r="P778" s="2" t="s">
        <v>363</v>
      </c>
      <c r="Q778" s="3">
        <v>980.0</v>
      </c>
      <c r="T778" s="2" t="s">
        <v>599</v>
      </c>
      <c r="U778" s="171">
        <v>2749.0</v>
      </c>
      <c r="V778" s="172">
        <v>46010.0</v>
      </c>
      <c r="W778" s="3">
        <v>323.0</v>
      </c>
      <c r="X778" s="172">
        <v>46009.66619212963</v>
      </c>
      <c r="Y778" s="172"/>
      <c r="Z778" s="3">
        <v>46006.0</v>
      </c>
      <c r="AA778" s="3"/>
    </row>
    <row r="779">
      <c r="A779" s="3">
        <v>6.800684220675E12</v>
      </c>
      <c r="B779" s="2" t="s">
        <v>3582</v>
      </c>
      <c r="C779" s="2" t="s">
        <v>3583</v>
      </c>
      <c r="D779" s="169">
        <v>46006.0</v>
      </c>
      <c r="E779" s="2">
        <v>3.00956864E9</v>
      </c>
      <c r="F779" s="2" t="s">
        <v>3584</v>
      </c>
      <c r="G779" s="2" t="s">
        <v>3585</v>
      </c>
      <c r="H779" s="2">
        <v>0.0</v>
      </c>
      <c r="I779" s="2">
        <v>2.31200500203E13</v>
      </c>
      <c r="J779" s="3">
        <v>0.0</v>
      </c>
      <c r="K779" s="2" t="s">
        <v>3586</v>
      </c>
      <c r="L779" s="2"/>
      <c r="M779" s="170" t="s">
        <v>455</v>
      </c>
      <c r="N779" s="2" t="s">
        <v>406</v>
      </c>
      <c r="O779" s="3">
        <v>0.5</v>
      </c>
      <c r="P779" s="2" t="s">
        <v>363</v>
      </c>
      <c r="Q779" s="3">
        <v>0.0</v>
      </c>
      <c r="T779" s="2" t="s">
        <v>777</v>
      </c>
      <c r="U779" s="171">
        <v>0.0</v>
      </c>
      <c r="V779" s="172">
        <v>46014.0</v>
      </c>
      <c r="W779" s="3">
        <v>220.0</v>
      </c>
      <c r="X779" s="172">
        <v>46057.64278277778</v>
      </c>
      <c r="Y779" s="172"/>
      <c r="Z779" s="3">
        <v>46006.0</v>
      </c>
      <c r="AA779" s="3"/>
    </row>
    <row r="780">
      <c r="A780" s="3">
        <v>6.800748052739E12</v>
      </c>
      <c r="B780" s="2" t="s">
        <v>3587</v>
      </c>
      <c r="C780" s="2" t="s">
        <v>2551</v>
      </c>
      <c r="D780" s="169">
        <v>46006.0</v>
      </c>
      <c r="E780" s="2">
        <v>3.002448475E9</v>
      </c>
      <c r="F780" s="2" t="s">
        <v>3588</v>
      </c>
      <c r="G780" s="2" t="s">
        <v>493</v>
      </c>
      <c r="H780" s="2">
        <v>1799.0</v>
      </c>
      <c r="I780" s="2">
        <v>2.3120050020364E13</v>
      </c>
      <c r="J780" s="3">
        <v>1.0</v>
      </c>
      <c r="L780" s="2" t="s">
        <v>3222</v>
      </c>
      <c r="M780" s="174" t="s">
        <v>409</v>
      </c>
      <c r="N780" s="2" t="s">
        <v>462</v>
      </c>
      <c r="O780" s="3">
        <v>0.5</v>
      </c>
      <c r="P780" s="2" t="s">
        <v>363</v>
      </c>
      <c r="Q780" s="3">
        <v>490.0</v>
      </c>
      <c r="T780" s="2" t="s">
        <v>777</v>
      </c>
      <c r="U780" s="171">
        <v>1799.0</v>
      </c>
      <c r="V780" s="172">
        <v>46014.0</v>
      </c>
      <c r="W780" s="3">
        <v>285.0</v>
      </c>
      <c r="X780" s="172">
        <v>46010.56476851852</v>
      </c>
      <c r="Y780" s="172"/>
      <c r="Z780" s="3">
        <v>46006.0</v>
      </c>
      <c r="AA780" s="3"/>
    </row>
    <row r="781">
      <c r="A781" s="3">
        <v>6.800796745987E12</v>
      </c>
      <c r="B781" s="2" t="s">
        <v>3589</v>
      </c>
      <c r="C781" s="2" t="s">
        <v>3590</v>
      </c>
      <c r="D781" s="169">
        <v>46006.0</v>
      </c>
      <c r="E781" s="2">
        <v>3.01824955E9</v>
      </c>
      <c r="F781" s="2" t="s">
        <v>3591</v>
      </c>
      <c r="G781" s="2" t="s">
        <v>493</v>
      </c>
      <c r="H781" s="2">
        <v>3099.0</v>
      </c>
      <c r="I781" s="2">
        <v>2.1120050020365E13</v>
      </c>
      <c r="J781" s="3">
        <v>2.0</v>
      </c>
      <c r="L781" s="2" t="s">
        <v>50</v>
      </c>
      <c r="M781" s="174" t="s">
        <v>409</v>
      </c>
      <c r="N781" s="2" t="s">
        <v>462</v>
      </c>
      <c r="O781" s="3">
        <v>0.5</v>
      </c>
      <c r="P781" s="2" t="s">
        <v>73</v>
      </c>
      <c r="Q781" s="3">
        <v>920.0</v>
      </c>
      <c r="T781" s="2" t="s">
        <v>777</v>
      </c>
      <c r="U781" s="171">
        <v>3099.0</v>
      </c>
      <c r="V781" s="172">
        <v>46014.0</v>
      </c>
      <c r="W781" s="3">
        <v>337.0</v>
      </c>
      <c r="X781" s="172">
        <v>46010.67451388889</v>
      </c>
      <c r="Y781" s="172"/>
      <c r="Z781" s="3">
        <v>46006.0</v>
      </c>
      <c r="AA781" s="3"/>
    </row>
    <row r="782">
      <c r="A782" s="3">
        <v>6.800845537539E12</v>
      </c>
      <c r="B782" s="2" t="s">
        <v>3592</v>
      </c>
      <c r="C782" s="2" t="s">
        <v>2338</v>
      </c>
      <c r="D782" s="169">
        <v>46006.0</v>
      </c>
      <c r="E782" s="173" t="s">
        <v>2339</v>
      </c>
      <c r="F782" s="2" t="s">
        <v>2340</v>
      </c>
      <c r="G782" s="2" t="s">
        <v>781</v>
      </c>
      <c r="H782" s="2">
        <v>1200.0</v>
      </c>
      <c r="I782" s="2">
        <v>2.9120050020366E13</v>
      </c>
      <c r="J782" s="3">
        <v>1.0</v>
      </c>
      <c r="K782" s="2" t="s">
        <v>3593</v>
      </c>
      <c r="L782" s="2" t="s">
        <v>3594</v>
      </c>
      <c r="M782" s="174" t="s">
        <v>409</v>
      </c>
      <c r="N782" s="2" t="s">
        <v>462</v>
      </c>
      <c r="O782" s="3">
        <v>0.5</v>
      </c>
      <c r="P782" s="2" t="s">
        <v>363</v>
      </c>
      <c r="Q782" s="3">
        <v>550.0</v>
      </c>
      <c r="T782" s="2" t="s">
        <v>599</v>
      </c>
      <c r="U782" s="3">
        <v>1200.0</v>
      </c>
      <c r="V782" s="172">
        <v>46010.0</v>
      </c>
      <c r="W782" s="3">
        <v>213.0</v>
      </c>
      <c r="X782" s="172">
        <v>46008.77075231481</v>
      </c>
      <c r="Y782" s="172"/>
      <c r="Z782" s="3">
        <v>46006.0</v>
      </c>
      <c r="AA782" s="3"/>
    </row>
    <row r="783">
      <c r="A783" s="3">
        <v>6.800895344899E12</v>
      </c>
      <c r="B783" s="2" t="s">
        <v>3595</v>
      </c>
      <c r="C783" s="2" t="s">
        <v>1946</v>
      </c>
      <c r="D783" s="169">
        <v>46006.0</v>
      </c>
      <c r="E783" s="2" t="s">
        <v>3596</v>
      </c>
      <c r="F783" s="2" t="s">
        <v>3597</v>
      </c>
      <c r="G783" s="2" t="s">
        <v>1948</v>
      </c>
      <c r="H783" s="2">
        <v>2749.0</v>
      </c>
      <c r="I783" s="2" t="s">
        <v>3598</v>
      </c>
      <c r="J783" s="3">
        <v>1.0</v>
      </c>
      <c r="K783" s="2" t="s">
        <v>3599</v>
      </c>
      <c r="L783" s="2" t="s">
        <v>500</v>
      </c>
      <c r="M783" s="170" t="s">
        <v>455</v>
      </c>
      <c r="N783" s="2" t="s">
        <v>406</v>
      </c>
      <c r="O783" s="3">
        <v>0.5</v>
      </c>
      <c r="P783" s="2" t="s">
        <v>640</v>
      </c>
      <c r="Q783" s="3">
        <v>850.0</v>
      </c>
      <c r="T783" s="2" t="s">
        <v>2981</v>
      </c>
      <c r="U783" s="141"/>
      <c r="W783" s="3">
        <v>292.2</v>
      </c>
      <c r="X783" s="172">
        <v>46057.64278277778</v>
      </c>
      <c r="Y783" s="172"/>
      <c r="Z783" s="3">
        <v>46006.0</v>
      </c>
      <c r="AA783" s="3"/>
    </row>
    <row r="784">
      <c r="A784" s="3">
        <v>6.800900325635E12</v>
      </c>
      <c r="B784" s="2" t="s">
        <v>3600</v>
      </c>
      <c r="C784" s="2" t="s">
        <v>1726</v>
      </c>
      <c r="D784" s="169">
        <v>46006.0</v>
      </c>
      <c r="E784" s="173" t="s">
        <v>3601</v>
      </c>
      <c r="F784" s="2" t="s">
        <v>1727</v>
      </c>
      <c r="G784" s="2" t="s">
        <v>368</v>
      </c>
      <c r="H784" s="2">
        <v>2499.0</v>
      </c>
      <c r="I784" s="2">
        <v>2.7120050020381E13</v>
      </c>
      <c r="J784" s="3">
        <v>1.0</v>
      </c>
      <c r="K784" s="2" t="s">
        <v>3602</v>
      </c>
      <c r="L784" s="2" t="s">
        <v>519</v>
      </c>
      <c r="M784" s="174" t="s">
        <v>409</v>
      </c>
      <c r="N784" s="2" t="s">
        <v>462</v>
      </c>
      <c r="O784" s="3">
        <v>0.5</v>
      </c>
      <c r="P784" s="2" t="s">
        <v>363</v>
      </c>
      <c r="Q784" s="3">
        <v>850.0</v>
      </c>
      <c r="T784" s="2" t="s">
        <v>599</v>
      </c>
      <c r="U784" s="3">
        <v>2499.0</v>
      </c>
      <c r="V784" s="172">
        <v>46010.0</v>
      </c>
      <c r="W784" s="3">
        <v>120.0</v>
      </c>
      <c r="X784" s="172">
        <v>46007.57037037037</v>
      </c>
      <c r="Y784" s="172"/>
      <c r="Z784" s="3">
        <v>46006.0</v>
      </c>
      <c r="AA784" s="3"/>
    </row>
    <row r="785">
      <c r="A785" s="3">
        <v>6.800902422787E12</v>
      </c>
      <c r="B785" s="2" t="s">
        <v>3603</v>
      </c>
      <c r="C785" s="2" t="s">
        <v>2885</v>
      </c>
      <c r="D785" s="169">
        <v>46006.0</v>
      </c>
      <c r="E785" s="173" t="s">
        <v>3604</v>
      </c>
      <c r="F785" s="2" t="s">
        <v>2886</v>
      </c>
      <c r="G785" s="2" t="s">
        <v>368</v>
      </c>
      <c r="H785" s="2">
        <v>2499.0</v>
      </c>
      <c r="I785" s="2" t="s">
        <v>3605</v>
      </c>
      <c r="J785" s="3">
        <v>1.0</v>
      </c>
      <c r="K785" s="2" t="s">
        <v>3606</v>
      </c>
      <c r="L785" s="2" t="s">
        <v>557</v>
      </c>
      <c r="M785" s="174" t="s">
        <v>409</v>
      </c>
      <c r="N785" s="2" t="s">
        <v>462</v>
      </c>
      <c r="O785" s="3">
        <v>0.5</v>
      </c>
      <c r="P785" s="2"/>
      <c r="Q785" s="3">
        <v>850.0</v>
      </c>
      <c r="U785" s="2">
        <v>2499.0</v>
      </c>
      <c r="X785" s="172">
        <v>46059.316479456014</v>
      </c>
      <c r="Y785" s="172"/>
      <c r="Z785" s="3">
        <v>46006.0</v>
      </c>
      <c r="AA785" s="3"/>
    </row>
    <row r="786">
      <c r="A786" s="3">
        <v>6.800926146819E12</v>
      </c>
      <c r="B786" s="2" t="s">
        <v>3607</v>
      </c>
      <c r="C786" s="2" t="s">
        <v>3608</v>
      </c>
      <c r="D786" s="169">
        <v>46006.0</v>
      </c>
      <c r="E786" s="2">
        <v>3.009271663E9</v>
      </c>
      <c r="F786" s="2" t="s">
        <v>3609</v>
      </c>
      <c r="G786" s="2" t="s">
        <v>493</v>
      </c>
      <c r="H786" s="2">
        <v>3999.0</v>
      </c>
      <c r="I786" s="2">
        <v>2.4120050020299E13</v>
      </c>
      <c r="J786" s="3">
        <v>2.0</v>
      </c>
      <c r="L786" s="2" t="s">
        <v>994</v>
      </c>
      <c r="M786" s="174" t="s">
        <v>409</v>
      </c>
      <c r="N786" s="2" t="s">
        <v>462</v>
      </c>
      <c r="O786" s="3">
        <v>0.5</v>
      </c>
      <c r="P786" s="2" t="s">
        <v>363</v>
      </c>
      <c r="Q786" s="3">
        <v>1700.0</v>
      </c>
      <c r="T786" s="2" t="s">
        <v>777</v>
      </c>
      <c r="U786" s="171">
        <v>3999.0</v>
      </c>
      <c r="V786" s="172">
        <v>46014.0</v>
      </c>
      <c r="W786" s="3">
        <v>387.0</v>
      </c>
      <c r="X786" s="172">
        <v>46010.63699074074</v>
      </c>
      <c r="Y786" s="172"/>
      <c r="Z786" s="3">
        <v>46006.0</v>
      </c>
      <c r="AA786" s="3"/>
    </row>
    <row r="787">
      <c r="A787" s="3">
        <v>6.800938270979E12</v>
      </c>
      <c r="B787" s="2" t="s">
        <v>3610</v>
      </c>
      <c r="C787" s="2" t="s">
        <v>3014</v>
      </c>
      <c r="D787" s="169">
        <v>46006.0</v>
      </c>
      <c r="E787" s="173" t="s">
        <v>3611</v>
      </c>
      <c r="F787" s="2" t="s">
        <v>3015</v>
      </c>
      <c r="G787" s="2" t="s">
        <v>3016</v>
      </c>
      <c r="H787" s="2">
        <v>3999.0</v>
      </c>
      <c r="I787" s="2">
        <v>2.5120050020298E13</v>
      </c>
      <c r="J787" s="3">
        <v>2.0</v>
      </c>
      <c r="K787" s="2" t="s">
        <v>3460</v>
      </c>
      <c r="L787" s="2" t="s">
        <v>532</v>
      </c>
      <c r="M787" s="174" t="s">
        <v>409</v>
      </c>
      <c r="N787" s="2" t="s">
        <v>462</v>
      </c>
      <c r="O787" s="3">
        <v>0.5</v>
      </c>
      <c r="P787" s="2" t="s">
        <v>363</v>
      </c>
      <c r="Q787" s="3">
        <v>1700.0</v>
      </c>
      <c r="T787" s="2" t="s">
        <v>599</v>
      </c>
      <c r="U787" s="3">
        <v>3999.0</v>
      </c>
      <c r="V787" s="172">
        <v>46010.0</v>
      </c>
      <c r="W787" s="3">
        <v>370.0</v>
      </c>
      <c r="X787" s="172">
        <v>46008.57037037037</v>
      </c>
      <c r="Y787" s="172"/>
      <c r="Z787" s="3">
        <v>46006.0</v>
      </c>
      <c r="AA787" s="3"/>
    </row>
    <row r="788">
      <c r="A788" s="3">
        <v>6.800939745539E12</v>
      </c>
      <c r="B788" s="2" t="s">
        <v>3612</v>
      </c>
      <c r="C788" s="2" t="s">
        <v>3613</v>
      </c>
      <c r="D788" s="169">
        <v>46006.0</v>
      </c>
      <c r="E788" s="2">
        <v>3.462864408E9</v>
      </c>
      <c r="F788" s="2" t="s">
        <v>3614</v>
      </c>
      <c r="G788" s="2" t="s">
        <v>493</v>
      </c>
      <c r="H788" s="2">
        <v>0.0</v>
      </c>
      <c r="I788" s="2">
        <v>2.4120050020297E13</v>
      </c>
      <c r="J788" s="3">
        <v>0.0</v>
      </c>
      <c r="K788" s="2" t="s">
        <v>3615</v>
      </c>
      <c r="L788" s="2"/>
      <c r="M788" s="170" t="s">
        <v>455</v>
      </c>
      <c r="N788" s="2" t="s">
        <v>406</v>
      </c>
      <c r="O788" s="3">
        <v>0.5</v>
      </c>
      <c r="P788" s="2" t="s">
        <v>363</v>
      </c>
      <c r="Q788" s="3">
        <v>0.0</v>
      </c>
      <c r="T788" s="2" t="s">
        <v>3616</v>
      </c>
      <c r="U788" s="171">
        <v>0.0</v>
      </c>
      <c r="V788" s="172">
        <v>46028.0</v>
      </c>
      <c r="W788" s="3">
        <v>213.44</v>
      </c>
      <c r="X788" s="172">
        <v>46057.64278277778</v>
      </c>
      <c r="Y788" s="172"/>
      <c r="Z788" s="3">
        <v>46006.0</v>
      </c>
      <c r="AA788" s="3"/>
    </row>
    <row r="789">
      <c r="A789" s="3">
        <v>6.800954392835E12</v>
      </c>
      <c r="B789" s="2" t="s">
        <v>3617</v>
      </c>
      <c r="C789" s="2" t="s">
        <v>3618</v>
      </c>
      <c r="D789" s="169">
        <v>46006.0</v>
      </c>
      <c r="E789" s="2">
        <v>3.229126835E9</v>
      </c>
      <c r="F789" s="2" t="s">
        <v>3619</v>
      </c>
      <c r="G789" s="2" t="s">
        <v>3620</v>
      </c>
      <c r="H789" s="2">
        <v>2748.0</v>
      </c>
      <c r="I789" s="2">
        <v>2.3120050020367E13</v>
      </c>
      <c r="J789" s="3">
        <v>1.0</v>
      </c>
      <c r="K789" s="2" t="s">
        <v>3621</v>
      </c>
      <c r="L789" s="2" t="s">
        <v>2075</v>
      </c>
      <c r="M789" s="174" t="s">
        <v>409</v>
      </c>
      <c r="N789" s="2" t="s">
        <v>462</v>
      </c>
      <c r="O789" s="3">
        <v>0.5</v>
      </c>
      <c r="P789" s="2" t="s">
        <v>363</v>
      </c>
      <c r="Q789" s="3">
        <v>1300.0</v>
      </c>
      <c r="T789" s="2" t="s">
        <v>599</v>
      </c>
      <c r="U789" s="171">
        <v>2748.0</v>
      </c>
      <c r="V789" s="172">
        <v>46010.0</v>
      </c>
      <c r="W789" s="3">
        <v>323.0</v>
      </c>
      <c r="X789" s="172">
        <v>46008.51274305556</v>
      </c>
      <c r="Y789" s="172"/>
      <c r="Z789" s="3">
        <v>46006.0</v>
      </c>
      <c r="AA789" s="3"/>
    </row>
    <row r="790">
      <c r="A790" s="3">
        <v>6.800957800707E12</v>
      </c>
      <c r="B790" s="2" t="s">
        <v>3622</v>
      </c>
      <c r="C790" s="2" t="s">
        <v>3623</v>
      </c>
      <c r="D790" s="169">
        <v>46006.0</v>
      </c>
      <c r="E790" s="173" t="s">
        <v>3624</v>
      </c>
      <c r="F790" s="2" t="s">
        <v>3625</v>
      </c>
      <c r="G790" s="2" t="s">
        <v>3148</v>
      </c>
      <c r="H790" s="2">
        <v>2748.0</v>
      </c>
      <c r="I790" s="2" t="s">
        <v>3626</v>
      </c>
      <c r="J790" s="3">
        <v>1.0</v>
      </c>
      <c r="K790" s="2" t="s">
        <v>1868</v>
      </c>
      <c r="L790" s="2" t="s">
        <v>3519</v>
      </c>
      <c r="M790" s="174" t="s">
        <v>409</v>
      </c>
      <c r="N790" s="2" t="s">
        <v>462</v>
      </c>
      <c r="O790" s="3">
        <v>0.5</v>
      </c>
      <c r="P790" s="2" t="s">
        <v>640</v>
      </c>
      <c r="Q790" s="3">
        <v>1400.0</v>
      </c>
      <c r="T790" s="2" t="s">
        <v>2981</v>
      </c>
      <c r="U790" s="171">
        <v>2748.0</v>
      </c>
      <c r="W790" s="3">
        <v>402.12</v>
      </c>
      <c r="X790" s="172">
        <v>46057.73283552083</v>
      </c>
      <c r="Y790" s="172"/>
      <c r="Z790" s="3">
        <v>46006.0</v>
      </c>
      <c r="AA790" s="3"/>
    </row>
    <row r="791">
      <c r="A791" s="3">
        <v>6.800970023171E12</v>
      </c>
      <c r="B791" s="2" t="s">
        <v>3627</v>
      </c>
      <c r="C791" s="2" t="s">
        <v>3628</v>
      </c>
      <c r="D791" s="169">
        <v>46006.0</v>
      </c>
      <c r="E791" s="2">
        <v>3.027247303E9</v>
      </c>
      <c r="F791" s="2" t="s">
        <v>3629</v>
      </c>
      <c r="G791" s="2" t="s">
        <v>2396</v>
      </c>
      <c r="H791" s="2">
        <v>2748.0</v>
      </c>
      <c r="I791" s="2">
        <v>2.8120050020376E13</v>
      </c>
      <c r="J791" s="3">
        <v>1.0</v>
      </c>
      <c r="L791" s="2" t="s">
        <v>512</v>
      </c>
      <c r="M791" s="174" t="s">
        <v>409</v>
      </c>
      <c r="N791" s="2" t="s">
        <v>462</v>
      </c>
      <c r="O791" s="3">
        <v>0.5</v>
      </c>
      <c r="P791" s="2" t="s">
        <v>73</v>
      </c>
      <c r="Q791" s="3">
        <v>850.0</v>
      </c>
      <c r="T791" s="2" t="s">
        <v>599</v>
      </c>
      <c r="U791" s="171">
        <v>2748.0</v>
      </c>
      <c r="V791" s="172">
        <v>46010.0</v>
      </c>
      <c r="W791" s="3">
        <v>330.0</v>
      </c>
      <c r="X791" s="172">
        <v>46008.7000925926</v>
      </c>
      <c r="Y791" s="172"/>
      <c r="Z791" s="3">
        <v>46006.0</v>
      </c>
      <c r="AA791" s="3"/>
    </row>
    <row r="792">
      <c r="A792" s="3">
        <v>6.800987357443E12</v>
      </c>
      <c r="B792" s="2" t="s">
        <v>3630</v>
      </c>
      <c r="C792" s="2" t="s">
        <v>3631</v>
      </c>
      <c r="D792" s="169">
        <v>46006.0</v>
      </c>
      <c r="E792" s="2">
        <v>3.086709665E9</v>
      </c>
      <c r="F792" s="2" t="s">
        <v>3632</v>
      </c>
      <c r="G792" s="2" t="s">
        <v>3633</v>
      </c>
      <c r="H792" s="2">
        <v>2748.0</v>
      </c>
      <c r="I792" s="2">
        <v>2.2120050020382E13</v>
      </c>
      <c r="J792" s="3">
        <v>1.0</v>
      </c>
      <c r="L792" s="2" t="s">
        <v>500</v>
      </c>
      <c r="M792" s="174" t="s">
        <v>409</v>
      </c>
      <c r="N792" s="2" t="s">
        <v>462</v>
      </c>
      <c r="O792" s="3">
        <v>0.5</v>
      </c>
      <c r="P792" s="2" t="s">
        <v>363</v>
      </c>
      <c r="Q792" s="3">
        <v>850.0</v>
      </c>
      <c r="T792" s="2" t="s">
        <v>599</v>
      </c>
      <c r="U792" s="171">
        <v>2748.0</v>
      </c>
      <c r="V792" s="172">
        <v>46010.0</v>
      </c>
      <c r="W792" s="3">
        <v>310.0</v>
      </c>
      <c r="X792" s="172">
        <v>46007.642592592594</v>
      </c>
      <c r="Y792" s="172"/>
      <c r="Z792" s="3">
        <v>46006.0</v>
      </c>
      <c r="AA792" s="3"/>
    </row>
    <row r="793">
      <c r="A793" s="3">
        <v>6.801058103555E12</v>
      </c>
      <c r="B793" s="2" t="s">
        <v>3634</v>
      </c>
      <c r="C793" s="2" t="s">
        <v>3635</v>
      </c>
      <c r="D793" s="169">
        <v>46006.0</v>
      </c>
      <c r="E793" s="2">
        <v>3.333234147E9</v>
      </c>
      <c r="F793" s="2" t="s">
        <v>3636</v>
      </c>
      <c r="G793" s="2" t="s">
        <v>493</v>
      </c>
      <c r="H793" s="2">
        <v>1999.0</v>
      </c>
      <c r="I793" s="2">
        <v>2.212005002039E13</v>
      </c>
      <c r="J793" s="3">
        <v>1.0</v>
      </c>
      <c r="L793" s="2" t="s">
        <v>3637</v>
      </c>
      <c r="M793" s="174" t="s">
        <v>409</v>
      </c>
      <c r="N793" s="2" t="s">
        <v>462</v>
      </c>
      <c r="O793" s="3">
        <v>0.5</v>
      </c>
      <c r="P793" s="2" t="s">
        <v>363</v>
      </c>
      <c r="Q793" s="3">
        <v>1100.0</v>
      </c>
      <c r="T793" s="2" t="s">
        <v>777</v>
      </c>
      <c r="U793" s="171">
        <v>1999.0</v>
      </c>
      <c r="V793" s="172">
        <v>46014.0</v>
      </c>
      <c r="W793" s="3">
        <v>293.0</v>
      </c>
      <c r="X793" s="172">
        <v>46010.625925925924</v>
      </c>
      <c r="Y793" s="172"/>
      <c r="Z793" s="3">
        <v>46006.0</v>
      </c>
      <c r="AA793" s="3"/>
    </row>
    <row r="794">
      <c r="A794" s="3">
        <v>6.801069867267E12</v>
      </c>
      <c r="B794" s="2" t="s">
        <v>3638</v>
      </c>
      <c r="C794" s="2" t="s">
        <v>3639</v>
      </c>
      <c r="D794" s="169">
        <v>46006.0</v>
      </c>
      <c r="E794" s="2">
        <v>3.324000598E9</v>
      </c>
      <c r="F794" s="2" t="s">
        <v>3640</v>
      </c>
      <c r="G794" s="2" t="s">
        <v>693</v>
      </c>
      <c r="H794" s="2">
        <v>2749.0</v>
      </c>
      <c r="I794" s="2">
        <v>2.6120050020398E13</v>
      </c>
      <c r="J794" s="3">
        <v>2.0</v>
      </c>
      <c r="L794" s="2" t="s">
        <v>16</v>
      </c>
      <c r="M794" s="174" t="s">
        <v>409</v>
      </c>
      <c r="N794" s="2" t="s">
        <v>462</v>
      </c>
      <c r="O794" s="3">
        <v>0.5</v>
      </c>
      <c r="P794" s="2" t="s">
        <v>363</v>
      </c>
      <c r="Q794" s="3">
        <v>980.0</v>
      </c>
      <c r="T794" s="2" t="s">
        <v>777</v>
      </c>
      <c r="U794" s="171">
        <v>2749.0</v>
      </c>
      <c r="V794" s="172">
        <v>46014.0</v>
      </c>
      <c r="W794" s="3">
        <v>337.0</v>
      </c>
      <c r="X794" s="172">
        <v>46010.5008912037</v>
      </c>
      <c r="Y794" s="172"/>
      <c r="Z794" s="3">
        <v>46006.0</v>
      </c>
      <c r="AA794" s="3"/>
    </row>
    <row r="795">
      <c r="A795" s="3">
        <v>6.801125900547E12</v>
      </c>
      <c r="B795" s="2" t="s">
        <v>3641</v>
      </c>
      <c r="C795" s="2" t="s">
        <v>3642</v>
      </c>
      <c r="D795" s="169">
        <v>46006.0</v>
      </c>
      <c r="E795" s="173" t="s">
        <v>3643</v>
      </c>
      <c r="F795" s="2" t="s">
        <v>3644</v>
      </c>
      <c r="G795" s="2" t="s">
        <v>368</v>
      </c>
      <c r="H795" s="2">
        <v>0.0</v>
      </c>
      <c r="I795" s="2">
        <v>2.2120050020411E13</v>
      </c>
      <c r="J795" s="3">
        <v>0.0</v>
      </c>
      <c r="K795" s="2" t="s">
        <v>3645</v>
      </c>
      <c r="L795" s="2"/>
      <c r="M795" s="170" t="s">
        <v>455</v>
      </c>
      <c r="N795" s="2" t="s">
        <v>406</v>
      </c>
      <c r="O795" s="3">
        <v>0.5</v>
      </c>
      <c r="P795" s="2" t="s">
        <v>363</v>
      </c>
      <c r="Q795" s="3">
        <v>0.0</v>
      </c>
      <c r="T795" s="2" t="s">
        <v>777</v>
      </c>
      <c r="U795" s="171">
        <v>0.0</v>
      </c>
      <c r="V795" s="172">
        <v>46014.0</v>
      </c>
      <c r="W795" s="3">
        <v>120.0</v>
      </c>
      <c r="X795" s="172">
        <v>46057.64278277778</v>
      </c>
      <c r="Y795" s="172"/>
      <c r="Z795" s="3">
        <v>46006.0</v>
      </c>
      <c r="AA795" s="3"/>
    </row>
    <row r="796">
      <c r="A796" s="3">
        <v>6.801281777923E12</v>
      </c>
      <c r="B796" s="2" t="s">
        <v>3646</v>
      </c>
      <c r="C796" s="2" t="s">
        <v>985</v>
      </c>
      <c r="D796" s="169">
        <v>46006.0</v>
      </c>
      <c r="E796" s="173" t="s">
        <v>3647</v>
      </c>
      <c r="F796" s="2" t="s">
        <v>2173</v>
      </c>
      <c r="G796" s="2" t="s">
        <v>688</v>
      </c>
      <c r="H796" s="2">
        <v>4400.0</v>
      </c>
      <c r="I796" s="2">
        <v>2.3120050020399E13</v>
      </c>
      <c r="J796" s="3">
        <v>2.0</v>
      </c>
      <c r="K796" s="2" t="s">
        <v>3648</v>
      </c>
      <c r="L796" s="2" t="s">
        <v>994</v>
      </c>
      <c r="M796" s="174" t="s">
        <v>409</v>
      </c>
      <c r="N796" s="2" t="s">
        <v>462</v>
      </c>
      <c r="O796" s="3">
        <v>0.5</v>
      </c>
      <c r="P796" s="2" t="s">
        <v>363</v>
      </c>
      <c r="Q796" s="3">
        <v>1700.0</v>
      </c>
      <c r="T796" s="2" t="s">
        <v>599</v>
      </c>
      <c r="U796" s="3">
        <v>4400.0</v>
      </c>
      <c r="V796" s="172">
        <v>46010.0</v>
      </c>
      <c r="W796" s="3">
        <v>220.0</v>
      </c>
      <c r="X796" s="172">
        <v>46009.50576388889</v>
      </c>
      <c r="Y796" s="172"/>
      <c r="Z796" s="3">
        <v>46006.0</v>
      </c>
      <c r="AA796" s="3"/>
    </row>
    <row r="797">
      <c r="A797" s="3">
        <v>6.801298227459E12</v>
      </c>
      <c r="B797" s="2" t="s">
        <v>3649</v>
      </c>
      <c r="C797" s="2" t="s">
        <v>3650</v>
      </c>
      <c r="D797" s="169">
        <v>46006.0</v>
      </c>
      <c r="E797" s="173" t="s">
        <v>3651</v>
      </c>
      <c r="F797" s="2" t="s">
        <v>3652</v>
      </c>
      <c r="G797" s="2" t="s">
        <v>3653</v>
      </c>
      <c r="H797" s="2">
        <v>4249.0</v>
      </c>
      <c r="I797" s="2">
        <v>2.712005002042E13</v>
      </c>
      <c r="J797" s="3">
        <v>1.0</v>
      </c>
      <c r="K797" s="2" t="s">
        <v>3654</v>
      </c>
      <c r="L797" s="2" t="s">
        <v>3655</v>
      </c>
      <c r="M797" s="174" t="s">
        <v>409</v>
      </c>
      <c r="N797" s="2" t="s">
        <v>462</v>
      </c>
      <c r="O797" s="3">
        <v>0.5</v>
      </c>
      <c r="P797" s="2" t="s">
        <v>363</v>
      </c>
      <c r="Q797" s="3">
        <v>1700.0</v>
      </c>
      <c r="T797" s="2" t="s">
        <v>599</v>
      </c>
      <c r="U797" s="171">
        <v>4249.0</v>
      </c>
      <c r="V797" s="172">
        <v>46010.0</v>
      </c>
      <c r="W797" s="3">
        <v>397.0</v>
      </c>
      <c r="X797" s="172">
        <v>46009.6440162037</v>
      </c>
      <c r="Y797" s="172"/>
      <c r="Z797" s="3">
        <v>46006.0</v>
      </c>
      <c r="AA797" s="3"/>
    </row>
    <row r="798">
      <c r="A798" s="3">
        <v>6.801303929091E12</v>
      </c>
      <c r="B798" s="2" t="s">
        <v>3656</v>
      </c>
      <c r="C798" s="2" t="s">
        <v>2744</v>
      </c>
      <c r="D798" s="169">
        <v>46006.0</v>
      </c>
      <c r="E798" s="173" t="s">
        <v>3657</v>
      </c>
      <c r="F798" s="2" t="s">
        <v>2745</v>
      </c>
      <c r="G798" s="2" t="s">
        <v>1395</v>
      </c>
      <c r="H798" s="2">
        <v>2850.0</v>
      </c>
      <c r="I798" s="2">
        <v>2.51200500204E13</v>
      </c>
      <c r="J798" s="3">
        <v>2.0</v>
      </c>
      <c r="K798" s="2" t="s">
        <v>3658</v>
      </c>
      <c r="L798" s="2" t="s">
        <v>906</v>
      </c>
      <c r="M798" s="174" t="s">
        <v>409</v>
      </c>
      <c r="N798" s="2" t="s">
        <v>462</v>
      </c>
      <c r="O798" s="3">
        <v>0.5</v>
      </c>
      <c r="P798" s="2" t="s">
        <v>363</v>
      </c>
      <c r="Q798" s="3">
        <v>920.0</v>
      </c>
      <c r="T798" s="2" t="s">
        <v>599</v>
      </c>
      <c r="U798" s="3">
        <v>2850.0</v>
      </c>
      <c r="V798" s="172">
        <v>46010.0</v>
      </c>
      <c r="W798" s="3">
        <v>213.0</v>
      </c>
      <c r="X798" s="172">
        <v>46009.64047453704</v>
      </c>
      <c r="Y798" s="172"/>
      <c r="Z798" s="3">
        <v>46006.0</v>
      </c>
      <c r="AA798" s="3"/>
    </row>
    <row r="799">
      <c r="A799" s="3">
        <v>6.801328931075E12</v>
      </c>
      <c r="B799" s="2" t="s">
        <v>3659</v>
      </c>
      <c r="C799" s="2" t="s">
        <v>3660</v>
      </c>
      <c r="D799" s="169">
        <v>46006.0</v>
      </c>
      <c r="E799" s="2">
        <v>3.283144464E9</v>
      </c>
      <c r="F799" s="2" t="s">
        <v>3661</v>
      </c>
      <c r="G799" s="2" t="s">
        <v>366</v>
      </c>
      <c r="H799" s="2">
        <v>0.0</v>
      </c>
      <c r="I799" s="2">
        <v>2.1120050020429E13</v>
      </c>
      <c r="J799" s="3">
        <v>0.0</v>
      </c>
      <c r="K799" s="2" t="s">
        <v>3662</v>
      </c>
      <c r="L799" s="2"/>
      <c r="M799" s="170" t="s">
        <v>455</v>
      </c>
      <c r="N799" s="2" t="s">
        <v>406</v>
      </c>
      <c r="O799" s="3">
        <v>0.5</v>
      </c>
      <c r="P799" s="2" t="s">
        <v>73</v>
      </c>
      <c r="Q799" s="3">
        <v>0.0</v>
      </c>
      <c r="T799" s="2" t="s">
        <v>2140</v>
      </c>
      <c r="U799" s="171">
        <v>0.0</v>
      </c>
      <c r="V799" s="172">
        <v>46021.0</v>
      </c>
      <c r="W799" s="3">
        <v>200.0</v>
      </c>
      <c r="X799" s="172">
        <v>46057.64278277778</v>
      </c>
      <c r="Y799" s="172"/>
      <c r="Z799" s="3">
        <v>46006.0</v>
      </c>
      <c r="AA799" s="3"/>
    </row>
    <row r="800">
      <c r="A800" s="3">
        <v>6.801388110083E12</v>
      </c>
      <c r="B800" s="2" t="s">
        <v>3663</v>
      </c>
      <c r="C800" s="2" t="s">
        <v>3664</v>
      </c>
      <c r="D800" s="169">
        <v>46006.0</v>
      </c>
      <c r="E800" s="2">
        <v>3.217777864E9</v>
      </c>
      <c r="F800" s="2" t="s">
        <v>3665</v>
      </c>
      <c r="G800" s="2" t="s">
        <v>1323</v>
      </c>
      <c r="H800" s="2">
        <v>2748.0</v>
      </c>
      <c r="I800" s="2">
        <v>2.6120050020457E13</v>
      </c>
      <c r="J800" s="3">
        <v>1.0</v>
      </c>
      <c r="L800" s="2" t="s">
        <v>500</v>
      </c>
      <c r="M800" s="174" t="s">
        <v>409</v>
      </c>
      <c r="N800" s="2" t="s">
        <v>462</v>
      </c>
      <c r="O800" s="3">
        <v>0.5</v>
      </c>
      <c r="P800" s="2" t="s">
        <v>363</v>
      </c>
      <c r="Q800" s="3">
        <v>850.0</v>
      </c>
      <c r="T800" s="2" t="s">
        <v>777</v>
      </c>
      <c r="U800" s="171">
        <v>2748.0</v>
      </c>
      <c r="V800" s="172">
        <v>46014.0</v>
      </c>
      <c r="W800" s="3">
        <v>330.0</v>
      </c>
      <c r="X800" s="172">
        <v>46010.73780092593</v>
      </c>
      <c r="Y800" s="172"/>
      <c r="Z800" s="3">
        <v>46006.0</v>
      </c>
      <c r="AA800" s="3"/>
    </row>
    <row r="801">
      <c r="A801" s="3">
        <v>6.801445683459E12</v>
      </c>
      <c r="B801" s="2" t="s">
        <v>3666</v>
      </c>
      <c r="C801" s="2" t="s">
        <v>3667</v>
      </c>
      <c r="D801" s="169">
        <v>46006.0</v>
      </c>
      <c r="E801" s="2">
        <v>3.338187445E9</v>
      </c>
      <c r="F801" s="2" t="s">
        <v>3668</v>
      </c>
      <c r="G801" s="2" t="s">
        <v>506</v>
      </c>
      <c r="H801" s="2">
        <v>5450.0</v>
      </c>
      <c r="I801" s="2">
        <v>2.5120050020434E13</v>
      </c>
      <c r="J801" s="3">
        <v>4.0</v>
      </c>
      <c r="K801" s="2" t="s">
        <v>511</v>
      </c>
      <c r="L801" s="2" t="s">
        <v>3669</v>
      </c>
      <c r="M801" s="174" t="s">
        <v>409</v>
      </c>
      <c r="N801" s="2" t="s">
        <v>462</v>
      </c>
      <c r="O801" s="3">
        <v>0.5</v>
      </c>
      <c r="P801" s="2" t="s">
        <v>363</v>
      </c>
      <c r="Q801" s="3">
        <v>1970.0</v>
      </c>
      <c r="T801" s="2" t="s">
        <v>599</v>
      </c>
      <c r="U801" s="171">
        <v>5450.0</v>
      </c>
      <c r="V801" s="172">
        <v>46010.0</v>
      </c>
      <c r="W801" s="3">
        <v>438.0</v>
      </c>
      <c r="X801" s="172">
        <v>46008.55230324074</v>
      </c>
      <c r="Y801" s="172"/>
      <c r="Z801" s="3">
        <v>46006.0</v>
      </c>
      <c r="AA801" s="3"/>
    </row>
    <row r="802">
      <c r="A802" s="3">
        <v>6.801498865923E12</v>
      </c>
      <c r="B802" s="2" t="s">
        <v>3670</v>
      </c>
      <c r="C802" s="2" t="s">
        <v>3671</v>
      </c>
      <c r="D802" s="169">
        <v>46006.0</v>
      </c>
      <c r="E802" s="2">
        <v>3.21815944E9</v>
      </c>
      <c r="F802" s="2" t="s">
        <v>3672</v>
      </c>
      <c r="G802" s="2" t="s">
        <v>672</v>
      </c>
      <c r="H802" s="2">
        <v>0.0</v>
      </c>
      <c r="I802" s="2">
        <v>2.9120050020435E13</v>
      </c>
      <c r="J802" s="3">
        <v>0.0</v>
      </c>
      <c r="K802" s="2" t="s">
        <v>3673</v>
      </c>
      <c r="L802" s="2"/>
      <c r="M802" s="170" t="s">
        <v>455</v>
      </c>
      <c r="N802" s="2" t="s">
        <v>406</v>
      </c>
      <c r="O802" s="3">
        <v>0.5</v>
      </c>
      <c r="P802" s="2" t="s">
        <v>363</v>
      </c>
      <c r="Q802" s="3">
        <v>0.0</v>
      </c>
      <c r="T802" s="2" t="s">
        <v>3674</v>
      </c>
      <c r="U802" s="171">
        <v>0.0</v>
      </c>
      <c r="V802" s="172">
        <v>46038.0</v>
      </c>
      <c r="W802" s="3">
        <v>227.0</v>
      </c>
      <c r="X802" s="172">
        <v>46057.64278277778</v>
      </c>
      <c r="Y802" s="172"/>
      <c r="Z802" s="3">
        <v>46006.0</v>
      </c>
      <c r="AA802" s="3"/>
    </row>
    <row r="803">
      <c r="A803" s="3">
        <v>6.801632297219E12</v>
      </c>
      <c r="B803" s="2" t="s">
        <v>3675</v>
      </c>
      <c r="C803" s="2" t="s">
        <v>3676</v>
      </c>
      <c r="D803" s="169">
        <v>46006.0</v>
      </c>
      <c r="E803" s="2">
        <v>3.344052256E9</v>
      </c>
      <c r="F803" s="2" t="s">
        <v>3677</v>
      </c>
      <c r="G803" s="2" t="s">
        <v>368</v>
      </c>
      <c r="H803" s="2">
        <v>2748.0</v>
      </c>
      <c r="I803" s="2">
        <v>2.812005002043E13</v>
      </c>
      <c r="J803" s="3">
        <v>1.0</v>
      </c>
      <c r="L803" s="2" t="s">
        <v>512</v>
      </c>
      <c r="M803" s="174" t="s">
        <v>409</v>
      </c>
      <c r="N803" s="2" t="s">
        <v>462</v>
      </c>
      <c r="O803" s="3">
        <v>0.5</v>
      </c>
      <c r="P803" s="2" t="s">
        <v>73</v>
      </c>
      <c r="Q803" s="3">
        <v>850.0</v>
      </c>
      <c r="T803" s="2" t="s">
        <v>599</v>
      </c>
      <c r="U803" s="171">
        <v>2748.0</v>
      </c>
      <c r="V803" s="172">
        <v>46010.0</v>
      </c>
      <c r="W803" s="3">
        <v>230.0</v>
      </c>
      <c r="X803" s="172">
        <v>46009.629375000004</v>
      </c>
      <c r="Y803" s="172"/>
      <c r="Z803" s="3">
        <v>46006.0</v>
      </c>
      <c r="AA803" s="3"/>
    </row>
    <row r="804">
      <c r="A804" s="3">
        <v>6.801647010051E12</v>
      </c>
      <c r="B804" s="2" t="s">
        <v>3678</v>
      </c>
      <c r="C804" s="2" t="s">
        <v>3679</v>
      </c>
      <c r="D804" s="169">
        <v>46006.0</v>
      </c>
      <c r="E804" s="173" t="s">
        <v>3680</v>
      </c>
      <c r="F804" s="2" t="s">
        <v>3681</v>
      </c>
      <c r="G804" s="2" t="s">
        <v>374</v>
      </c>
      <c r="H804" s="2">
        <v>0.0</v>
      </c>
      <c r="I804" s="2">
        <v>2.4120050020428E13</v>
      </c>
      <c r="J804" s="3">
        <v>0.0</v>
      </c>
      <c r="K804" s="2" t="s">
        <v>3662</v>
      </c>
      <c r="L804" s="2"/>
      <c r="M804" s="170" t="s">
        <v>455</v>
      </c>
      <c r="N804" s="2" t="s">
        <v>406</v>
      </c>
      <c r="O804" s="3">
        <v>0.5</v>
      </c>
      <c r="P804" s="2" t="s">
        <v>363</v>
      </c>
      <c r="Q804" s="3">
        <v>0.0</v>
      </c>
      <c r="T804" s="2" t="s">
        <v>2140</v>
      </c>
      <c r="U804" s="171">
        <v>0.0</v>
      </c>
      <c r="V804" s="172">
        <v>46021.0</v>
      </c>
      <c r="W804" s="3">
        <v>200.0</v>
      </c>
      <c r="X804" s="172">
        <v>46057.64278277778</v>
      </c>
      <c r="Y804" s="172"/>
      <c r="Z804" s="3">
        <v>46006.0</v>
      </c>
      <c r="AA804" s="3"/>
    </row>
    <row r="805">
      <c r="A805" s="3">
        <v>6.801670504707E12</v>
      </c>
      <c r="B805" s="2" t="s">
        <v>3682</v>
      </c>
      <c r="C805" s="2" t="s">
        <v>3683</v>
      </c>
      <c r="D805" s="169">
        <v>46006.0</v>
      </c>
      <c r="E805" s="2">
        <v>3.345225444E9</v>
      </c>
      <c r="F805" s="2" t="s">
        <v>3684</v>
      </c>
      <c r="G805" s="2" t="s">
        <v>506</v>
      </c>
      <c r="H805" s="2">
        <v>2749.0</v>
      </c>
      <c r="I805" s="2">
        <v>2.6120050020427E13</v>
      </c>
      <c r="J805" s="3">
        <v>2.0</v>
      </c>
      <c r="L805" s="2" t="s">
        <v>926</v>
      </c>
      <c r="M805" s="174" t="s">
        <v>409</v>
      </c>
      <c r="N805" s="2" t="s">
        <v>462</v>
      </c>
      <c r="O805" s="3">
        <v>0.5</v>
      </c>
      <c r="P805" s="2" t="s">
        <v>363</v>
      </c>
      <c r="Q805" s="3">
        <v>980.0</v>
      </c>
      <c r="T805" s="2" t="s">
        <v>599</v>
      </c>
      <c r="U805" s="171">
        <v>2749.0</v>
      </c>
      <c r="V805" s="172">
        <v>46010.0</v>
      </c>
      <c r="W805" s="3">
        <v>310.0</v>
      </c>
      <c r="X805" s="172">
        <v>46008.48841435185</v>
      </c>
      <c r="Y805" s="172"/>
      <c r="Z805" s="3">
        <v>46006.0</v>
      </c>
      <c r="AA805" s="3"/>
    </row>
    <row r="806">
      <c r="A806" s="3">
        <v>6.801691640067E12</v>
      </c>
      <c r="B806" s="2" t="s">
        <v>3685</v>
      </c>
      <c r="C806" s="2" t="s">
        <v>3686</v>
      </c>
      <c r="D806" s="169">
        <v>46006.0</v>
      </c>
      <c r="E806" s="2">
        <v>3.00764968E9</v>
      </c>
      <c r="F806" s="2" t="s">
        <v>3687</v>
      </c>
      <c r="G806" s="2" t="s">
        <v>3305</v>
      </c>
      <c r="H806" s="2">
        <v>0.0</v>
      </c>
      <c r="I806" s="2">
        <v>2.8120050020426E13</v>
      </c>
      <c r="J806" s="3">
        <v>0.0</v>
      </c>
      <c r="K806" s="2" t="s">
        <v>3688</v>
      </c>
      <c r="L806" s="2"/>
      <c r="M806" s="170" t="s">
        <v>455</v>
      </c>
      <c r="N806" s="2" t="s">
        <v>406</v>
      </c>
      <c r="O806" s="3">
        <v>0.5</v>
      </c>
      <c r="P806" s="2" t="s">
        <v>73</v>
      </c>
      <c r="Q806" s="3">
        <v>0.0</v>
      </c>
      <c r="T806" s="2" t="s">
        <v>1468</v>
      </c>
      <c r="U806" s="171">
        <v>0.0</v>
      </c>
      <c r="V806" s="172">
        <v>46017.0</v>
      </c>
      <c r="W806" s="3">
        <v>200.0</v>
      </c>
      <c r="X806" s="172">
        <v>46057.64278277778</v>
      </c>
      <c r="Y806" s="172"/>
      <c r="Z806" s="3">
        <v>46006.0</v>
      </c>
      <c r="AA806" s="3"/>
    </row>
    <row r="807">
      <c r="A807" s="3">
        <v>6.801729388803E12</v>
      </c>
      <c r="B807" s="2" t="s">
        <v>3689</v>
      </c>
      <c r="C807" s="2" t="s">
        <v>3690</v>
      </c>
      <c r="D807" s="169">
        <v>46006.0</v>
      </c>
      <c r="E807" s="173" t="s">
        <v>3691</v>
      </c>
      <c r="F807" s="2" t="s">
        <v>3692</v>
      </c>
      <c r="G807" s="2" t="s">
        <v>366</v>
      </c>
      <c r="H807" s="2">
        <v>2849.0</v>
      </c>
      <c r="I807" s="2">
        <v>2.8120050020425E13</v>
      </c>
      <c r="J807" s="3">
        <v>2.0</v>
      </c>
      <c r="L807" s="2" t="s">
        <v>1920</v>
      </c>
      <c r="M807" s="174" t="s">
        <v>409</v>
      </c>
      <c r="N807" s="2" t="s">
        <v>462</v>
      </c>
      <c r="O807" s="3">
        <v>0.5</v>
      </c>
      <c r="P807" s="2" t="s">
        <v>73</v>
      </c>
      <c r="Q807" s="3">
        <v>1050.0</v>
      </c>
      <c r="T807" s="2" t="s">
        <v>599</v>
      </c>
      <c r="U807" s="171">
        <v>2849.0</v>
      </c>
      <c r="V807" s="172">
        <v>46010.0</v>
      </c>
      <c r="W807" s="3">
        <v>334.0</v>
      </c>
      <c r="X807" s="172">
        <v>46009.6274074074</v>
      </c>
      <c r="Y807" s="172"/>
      <c r="Z807" s="3">
        <v>46006.0</v>
      </c>
      <c r="AA807" s="3"/>
    </row>
    <row r="808">
      <c r="A808" s="3">
        <v>6.801735975171E12</v>
      </c>
      <c r="B808" s="2" t="s">
        <v>3693</v>
      </c>
      <c r="C808" s="2" t="s">
        <v>3694</v>
      </c>
      <c r="D808" s="169">
        <v>46007.0</v>
      </c>
      <c r="E808" s="2">
        <v>3.248401363E9</v>
      </c>
      <c r="F808" s="2" t="s">
        <v>3695</v>
      </c>
      <c r="G808" s="2" t="s">
        <v>368</v>
      </c>
      <c r="H808" s="2">
        <v>2748.0</v>
      </c>
      <c r="I808" s="2">
        <v>2.2120050020412E13</v>
      </c>
      <c r="J808" s="3">
        <v>1.0</v>
      </c>
      <c r="L808" s="2" t="s">
        <v>1289</v>
      </c>
      <c r="M808" s="174" t="s">
        <v>409</v>
      </c>
      <c r="N808" s="2" t="s">
        <v>462</v>
      </c>
      <c r="O808" s="3">
        <v>0.5</v>
      </c>
      <c r="P808" s="2" t="s">
        <v>363</v>
      </c>
      <c r="Q808" s="3">
        <v>850.0</v>
      </c>
      <c r="T808" s="2" t="s">
        <v>599</v>
      </c>
      <c r="U808" s="171">
        <v>2748.0</v>
      </c>
      <c r="V808" s="172">
        <v>46010.0</v>
      </c>
      <c r="W808" s="3">
        <v>217.0</v>
      </c>
      <c r="X808" s="172">
        <v>46008.548796296294</v>
      </c>
      <c r="Y808" s="172"/>
      <c r="Z808" s="3">
        <v>46007.0</v>
      </c>
      <c r="AA808" s="3"/>
    </row>
    <row r="809">
      <c r="A809" s="3">
        <v>6.801808589059E12</v>
      </c>
      <c r="B809" s="2" t="s">
        <v>3696</v>
      </c>
      <c r="C809" s="2" t="s">
        <v>3697</v>
      </c>
      <c r="D809" s="169">
        <v>46007.0</v>
      </c>
      <c r="E809" s="2">
        <v>3.109337952E9</v>
      </c>
      <c r="F809" s="2" t="s">
        <v>3698</v>
      </c>
      <c r="G809" s="2" t="s">
        <v>3699</v>
      </c>
      <c r="H809" s="2">
        <v>0.0</v>
      </c>
      <c r="I809" s="2">
        <v>2.812005002099E13</v>
      </c>
      <c r="J809" s="3">
        <v>0.0</v>
      </c>
      <c r="K809" s="2" t="s">
        <v>3700</v>
      </c>
      <c r="L809" s="2"/>
      <c r="M809" s="170" t="s">
        <v>455</v>
      </c>
      <c r="N809" s="2" t="s">
        <v>406</v>
      </c>
      <c r="O809" s="3">
        <v>0.5</v>
      </c>
      <c r="P809" s="2" t="s">
        <v>73</v>
      </c>
      <c r="Q809" s="3">
        <v>0.0</v>
      </c>
      <c r="T809" s="2" t="s">
        <v>3701</v>
      </c>
      <c r="U809" s="171">
        <v>0.0</v>
      </c>
      <c r="V809" s="172">
        <v>46035.0</v>
      </c>
      <c r="W809" s="3">
        <v>213.0</v>
      </c>
      <c r="X809" s="172">
        <v>46057.64278277778</v>
      </c>
      <c r="Y809" s="172"/>
      <c r="Z809" s="3">
        <v>46007.0</v>
      </c>
      <c r="AA809" s="3"/>
    </row>
    <row r="810">
      <c r="A810" s="3">
        <v>6.801810948355E12</v>
      </c>
      <c r="B810" s="2" t="s">
        <v>3702</v>
      </c>
      <c r="C810" s="2" t="s">
        <v>3703</v>
      </c>
      <c r="D810" s="169">
        <v>46007.0</v>
      </c>
      <c r="E810" s="2">
        <v>3.224011592E9</v>
      </c>
      <c r="F810" s="2" t="s">
        <v>3704</v>
      </c>
      <c r="G810" s="2" t="s">
        <v>3705</v>
      </c>
      <c r="H810" s="2">
        <v>0.0</v>
      </c>
      <c r="J810" s="3">
        <v>0.0</v>
      </c>
      <c r="K810" s="2" t="s">
        <v>571</v>
      </c>
      <c r="L810" s="2"/>
      <c r="M810" s="2" t="s">
        <v>468</v>
      </c>
      <c r="N810" s="2" t="s">
        <v>406</v>
      </c>
      <c r="O810" s="3">
        <v>0.5</v>
      </c>
      <c r="Q810" s="3">
        <v>0.0</v>
      </c>
      <c r="U810" s="141"/>
      <c r="X810" s="172">
        <v>46057.64278277778</v>
      </c>
      <c r="Y810" s="172"/>
      <c r="Z810" s="3">
        <v>46007.0</v>
      </c>
      <c r="AA810" s="3"/>
    </row>
    <row r="811">
      <c r="A811" s="3">
        <v>6.801815830787E12</v>
      </c>
      <c r="B811" s="2" t="s">
        <v>3706</v>
      </c>
      <c r="C811" s="2" t="s">
        <v>3703</v>
      </c>
      <c r="D811" s="169">
        <v>46007.0</v>
      </c>
      <c r="E811" s="173" t="s">
        <v>3707</v>
      </c>
      <c r="F811" s="2" t="s">
        <v>3704</v>
      </c>
      <c r="G811" s="2" t="s">
        <v>3705</v>
      </c>
      <c r="H811" s="2">
        <v>0.0</v>
      </c>
      <c r="I811" s="2">
        <v>2.9120050020413E13</v>
      </c>
      <c r="J811" s="3">
        <v>0.0</v>
      </c>
      <c r="K811" s="2" t="s">
        <v>3708</v>
      </c>
      <c r="L811" s="2"/>
      <c r="M811" s="170" t="s">
        <v>455</v>
      </c>
      <c r="N811" s="2" t="s">
        <v>406</v>
      </c>
      <c r="O811" s="3">
        <v>0.5</v>
      </c>
      <c r="P811" s="2" t="s">
        <v>363</v>
      </c>
      <c r="Q811" s="3">
        <v>0.0</v>
      </c>
      <c r="T811" s="2" t="s">
        <v>1468</v>
      </c>
      <c r="U811" s="171">
        <v>0.0</v>
      </c>
      <c r="V811" s="172">
        <v>46017.0</v>
      </c>
      <c r="W811" s="3">
        <v>220.0</v>
      </c>
      <c r="X811" s="172">
        <v>46057.64278277778</v>
      </c>
      <c r="Y811" s="172"/>
      <c r="Z811" s="3">
        <v>46007.0</v>
      </c>
      <c r="AA811" s="3"/>
    </row>
    <row r="812">
      <c r="A812" s="3">
        <v>6.801855021315E12</v>
      </c>
      <c r="B812" s="2" t="s">
        <v>3709</v>
      </c>
      <c r="C812" s="2" t="s">
        <v>3710</v>
      </c>
      <c r="D812" s="169">
        <v>46007.0</v>
      </c>
      <c r="E812" s="173" t="s">
        <v>3711</v>
      </c>
      <c r="F812" s="2" t="s">
        <v>3712</v>
      </c>
      <c r="G812" s="2" t="s">
        <v>672</v>
      </c>
      <c r="H812" s="2">
        <v>3099.0</v>
      </c>
      <c r="I812" s="2">
        <v>2.6120050020424E13</v>
      </c>
      <c r="J812" s="3">
        <v>2.0</v>
      </c>
      <c r="L812" s="2" t="s">
        <v>27</v>
      </c>
      <c r="M812" s="174" t="s">
        <v>409</v>
      </c>
      <c r="N812" s="2" t="s">
        <v>462</v>
      </c>
      <c r="O812" s="3">
        <v>0.5</v>
      </c>
      <c r="P812" s="2" t="s">
        <v>363</v>
      </c>
      <c r="Q812" s="3">
        <v>920.0</v>
      </c>
      <c r="T812" s="2" t="s">
        <v>777</v>
      </c>
      <c r="U812" s="171">
        <v>3099.0</v>
      </c>
      <c r="V812" s="172">
        <v>46014.0</v>
      </c>
      <c r="W812" s="3">
        <v>337.0</v>
      </c>
      <c r="X812" s="172">
        <v>46013.68739583333</v>
      </c>
      <c r="Y812" s="172"/>
      <c r="Z812" s="3">
        <v>46007.0</v>
      </c>
      <c r="AA812" s="3"/>
    </row>
    <row r="813">
      <c r="A813" s="3">
        <v>6.801861280003E12</v>
      </c>
      <c r="B813" s="2" t="s">
        <v>3713</v>
      </c>
      <c r="C813" s="2" t="s">
        <v>3714</v>
      </c>
      <c r="D813" s="169">
        <v>46007.0</v>
      </c>
      <c r="E813" s="2">
        <v>3.126138305E9</v>
      </c>
      <c r="F813" s="2" t="s">
        <v>3715</v>
      </c>
      <c r="G813" s="2" t="s">
        <v>368</v>
      </c>
      <c r="H813" s="2">
        <v>2748.0</v>
      </c>
      <c r="I813" s="2">
        <v>2.9120050020414E13</v>
      </c>
      <c r="J813" s="3">
        <v>1.0</v>
      </c>
      <c r="L813" s="2" t="s">
        <v>512</v>
      </c>
      <c r="M813" s="174" t="s">
        <v>409</v>
      </c>
      <c r="N813" s="2" t="s">
        <v>462</v>
      </c>
      <c r="O813" s="3">
        <v>0.5</v>
      </c>
      <c r="P813" s="2" t="s">
        <v>363</v>
      </c>
      <c r="Q813" s="3">
        <v>850.0</v>
      </c>
      <c r="T813" s="2" t="s">
        <v>599</v>
      </c>
      <c r="U813" s="171">
        <v>2748.0</v>
      </c>
      <c r="V813" s="172">
        <v>46010.0</v>
      </c>
      <c r="W813" s="3">
        <v>230.0</v>
      </c>
      <c r="X813" s="172">
        <v>46008.76648148148</v>
      </c>
      <c r="Y813" s="172"/>
      <c r="Z813" s="3">
        <v>46007.0</v>
      </c>
      <c r="AA813" s="3"/>
    </row>
    <row r="814">
      <c r="A814" s="3">
        <v>6.801924817155E12</v>
      </c>
      <c r="B814" s="2" t="s">
        <v>3716</v>
      </c>
      <c r="C814" s="2" t="s">
        <v>3717</v>
      </c>
      <c r="D814" s="169">
        <v>46007.0</v>
      </c>
      <c r="E814" s="2">
        <v>3.160050061E9</v>
      </c>
      <c r="F814" s="2" t="s">
        <v>3718</v>
      </c>
      <c r="G814" s="2" t="s">
        <v>506</v>
      </c>
      <c r="H814" s="2">
        <v>2749.0</v>
      </c>
      <c r="I814" s="2">
        <v>2.2120050020423E13</v>
      </c>
      <c r="J814" s="3">
        <v>2.0</v>
      </c>
      <c r="L814" s="2" t="s">
        <v>35</v>
      </c>
      <c r="M814" s="174" t="s">
        <v>409</v>
      </c>
      <c r="N814" s="2" t="s">
        <v>462</v>
      </c>
      <c r="O814" s="3">
        <v>0.5</v>
      </c>
      <c r="P814" s="2" t="s">
        <v>363</v>
      </c>
      <c r="Q814" s="3">
        <v>980.0</v>
      </c>
      <c r="T814" s="2" t="s">
        <v>599</v>
      </c>
      <c r="U814" s="171">
        <v>2749.0</v>
      </c>
      <c r="V814" s="172">
        <v>46010.0</v>
      </c>
      <c r="W814" s="3">
        <v>330.0</v>
      </c>
      <c r="X814" s="172">
        <v>46008.62178240741</v>
      </c>
      <c r="Y814" s="172"/>
      <c r="Z814" s="3">
        <v>46007.0</v>
      </c>
      <c r="AA814" s="3"/>
    </row>
    <row r="815">
      <c r="A815" s="3">
        <v>6.801974952195E12</v>
      </c>
      <c r="B815" s="2" t="s">
        <v>3719</v>
      </c>
      <c r="C815" s="2" t="s">
        <v>3720</v>
      </c>
      <c r="D815" s="169">
        <v>46007.0</v>
      </c>
      <c r="E815" s="2">
        <v>3.481542855E9</v>
      </c>
      <c r="F815" s="2" t="s">
        <v>3721</v>
      </c>
      <c r="G815" s="2" t="s">
        <v>993</v>
      </c>
      <c r="H815" s="2">
        <v>3999.0</v>
      </c>
      <c r="I815" s="2">
        <v>2.3120050020415E13</v>
      </c>
      <c r="J815" s="3">
        <v>2.0</v>
      </c>
      <c r="L815" s="2" t="s">
        <v>532</v>
      </c>
      <c r="M815" s="174" t="s">
        <v>409</v>
      </c>
      <c r="N815" s="2" t="s">
        <v>462</v>
      </c>
      <c r="O815" s="3">
        <v>0.5</v>
      </c>
      <c r="P815" s="2" t="s">
        <v>363</v>
      </c>
      <c r="Q815" s="3">
        <v>1700.0</v>
      </c>
      <c r="T815" s="2" t="s">
        <v>777</v>
      </c>
      <c r="U815" s="171">
        <v>3999.0</v>
      </c>
      <c r="V815" s="172">
        <v>46014.0</v>
      </c>
      <c r="W815" s="3">
        <v>473.0</v>
      </c>
      <c r="X815" s="172">
        <v>46010.657430555555</v>
      </c>
      <c r="Y815" s="172"/>
      <c r="Z815" s="3">
        <v>46007.0</v>
      </c>
      <c r="AA815" s="3"/>
    </row>
    <row r="816">
      <c r="A816" s="3">
        <v>6.802138661123E12</v>
      </c>
      <c r="B816" s="2" t="s">
        <v>3722</v>
      </c>
      <c r="C816" s="2" t="s">
        <v>3723</v>
      </c>
      <c r="D816" s="169">
        <v>46007.0</v>
      </c>
      <c r="E816" s="2">
        <v>3.007875707E9</v>
      </c>
      <c r="F816" s="2" t="s">
        <v>3724</v>
      </c>
      <c r="G816" s="2" t="s">
        <v>3725</v>
      </c>
      <c r="H816" s="2">
        <v>0.0</v>
      </c>
      <c r="I816" s="2">
        <v>2.8120050020416E13</v>
      </c>
      <c r="J816" s="3">
        <v>0.0</v>
      </c>
      <c r="K816" s="2" t="s">
        <v>3726</v>
      </c>
      <c r="L816" s="2"/>
      <c r="M816" s="170" t="s">
        <v>455</v>
      </c>
      <c r="N816" s="2" t="s">
        <v>406</v>
      </c>
      <c r="O816" s="3">
        <v>0.5</v>
      </c>
      <c r="P816" s="2" t="s">
        <v>73</v>
      </c>
      <c r="Q816" s="3">
        <v>0.0</v>
      </c>
      <c r="T816" s="2" t="s">
        <v>1468</v>
      </c>
      <c r="U816" s="171">
        <v>0.0</v>
      </c>
      <c r="V816" s="172">
        <v>46017.0</v>
      </c>
      <c r="W816" s="3">
        <v>313.0</v>
      </c>
      <c r="X816" s="172">
        <v>46057.64278277778</v>
      </c>
      <c r="Y816" s="172"/>
      <c r="Z816" s="3">
        <v>46007.0</v>
      </c>
      <c r="AA816" s="3"/>
    </row>
    <row r="817">
      <c r="A817" s="3">
        <v>6.802340053251E12</v>
      </c>
      <c r="B817" s="2" t="s">
        <v>3727</v>
      </c>
      <c r="C817" s="2" t="s">
        <v>3728</v>
      </c>
      <c r="D817" s="169">
        <v>46007.0</v>
      </c>
      <c r="E817" s="2">
        <v>3.420300727E9</v>
      </c>
      <c r="F817" s="2" t="s">
        <v>3729</v>
      </c>
      <c r="G817" s="2" t="s">
        <v>688</v>
      </c>
      <c r="H817" s="2">
        <v>2748.0</v>
      </c>
      <c r="I817" s="2">
        <v>2.9120050020417E13</v>
      </c>
      <c r="J817" s="3">
        <v>1.0</v>
      </c>
      <c r="L817" s="2" t="s">
        <v>512</v>
      </c>
      <c r="M817" s="174" t="s">
        <v>409</v>
      </c>
      <c r="N817" s="2" t="s">
        <v>462</v>
      </c>
      <c r="O817" s="3">
        <v>0.5</v>
      </c>
      <c r="P817" s="2" t="s">
        <v>363</v>
      </c>
      <c r="Q817" s="3">
        <v>850.0</v>
      </c>
      <c r="T817" s="2" t="s">
        <v>599</v>
      </c>
      <c r="U817" s="171">
        <v>2748.0</v>
      </c>
      <c r="V817" s="172">
        <v>46010.0</v>
      </c>
      <c r="W817" s="3">
        <v>330.0</v>
      </c>
      <c r="X817" s="172">
        <v>46009.586863425924</v>
      </c>
      <c r="Y817" s="172"/>
      <c r="Z817" s="3">
        <v>46007.0</v>
      </c>
      <c r="AA817" s="3"/>
    </row>
    <row r="818">
      <c r="A818" s="3">
        <v>6.802371412227E12</v>
      </c>
      <c r="B818" s="2" t="s">
        <v>3730</v>
      </c>
      <c r="C818" s="2" t="s">
        <v>3731</v>
      </c>
      <c r="D818" s="169">
        <v>46007.0</v>
      </c>
      <c r="E818" s="173" t="s">
        <v>3732</v>
      </c>
      <c r="F818" s="2" t="s">
        <v>3733</v>
      </c>
      <c r="G818" s="2" t="s">
        <v>1395</v>
      </c>
      <c r="H818" s="2">
        <v>0.0</v>
      </c>
      <c r="I818" s="2">
        <v>2.1120050020488E13</v>
      </c>
      <c r="J818" s="3">
        <v>0.0</v>
      </c>
      <c r="K818" s="2" t="s">
        <v>3734</v>
      </c>
      <c r="L818" s="2"/>
      <c r="M818" s="170" t="s">
        <v>455</v>
      </c>
      <c r="N818" s="2" t="s">
        <v>406</v>
      </c>
      <c r="O818" s="3">
        <v>0.5</v>
      </c>
      <c r="P818" s="2" t="s">
        <v>73</v>
      </c>
      <c r="Q818" s="3">
        <v>0.0</v>
      </c>
      <c r="T818" s="2" t="s">
        <v>2140</v>
      </c>
      <c r="U818" s="171">
        <v>0.0</v>
      </c>
      <c r="V818" s="172">
        <v>46021.0</v>
      </c>
      <c r="W818" s="3">
        <v>213.0</v>
      </c>
      <c r="X818" s="172">
        <v>46057.64278277778</v>
      </c>
      <c r="Y818" s="172"/>
      <c r="Z818" s="3">
        <v>46007.0</v>
      </c>
      <c r="AA818" s="3"/>
    </row>
    <row r="819">
      <c r="A819" s="3">
        <v>6.802426560771E12</v>
      </c>
      <c r="B819" s="2" t="s">
        <v>3735</v>
      </c>
      <c r="C819" s="2" t="s">
        <v>3736</v>
      </c>
      <c r="D819" s="169">
        <v>46007.0</v>
      </c>
      <c r="E819" s="173" t="s">
        <v>3737</v>
      </c>
      <c r="F819" s="2" t="s">
        <v>3738</v>
      </c>
      <c r="G819" s="2" t="s">
        <v>3739</v>
      </c>
      <c r="H819" s="2">
        <v>0.0</v>
      </c>
      <c r="I819" s="2">
        <v>2.9120050020418E13</v>
      </c>
      <c r="J819" s="3">
        <v>0.0</v>
      </c>
      <c r="K819" s="2" t="s">
        <v>3726</v>
      </c>
      <c r="L819" s="2"/>
      <c r="M819" s="170" t="s">
        <v>455</v>
      </c>
      <c r="N819" s="2" t="s">
        <v>406</v>
      </c>
      <c r="O819" s="3">
        <v>0.5</v>
      </c>
      <c r="P819" s="2" t="s">
        <v>363</v>
      </c>
      <c r="Q819" s="3">
        <v>0.0</v>
      </c>
      <c r="T819" s="2" t="s">
        <v>1468</v>
      </c>
      <c r="U819" s="171">
        <v>0.0</v>
      </c>
      <c r="V819" s="172">
        <v>46017.0</v>
      </c>
      <c r="W819" s="3">
        <v>313.0</v>
      </c>
      <c r="X819" s="172">
        <v>46057.64278277778</v>
      </c>
      <c r="Y819" s="172"/>
      <c r="Z819" s="3">
        <v>46007.0</v>
      </c>
      <c r="AA819" s="3"/>
    </row>
    <row r="820">
      <c r="A820" s="3">
        <v>6.802430755075E12</v>
      </c>
      <c r="B820" s="2" t="s">
        <v>3740</v>
      </c>
      <c r="C820" s="2" t="s">
        <v>3741</v>
      </c>
      <c r="D820" s="169">
        <v>46007.0</v>
      </c>
      <c r="E820" s="2">
        <v>3.353230005E9</v>
      </c>
      <c r="F820" s="2" t="s">
        <v>3742</v>
      </c>
      <c r="G820" s="2" t="s">
        <v>3743</v>
      </c>
      <c r="H820" s="2">
        <v>1999.0</v>
      </c>
      <c r="I820" s="2">
        <v>2.9120050020422E13</v>
      </c>
      <c r="J820" s="3">
        <v>1.0</v>
      </c>
      <c r="L820" s="2" t="s">
        <v>3744</v>
      </c>
      <c r="M820" s="174" t="s">
        <v>409</v>
      </c>
      <c r="N820" s="2" t="s">
        <v>462</v>
      </c>
      <c r="O820" s="3">
        <v>0.5</v>
      </c>
      <c r="P820" s="2" t="s">
        <v>363</v>
      </c>
      <c r="Q820" s="3">
        <v>1100.0</v>
      </c>
      <c r="T820" s="2" t="s">
        <v>599</v>
      </c>
      <c r="U820" s="171">
        <v>1999.0</v>
      </c>
      <c r="V820" s="172">
        <v>46010.0</v>
      </c>
      <c r="W820" s="3">
        <v>293.0</v>
      </c>
      <c r="X820" s="172">
        <v>46009.47940972222</v>
      </c>
      <c r="Y820" s="172"/>
      <c r="Z820" s="3">
        <v>46007.0</v>
      </c>
      <c r="AA820" s="3"/>
    </row>
    <row r="821">
      <c r="A821" s="3">
        <v>6.802485149955E12</v>
      </c>
      <c r="B821" s="2" t="s">
        <v>3745</v>
      </c>
      <c r="C821" s="2" t="s">
        <v>3746</v>
      </c>
      <c r="D821" s="169">
        <v>46007.0</v>
      </c>
      <c r="E821" s="173" t="s">
        <v>3747</v>
      </c>
      <c r="F821" s="2" t="s">
        <v>3748</v>
      </c>
      <c r="G821" s="2" t="s">
        <v>506</v>
      </c>
      <c r="H821" s="2">
        <v>3099.0</v>
      </c>
      <c r="I821" s="2">
        <v>2.9120050020421E13</v>
      </c>
      <c r="J821" s="3">
        <v>2.0</v>
      </c>
      <c r="L821" s="2" t="s">
        <v>906</v>
      </c>
      <c r="M821" s="174" t="s">
        <v>409</v>
      </c>
      <c r="N821" s="2" t="s">
        <v>462</v>
      </c>
      <c r="O821" s="3">
        <v>0.5</v>
      </c>
      <c r="P821" s="2" t="s">
        <v>363</v>
      </c>
      <c r="Q821" s="3">
        <v>920.0</v>
      </c>
      <c r="T821" s="2" t="s">
        <v>599</v>
      </c>
      <c r="U821" s="171">
        <v>3099.0</v>
      </c>
      <c r="V821" s="172">
        <v>46010.0</v>
      </c>
      <c r="W821" s="3">
        <v>324.0</v>
      </c>
      <c r="X821" s="172">
        <v>46008.57454861111</v>
      </c>
      <c r="Y821" s="172"/>
      <c r="Z821" s="3">
        <v>46007.0</v>
      </c>
      <c r="AA821" s="3"/>
    </row>
    <row r="822">
      <c r="A822" s="3">
        <v>6.802524373251E12</v>
      </c>
      <c r="B822" s="2" t="s">
        <v>3749</v>
      </c>
      <c r="C822" s="2" t="s">
        <v>3750</v>
      </c>
      <c r="D822" s="169">
        <v>46007.0</v>
      </c>
      <c r="E822" s="2">
        <v>3.159870503E9</v>
      </c>
      <c r="F822" s="2" t="s">
        <v>3751</v>
      </c>
      <c r="G822" s="2" t="s">
        <v>506</v>
      </c>
      <c r="H822" s="2">
        <v>0.0</v>
      </c>
      <c r="I822" s="2">
        <v>2.7120050020406E13</v>
      </c>
      <c r="J822" s="3">
        <v>0.0</v>
      </c>
      <c r="K822" s="2" t="s">
        <v>3708</v>
      </c>
      <c r="L822" s="2"/>
      <c r="M822" s="170" t="s">
        <v>455</v>
      </c>
      <c r="N822" s="2" t="s">
        <v>406</v>
      </c>
      <c r="O822" s="3">
        <v>0.5</v>
      </c>
      <c r="P822" s="2" t="s">
        <v>363</v>
      </c>
      <c r="Q822" s="3">
        <v>0.0</v>
      </c>
      <c r="T822" s="2" t="s">
        <v>1468</v>
      </c>
      <c r="U822" s="171">
        <v>0.0</v>
      </c>
      <c r="V822" s="172">
        <v>46017.0</v>
      </c>
      <c r="W822" s="3">
        <v>220.0</v>
      </c>
      <c r="X822" s="172">
        <v>46057.64278277778</v>
      </c>
      <c r="Y822" s="172"/>
      <c r="Z822" s="3">
        <v>46007.0</v>
      </c>
      <c r="AA822" s="3"/>
    </row>
    <row r="823">
      <c r="A823" s="3">
        <v>6.802552291587E12</v>
      </c>
      <c r="B823" s="2" t="s">
        <v>3752</v>
      </c>
      <c r="C823" s="2" t="s">
        <v>3753</v>
      </c>
      <c r="D823" s="169">
        <v>46007.0</v>
      </c>
      <c r="E823" s="2">
        <v>3.123912233E9</v>
      </c>
      <c r="F823" s="2" t="s">
        <v>3754</v>
      </c>
      <c r="G823" s="2" t="s">
        <v>493</v>
      </c>
      <c r="H823" s="2">
        <v>249.0</v>
      </c>
      <c r="I823" s="2">
        <v>2.3120050020401E13</v>
      </c>
      <c r="J823" s="3">
        <v>0.0</v>
      </c>
      <c r="L823" s="2"/>
      <c r="M823" s="174" t="s">
        <v>409</v>
      </c>
      <c r="N823" s="2" t="s">
        <v>462</v>
      </c>
      <c r="O823" s="3">
        <v>0.5</v>
      </c>
      <c r="P823" s="2" t="s">
        <v>363</v>
      </c>
      <c r="Q823" s="3">
        <v>0.0</v>
      </c>
      <c r="T823" s="2" t="s">
        <v>777</v>
      </c>
      <c r="U823" s="3">
        <v>249.0</v>
      </c>
      <c r="V823" s="172">
        <v>46014.0</v>
      </c>
      <c r="W823" s="3">
        <v>323.0</v>
      </c>
      <c r="X823" s="172">
        <v>46010.64466435185</v>
      </c>
      <c r="Y823" s="172"/>
      <c r="Z823" s="3">
        <v>46007.0</v>
      </c>
      <c r="AA823" s="3"/>
    </row>
    <row r="824">
      <c r="A824" s="3">
        <v>6.802582307075E12</v>
      </c>
      <c r="B824" s="2" t="s">
        <v>3755</v>
      </c>
      <c r="C824" s="2" t="s">
        <v>3756</v>
      </c>
      <c r="D824" s="169">
        <v>46007.0</v>
      </c>
      <c r="E824" s="173" t="s">
        <v>3757</v>
      </c>
      <c r="F824" s="2" t="s">
        <v>3758</v>
      </c>
      <c r="G824" s="2" t="s">
        <v>3759</v>
      </c>
      <c r="H824" s="2">
        <v>1650.0</v>
      </c>
      <c r="I824" s="2">
        <v>2.6120050020419E13</v>
      </c>
      <c r="J824" s="3">
        <v>1.0</v>
      </c>
      <c r="K824" s="2" t="s">
        <v>3760</v>
      </c>
      <c r="L824" s="2" t="s">
        <v>243</v>
      </c>
      <c r="M824" s="174" t="s">
        <v>409</v>
      </c>
      <c r="N824" s="2" t="s">
        <v>462</v>
      </c>
      <c r="O824" s="3">
        <v>0.5</v>
      </c>
      <c r="P824" s="2" t="s">
        <v>363</v>
      </c>
      <c r="Q824" s="3">
        <v>460.0</v>
      </c>
      <c r="T824" s="2" t="s">
        <v>777</v>
      </c>
      <c r="U824" s="171">
        <v>1650.0</v>
      </c>
      <c r="V824" s="172">
        <v>46014.0</v>
      </c>
      <c r="W824" s="3">
        <v>279.0</v>
      </c>
      <c r="X824" s="172">
        <v>46010.74894675926</v>
      </c>
      <c r="Y824" s="172"/>
      <c r="Z824" s="3">
        <v>46007.0</v>
      </c>
      <c r="AA824" s="3"/>
    </row>
    <row r="825">
      <c r="A825" s="3">
        <v>6.802584174851E12</v>
      </c>
      <c r="B825" s="2" t="s">
        <v>3761</v>
      </c>
      <c r="C825" s="2" t="s">
        <v>1331</v>
      </c>
      <c r="D825" s="169">
        <v>46007.0</v>
      </c>
      <c r="E825" s="173" t="s">
        <v>1332</v>
      </c>
      <c r="F825" s="2" t="s">
        <v>3762</v>
      </c>
      <c r="G825" s="2" t="s">
        <v>493</v>
      </c>
      <c r="H825" s="2">
        <v>2500.0</v>
      </c>
      <c r="I825" s="2">
        <v>2.1120050020402E13</v>
      </c>
      <c r="J825" s="3">
        <v>2.0</v>
      </c>
      <c r="K825" s="2" t="s">
        <v>3763</v>
      </c>
      <c r="L825" s="2" t="s">
        <v>3764</v>
      </c>
      <c r="M825" s="174" t="s">
        <v>409</v>
      </c>
      <c r="N825" s="2" t="s">
        <v>462</v>
      </c>
      <c r="O825" s="3">
        <v>0.5</v>
      </c>
      <c r="P825" s="2" t="s">
        <v>73</v>
      </c>
      <c r="Q825" s="3">
        <v>1500.0</v>
      </c>
      <c r="T825" s="2" t="s">
        <v>599</v>
      </c>
      <c r="U825" s="3">
        <v>2500.0</v>
      </c>
      <c r="V825" s="172">
        <v>46010.0</v>
      </c>
      <c r="W825" s="3">
        <v>213.0</v>
      </c>
      <c r="X825" s="172">
        <v>46009.51273148148</v>
      </c>
      <c r="Y825" s="172"/>
      <c r="Z825" s="3">
        <v>46007.0</v>
      </c>
      <c r="AA825" s="3"/>
    </row>
    <row r="826">
      <c r="A826" s="3">
        <v>6.802589122819E12</v>
      </c>
      <c r="B826" s="2" t="s">
        <v>3765</v>
      </c>
      <c r="C826" s="2" t="s">
        <v>3766</v>
      </c>
      <c r="D826" s="169">
        <v>46007.0</v>
      </c>
      <c r="E826" s="173" t="s">
        <v>3767</v>
      </c>
      <c r="F826" s="2" t="s">
        <v>3768</v>
      </c>
      <c r="G826" s="2" t="s">
        <v>3769</v>
      </c>
      <c r="H826" s="2">
        <v>1799.0</v>
      </c>
      <c r="I826" s="2">
        <v>1.73009066811E11</v>
      </c>
      <c r="J826" s="3">
        <v>1.0</v>
      </c>
      <c r="K826" s="2" t="s">
        <v>3770</v>
      </c>
      <c r="L826" s="2" t="s">
        <v>2154</v>
      </c>
      <c r="M826" s="174" t="s">
        <v>409</v>
      </c>
      <c r="N826" s="2" t="s">
        <v>462</v>
      </c>
      <c r="O826" s="3">
        <v>0.5</v>
      </c>
      <c r="P826" s="2" t="s">
        <v>501</v>
      </c>
      <c r="Q826" s="3">
        <v>490.0</v>
      </c>
      <c r="T826" s="2" t="s">
        <v>2981</v>
      </c>
      <c r="U826" s="171">
        <v>1799.0</v>
      </c>
      <c r="W826" s="3">
        <v>364.15999999999997</v>
      </c>
      <c r="X826" s="172">
        <v>46057.732859780095</v>
      </c>
      <c r="Y826" s="172"/>
      <c r="Z826" s="3">
        <v>46007.0</v>
      </c>
      <c r="AA826" s="3"/>
    </row>
    <row r="827">
      <c r="A827" s="3">
        <v>6.802594889987E12</v>
      </c>
      <c r="B827" s="2" t="s">
        <v>3771</v>
      </c>
      <c r="C827" s="2" t="s">
        <v>3772</v>
      </c>
      <c r="D827" s="169">
        <v>46007.0</v>
      </c>
      <c r="E827" s="2">
        <v>3.007074554E9</v>
      </c>
      <c r="F827" s="2" t="s">
        <v>3773</v>
      </c>
      <c r="G827" s="2" t="s">
        <v>493</v>
      </c>
      <c r="H827" s="2">
        <v>5349.0</v>
      </c>
      <c r="I827" s="2">
        <v>2.2120050020403E13</v>
      </c>
      <c r="J827" s="3">
        <v>3.0</v>
      </c>
      <c r="K827" s="2" t="s">
        <v>241</v>
      </c>
      <c r="L827" s="2" t="s">
        <v>3774</v>
      </c>
      <c r="M827" s="174" t="s">
        <v>409</v>
      </c>
      <c r="N827" s="2" t="s">
        <v>462</v>
      </c>
      <c r="O827" s="3">
        <v>0.5</v>
      </c>
      <c r="P827" s="2" t="s">
        <v>363</v>
      </c>
      <c r="Q827" s="3">
        <v>2360.0</v>
      </c>
      <c r="T827" s="2" t="s">
        <v>777</v>
      </c>
      <c r="U827" s="171">
        <v>5349.0</v>
      </c>
      <c r="V827" s="172">
        <v>46014.0</v>
      </c>
      <c r="W827" s="3">
        <v>441.0</v>
      </c>
      <c r="X827" s="172">
        <v>46010.65164351852</v>
      </c>
      <c r="Y827" s="172"/>
      <c r="Z827" s="3">
        <v>46007.0</v>
      </c>
      <c r="AA827" s="3"/>
    </row>
    <row r="828">
      <c r="A828" s="3">
        <v>6.802626773251E12</v>
      </c>
      <c r="B828" s="2" t="s">
        <v>3775</v>
      </c>
      <c r="C828" s="2" t="s">
        <v>3776</v>
      </c>
      <c r="D828" s="169">
        <v>46007.0</v>
      </c>
      <c r="E828" s="173" t="s">
        <v>3777</v>
      </c>
      <c r="F828" s="2" t="s">
        <v>3778</v>
      </c>
      <c r="G828" s="2" t="s">
        <v>366</v>
      </c>
      <c r="H828" s="2">
        <v>1649.0</v>
      </c>
      <c r="I828" s="2">
        <v>2.1120050020404E13</v>
      </c>
      <c r="J828" s="3">
        <v>1.0</v>
      </c>
      <c r="K828" s="2" t="s">
        <v>1989</v>
      </c>
      <c r="L828" s="2" t="s">
        <v>3779</v>
      </c>
      <c r="M828" s="174" t="s">
        <v>409</v>
      </c>
      <c r="N828" s="2" t="s">
        <v>462</v>
      </c>
      <c r="O828" s="3">
        <v>0.5</v>
      </c>
      <c r="P828" s="2" t="s">
        <v>73</v>
      </c>
      <c r="Q828" s="3">
        <v>460.0</v>
      </c>
      <c r="T828" s="2" t="s">
        <v>599</v>
      </c>
      <c r="U828" s="171">
        <v>1649.0</v>
      </c>
      <c r="V828" s="172">
        <v>46010.0</v>
      </c>
      <c r="W828" s="3">
        <v>266.0</v>
      </c>
      <c r="X828" s="172">
        <v>46009.53422453704</v>
      </c>
      <c r="Y828" s="172"/>
      <c r="Z828" s="3">
        <v>46007.0</v>
      </c>
      <c r="AA828" s="3"/>
    </row>
    <row r="829">
      <c r="A829" s="3">
        <v>6.802631557379E12</v>
      </c>
      <c r="B829" s="2" t="s">
        <v>3780</v>
      </c>
      <c r="C829" s="2" t="s">
        <v>3129</v>
      </c>
      <c r="D829" s="169">
        <v>46007.0</v>
      </c>
      <c r="E829" s="173" t="s">
        <v>3781</v>
      </c>
      <c r="F829" s="2" t="s">
        <v>3782</v>
      </c>
      <c r="G829" s="2" t="s">
        <v>506</v>
      </c>
      <c r="H829" s="2">
        <v>3099.0</v>
      </c>
      <c r="I829" s="2">
        <v>2.8120050020405E13</v>
      </c>
      <c r="J829" s="3">
        <v>2.0</v>
      </c>
      <c r="L829" s="2" t="s">
        <v>228</v>
      </c>
      <c r="M829" s="174" t="s">
        <v>409</v>
      </c>
      <c r="N829" s="2" t="s">
        <v>462</v>
      </c>
      <c r="O829" s="3">
        <v>0.5</v>
      </c>
      <c r="P829" s="2" t="s">
        <v>73</v>
      </c>
      <c r="Q829" s="3">
        <v>920.0</v>
      </c>
      <c r="T829" s="2" t="s">
        <v>599</v>
      </c>
      <c r="U829" s="171">
        <v>3099.0</v>
      </c>
      <c r="V829" s="172">
        <v>46010.0</v>
      </c>
      <c r="W829" s="3">
        <v>324.0</v>
      </c>
      <c r="X829" s="172">
        <v>46008.54671296296</v>
      </c>
      <c r="Y829" s="172"/>
      <c r="Z829" s="3">
        <v>46007.0</v>
      </c>
      <c r="AA829" s="3"/>
    </row>
    <row r="830">
      <c r="A830" s="3">
        <v>6.802638078211E12</v>
      </c>
      <c r="B830" s="2" t="s">
        <v>3783</v>
      </c>
      <c r="C830" s="2" t="s">
        <v>3784</v>
      </c>
      <c r="D830" s="169">
        <v>46007.0</v>
      </c>
      <c r="E830" s="173" t="s">
        <v>3785</v>
      </c>
      <c r="F830" s="2" t="s">
        <v>3786</v>
      </c>
      <c r="G830" s="2" t="s">
        <v>688</v>
      </c>
      <c r="H830" s="2">
        <v>2748.0</v>
      </c>
      <c r="I830" s="2">
        <v>2.9120050020489E13</v>
      </c>
      <c r="J830" s="3">
        <v>1.0</v>
      </c>
      <c r="K830" s="2" t="s">
        <v>511</v>
      </c>
      <c r="L830" s="2" t="s">
        <v>512</v>
      </c>
      <c r="M830" s="174" t="s">
        <v>409</v>
      </c>
      <c r="N830" s="2" t="s">
        <v>462</v>
      </c>
      <c r="O830" s="3">
        <v>0.5</v>
      </c>
      <c r="P830" s="2" t="s">
        <v>363</v>
      </c>
      <c r="Q830" s="3">
        <v>850.0</v>
      </c>
      <c r="T830" s="2" t="s">
        <v>777</v>
      </c>
      <c r="U830" s="171">
        <v>2748.0</v>
      </c>
      <c r="V830" s="172">
        <v>46014.0</v>
      </c>
      <c r="W830" s="3">
        <v>330.0</v>
      </c>
      <c r="X830" s="172">
        <v>46013.58840277778</v>
      </c>
      <c r="Y830" s="172"/>
      <c r="Z830" s="3">
        <v>46007.0</v>
      </c>
      <c r="AA830" s="3"/>
    </row>
    <row r="831">
      <c r="A831" s="3">
        <v>6.802649972995E12</v>
      </c>
      <c r="B831" s="2" t="s">
        <v>3787</v>
      </c>
      <c r="C831" s="2" t="s">
        <v>3788</v>
      </c>
      <c r="D831" s="169">
        <v>46007.0</v>
      </c>
      <c r="E831" s="2">
        <v>3.348531379E9</v>
      </c>
      <c r="F831" s="2" t="s">
        <v>3789</v>
      </c>
      <c r="G831" s="2" t="s">
        <v>366</v>
      </c>
      <c r="H831" s="2">
        <v>3099.0</v>
      </c>
      <c r="I831" s="2">
        <v>2.5120050020439E13</v>
      </c>
      <c r="J831" s="3">
        <v>2.0</v>
      </c>
      <c r="L831" s="2" t="s">
        <v>40</v>
      </c>
      <c r="M831" s="174" t="s">
        <v>409</v>
      </c>
      <c r="N831" s="2" t="s">
        <v>462</v>
      </c>
      <c r="O831" s="3">
        <v>0.5</v>
      </c>
      <c r="P831" s="2" t="s">
        <v>363</v>
      </c>
      <c r="Q831" s="3">
        <v>920.0</v>
      </c>
      <c r="T831" s="2" t="s">
        <v>599</v>
      </c>
      <c r="U831" s="171">
        <v>3099.0</v>
      </c>
      <c r="V831" s="172">
        <v>46010.0</v>
      </c>
      <c r="W831" s="3">
        <v>324.0</v>
      </c>
      <c r="X831" s="172">
        <v>46009.56340277778</v>
      </c>
      <c r="Y831" s="172"/>
      <c r="Z831" s="3">
        <v>46007.0</v>
      </c>
      <c r="AA831" s="3"/>
    </row>
    <row r="832">
      <c r="A832" s="3">
        <v>6.802664292611E12</v>
      </c>
      <c r="B832" s="2" t="s">
        <v>3790</v>
      </c>
      <c r="C832" s="2" t="s">
        <v>2197</v>
      </c>
      <c r="D832" s="169">
        <v>46007.0</v>
      </c>
      <c r="E832" s="2">
        <v>3.4962643E9</v>
      </c>
      <c r="F832" s="2" t="s">
        <v>3048</v>
      </c>
      <c r="G832" s="2" t="s">
        <v>3049</v>
      </c>
      <c r="H832" s="2">
        <v>2749.0</v>
      </c>
      <c r="I832" s="2">
        <v>2.5120050020458E13</v>
      </c>
      <c r="J832" s="3">
        <v>1.0</v>
      </c>
      <c r="K832" s="2" t="s">
        <v>1989</v>
      </c>
      <c r="L832" s="2" t="s">
        <v>500</v>
      </c>
      <c r="M832" s="174" t="s">
        <v>409</v>
      </c>
      <c r="N832" s="2" t="s">
        <v>462</v>
      </c>
      <c r="O832" s="3">
        <v>0.5</v>
      </c>
      <c r="P832" s="2" t="s">
        <v>363</v>
      </c>
      <c r="Q832" s="3">
        <v>850.0</v>
      </c>
      <c r="T832" s="2" t="s">
        <v>777</v>
      </c>
      <c r="U832" s="171">
        <v>2749.0</v>
      </c>
      <c r="V832" s="172">
        <v>46014.0</v>
      </c>
      <c r="W832" s="3">
        <v>310.0</v>
      </c>
      <c r="X832" s="172">
        <v>46010.76693287037</v>
      </c>
      <c r="Y832" s="172"/>
      <c r="Z832" s="3">
        <v>46007.0</v>
      </c>
      <c r="AA832" s="3"/>
    </row>
    <row r="833">
      <c r="A833" s="3">
        <v>6.802672746755E12</v>
      </c>
      <c r="B833" s="2" t="s">
        <v>3791</v>
      </c>
      <c r="C833" s="2" t="s">
        <v>3792</v>
      </c>
      <c r="D833" s="169">
        <v>46007.0</v>
      </c>
      <c r="E833" s="2">
        <v>3.086906445E9</v>
      </c>
      <c r="F833" s="2" t="s">
        <v>3793</v>
      </c>
      <c r="G833" s="2" t="s">
        <v>1016</v>
      </c>
      <c r="H833" s="2">
        <v>0.0</v>
      </c>
      <c r="I833" s="2">
        <v>2.1120050020459E13</v>
      </c>
      <c r="J833" s="3">
        <v>0.0</v>
      </c>
      <c r="K833" s="2" t="s">
        <v>3794</v>
      </c>
      <c r="L833" s="2"/>
      <c r="M833" s="170" t="s">
        <v>455</v>
      </c>
      <c r="N833" s="2" t="s">
        <v>406</v>
      </c>
      <c r="O833" s="3">
        <v>0.5</v>
      </c>
      <c r="P833" s="2" t="s">
        <v>73</v>
      </c>
      <c r="Q833" s="3">
        <v>0.0</v>
      </c>
      <c r="T833" s="2" t="s">
        <v>2140</v>
      </c>
      <c r="U833" s="171">
        <v>0.0</v>
      </c>
      <c r="V833" s="172">
        <v>46021.0</v>
      </c>
      <c r="W833" s="3">
        <v>220.0</v>
      </c>
      <c r="X833" s="172">
        <v>46057.64278278935</v>
      </c>
      <c r="Y833" s="172"/>
      <c r="Z833" s="3">
        <v>46007.0</v>
      </c>
      <c r="AA833" s="3"/>
    </row>
    <row r="834">
      <c r="A834" s="3">
        <v>6.802683232515E12</v>
      </c>
      <c r="B834" s="2" t="s">
        <v>3795</v>
      </c>
      <c r="C834" s="2" t="s">
        <v>3430</v>
      </c>
      <c r="D834" s="169">
        <v>46007.0</v>
      </c>
      <c r="E834" s="173" t="s">
        <v>3431</v>
      </c>
      <c r="F834" s="2" t="s">
        <v>3432</v>
      </c>
      <c r="G834" s="2" t="s">
        <v>1323</v>
      </c>
      <c r="H834" s="2">
        <v>5247.0</v>
      </c>
      <c r="I834" s="2">
        <v>2.2120050020495E13</v>
      </c>
      <c r="J834" s="3">
        <v>2.0</v>
      </c>
      <c r="L834" s="2" t="s">
        <v>3796</v>
      </c>
      <c r="M834" s="174" t="s">
        <v>409</v>
      </c>
      <c r="N834" s="2" t="s">
        <v>462</v>
      </c>
      <c r="O834" s="3">
        <v>0.5</v>
      </c>
      <c r="P834" s="2" t="s">
        <v>363</v>
      </c>
      <c r="Q834" s="3">
        <v>2700.0</v>
      </c>
      <c r="T834" s="2" t="s">
        <v>777</v>
      </c>
      <c r="U834" s="171">
        <v>5247.0</v>
      </c>
      <c r="V834" s="172">
        <v>46014.0</v>
      </c>
      <c r="W834" s="3">
        <v>430.0</v>
      </c>
      <c r="X834" s="172">
        <v>46010.67460648148</v>
      </c>
      <c r="Y834" s="172"/>
      <c r="Z834" s="3">
        <v>46007.0</v>
      </c>
      <c r="AA834" s="3"/>
    </row>
    <row r="835">
      <c r="A835" s="3">
        <v>6.802692997379E12</v>
      </c>
      <c r="B835" s="2" t="s">
        <v>3797</v>
      </c>
      <c r="C835" s="2" t="s">
        <v>3798</v>
      </c>
      <c r="D835" s="169">
        <v>46007.0</v>
      </c>
      <c r="E835" s="2">
        <v>3.344443307E9</v>
      </c>
      <c r="F835" s="2" t="s">
        <v>3799</v>
      </c>
      <c r="G835" s="2" t="s">
        <v>368</v>
      </c>
      <c r="H835" s="2">
        <v>10349.0</v>
      </c>
      <c r="I835" s="2" t="s">
        <v>3800</v>
      </c>
      <c r="J835" s="3">
        <v>5.0</v>
      </c>
      <c r="K835" s="2" t="s">
        <v>511</v>
      </c>
      <c r="L835" s="2" t="s">
        <v>3801</v>
      </c>
      <c r="M835" s="174" t="s">
        <v>409</v>
      </c>
      <c r="N835" s="2" t="s">
        <v>462</v>
      </c>
      <c r="O835" s="3">
        <v>0.5</v>
      </c>
      <c r="P835" s="2"/>
      <c r="Q835" s="3">
        <v>4500.0</v>
      </c>
      <c r="U835" s="2">
        <v>10349.0</v>
      </c>
      <c r="X835" s="172">
        <v>46059.31648324074</v>
      </c>
      <c r="Y835" s="172"/>
      <c r="Z835" s="3">
        <v>46007.0</v>
      </c>
      <c r="AA835" s="3"/>
    </row>
    <row r="836">
      <c r="A836" s="3">
        <v>6.802710790403E12</v>
      </c>
      <c r="B836" s="2" t="s">
        <v>3802</v>
      </c>
      <c r="C836" s="2" t="s">
        <v>3803</v>
      </c>
      <c r="D836" s="169">
        <v>46007.0</v>
      </c>
      <c r="E836" s="173" t="s">
        <v>3804</v>
      </c>
      <c r="F836" s="2" t="s">
        <v>3805</v>
      </c>
      <c r="G836" s="2" t="s">
        <v>368</v>
      </c>
      <c r="H836" s="2">
        <v>2850.0</v>
      </c>
      <c r="I836" s="2">
        <v>2.112005002044E13</v>
      </c>
      <c r="J836" s="3">
        <v>2.0</v>
      </c>
      <c r="K836" s="2" t="s">
        <v>3806</v>
      </c>
      <c r="L836" s="2" t="s">
        <v>662</v>
      </c>
      <c r="M836" s="170" t="s">
        <v>455</v>
      </c>
      <c r="N836" s="2" t="s">
        <v>406</v>
      </c>
      <c r="O836" s="3">
        <v>0.5</v>
      </c>
      <c r="P836" s="2" t="s">
        <v>73</v>
      </c>
      <c r="Q836" s="3">
        <v>960.0</v>
      </c>
      <c r="T836" s="2" t="s">
        <v>777</v>
      </c>
      <c r="U836" s="171">
        <v>0.0</v>
      </c>
      <c r="V836" s="172">
        <v>46014.0</v>
      </c>
      <c r="W836" s="3">
        <v>187.0</v>
      </c>
      <c r="X836" s="172">
        <v>46057.64278278935</v>
      </c>
      <c r="Y836" s="172"/>
      <c r="Z836" s="3">
        <v>46007.0</v>
      </c>
      <c r="AA836" s="3"/>
    </row>
    <row r="837">
      <c r="A837" s="3">
        <v>6.802759319811E12</v>
      </c>
      <c r="B837" s="2" t="s">
        <v>3807</v>
      </c>
      <c r="C837" s="2" t="s">
        <v>3808</v>
      </c>
      <c r="D837" s="169">
        <v>46007.0</v>
      </c>
      <c r="E837" s="2">
        <v>3.316161518E9</v>
      </c>
      <c r="F837" s="2" t="s">
        <v>3809</v>
      </c>
      <c r="G837" s="2" t="s">
        <v>368</v>
      </c>
      <c r="H837" s="2">
        <v>3999.0</v>
      </c>
      <c r="I837" s="2">
        <v>2.612005002046E13</v>
      </c>
      <c r="J837" s="3">
        <v>2.0</v>
      </c>
      <c r="L837" s="2" t="s">
        <v>994</v>
      </c>
      <c r="M837" s="174" t="s">
        <v>409</v>
      </c>
      <c r="N837" s="2" t="s">
        <v>462</v>
      </c>
      <c r="O837" s="3">
        <v>0.5</v>
      </c>
      <c r="P837" s="2" t="s">
        <v>363</v>
      </c>
      <c r="Q837" s="3">
        <v>1700.0</v>
      </c>
      <c r="T837" s="2" t="s">
        <v>599</v>
      </c>
      <c r="U837" s="171">
        <v>3999.0</v>
      </c>
      <c r="V837" s="172">
        <v>46010.0</v>
      </c>
      <c r="W837" s="3">
        <v>280.0</v>
      </c>
      <c r="X837" s="172">
        <v>46009.70998842592</v>
      </c>
      <c r="Y837" s="172"/>
      <c r="Z837" s="3">
        <v>46007.0</v>
      </c>
      <c r="AA837" s="3"/>
    </row>
    <row r="838">
      <c r="A838" s="3">
        <v>6.802776064259E12</v>
      </c>
      <c r="B838" s="2" t="s">
        <v>3810</v>
      </c>
      <c r="C838" s="2" t="s">
        <v>3811</v>
      </c>
      <c r="D838" s="169">
        <v>46007.0</v>
      </c>
      <c r="E838" s="2">
        <v>3.254144924E9</v>
      </c>
      <c r="F838" s="2" t="s">
        <v>3812</v>
      </c>
      <c r="G838" s="2" t="s">
        <v>368</v>
      </c>
      <c r="H838" s="2">
        <v>2749.0</v>
      </c>
      <c r="I838" s="2">
        <v>2.8120050020441E13</v>
      </c>
      <c r="J838" s="3">
        <v>2.0</v>
      </c>
      <c r="L838" s="2" t="s">
        <v>35</v>
      </c>
      <c r="M838" s="174" t="s">
        <v>409</v>
      </c>
      <c r="N838" s="2" t="s">
        <v>462</v>
      </c>
      <c r="O838" s="3">
        <v>0.5</v>
      </c>
      <c r="P838" s="2" t="s">
        <v>73</v>
      </c>
      <c r="Q838" s="3">
        <v>980.0</v>
      </c>
      <c r="T838" s="2" t="s">
        <v>599</v>
      </c>
      <c r="U838" s="171">
        <v>2749.0</v>
      </c>
      <c r="V838" s="172">
        <v>46010.0</v>
      </c>
      <c r="W838" s="3">
        <v>217.0</v>
      </c>
      <c r="X838" s="172">
        <v>46009.54115740741</v>
      </c>
      <c r="Y838" s="172"/>
      <c r="Z838" s="3">
        <v>46007.0</v>
      </c>
      <c r="AA838" s="3"/>
    </row>
    <row r="839">
      <c r="A839" s="3">
        <v>6.802803130627E12</v>
      </c>
      <c r="B839" s="2" t="s">
        <v>3813</v>
      </c>
      <c r="C839" s="2" t="s">
        <v>3814</v>
      </c>
      <c r="D839" s="169">
        <v>46007.0</v>
      </c>
      <c r="E839" s="173" t="s">
        <v>3815</v>
      </c>
      <c r="F839" s="2" t="s">
        <v>3816</v>
      </c>
      <c r="G839" s="2" t="s">
        <v>368</v>
      </c>
      <c r="H839" s="2">
        <v>0.0</v>
      </c>
      <c r="J839" s="3">
        <v>0.0</v>
      </c>
      <c r="K839" s="2" t="s">
        <v>3817</v>
      </c>
      <c r="L839" s="2"/>
      <c r="M839" s="2" t="s">
        <v>468</v>
      </c>
      <c r="N839" s="2" t="s">
        <v>406</v>
      </c>
      <c r="O839" s="3">
        <v>0.5</v>
      </c>
      <c r="Q839" s="3">
        <v>0.0</v>
      </c>
      <c r="U839" s="141"/>
      <c r="X839" s="172">
        <v>46057.64278278935</v>
      </c>
      <c r="Y839" s="172"/>
      <c r="Z839" s="3">
        <v>46007.0</v>
      </c>
      <c r="AA839" s="3"/>
    </row>
    <row r="840">
      <c r="A840" s="3">
        <v>6.802814238979E12</v>
      </c>
      <c r="B840" s="2" t="s">
        <v>3818</v>
      </c>
      <c r="C840" s="2" t="s">
        <v>3814</v>
      </c>
      <c r="D840" s="169">
        <v>46007.0</v>
      </c>
      <c r="E840" s="2">
        <v>3.3144082E9</v>
      </c>
      <c r="F840" s="2" t="s">
        <v>3816</v>
      </c>
      <c r="G840" s="2" t="s">
        <v>368</v>
      </c>
      <c r="H840" s="2">
        <v>0.0</v>
      </c>
      <c r="J840" s="3">
        <v>0.0</v>
      </c>
      <c r="K840" s="2" t="s">
        <v>3817</v>
      </c>
      <c r="L840" s="2"/>
      <c r="M840" s="2" t="s">
        <v>468</v>
      </c>
      <c r="N840" s="2" t="s">
        <v>406</v>
      </c>
      <c r="O840" s="3">
        <v>0.5</v>
      </c>
      <c r="Q840" s="3">
        <v>0.0</v>
      </c>
      <c r="U840" s="141"/>
      <c r="X840" s="172">
        <v>46057.64278278935</v>
      </c>
      <c r="Y840" s="172"/>
      <c r="Z840" s="3">
        <v>46007.0</v>
      </c>
      <c r="AA840" s="3"/>
    </row>
    <row r="841">
      <c r="A841" s="3">
        <v>6.802819940611E12</v>
      </c>
      <c r="B841" s="2" t="s">
        <v>3819</v>
      </c>
      <c r="C841" s="2" t="s">
        <v>3820</v>
      </c>
      <c r="D841" s="169">
        <v>46007.0</v>
      </c>
      <c r="E841" s="2">
        <v>3.459551113E9</v>
      </c>
      <c r="F841" s="2" t="s">
        <v>3821</v>
      </c>
      <c r="G841" s="2" t="s">
        <v>1395</v>
      </c>
      <c r="H841" s="2">
        <v>3099.0</v>
      </c>
      <c r="I841" s="2">
        <v>2.8120050020442E13</v>
      </c>
      <c r="J841" s="3">
        <v>2.0</v>
      </c>
      <c r="L841" s="2" t="s">
        <v>1242</v>
      </c>
      <c r="M841" s="174" t="s">
        <v>409</v>
      </c>
      <c r="N841" s="2" t="s">
        <v>462</v>
      </c>
      <c r="O841" s="3">
        <v>0.5</v>
      </c>
      <c r="P841" s="2" t="s">
        <v>73</v>
      </c>
      <c r="Q841" s="3">
        <v>1000.0</v>
      </c>
      <c r="T841" s="2" t="s">
        <v>777</v>
      </c>
      <c r="U841" s="171">
        <v>3099.0</v>
      </c>
      <c r="V841" s="172">
        <v>46014.0</v>
      </c>
      <c r="W841" s="3">
        <v>337.0</v>
      </c>
      <c r="X841" s="172">
        <v>46010.52519675926</v>
      </c>
      <c r="Y841" s="172"/>
      <c r="Z841" s="3">
        <v>46007.0</v>
      </c>
      <c r="AA841" s="3"/>
    </row>
    <row r="842">
      <c r="A842" s="3">
        <v>6.802841403651E12</v>
      </c>
      <c r="B842" s="2" t="s">
        <v>3822</v>
      </c>
      <c r="C842" s="2" t="s">
        <v>3823</v>
      </c>
      <c r="D842" s="169">
        <v>46007.0</v>
      </c>
      <c r="E842" s="173" t="s">
        <v>3824</v>
      </c>
      <c r="F842" s="2" t="s">
        <v>3825</v>
      </c>
      <c r="G842" s="2" t="s">
        <v>3826</v>
      </c>
      <c r="H842" s="2">
        <v>0.0</v>
      </c>
      <c r="J842" s="3">
        <v>0.0</v>
      </c>
      <c r="K842" s="2" t="s">
        <v>3827</v>
      </c>
      <c r="L842" s="2"/>
      <c r="M842" s="2" t="s">
        <v>468</v>
      </c>
      <c r="N842" s="2" t="s">
        <v>406</v>
      </c>
      <c r="O842" s="3">
        <v>0.5</v>
      </c>
      <c r="Q842" s="3">
        <v>0.0</v>
      </c>
      <c r="U842" s="141"/>
      <c r="X842" s="172">
        <v>46057.64278278935</v>
      </c>
      <c r="Y842" s="172"/>
      <c r="Z842" s="3">
        <v>46007.0</v>
      </c>
      <c r="AA842" s="3"/>
    </row>
    <row r="843">
      <c r="A843" s="3">
        <v>6.802864701699E12</v>
      </c>
      <c r="B843" s="2" t="s">
        <v>3828</v>
      </c>
      <c r="C843" s="2" t="s">
        <v>3829</v>
      </c>
      <c r="D843" s="169">
        <v>46007.0</v>
      </c>
      <c r="E843" s="173" t="s">
        <v>3830</v>
      </c>
      <c r="F843" s="2" t="s">
        <v>3831</v>
      </c>
      <c r="G843" s="2" t="s">
        <v>493</v>
      </c>
      <c r="H843" s="2">
        <v>0.0</v>
      </c>
      <c r="I843" s="2">
        <v>2.8120050020443E13</v>
      </c>
      <c r="J843" s="3">
        <v>0.0</v>
      </c>
      <c r="K843" s="2" t="s">
        <v>3832</v>
      </c>
      <c r="L843" s="2"/>
      <c r="M843" s="170" t="s">
        <v>455</v>
      </c>
      <c r="N843" s="2" t="s">
        <v>406</v>
      </c>
      <c r="O843" s="3">
        <v>0.5</v>
      </c>
      <c r="P843" s="2" t="s">
        <v>73</v>
      </c>
      <c r="Q843" s="3">
        <v>0.0</v>
      </c>
      <c r="T843" s="2" t="s">
        <v>3833</v>
      </c>
      <c r="U843" s="171">
        <v>0.0</v>
      </c>
      <c r="V843" s="172">
        <v>46024.0</v>
      </c>
      <c r="W843" s="3">
        <v>213.44</v>
      </c>
      <c r="X843" s="172">
        <v>46057.64278278935</v>
      </c>
      <c r="Y843" s="172"/>
      <c r="Z843" s="3">
        <v>46007.0</v>
      </c>
      <c r="AA843" s="3"/>
    </row>
    <row r="844">
      <c r="A844" s="3">
        <v>6.802905989379E12</v>
      </c>
      <c r="B844" s="2" t="s">
        <v>3834</v>
      </c>
      <c r="C844" s="2" t="s">
        <v>3835</v>
      </c>
      <c r="D844" s="169">
        <v>46007.0</v>
      </c>
      <c r="E844" s="2">
        <v>3.182730776E9</v>
      </c>
      <c r="F844" s="2" t="s">
        <v>3836</v>
      </c>
      <c r="G844" s="2" t="s">
        <v>493</v>
      </c>
      <c r="H844" s="2">
        <v>3999.0</v>
      </c>
      <c r="I844" s="2">
        <v>2.5120050020486E13</v>
      </c>
      <c r="J844" s="3">
        <v>2.0</v>
      </c>
      <c r="L844" s="2" t="s">
        <v>479</v>
      </c>
      <c r="M844" s="174" t="s">
        <v>409</v>
      </c>
      <c r="N844" s="2" t="s">
        <v>462</v>
      </c>
      <c r="O844" s="3">
        <v>0.5</v>
      </c>
      <c r="P844" s="2" t="s">
        <v>363</v>
      </c>
      <c r="Q844" s="3">
        <v>1700.0</v>
      </c>
      <c r="T844" s="2" t="s">
        <v>1468</v>
      </c>
      <c r="U844" s="171">
        <v>3999.0</v>
      </c>
      <c r="V844" s="172">
        <v>46017.0</v>
      </c>
      <c r="W844" s="3">
        <v>387.0</v>
      </c>
      <c r="X844" s="172">
        <v>46014.69480324074</v>
      </c>
      <c r="Y844" s="172"/>
      <c r="Z844" s="3">
        <v>46007.0</v>
      </c>
      <c r="AA844" s="3"/>
    </row>
    <row r="845">
      <c r="A845" s="3">
        <v>6.802924798211E12</v>
      </c>
      <c r="B845" s="2" t="s">
        <v>3837</v>
      </c>
      <c r="C845" s="2" t="s">
        <v>3838</v>
      </c>
      <c r="D845" s="169">
        <v>46007.0</v>
      </c>
      <c r="E845" s="2">
        <v>3.003506088E9</v>
      </c>
      <c r="F845" s="2" t="s">
        <v>3839</v>
      </c>
      <c r="G845" s="2" t="s">
        <v>493</v>
      </c>
      <c r="H845" s="2">
        <v>0.0</v>
      </c>
      <c r="I845" s="2">
        <v>2.2120050020444E13</v>
      </c>
      <c r="J845" s="3">
        <v>0.0</v>
      </c>
      <c r="K845" s="2" t="s">
        <v>3840</v>
      </c>
      <c r="L845" s="2"/>
      <c r="M845" s="170" t="s">
        <v>455</v>
      </c>
      <c r="N845" s="2" t="s">
        <v>406</v>
      </c>
      <c r="O845" s="3">
        <v>0.5</v>
      </c>
      <c r="P845" s="2" t="s">
        <v>363</v>
      </c>
      <c r="Q845" s="3">
        <v>0.0</v>
      </c>
      <c r="T845" s="2" t="s">
        <v>3833</v>
      </c>
      <c r="U845" s="171">
        <v>0.0</v>
      </c>
      <c r="V845" s="172">
        <v>46024.0</v>
      </c>
      <c r="W845" s="3">
        <v>213.44</v>
      </c>
      <c r="X845" s="172">
        <v>46057.64278278935</v>
      </c>
      <c r="Y845" s="172"/>
      <c r="Z845" s="3">
        <v>46007.0</v>
      </c>
      <c r="AA845" s="3"/>
    </row>
    <row r="846">
      <c r="A846" s="3">
        <v>6.802928402691E12</v>
      </c>
      <c r="B846" s="2" t="s">
        <v>3841</v>
      </c>
      <c r="C846" s="2" t="s">
        <v>3353</v>
      </c>
      <c r="D846" s="169">
        <v>46007.0</v>
      </c>
      <c r="E846" s="2">
        <v>3.218442256E9</v>
      </c>
      <c r="F846" s="2" t="s">
        <v>3842</v>
      </c>
      <c r="G846" s="2" t="s">
        <v>3356</v>
      </c>
      <c r="H846" s="2">
        <v>0.0</v>
      </c>
      <c r="J846" s="3">
        <v>0.0</v>
      </c>
      <c r="K846" s="2" t="s">
        <v>3843</v>
      </c>
      <c r="L846" s="2"/>
      <c r="M846" s="2" t="s">
        <v>468</v>
      </c>
      <c r="N846" s="2" t="s">
        <v>406</v>
      </c>
      <c r="O846" s="3">
        <v>0.5</v>
      </c>
      <c r="Q846" s="3">
        <v>0.0</v>
      </c>
      <c r="U846" s="141"/>
      <c r="X846" s="172">
        <v>46057.64278278935</v>
      </c>
      <c r="Y846" s="172"/>
      <c r="Z846" s="3">
        <v>46007.0</v>
      </c>
      <c r="AA846" s="3"/>
    </row>
    <row r="847">
      <c r="A847" s="3">
        <v>6.802946982147E12</v>
      </c>
      <c r="B847" s="2" t="s">
        <v>3844</v>
      </c>
      <c r="C847" s="2" t="s">
        <v>3845</v>
      </c>
      <c r="D847" s="169">
        <v>46007.0</v>
      </c>
      <c r="E847" s="2">
        <v>3.253573329E9</v>
      </c>
      <c r="F847" s="2" t="s">
        <v>3846</v>
      </c>
      <c r="G847" s="2" t="s">
        <v>493</v>
      </c>
      <c r="H847" s="2">
        <v>0.0</v>
      </c>
      <c r="I847" s="2">
        <v>2.9120050020445E13</v>
      </c>
      <c r="J847" s="3">
        <v>0.0</v>
      </c>
      <c r="K847" s="2" t="s">
        <v>3847</v>
      </c>
      <c r="L847" s="2"/>
      <c r="M847" s="170" t="s">
        <v>455</v>
      </c>
      <c r="N847" s="2" t="s">
        <v>406</v>
      </c>
      <c r="O847" s="3">
        <v>0.5</v>
      </c>
      <c r="P847" s="2" t="s">
        <v>363</v>
      </c>
      <c r="Q847" s="3">
        <v>0.0</v>
      </c>
      <c r="T847" s="2" t="s">
        <v>3833</v>
      </c>
      <c r="U847" s="171">
        <v>0.0</v>
      </c>
      <c r="V847" s="172">
        <v>46024.0</v>
      </c>
      <c r="W847" s="3">
        <v>213.44</v>
      </c>
      <c r="X847" s="172">
        <v>46057.64278278935</v>
      </c>
      <c r="Y847" s="172"/>
      <c r="Z847" s="3">
        <v>46007.0</v>
      </c>
      <c r="AA847" s="3"/>
    </row>
    <row r="848">
      <c r="A848" s="3">
        <v>6.802951799043E12</v>
      </c>
      <c r="B848" s="2" t="s">
        <v>3848</v>
      </c>
      <c r="C848" s="2" t="s">
        <v>3849</v>
      </c>
      <c r="D848" s="169">
        <v>46007.0</v>
      </c>
      <c r="E848" s="2">
        <v>3.123161525E9</v>
      </c>
      <c r="F848" s="2" t="s">
        <v>3850</v>
      </c>
      <c r="G848" s="2" t="s">
        <v>3851</v>
      </c>
      <c r="H848" s="2">
        <v>0.0</v>
      </c>
      <c r="I848" s="2">
        <v>2.3120050020619E13</v>
      </c>
      <c r="J848" s="3">
        <v>0.0</v>
      </c>
      <c r="K848" s="2" t="s">
        <v>3852</v>
      </c>
      <c r="L848" s="2"/>
      <c r="M848" s="170" t="s">
        <v>455</v>
      </c>
      <c r="N848" s="2" t="s">
        <v>406</v>
      </c>
      <c r="O848" s="3">
        <v>0.5</v>
      </c>
      <c r="P848" s="2" t="s">
        <v>363</v>
      </c>
      <c r="Q848" s="3">
        <v>0.0</v>
      </c>
      <c r="T848" s="2" t="s">
        <v>3833</v>
      </c>
      <c r="U848" s="171">
        <v>0.0</v>
      </c>
      <c r="V848" s="172">
        <v>46024.0</v>
      </c>
      <c r="W848" s="3">
        <v>220.11</v>
      </c>
      <c r="X848" s="172">
        <v>46057.64278278935</v>
      </c>
      <c r="Y848" s="172"/>
      <c r="Z848" s="3">
        <v>46007.0</v>
      </c>
      <c r="AA848" s="3"/>
    </row>
    <row r="849">
      <c r="A849" s="3">
        <v>6.802999836931E12</v>
      </c>
      <c r="B849" s="2" t="s">
        <v>3853</v>
      </c>
      <c r="C849" s="2" t="s">
        <v>3854</v>
      </c>
      <c r="D849" s="169">
        <v>46007.0</v>
      </c>
      <c r="E849" s="2">
        <v>3.337309533E9</v>
      </c>
      <c r="F849" s="2" t="s">
        <v>3855</v>
      </c>
      <c r="G849" s="2" t="s">
        <v>3856</v>
      </c>
      <c r="H849" s="2">
        <v>0.0</v>
      </c>
      <c r="I849" s="2">
        <v>1.73009070225E11</v>
      </c>
      <c r="J849" s="3">
        <v>0.0</v>
      </c>
      <c r="K849" s="2" t="s">
        <v>3857</v>
      </c>
      <c r="L849" s="2"/>
      <c r="M849" s="170" t="s">
        <v>455</v>
      </c>
      <c r="N849" s="2" t="s">
        <v>406</v>
      </c>
      <c r="O849" s="3">
        <v>0.5</v>
      </c>
      <c r="P849" s="2" t="s">
        <v>501</v>
      </c>
      <c r="Q849" s="3">
        <v>0.0</v>
      </c>
      <c r="T849" s="2" t="s">
        <v>2981</v>
      </c>
      <c r="U849" s="141"/>
      <c r="W849" s="3">
        <v>292.2</v>
      </c>
      <c r="X849" s="172">
        <v>46057.64278278935</v>
      </c>
      <c r="Y849" s="172"/>
      <c r="Z849" s="3">
        <v>46007.0</v>
      </c>
      <c r="AA849" s="3"/>
    </row>
    <row r="850">
      <c r="A850" s="3">
        <v>6.803005964547E12</v>
      </c>
      <c r="B850" s="2" t="s">
        <v>3858</v>
      </c>
      <c r="C850" s="2" t="s">
        <v>3859</v>
      </c>
      <c r="D850" s="169">
        <v>46007.0</v>
      </c>
      <c r="E850" s="2">
        <v>3.126218805E9</v>
      </c>
      <c r="F850" s="2" t="s">
        <v>3860</v>
      </c>
      <c r="G850" s="2" t="s">
        <v>1425</v>
      </c>
      <c r="H850" s="2">
        <v>3999.0</v>
      </c>
      <c r="I850" s="2">
        <v>2.812005002049E13</v>
      </c>
      <c r="J850" s="3">
        <v>2.0</v>
      </c>
      <c r="L850" s="2" t="s">
        <v>994</v>
      </c>
      <c r="M850" s="174" t="s">
        <v>409</v>
      </c>
      <c r="N850" s="2" t="s">
        <v>462</v>
      </c>
      <c r="O850" s="3">
        <v>0.5</v>
      </c>
      <c r="P850" s="2" t="s">
        <v>73</v>
      </c>
      <c r="Q850" s="3">
        <v>1700.0</v>
      </c>
      <c r="T850" s="2" t="s">
        <v>777</v>
      </c>
      <c r="U850" s="171">
        <v>3999.0</v>
      </c>
      <c r="V850" s="172">
        <v>46014.0</v>
      </c>
      <c r="W850" s="3">
        <v>387.0</v>
      </c>
      <c r="X850" s="172">
        <v>46011.62385416667</v>
      </c>
      <c r="Y850" s="172"/>
      <c r="Z850" s="3">
        <v>46007.0</v>
      </c>
      <c r="AA850" s="3"/>
    </row>
    <row r="851">
      <c r="A851" s="3">
        <v>6.803018252547E12</v>
      </c>
      <c r="B851" s="2" t="s">
        <v>3861</v>
      </c>
      <c r="C851" s="2" t="s">
        <v>3862</v>
      </c>
      <c r="D851" s="169">
        <v>46007.0</v>
      </c>
      <c r="E851" s="2">
        <v>3.183466282E9</v>
      </c>
      <c r="F851" s="2" t="s">
        <v>3863</v>
      </c>
      <c r="G851" s="2" t="s">
        <v>3864</v>
      </c>
      <c r="H851" s="2">
        <v>3999.0</v>
      </c>
      <c r="I851" s="2">
        <v>2.8120050020462E13</v>
      </c>
      <c r="J851" s="3">
        <v>2.0</v>
      </c>
      <c r="L851" s="2" t="s">
        <v>994</v>
      </c>
      <c r="M851" s="174" t="s">
        <v>409</v>
      </c>
      <c r="N851" s="2" t="s">
        <v>462</v>
      </c>
      <c r="O851" s="3">
        <v>0.5</v>
      </c>
      <c r="P851" s="2" t="s">
        <v>73</v>
      </c>
      <c r="Q851" s="3">
        <v>1700.0</v>
      </c>
      <c r="T851" s="2" t="s">
        <v>777</v>
      </c>
      <c r="U851" s="171">
        <v>3999.0</v>
      </c>
      <c r="V851" s="172">
        <v>46014.0</v>
      </c>
      <c r="W851" s="3">
        <v>387.0</v>
      </c>
      <c r="X851" s="172">
        <v>46010.66961805556</v>
      </c>
      <c r="Y851" s="172"/>
      <c r="Z851" s="3">
        <v>46007.0</v>
      </c>
      <c r="AA851" s="3"/>
    </row>
    <row r="852">
      <c r="A852" s="3">
        <v>6.803064291587E12</v>
      </c>
      <c r="B852" s="2" t="s">
        <v>3865</v>
      </c>
      <c r="C852" s="2" t="s">
        <v>3866</v>
      </c>
      <c r="D852" s="169">
        <v>46007.0</v>
      </c>
      <c r="E852" s="2">
        <v>3.348681081E9</v>
      </c>
      <c r="F852" s="2" t="s">
        <v>3867</v>
      </c>
      <c r="G852" s="2" t="s">
        <v>561</v>
      </c>
      <c r="H852" s="2">
        <v>0.0</v>
      </c>
      <c r="J852" s="3">
        <v>0.0</v>
      </c>
      <c r="K852" s="2" t="s">
        <v>3868</v>
      </c>
      <c r="L852" s="2"/>
      <c r="M852" s="2" t="s">
        <v>468</v>
      </c>
      <c r="N852" s="2" t="s">
        <v>406</v>
      </c>
      <c r="O852" s="3">
        <v>0.5</v>
      </c>
      <c r="Q852" s="3">
        <v>0.0</v>
      </c>
      <c r="U852" s="141"/>
      <c r="X852" s="172">
        <v>46057.64278278935</v>
      </c>
      <c r="Y852" s="172"/>
      <c r="Z852" s="3">
        <v>46007.0</v>
      </c>
      <c r="AA852" s="3"/>
    </row>
    <row r="853">
      <c r="A853" s="3">
        <v>6.803067633923E12</v>
      </c>
      <c r="B853" s="2" t="s">
        <v>3869</v>
      </c>
      <c r="C853" s="2" t="s">
        <v>3870</v>
      </c>
      <c r="D853" s="169">
        <v>46007.0</v>
      </c>
      <c r="E853" s="2">
        <v>3.030471604E9</v>
      </c>
      <c r="F853" s="2" t="s">
        <v>3871</v>
      </c>
      <c r="G853" s="2" t="s">
        <v>493</v>
      </c>
      <c r="H853" s="2">
        <v>0.0</v>
      </c>
      <c r="I853" s="2">
        <v>2.1120050020463E13</v>
      </c>
      <c r="J853" s="3">
        <v>0.0</v>
      </c>
      <c r="K853" s="2" t="s">
        <v>3872</v>
      </c>
      <c r="L853" s="2"/>
      <c r="M853" s="170" t="s">
        <v>455</v>
      </c>
      <c r="N853" s="2" t="s">
        <v>406</v>
      </c>
      <c r="O853" s="3">
        <v>0.5</v>
      </c>
      <c r="P853" s="2" t="s">
        <v>73</v>
      </c>
      <c r="Q853" s="3">
        <v>0.0</v>
      </c>
      <c r="T853" s="2" t="s">
        <v>2140</v>
      </c>
      <c r="U853" s="171">
        <v>0.0</v>
      </c>
      <c r="V853" s="172">
        <v>46021.0</v>
      </c>
      <c r="W853" s="3">
        <v>320.0</v>
      </c>
      <c r="X853" s="172">
        <v>46057.64278278935</v>
      </c>
      <c r="Y853" s="172"/>
      <c r="Z853" s="3">
        <v>46007.0</v>
      </c>
      <c r="AA853" s="3"/>
    </row>
    <row r="854">
      <c r="A854" s="3">
        <v>6.803125436675E12</v>
      </c>
      <c r="B854" s="2" t="s">
        <v>3873</v>
      </c>
      <c r="C854" s="2" t="s">
        <v>3874</v>
      </c>
      <c r="D854" s="169">
        <v>46007.0</v>
      </c>
      <c r="E854" s="2">
        <v>3.138274338E9</v>
      </c>
      <c r="F854" s="2" t="s">
        <v>3875</v>
      </c>
      <c r="G854" s="2" t="s">
        <v>374</v>
      </c>
      <c r="H854" s="2">
        <v>0.0</v>
      </c>
      <c r="J854" s="3">
        <v>0.0</v>
      </c>
      <c r="K854" s="2" t="s">
        <v>537</v>
      </c>
      <c r="L854" s="2"/>
      <c r="M854" s="2" t="s">
        <v>468</v>
      </c>
      <c r="N854" s="2" t="s">
        <v>406</v>
      </c>
      <c r="O854" s="3">
        <v>0.5</v>
      </c>
      <c r="Q854" s="3">
        <v>0.0</v>
      </c>
      <c r="U854" s="141"/>
      <c r="X854" s="172">
        <v>46057.64278278935</v>
      </c>
      <c r="Y854" s="172"/>
      <c r="Z854" s="3">
        <v>46007.0</v>
      </c>
      <c r="AA854" s="3"/>
    </row>
    <row r="855">
      <c r="A855" s="3">
        <v>6.803184517379E12</v>
      </c>
      <c r="B855" s="2" t="s">
        <v>3876</v>
      </c>
      <c r="C855" s="2" t="s">
        <v>3877</v>
      </c>
      <c r="D855" s="169">
        <v>46007.0</v>
      </c>
      <c r="E855" s="2">
        <v>3.366337714E9</v>
      </c>
      <c r="F855" s="2" t="s">
        <v>3878</v>
      </c>
      <c r="G855" s="2" t="s">
        <v>368</v>
      </c>
      <c r="H855" s="2">
        <v>2749.0</v>
      </c>
      <c r="I855" s="2">
        <v>2.1120050020446E13</v>
      </c>
      <c r="J855" s="3">
        <v>2.0</v>
      </c>
      <c r="L855" s="2" t="s">
        <v>35</v>
      </c>
      <c r="M855" s="174" t="s">
        <v>409</v>
      </c>
      <c r="N855" s="2" t="s">
        <v>462</v>
      </c>
      <c r="O855" s="3">
        <v>0.5</v>
      </c>
      <c r="P855" s="2" t="s">
        <v>73</v>
      </c>
      <c r="Q855" s="3">
        <v>980.0</v>
      </c>
      <c r="T855" s="2" t="s">
        <v>599</v>
      </c>
      <c r="U855" s="171">
        <v>2749.0</v>
      </c>
      <c r="V855" s="172">
        <v>46010.0</v>
      </c>
      <c r="W855" s="3">
        <v>217.0</v>
      </c>
      <c r="X855" s="172">
        <v>46009.62795138889</v>
      </c>
      <c r="Y855" s="172"/>
      <c r="Z855" s="3">
        <v>46007.0</v>
      </c>
      <c r="AA855" s="3"/>
    </row>
    <row r="856">
      <c r="A856" s="3">
        <v>6.803206471939E12</v>
      </c>
      <c r="B856" s="2" t="s">
        <v>3879</v>
      </c>
      <c r="C856" s="2" t="s">
        <v>3880</v>
      </c>
      <c r="D856" s="169">
        <v>46007.0</v>
      </c>
      <c r="E856" s="2">
        <v>3.176491717E9</v>
      </c>
      <c r="F856" s="2" t="s">
        <v>3881</v>
      </c>
      <c r="G856" s="2" t="s">
        <v>3882</v>
      </c>
      <c r="H856" s="2">
        <v>0.0</v>
      </c>
      <c r="I856" s="2">
        <v>2.6120050020464E13</v>
      </c>
      <c r="J856" s="3">
        <v>0.0</v>
      </c>
      <c r="K856" s="2" t="s">
        <v>3883</v>
      </c>
      <c r="L856" s="2"/>
      <c r="M856" s="170" t="s">
        <v>455</v>
      </c>
      <c r="N856" s="2" t="s">
        <v>406</v>
      </c>
      <c r="O856" s="3">
        <v>0.5</v>
      </c>
      <c r="P856" s="2" t="s">
        <v>363</v>
      </c>
      <c r="Q856" s="3">
        <v>0.0</v>
      </c>
      <c r="T856" s="2" t="s">
        <v>3833</v>
      </c>
      <c r="U856" s="171">
        <v>0.0</v>
      </c>
      <c r="V856" s="172">
        <v>46024.0</v>
      </c>
      <c r="W856" s="3">
        <v>220.11</v>
      </c>
      <c r="X856" s="172">
        <v>46057.64278278935</v>
      </c>
      <c r="Y856" s="172"/>
      <c r="Z856" s="3">
        <v>46007.0</v>
      </c>
      <c r="AA856" s="3"/>
    </row>
    <row r="857">
      <c r="A857" s="3">
        <v>6.803273810179E12</v>
      </c>
      <c r="B857" s="2" t="s">
        <v>3884</v>
      </c>
      <c r="C857" s="2" t="s">
        <v>3885</v>
      </c>
      <c r="D857" s="169">
        <v>46007.0</v>
      </c>
      <c r="E857" s="173" t="s">
        <v>3886</v>
      </c>
      <c r="F857" s="2" t="s">
        <v>3887</v>
      </c>
      <c r="G857" s="2" t="s">
        <v>3888</v>
      </c>
      <c r="H857" s="2">
        <v>1449.0</v>
      </c>
      <c r="I857" s="2">
        <v>2.0120050020496E13</v>
      </c>
      <c r="J857" s="3">
        <v>1.0</v>
      </c>
      <c r="K857" s="2" t="s">
        <v>511</v>
      </c>
      <c r="L857" s="2" t="s">
        <v>3889</v>
      </c>
      <c r="M857" s="174" t="s">
        <v>409</v>
      </c>
      <c r="N857" s="2" t="s">
        <v>462</v>
      </c>
      <c r="O857" s="3">
        <v>0.5</v>
      </c>
      <c r="P857" s="2" t="s">
        <v>363</v>
      </c>
      <c r="Q857" s="3">
        <v>550.0</v>
      </c>
      <c r="T857" s="2" t="s">
        <v>777</v>
      </c>
      <c r="U857" s="171">
        <v>1449.0</v>
      </c>
      <c r="V857" s="172">
        <v>46014.0</v>
      </c>
      <c r="W857" s="3">
        <v>258.0</v>
      </c>
      <c r="X857" s="172">
        <v>46013.70107638889</v>
      </c>
      <c r="Y857" s="172"/>
      <c r="Z857" s="3">
        <v>46007.0</v>
      </c>
      <c r="AA857" s="3"/>
    </row>
    <row r="858">
      <c r="A858" s="3">
        <v>6.803278889219E12</v>
      </c>
      <c r="B858" s="2" t="s">
        <v>3890</v>
      </c>
      <c r="C858" s="2" t="s">
        <v>3891</v>
      </c>
      <c r="D858" s="169">
        <v>46007.0</v>
      </c>
      <c r="E858" s="173" t="s">
        <v>3892</v>
      </c>
      <c r="F858" s="2" t="s">
        <v>3893</v>
      </c>
      <c r="G858" s="2" t="s">
        <v>802</v>
      </c>
      <c r="H858" s="2">
        <v>0.0</v>
      </c>
      <c r="J858" s="3">
        <v>0.0</v>
      </c>
      <c r="K858" s="2" t="s">
        <v>3894</v>
      </c>
      <c r="L858" s="2"/>
      <c r="M858" s="2" t="s">
        <v>468</v>
      </c>
      <c r="N858" s="2" t="s">
        <v>406</v>
      </c>
      <c r="O858" s="3">
        <v>0.5</v>
      </c>
      <c r="Q858" s="3">
        <v>0.0</v>
      </c>
      <c r="U858" s="141"/>
      <c r="X858" s="172">
        <v>46057.64278278935</v>
      </c>
      <c r="Y858" s="172"/>
      <c r="Z858" s="3">
        <v>46007.0</v>
      </c>
      <c r="AA858" s="3"/>
    </row>
    <row r="859">
      <c r="A859" s="3">
        <v>6.803303727363E12</v>
      </c>
      <c r="B859" s="2" t="s">
        <v>3895</v>
      </c>
      <c r="C859" s="2" t="s">
        <v>3896</v>
      </c>
      <c r="D859" s="169">
        <v>46007.0</v>
      </c>
      <c r="E859" s="2">
        <v>3.159443308E9</v>
      </c>
      <c r="F859" s="2" t="s">
        <v>3897</v>
      </c>
      <c r="G859" s="2" t="s">
        <v>506</v>
      </c>
      <c r="H859" s="2">
        <v>0.0</v>
      </c>
      <c r="I859" s="2">
        <v>2.9120050020465E13</v>
      </c>
      <c r="J859" s="3">
        <v>0.0</v>
      </c>
      <c r="K859" s="2" t="s">
        <v>3392</v>
      </c>
      <c r="L859" s="2"/>
      <c r="M859" s="170" t="s">
        <v>455</v>
      </c>
      <c r="N859" s="2" t="s">
        <v>406</v>
      </c>
      <c r="O859" s="3">
        <v>0.5</v>
      </c>
      <c r="P859" s="2" t="s">
        <v>363</v>
      </c>
      <c r="Q859" s="3">
        <v>0.0</v>
      </c>
      <c r="T859" s="2" t="s">
        <v>2140</v>
      </c>
      <c r="U859" s="171">
        <v>0.0</v>
      </c>
      <c r="V859" s="172">
        <v>46021.0</v>
      </c>
      <c r="W859" s="3">
        <v>220.0</v>
      </c>
      <c r="X859" s="172">
        <v>46057.64278278935</v>
      </c>
      <c r="Y859" s="172"/>
      <c r="Z859" s="3">
        <v>46007.0</v>
      </c>
      <c r="AA859" s="3"/>
    </row>
    <row r="860">
      <c r="A860" s="3">
        <v>6.803309887747E12</v>
      </c>
      <c r="B860" s="2" t="s">
        <v>3898</v>
      </c>
      <c r="C860" s="2" t="s">
        <v>3899</v>
      </c>
      <c r="D860" s="169">
        <v>46007.0</v>
      </c>
      <c r="E860" s="2">
        <v>3.048988884E9</v>
      </c>
      <c r="F860" s="2" t="s">
        <v>3900</v>
      </c>
      <c r="G860" s="2" t="s">
        <v>368</v>
      </c>
      <c r="H860" s="2">
        <v>0.0</v>
      </c>
      <c r="I860" s="2">
        <v>2.5120050020447E13</v>
      </c>
      <c r="J860" s="3">
        <v>0.0</v>
      </c>
      <c r="K860" s="2" t="s">
        <v>3901</v>
      </c>
      <c r="L860" s="2"/>
      <c r="M860" s="170" t="s">
        <v>455</v>
      </c>
      <c r="N860" s="2" t="s">
        <v>406</v>
      </c>
      <c r="O860" s="3">
        <v>0.5</v>
      </c>
      <c r="P860" s="2" t="s">
        <v>363</v>
      </c>
      <c r="Q860" s="3">
        <v>0.0</v>
      </c>
      <c r="T860" s="2" t="s">
        <v>1468</v>
      </c>
      <c r="U860" s="171">
        <v>0.0</v>
      </c>
      <c r="V860" s="172">
        <v>46017.0</v>
      </c>
      <c r="W860" s="3">
        <v>107.0</v>
      </c>
      <c r="X860" s="172">
        <v>46057.64278278935</v>
      </c>
      <c r="Y860" s="172"/>
      <c r="Z860" s="3">
        <v>46007.0</v>
      </c>
      <c r="AA860" s="3"/>
    </row>
    <row r="861">
      <c r="A861" s="3">
        <v>6.803322700035E12</v>
      </c>
      <c r="B861" s="2" t="s">
        <v>3902</v>
      </c>
      <c r="C861" s="2" t="s">
        <v>3903</v>
      </c>
      <c r="D861" s="169">
        <v>46007.0</v>
      </c>
      <c r="E861" s="173" t="s">
        <v>3904</v>
      </c>
      <c r="F861" s="2" t="s">
        <v>3905</v>
      </c>
      <c r="G861" s="2" t="s">
        <v>541</v>
      </c>
      <c r="H861" s="2">
        <v>0.0</v>
      </c>
      <c r="J861" s="3">
        <v>0.0</v>
      </c>
      <c r="K861" s="2" t="s">
        <v>3906</v>
      </c>
      <c r="L861" s="2"/>
      <c r="M861" s="2" t="s">
        <v>468</v>
      </c>
      <c r="N861" s="2" t="s">
        <v>406</v>
      </c>
      <c r="O861" s="3">
        <v>0.5</v>
      </c>
      <c r="Q861" s="3">
        <v>0.0</v>
      </c>
      <c r="U861" s="141"/>
      <c r="X861" s="172">
        <v>46057.64278278935</v>
      </c>
      <c r="Y861" s="172"/>
      <c r="Z861" s="3">
        <v>46007.0</v>
      </c>
      <c r="AA861" s="3"/>
    </row>
    <row r="862">
      <c r="A862" s="3">
        <v>6.803376800003E12</v>
      </c>
      <c r="B862" s="2" t="s">
        <v>3907</v>
      </c>
      <c r="C862" s="2" t="s">
        <v>3908</v>
      </c>
      <c r="D862" s="169">
        <v>46007.0</v>
      </c>
      <c r="E862" s="2">
        <v>3.332285115E9</v>
      </c>
      <c r="F862" s="2" t="s">
        <v>3909</v>
      </c>
      <c r="G862" s="2" t="s">
        <v>493</v>
      </c>
      <c r="H862" s="2">
        <v>0.0</v>
      </c>
      <c r="I862" s="2">
        <v>2.4120050020466E13</v>
      </c>
      <c r="J862" s="3">
        <v>0.0</v>
      </c>
      <c r="K862" s="2" t="s">
        <v>3910</v>
      </c>
      <c r="L862" s="2"/>
      <c r="M862" s="170" t="s">
        <v>455</v>
      </c>
      <c r="N862" s="2" t="s">
        <v>406</v>
      </c>
      <c r="O862" s="3">
        <v>0.5</v>
      </c>
      <c r="P862" s="2" t="s">
        <v>363</v>
      </c>
      <c r="Q862" s="3">
        <v>0.0</v>
      </c>
      <c r="T862" s="2" t="s">
        <v>3833</v>
      </c>
      <c r="U862" s="171">
        <v>0.0</v>
      </c>
      <c r="V862" s="172">
        <v>46024.0</v>
      </c>
      <c r="W862" s="3">
        <v>226.78</v>
      </c>
      <c r="X862" s="172">
        <v>46057.64278278935</v>
      </c>
      <c r="Y862" s="172"/>
      <c r="Z862" s="3">
        <v>46007.0</v>
      </c>
      <c r="AA862" s="3"/>
    </row>
    <row r="863">
      <c r="A863" s="3">
        <v>6.803442401539E12</v>
      </c>
      <c r="B863" s="2" t="s">
        <v>3911</v>
      </c>
      <c r="C863" s="2" t="s">
        <v>3912</v>
      </c>
      <c r="D863" s="169">
        <v>46008.0</v>
      </c>
      <c r="E863" s="2">
        <v>3.472909913E9</v>
      </c>
      <c r="F863" s="2" t="s">
        <v>3913</v>
      </c>
      <c r="G863" s="2" t="s">
        <v>787</v>
      </c>
      <c r="H863" s="2">
        <v>0.0</v>
      </c>
      <c r="I863" s="2">
        <v>2.5120050020448E13</v>
      </c>
      <c r="J863" s="3">
        <v>0.0</v>
      </c>
      <c r="K863" s="2" t="s">
        <v>2139</v>
      </c>
      <c r="L863" s="2"/>
      <c r="M863" s="170" t="s">
        <v>455</v>
      </c>
      <c r="N863" s="2" t="s">
        <v>406</v>
      </c>
      <c r="O863" s="3">
        <v>0.5</v>
      </c>
      <c r="P863" s="2" t="s">
        <v>363</v>
      </c>
      <c r="Q863" s="3">
        <v>0.0</v>
      </c>
      <c r="T863" s="2" t="s">
        <v>2140</v>
      </c>
      <c r="U863" s="171">
        <v>0.0</v>
      </c>
      <c r="V863" s="172">
        <v>46021.0</v>
      </c>
      <c r="W863" s="3">
        <v>213.0</v>
      </c>
      <c r="X863" s="172">
        <v>46057.64278278935</v>
      </c>
      <c r="Y863" s="172"/>
      <c r="Z863" s="3">
        <v>46008.0</v>
      </c>
      <c r="AA863" s="3"/>
    </row>
    <row r="864">
      <c r="A864" s="3">
        <v>6.803443220739E12</v>
      </c>
      <c r="B864" s="2" t="s">
        <v>3914</v>
      </c>
      <c r="C864" s="2" t="s">
        <v>3915</v>
      </c>
      <c r="D864" s="169">
        <v>46008.0</v>
      </c>
      <c r="E864" s="173" t="s">
        <v>3916</v>
      </c>
      <c r="F864" s="2" t="s">
        <v>3917</v>
      </c>
      <c r="G864" s="2" t="s">
        <v>366</v>
      </c>
      <c r="H864" s="2">
        <v>2748.0</v>
      </c>
      <c r="I864" s="2">
        <v>2.2120050020497E13</v>
      </c>
      <c r="J864" s="3">
        <v>1.0</v>
      </c>
      <c r="K864" s="2" t="s">
        <v>3918</v>
      </c>
      <c r="L864" s="2" t="s">
        <v>2436</v>
      </c>
      <c r="M864" s="174" t="s">
        <v>409</v>
      </c>
      <c r="N864" s="2" t="s">
        <v>462</v>
      </c>
      <c r="O864" s="3">
        <v>0.5</v>
      </c>
      <c r="P864" s="2" t="s">
        <v>363</v>
      </c>
      <c r="Q864" s="3">
        <v>1400.0</v>
      </c>
      <c r="T864" s="2" t="s">
        <v>777</v>
      </c>
      <c r="U864" s="171">
        <v>2748.0</v>
      </c>
      <c r="V864" s="172">
        <v>46014.0</v>
      </c>
      <c r="W864" s="3">
        <v>310.0</v>
      </c>
      <c r="X864" s="172">
        <v>46012.54601851852</v>
      </c>
      <c r="Y864" s="172"/>
      <c r="Z864" s="3">
        <v>46008.0</v>
      </c>
      <c r="AA864" s="3"/>
    </row>
    <row r="865">
      <c r="A865" s="3">
        <v>6.803472187651E12</v>
      </c>
      <c r="B865" s="2" t="s">
        <v>3919</v>
      </c>
      <c r="C865" s="2" t="s">
        <v>3920</v>
      </c>
      <c r="D865" s="169">
        <v>46008.0</v>
      </c>
      <c r="E865" s="2">
        <v>3.41871192E9</v>
      </c>
      <c r="F865" s="2" t="s">
        <v>3921</v>
      </c>
      <c r="G865" s="2" t="s">
        <v>672</v>
      </c>
      <c r="H865" s="2">
        <v>5247.0</v>
      </c>
      <c r="I865" s="2">
        <v>2.712005002045E13</v>
      </c>
      <c r="J865" s="3">
        <v>2.0</v>
      </c>
      <c r="L865" s="2" t="s">
        <v>3922</v>
      </c>
      <c r="M865" s="174" t="s">
        <v>409</v>
      </c>
      <c r="N865" s="2" t="s">
        <v>462</v>
      </c>
      <c r="O865" s="3">
        <v>0.5</v>
      </c>
      <c r="P865" s="2" t="s">
        <v>363</v>
      </c>
      <c r="Q865" s="3">
        <v>2800.0</v>
      </c>
      <c r="T865" s="2" t="s">
        <v>777</v>
      </c>
      <c r="U865" s="171">
        <v>5247.0</v>
      </c>
      <c r="V865" s="172">
        <v>46014.0</v>
      </c>
      <c r="W865" s="3">
        <v>437.0</v>
      </c>
      <c r="X865" s="172">
        <v>46013.56203703704</v>
      </c>
      <c r="Y865" s="172"/>
      <c r="Z865" s="3">
        <v>46008.0</v>
      </c>
      <c r="AA865" s="3"/>
    </row>
    <row r="866">
      <c r="A866" s="3">
        <v>6.803500499203E12</v>
      </c>
      <c r="B866" s="2" t="s">
        <v>3923</v>
      </c>
      <c r="C866" s="2" t="s">
        <v>3924</v>
      </c>
      <c r="D866" s="169">
        <v>46008.0</v>
      </c>
      <c r="E866" s="2">
        <v>3.463265829E9</v>
      </c>
      <c r="F866" s="2" t="s">
        <v>3925</v>
      </c>
      <c r="G866" s="2" t="s">
        <v>3926</v>
      </c>
      <c r="H866" s="2">
        <v>0.0</v>
      </c>
      <c r="J866" s="3">
        <v>0.0</v>
      </c>
      <c r="K866" s="2" t="s">
        <v>3927</v>
      </c>
      <c r="L866" s="2"/>
      <c r="M866" s="2" t="s">
        <v>468</v>
      </c>
      <c r="N866" s="2" t="s">
        <v>406</v>
      </c>
      <c r="O866" s="3">
        <v>0.5</v>
      </c>
      <c r="Q866" s="3">
        <v>0.0</v>
      </c>
      <c r="U866" s="141"/>
      <c r="X866" s="172">
        <v>46057.64278278935</v>
      </c>
      <c r="Y866" s="172"/>
      <c r="Z866" s="3">
        <v>46008.0</v>
      </c>
      <c r="AA866" s="3"/>
    </row>
    <row r="867">
      <c r="A867" s="3">
        <v>6.803503087875E12</v>
      </c>
      <c r="B867" s="2" t="s">
        <v>3928</v>
      </c>
      <c r="C867" s="2" t="s">
        <v>3924</v>
      </c>
      <c r="D867" s="169">
        <v>46008.0</v>
      </c>
      <c r="E867" s="2">
        <v>3.463265829E9</v>
      </c>
      <c r="F867" s="2" t="s">
        <v>3929</v>
      </c>
      <c r="G867" s="2" t="s">
        <v>3926</v>
      </c>
      <c r="H867" s="2">
        <v>0.0</v>
      </c>
      <c r="J867" s="3">
        <v>0.0</v>
      </c>
      <c r="K867" s="2" t="s">
        <v>3927</v>
      </c>
      <c r="L867" s="2"/>
      <c r="M867" s="2" t="s">
        <v>468</v>
      </c>
      <c r="N867" s="2" t="s">
        <v>406</v>
      </c>
      <c r="O867" s="3">
        <v>0.5</v>
      </c>
      <c r="Q867" s="3">
        <v>0.0</v>
      </c>
      <c r="U867" s="141"/>
      <c r="X867" s="172">
        <v>46057.64278278935</v>
      </c>
      <c r="Y867" s="172"/>
      <c r="Z867" s="3">
        <v>46008.0</v>
      </c>
      <c r="AA867" s="3"/>
    </row>
    <row r="868">
      <c r="A868" s="3">
        <v>6.803513508099E12</v>
      </c>
      <c r="B868" s="2" t="s">
        <v>3930</v>
      </c>
      <c r="C868" s="2" t="s">
        <v>3931</v>
      </c>
      <c r="D868" s="169">
        <v>46008.0</v>
      </c>
      <c r="E868" s="173" t="s">
        <v>3932</v>
      </c>
      <c r="F868" s="2" t="s">
        <v>3933</v>
      </c>
      <c r="G868" s="2" t="s">
        <v>945</v>
      </c>
      <c r="H868" s="2">
        <v>0.0</v>
      </c>
      <c r="I868" s="2">
        <v>2.5120050020546E13</v>
      </c>
      <c r="J868" s="3">
        <v>0.0</v>
      </c>
      <c r="K868" s="2" t="s">
        <v>3934</v>
      </c>
      <c r="L868" s="2"/>
      <c r="M868" s="170" t="s">
        <v>455</v>
      </c>
      <c r="N868" s="2" t="s">
        <v>406</v>
      </c>
      <c r="O868" s="3">
        <v>0.5</v>
      </c>
      <c r="P868" s="2" t="s">
        <v>363</v>
      </c>
      <c r="Q868" s="3">
        <v>0.0</v>
      </c>
      <c r="T868" s="2" t="s">
        <v>3833</v>
      </c>
      <c r="U868" s="171">
        <v>0.0</v>
      </c>
      <c r="V868" s="172">
        <v>46024.0</v>
      </c>
      <c r="W868" s="3">
        <v>320.16</v>
      </c>
      <c r="X868" s="172">
        <v>46057.64278278935</v>
      </c>
      <c r="Y868" s="172"/>
      <c r="Z868" s="3">
        <v>46008.0</v>
      </c>
      <c r="AA868" s="3"/>
    </row>
    <row r="869">
      <c r="A869" s="3">
        <v>6.803560104195E12</v>
      </c>
      <c r="B869" s="2" t="s">
        <v>3935</v>
      </c>
      <c r="C869" s="2" t="s">
        <v>3936</v>
      </c>
      <c r="D869" s="169">
        <v>46008.0</v>
      </c>
      <c r="E869" s="2">
        <v>3.099928052E9</v>
      </c>
      <c r="F869" s="2" t="s">
        <v>3937</v>
      </c>
      <c r="G869" s="2" t="s">
        <v>368</v>
      </c>
      <c r="H869" s="2">
        <v>3099.0</v>
      </c>
      <c r="I869" s="2">
        <v>2.4120050020449E13</v>
      </c>
      <c r="J869" s="3">
        <v>2.0</v>
      </c>
      <c r="L869" s="2" t="s">
        <v>275</v>
      </c>
      <c r="M869" s="174" t="s">
        <v>409</v>
      </c>
      <c r="N869" s="2" t="s">
        <v>462</v>
      </c>
      <c r="O869" s="3">
        <v>0.5</v>
      </c>
      <c r="P869" s="2" t="s">
        <v>363</v>
      </c>
      <c r="Q869" s="3">
        <v>960.0</v>
      </c>
      <c r="T869" s="2" t="s">
        <v>599</v>
      </c>
      <c r="U869" s="171">
        <v>3099.0</v>
      </c>
      <c r="V869" s="172">
        <v>46010.0</v>
      </c>
      <c r="W869" s="3">
        <v>231.0</v>
      </c>
      <c r="X869" s="172">
        <v>46009.63636574074</v>
      </c>
      <c r="Y869" s="172"/>
      <c r="Z869" s="3">
        <v>46008.0</v>
      </c>
      <c r="AA869" s="3"/>
    </row>
    <row r="870">
      <c r="A870" s="3">
        <v>6.803571540227E12</v>
      </c>
      <c r="B870" s="2" t="s">
        <v>3938</v>
      </c>
      <c r="C870" s="2" t="s">
        <v>3939</v>
      </c>
      <c r="D870" s="169">
        <v>46008.0</v>
      </c>
      <c r="E870" s="2">
        <v>3.060707509E9</v>
      </c>
      <c r="F870" s="2" t="s">
        <v>3940</v>
      </c>
      <c r="G870" s="2" t="s">
        <v>366</v>
      </c>
      <c r="H870" s="2">
        <v>0.0</v>
      </c>
      <c r="J870" s="3">
        <v>0.0</v>
      </c>
      <c r="K870" s="2" t="s">
        <v>3941</v>
      </c>
      <c r="L870" s="2"/>
      <c r="M870" s="2" t="s">
        <v>468</v>
      </c>
      <c r="N870" s="2" t="s">
        <v>406</v>
      </c>
      <c r="O870" s="3">
        <v>0.5</v>
      </c>
      <c r="Q870" s="3">
        <v>0.0</v>
      </c>
      <c r="U870" s="141"/>
      <c r="X870" s="172">
        <v>46057.64278278935</v>
      </c>
      <c r="Y870" s="172"/>
      <c r="Z870" s="3">
        <v>46008.0</v>
      </c>
      <c r="AA870" s="3"/>
    </row>
    <row r="871">
      <c r="A871" s="3">
        <v>6.803693142275E12</v>
      </c>
      <c r="B871" s="2" t="s">
        <v>3942</v>
      </c>
      <c r="C871" s="2" t="s">
        <v>3943</v>
      </c>
      <c r="D871" s="169">
        <v>46008.0</v>
      </c>
      <c r="E871" s="2">
        <v>3.338876166E9</v>
      </c>
      <c r="F871" s="2" t="s">
        <v>3944</v>
      </c>
      <c r="G871" s="2" t="s">
        <v>1016</v>
      </c>
      <c r="H871" s="2">
        <v>3999.0</v>
      </c>
      <c r="I871" s="2">
        <v>2.9120050020467E13</v>
      </c>
      <c r="J871" s="3">
        <v>2.0</v>
      </c>
      <c r="L871" s="2" t="s">
        <v>532</v>
      </c>
      <c r="M871" s="174" t="s">
        <v>409</v>
      </c>
      <c r="N871" s="2" t="s">
        <v>462</v>
      </c>
      <c r="O871" s="3">
        <v>0.5</v>
      </c>
      <c r="P871" s="2" t="s">
        <v>363</v>
      </c>
      <c r="Q871" s="3">
        <v>1700.0</v>
      </c>
      <c r="T871" s="2" t="s">
        <v>777</v>
      </c>
      <c r="U871" s="171">
        <v>3999.0</v>
      </c>
      <c r="V871" s="172">
        <v>46014.0</v>
      </c>
      <c r="W871" s="3">
        <v>380.0</v>
      </c>
      <c r="X871" s="172">
        <v>46010.59185185185</v>
      </c>
      <c r="Y871" s="172"/>
      <c r="Z871" s="3">
        <v>46008.0</v>
      </c>
      <c r="AA871" s="3"/>
    </row>
    <row r="872">
      <c r="A872" s="3">
        <v>6.803712344323E12</v>
      </c>
      <c r="B872" s="2" t="s">
        <v>3945</v>
      </c>
      <c r="C872" s="2" t="s">
        <v>3946</v>
      </c>
      <c r="D872" s="169">
        <v>46008.0</v>
      </c>
      <c r="E872" s="173" t="s">
        <v>3947</v>
      </c>
      <c r="F872" s="2" t="s">
        <v>3948</v>
      </c>
      <c r="G872" s="2" t="s">
        <v>3949</v>
      </c>
      <c r="H872" s="2">
        <v>0.0</v>
      </c>
      <c r="I872" s="2">
        <v>2.2120050020578E13</v>
      </c>
      <c r="J872" s="3">
        <v>0.0</v>
      </c>
      <c r="K872" s="2" t="s">
        <v>3950</v>
      </c>
      <c r="L872" s="2"/>
      <c r="M872" s="170" t="s">
        <v>455</v>
      </c>
      <c r="N872" s="2" t="s">
        <v>406</v>
      </c>
      <c r="O872" s="3">
        <v>0.5</v>
      </c>
      <c r="P872" s="2" t="s">
        <v>363</v>
      </c>
      <c r="Q872" s="3">
        <v>0.0</v>
      </c>
      <c r="T872" s="2" t="s">
        <v>3833</v>
      </c>
      <c r="U872" s="171">
        <v>0.0</v>
      </c>
      <c r="V872" s="172">
        <v>46024.0</v>
      </c>
      <c r="W872" s="3">
        <v>200.1</v>
      </c>
      <c r="X872" s="172">
        <v>46057.64278278935</v>
      </c>
      <c r="Y872" s="172"/>
      <c r="Z872" s="3">
        <v>46008.0</v>
      </c>
      <c r="AA872" s="3"/>
    </row>
    <row r="873">
      <c r="A873" s="3">
        <v>6.803767099651E12</v>
      </c>
      <c r="B873" s="2" t="s">
        <v>3951</v>
      </c>
      <c r="C873" s="2" t="s">
        <v>3378</v>
      </c>
      <c r="D873" s="169">
        <v>46008.0</v>
      </c>
      <c r="E873" s="173" t="s">
        <v>3952</v>
      </c>
      <c r="F873" s="2" t="s">
        <v>3379</v>
      </c>
      <c r="G873" s="2" t="s">
        <v>366</v>
      </c>
      <c r="H873" s="2">
        <v>0.0</v>
      </c>
      <c r="J873" s="3">
        <v>0.0</v>
      </c>
      <c r="K873" s="2" t="s">
        <v>3380</v>
      </c>
      <c r="L873" s="2"/>
      <c r="M873" s="2" t="s">
        <v>468</v>
      </c>
      <c r="N873" s="2" t="s">
        <v>406</v>
      </c>
      <c r="O873" s="3">
        <v>0.5</v>
      </c>
      <c r="Q873" s="3">
        <v>0.0</v>
      </c>
      <c r="U873" s="141"/>
      <c r="X873" s="172">
        <v>46057.64278278935</v>
      </c>
      <c r="Y873" s="172"/>
      <c r="Z873" s="3">
        <v>46008.0</v>
      </c>
      <c r="AA873" s="3"/>
    </row>
    <row r="874">
      <c r="A874" s="3">
        <v>6.803879067907E12</v>
      </c>
      <c r="B874" s="2" t="s">
        <v>3953</v>
      </c>
      <c r="C874" s="2" t="s">
        <v>3954</v>
      </c>
      <c r="D874" s="169">
        <v>46008.0</v>
      </c>
      <c r="E874" s="173" t="s">
        <v>3955</v>
      </c>
      <c r="F874" s="2" t="s">
        <v>3956</v>
      </c>
      <c r="G874" s="2" t="s">
        <v>2435</v>
      </c>
      <c r="H874" s="2">
        <v>0.0</v>
      </c>
      <c r="I874" s="2">
        <v>2.3120050020714E13</v>
      </c>
      <c r="J874" s="3">
        <v>0.0</v>
      </c>
      <c r="K874" s="2" t="s">
        <v>3957</v>
      </c>
      <c r="L874" s="2"/>
      <c r="M874" s="170" t="s">
        <v>455</v>
      </c>
      <c r="N874" s="2" t="s">
        <v>406</v>
      </c>
      <c r="O874" s="3">
        <v>0.5</v>
      </c>
      <c r="P874" s="2" t="s">
        <v>363</v>
      </c>
      <c r="Q874" s="3">
        <v>0.0</v>
      </c>
      <c r="T874" s="2" t="s">
        <v>3616</v>
      </c>
      <c r="U874" s="171">
        <v>0.0</v>
      </c>
      <c r="V874" s="172">
        <v>46028.0</v>
      </c>
      <c r="W874" s="3">
        <v>200.1</v>
      </c>
      <c r="X874" s="172">
        <v>46057.64278278935</v>
      </c>
      <c r="Y874" s="172"/>
      <c r="Z874" s="3">
        <v>46008.0</v>
      </c>
      <c r="AA874" s="3"/>
    </row>
    <row r="875">
      <c r="A875" s="3">
        <v>6.803995394307E12</v>
      </c>
      <c r="B875" s="2" t="s">
        <v>3958</v>
      </c>
      <c r="C875" s="2" t="s">
        <v>2770</v>
      </c>
      <c r="D875" s="169">
        <v>46008.0</v>
      </c>
      <c r="E875" s="2">
        <v>3.314066643E9</v>
      </c>
      <c r="F875" s="2" t="s">
        <v>3959</v>
      </c>
      <c r="G875" s="2" t="s">
        <v>368</v>
      </c>
      <c r="H875" s="2">
        <v>6249.0</v>
      </c>
      <c r="I875" s="2">
        <v>2.5120050020485E13</v>
      </c>
      <c r="J875" s="3">
        <v>3.0</v>
      </c>
      <c r="L875" s="2" t="s">
        <v>2772</v>
      </c>
      <c r="M875" s="174" t="s">
        <v>409</v>
      </c>
      <c r="N875" s="2" t="s">
        <v>462</v>
      </c>
      <c r="O875" s="3">
        <v>0.5</v>
      </c>
      <c r="P875" s="2" t="s">
        <v>363</v>
      </c>
      <c r="Q875" s="3">
        <v>3000.0</v>
      </c>
      <c r="T875" s="2" t="s">
        <v>599</v>
      </c>
      <c r="U875" s="171">
        <v>6249.0</v>
      </c>
      <c r="V875" s="172">
        <v>46010.0</v>
      </c>
      <c r="W875" s="3">
        <v>437.0</v>
      </c>
      <c r="X875" s="172">
        <v>46009.6321875</v>
      </c>
      <c r="Y875" s="172"/>
      <c r="Z875" s="3">
        <v>46008.0</v>
      </c>
      <c r="AA875" s="3"/>
    </row>
    <row r="876">
      <c r="A876" s="3">
        <v>6.804029997315E12</v>
      </c>
      <c r="B876" s="2" t="s">
        <v>3960</v>
      </c>
      <c r="C876" s="2" t="s">
        <v>3961</v>
      </c>
      <c r="D876" s="169">
        <v>46008.0</v>
      </c>
      <c r="E876" s="173" t="s">
        <v>3962</v>
      </c>
      <c r="F876" s="2" t="s">
        <v>3963</v>
      </c>
      <c r="G876" s="2" t="s">
        <v>3964</v>
      </c>
      <c r="H876" s="2">
        <v>1674.0</v>
      </c>
      <c r="I876" s="2">
        <v>2.0120050020478E13</v>
      </c>
      <c r="J876" s="3">
        <v>1.0</v>
      </c>
      <c r="L876" s="2" t="s">
        <v>3965</v>
      </c>
      <c r="M876" s="174" t="s">
        <v>409</v>
      </c>
      <c r="N876" s="2" t="s">
        <v>462</v>
      </c>
      <c r="O876" s="3">
        <v>0.5</v>
      </c>
      <c r="P876" s="2" t="s">
        <v>363</v>
      </c>
      <c r="Q876" s="3">
        <v>480.0</v>
      </c>
      <c r="T876" s="2" t="s">
        <v>599</v>
      </c>
      <c r="U876" s="3">
        <v>1674.0</v>
      </c>
      <c r="V876" s="172">
        <v>46010.0</v>
      </c>
      <c r="W876" s="3">
        <v>324.0</v>
      </c>
      <c r="X876" s="172">
        <v>46009.48148148148</v>
      </c>
      <c r="Y876" s="172"/>
      <c r="Z876" s="3">
        <v>46008.0</v>
      </c>
      <c r="AA876" s="3"/>
    </row>
    <row r="877">
      <c r="A877" s="3">
        <v>6.804050018563E12</v>
      </c>
      <c r="B877" s="2" t="s">
        <v>3966</v>
      </c>
      <c r="C877" s="2" t="s">
        <v>3967</v>
      </c>
      <c r="D877" s="169">
        <v>46008.0</v>
      </c>
      <c r="E877" s="173" t="s">
        <v>3968</v>
      </c>
      <c r="F877" s="2" t="s">
        <v>3969</v>
      </c>
      <c r="G877" s="2" t="s">
        <v>3970</v>
      </c>
      <c r="H877" s="2">
        <v>0.0</v>
      </c>
      <c r="I877" s="2">
        <v>2.5120050020929E13</v>
      </c>
      <c r="J877" s="3">
        <v>0.0</v>
      </c>
      <c r="K877" s="2" t="s">
        <v>3971</v>
      </c>
      <c r="L877" s="2"/>
      <c r="M877" s="170" t="s">
        <v>455</v>
      </c>
      <c r="N877" s="2" t="s">
        <v>406</v>
      </c>
      <c r="O877" s="3">
        <v>0.5</v>
      </c>
      <c r="P877" s="2" t="s">
        <v>363</v>
      </c>
      <c r="Q877" s="3">
        <v>0.0</v>
      </c>
      <c r="T877" s="2" t="s">
        <v>3701</v>
      </c>
      <c r="U877" s="171">
        <v>0.0</v>
      </c>
      <c r="V877" s="172">
        <v>46035.0</v>
      </c>
      <c r="W877" s="3">
        <v>220.0</v>
      </c>
      <c r="X877" s="172">
        <v>46057.64278278935</v>
      </c>
      <c r="Y877" s="172"/>
      <c r="Z877" s="3">
        <v>46008.0</v>
      </c>
      <c r="AA877" s="3"/>
    </row>
    <row r="878">
      <c r="A878" s="3">
        <v>6.804065648899E12</v>
      </c>
      <c r="B878" s="2" t="s">
        <v>3972</v>
      </c>
      <c r="C878" s="2" t="s">
        <v>3973</v>
      </c>
      <c r="D878" s="169">
        <v>46008.0</v>
      </c>
      <c r="E878" s="2">
        <v>3.144834901E9</v>
      </c>
      <c r="F878" s="2" t="s">
        <v>3974</v>
      </c>
      <c r="G878" s="2" t="s">
        <v>368</v>
      </c>
      <c r="H878" s="2">
        <v>5349.0</v>
      </c>
      <c r="I878" s="2">
        <v>2.8120050020469E13</v>
      </c>
      <c r="J878" s="3">
        <v>3.0</v>
      </c>
      <c r="K878" s="2" t="s">
        <v>2069</v>
      </c>
      <c r="L878" s="2" t="s">
        <v>3975</v>
      </c>
      <c r="M878" s="174" t="s">
        <v>409</v>
      </c>
      <c r="N878" s="2" t="s">
        <v>462</v>
      </c>
      <c r="O878" s="3">
        <v>0.5</v>
      </c>
      <c r="P878" s="2" t="s">
        <v>73</v>
      </c>
      <c r="Q878" s="3">
        <v>2320.0</v>
      </c>
      <c r="T878" s="2" t="s">
        <v>599</v>
      </c>
      <c r="U878" s="171">
        <v>5349.0</v>
      </c>
      <c r="V878" s="172">
        <v>46010.0</v>
      </c>
      <c r="W878" s="3">
        <v>334.0</v>
      </c>
      <c r="X878" s="172">
        <v>46009.48908564815</v>
      </c>
      <c r="Y878" s="172"/>
      <c r="Z878" s="3">
        <v>46008.0</v>
      </c>
      <c r="AA878" s="3"/>
    </row>
    <row r="879">
      <c r="A879" s="3">
        <v>6.804077838595E12</v>
      </c>
      <c r="B879" s="2" t="s">
        <v>3976</v>
      </c>
      <c r="C879" s="2" t="s">
        <v>3977</v>
      </c>
      <c r="D879" s="169">
        <v>46008.0</v>
      </c>
      <c r="E879" s="2">
        <v>3.009688816E9</v>
      </c>
      <c r="F879" s="2" t="s">
        <v>3978</v>
      </c>
      <c r="G879" s="2" t="s">
        <v>1016</v>
      </c>
      <c r="H879" s="2">
        <v>0.0</v>
      </c>
      <c r="I879" s="2">
        <v>2.4120050020451E13</v>
      </c>
      <c r="J879" s="3">
        <v>0.0</v>
      </c>
      <c r="K879" s="2" t="s">
        <v>3662</v>
      </c>
      <c r="L879" s="2"/>
      <c r="M879" s="170" t="s">
        <v>455</v>
      </c>
      <c r="N879" s="2" t="s">
        <v>406</v>
      </c>
      <c r="O879" s="3">
        <v>0.5</v>
      </c>
      <c r="P879" s="2" t="s">
        <v>363</v>
      </c>
      <c r="Q879" s="3">
        <v>0.0</v>
      </c>
      <c r="T879" s="2" t="s">
        <v>2140</v>
      </c>
      <c r="U879" s="171">
        <v>0.0</v>
      </c>
      <c r="V879" s="172">
        <v>46021.0</v>
      </c>
      <c r="W879" s="3">
        <v>200.0</v>
      </c>
      <c r="X879" s="172">
        <v>46057.64278278935</v>
      </c>
      <c r="Y879" s="172"/>
      <c r="Z879" s="3">
        <v>46008.0</v>
      </c>
      <c r="AA879" s="3"/>
    </row>
    <row r="880">
      <c r="A880" s="3">
        <v>6.804089176323E12</v>
      </c>
      <c r="B880" s="2" t="s">
        <v>3979</v>
      </c>
      <c r="C880" s="2" t="s">
        <v>3980</v>
      </c>
      <c r="D880" s="169">
        <v>46008.0</v>
      </c>
      <c r="E880" s="173" t="s">
        <v>3981</v>
      </c>
      <c r="F880" s="2" t="s">
        <v>3982</v>
      </c>
      <c r="G880" s="2" t="s">
        <v>368</v>
      </c>
      <c r="H880" s="2">
        <v>0.0</v>
      </c>
      <c r="I880" s="2">
        <v>2.012005002047E13</v>
      </c>
      <c r="J880" s="3">
        <v>0.0</v>
      </c>
      <c r="K880" s="2" t="s">
        <v>3983</v>
      </c>
      <c r="L880" s="2"/>
      <c r="M880" s="170" t="s">
        <v>455</v>
      </c>
      <c r="N880" s="2" t="s">
        <v>406</v>
      </c>
      <c r="O880" s="3">
        <v>0.5</v>
      </c>
      <c r="P880" s="2" t="s">
        <v>363</v>
      </c>
      <c r="Q880" s="3">
        <v>0.0</v>
      </c>
      <c r="T880" s="2" t="s">
        <v>1468</v>
      </c>
      <c r="U880" s="171">
        <v>0.0</v>
      </c>
      <c r="V880" s="172">
        <v>46017.0</v>
      </c>
      <c r="W880" s="3">
        <v>120.0</v>
      </c>
      <c r="X880" s="172">
        <v>46057.64278278935</v>
      </c>
      <c r="Y880" s="172"/>
      <c r="Z880" s="3">
        <v>46008.0</v>
      </c>
      <c r="AA880" s="3"/>
    </row>
    <row r="881">
      <c r="A881" s="3">
        <v>6.804165656835E12</v>
      </c>
      <c r="B881" s="2" t="s">
        <v>3984</v>
      </c>
      <c r="C881" s="2" t="s">
        <v>3814</v>
      </c>
      <c r="D881" s="169">
        <v>46008.0</v>
      </c>
      <c r="E881" s="173" t="s">
        <v>3815</v>
      </c>
      <c r="F881" s="2" t="s">
        <v>3985</v>
      </c>
      <c r="G881" s="2" t="s">
        <v>368</v>
      </c>
      <c r="H881" s="2">
        <v>0.0</v>
      </c>
      <c r="J881" s="3">
        <v>0.0</v>
      </c>
      <c r="K881" s="2" t="s">
        <v>3986</v>
      </c>
      <c r="L881" s="2"/>
      <c r="M881" s="2" t="s">
        <v>468</v>
      </c>
      <c r="N881" s="2" t="s">
        <v>406</v>
      </c>
      <c r="O881" s="3">
        <v>0.5</v>
      </c>
      <c r="Q881" s="3">
        <v>0.0</v>
      </c>
      <c r="U881" s="141"/>
      <c r="X881" s="172">
        <v>46057.64278278935</v>
      </c>
      <c r="Y881" s="172"/>
      <c r="Z881" s="3">
        <v>46008.0</v>
      </c>
      <c r="AA881" s="3"/>
    </row>
    <row r="882">
      <c r="A882" s="3">
        <v>6.804170604803E12</v>
      </c>
      <c r="B882" s="2" t="s">
        <v>3987</v>
      </c>
      <c r="C882" s="2" t="s">
        <v>3988</v>
      </c>
      <c r="D882" s="169">
        <v>46008.0</v>
      </c>
      <c r="E882" s="2">
        <v>3.007166278E9</v>
      </c>
      <c r="F882" s="2" t="s">
        <v>3989</v>
      </c>
      <c r="G882" s="2" t="s">
        <v>2725</v>
      </c>
      <c r="H882" s="2">
        <v>3099.0</v>
      </c>
      <c r="I882" s="2">
        <v>2.8120050020498E13</v>
      </c>
      <c r="J882" s="3">
        <v>2.0</v>
      </c>
      <c r="K882" s="2" t="s">
        <v>3990</v>
      </c>
      <c r="L882" s="2" t="s">
        <v>27</v>
      </c>
      <c r="M882" s="174" t="s">
        <v>409</v>
      </c>
      <c r="N882" s="2" t="s">
        <v>462</v>
      </c>
      <c r="O882" s="3">
        <v>0.5</v>
      </c>
      <c r="P882" s="2" t="s">
        <v>73</v>
      </c>
      <c r="Q882" s="3">
        <v>920.0</v>
      </c>
      <c r="T882" s="2" t="s">
        <v>777</v>
      </c>
      <c r="U882" s="171">
        <v>3099.0</v>
      </c>
      <c r="V882" s="172">
        <v>46014.0</v>
      </c>
      <c r="W882" s="3">
        <v>324.0</v>
      </c>
      <c r="X882" s="172">
        <v>46010.51269675926</v>
      </c>
      <c r="Y882" s="172"/>
      <c r="Z882" s="3">
        <v>46008.0</v>
      </c>
      <c r="AA882" s="3"/>
    </row>
    <row r="883">
      <c r="A883" s="3">
        <v>6.804182302979E12</v>
      </c>
      <c r="B883" s="2" t="s">
        <v>3991</v>
      </c>
      <c r="C883" s="2" t="s">
        <v>3992</v>
      </c>
      <c r="D883" s="169">
        <v>46008.0</v>
      </c>
      <c r="E883" s="2">
        <v>3.339211201E9</v>
      </c>
      <c r="F883" s="2" t="s">
        <v>3993</v>
      </c>
      <c r="G883" s="2" t="s">
        <v>493</v>
      </c>
      <c r="H883" s="2">
        <v>3999.0</v>
      </c>
      <c r="I883" s="2">
        <v>2.5120050020484E13</v>
      </c>
      <c r="J883" s="3">
        <v>2.0</v>
      </c>
      <c r="L883" s="2" t="s">
        <v>479</v>
      </c>
      <c r="M883" s="174" t="s">
        <v>409</v>
      </c>
      <c r="N883" s="2" t="s">
        <v>462</v>
      </c>
      <c r="O883" s="3">
        <v>0.5</v>
      </c>
      <c r="P883" s="2" t="s">
        <v>363</v>
      </c>
      <c r="Q883" s="3">
        <v>1700.0</v>
      </c>
      <c r="T883" s="2" t="s">
        <v>777</v>
      </c>
      <c r="U883" s="171">
        <v>3999.0</v>
      </c>
      <c r="V883" s="172">
        <v>46014.0</v>
      </c>
      <c r="W883" s="3">
        <v>387.0</v>
      </c>
      <c r="X883" s="172">
        <v>46011.6196412037</v>
      </c>
      <c r="Y883" s="172"/>
      <c r="Z883" s="3">
        <v>46008.0</v>
      </c>
      <c r="AA883" s="3"/>
    </row>
    <row r="884">
      <c r="A884" s="3">
        <v>6.804234109187E12</v>
      </c>
      <c r="B884" s="2" t="s">
        <v>3994</v>
      </c>
      <c r="C884" s="2" t="s">
        <v>3995</v>
      </c>
      <c r="D884" s="169">
        <v>46008.0</v>
      </c>
      <c r="E884" s="173" t="s">
        <v>3996</v>
      </c>
      <c r="F884" s="2" t="s">
        <v>3997</v>
      </c>
      <c r="G884" s="2" t="s">
        <v>3998</v>
      </c>
      <c r="H884" s="2">
        <v>3099.0</v>
      </c>
      <c r="I884" s="2">
        <v>2.5120050020452E13</v>
      </c>
      <c r="J884" s="3">
        <v>2.0</v>
      </c>
      <c r="K884" s="2" t="s">
        <v>511</v>
      </c>
      <c r="L884" s="2" t="s">
        <v>228</v>
      </c>
      <c r="M884" s="174" t="s">
        <v>409</v>
      </c>
      <c r="N884" s="2" t="s">
        <v>462</v>
      </c>
      <c r="O884" s="3">
        <v>0.5</v>
      </c>
      <c r="P884" s="2" t="s">
        <v>363</v>
      </c>
      <c r="Q884" s="3">
        <v>920.0</v>
      </c>
      <c r="T884" s="2" t="s">
        <v>3833</v>
      </c>
      <c r="U884" s="171">
        <v>3099.0</v>
      </c>
      <c r="V884" s="172">
        <v>46024.0</v>
      </c>
      <c r="W884" s="3">
        <v>337.4</v>
      </c>
      <c r="X884" s="172">
        <v>46022.5877199074</v>
      </c>
      <c r="Y884" s="172"/>
      <c r="Z884" s="3">
        <v>46008.0</v>
      </c>
      <c r="AA884" s="3"/>
    </row>
    <row r="885">
      <c r="A885" s="3">
        <v>6.804242759939E12</v>
      </c>
      <c r="B885" s="2" t="s">
        <v>3999</v>
      </c>
      <c r="C885" s="2" t="s">
        <v>4000</v>
      </c>
      <c r="D885" s="169">
        <v>46008.0</v>
      </c>
      <c r="E885" s="173" t="s">
        <v>4001</v>
      </c>
      <c r="F885" s="2" t="s">
        <v>4002</v>
      </c>
      <c r="G885" s="2" t="s">
        <v>1016</v>
      </c>
      <c r="H885" s="2">
        <v>0.0</v>
      </c>
      <c r="J885" s="3">
        <v>0.0</v>
      </c>
      <c r="K885" s="2" t="s">
        <v>4003</v>
      </c>
      <c r="L885" s="2"/>
      <c r="M885" s="2" t="s">
        <v>468</v>
      </c>
      <c r="N885" s="2" t="s">
        <v>406</v>
      </c>
      <c r="O885" s="3">
        <v>0.5</v>
      </c>
      <c r="Q885" s="3">
        <v>0.0</v>
      </c>
      <c r="U885" s="141"/>
      <c r="X885" s="172">
        <v>46057.64278278935</v>
      </c>
      <c r="Y885" s="172"/>
      <c r="Z885" s="3">
        <v>46008.0</v>
      </c>
      <c r="AA885" s="3"/>
    </row>
    <row r="886">
      <c r="A886" s="3">
        <v>6.804275265795E12</v>
      </c>
      <c r="B886" s="2" t="s">
        <v>4004</v>
      </c>
      <c r="C886" s="2" t="s">
        <v>3185</v>
      </c>
      <c r="D886" s="169">
        <v>46008.0</v>
      </c>
      <c r="E886" s="173" t="s">
        <v>4005</v>
      </c>
      <c r="F886" s="2" t="s">
        <v>3186</v>
      </c>
      <c r="G886" s="2" t="s">
        <v>368</v>
      </c>
      <c r="H886" s="2">
        <v>2200.0</v>
      </c>
      <c r="I886" s="2">
        <v>2.2120050020476E13</v>
      </c>
      <c r="J886" s="3">
        <v>1.0</v>
      </c>
      <c r="K886" s="2" t="s">
        <v>4006</v>
      </c>
      <c r="L886" s="2" t="s">
        <v>684</v>
      </c>
      <c r="M886" s="174" t="s">
        <v>409</v>
      </c>
      <c r="N886" s="2" t="s">
        <v>462</v>
      </c>
      <c r="O886" s="3">
        <v>0.5</v>
      </c>
      <c r="P886" s="2" t="s">
        <v>363</v>
      </c>
      <c r="Q886" s="3">
        <v>850.0</v>
      </c>
      <c r="T886" s="2" t="s">
        <v>599</v>
      </c>
      <c r="U886" s="3">
        <v>2200.0</v>
      </c>
      <c r="V886" s="172">
        <v>46010.0</v>
      </c>
      <c r="W886" s="3">
        <v>120.0</v>
      </c>
      <c r="X886" s="172">
        <v>46009.66815972222</v>
      </c>
      <c r="Y886" s="172"/>
      <c r="Z886" s="3">
        <v>46008.0</v>
      </c>
      <c r="AA886" s="3"/>
    </row>
    <row r="887">
      <c r="A887" s="3">
        <v>6.804281557251E12</v>
      </c>
      <c r="B887" s="2" t="s">
        <v>4007</v>
      </c>
      <c r="C887" s="2" t="s">
        <v>4008</v>
      </c>
      <c r="D887" s="169">
        <v>46008.0</v>
      </c>
      <c r="E887" s="173" t="s">
        <v>4009</v>
      </c>
      <c r="F887" s="2" t="s">
        <v>4010</v>
      </c>
      <c r="G887" s="2" t="s">
        <v>817</v>
      </c>
      <c r="H887" s="2">
        <v>0.0</v>
      </c>
      <c r="I887" s="2">
        <v>2.7120050020453E13</v>
      </c>
      <c r="J887" s="3">
        <v>0.0</v>
      </c>
      <c r="K887" s="2" t="s">
        <v>4011</v>
      </c>
      <c r="L887" s="2"/>
      <c r="M887" s="170" t="s">
        <v>455</v>
      </c>
      <c r="N887" s="2" t="s">
        <v>406</v>
      </c>
      <c r="O887" s="3">
        <v>0.5</v>
      </c>
      <c r="P887" s="2" t="s">
        <v>363</v>
      </c>
      <c r="Q887" s="3">
        <v>0.0</v>
      </c>
      <c r="T887" s="2" t="s">
        <v>2140</v>
      </c>
      <c r="U887" s="171">
        <v>0.0</v>
      </c>
      <c r="V887" s="172">
        <v>46021.0</v>
      </c>
      <c r="W887" s="3">
        <v>213.0</v>
      </c>
      <c r="X887" s="172">
        <v>46057.64278278935</v>
      </c>
      <c r="Y887" s="172"/>
      <c r="Z887" s="3">
        <v>46008.0</v>
      </c>
      <c r="AA887" s="3"/>
    </row>
    <row r="888">
      <c r="A888" s="3">
        <v>6.804283130115E12</v>
      </c>
      <c r="B888" s="2" t="s">
        <v>4012</v>
      </c>
      <c r="C888" s="2" t="s">
        <v>4013</v>
      </c>
      <c r="D888" s="169">
        <v>46008.0</v>
      </c>
      <c r="E888" s="2">
        <v>3.214404104E9</v>
      </c>
      <c r="F888" s="2" t="s">
        <v>4014</v>
      </c>
      <c r="G888" s="2" t="s">
        <v>368</v>
      </c>
      <c r="H888" s="2">
        <v>3099.0</v>
      </c>
      <c r="I888" s="2">
        <v>2.2120050020454E13</v>
      </c>
      <c r="J888" s="3">
        <v>2.0</v>
      </c>
      <c r="L888" s="2" t="s">
        <v>2562</v>
      </c>
      <c r="M888" s="174" t="s">
        <v>409</v>
      </c>
      <c r="N888" s="2" t="s">
        <v>462</v>
      </c>
      <c r="O888" s="3">
        <v>0.5</v>
      </c>
      <c r="P888" s="2" t="s">
        <v>363</v>
      </c>
      <c r="Q888" s="3">
        <v>1000.0</v>
      </c>
      <c r="T888" s="2" t="s">
        <v>599</v>
      </c>
      <c r="U888" s="171">
        <v>3099.0</v>
      </c>
      <c r="V888" s="172">
        <v>46010.0</v>
      </c>
      <c r="W888" s="3">
        <v>231.0</v>
      </c>
      <c r="X888" s="172">
        <v>46009.550891203704</v>
      </c>
      <c r="Y888" s="172"/>
      <c r="Z888" s="3">
        <v>46008.0</v>
      </c>
      <c r="AA888" s="3"/>
    </row>
    <row r="889">
      <c r="A889" s="3">
        <v>6.804304396547E12</v>
      </c>
      <c r="B889" s="2" t="s">
        <v>4015</v>
      </c>
      <c r="C889" s="2" t="s">
        <v>4016</v>
      </c>
      <c r="D889" s="169">
        <v>46008.0</v>
      </c>
      <c r="E889" s="173" t="s">
        <v>4017</v>
      </c>
      <c r="F889" s="2" t="s">
        <v>4018</v>
      </c>
      <c r="G889" s="2" t="s">
        <v>4019</v>
      </c>
      <c r="H889" s="2">
        <v>2230.0</v>
      </c>
      <c r="I889" s="2">
        <v>2.8120050020455E13</v>
      </c>
      <c r="J889" s="3">
        <v>2.0</v>
      </c>
      <c r="K889" s="2" t="s">
        <v>4020</v>
      </c>
      <c r="L889" s="2" t="s">
        <v>40</v>
      </c>
      <c r="M889" s="174" t="s">
        <v>409</v>
      </c>
      <c r="N889" s="2" t="s">
        <v>462</v>
      </c>
      <c r="O889" s="3">
        <v>0.5</v>
      </c>
      <c r="P889" s="2" t="s">
        <v>73</v>
      </c>
      <c r="Q889" s="3">
        <v>920.0</v>
      </c>
      <c r="T889" s="2" t="s">
        <v>599</v>
      </c>
      <c r="U889" s="3">
        <v>2230.0</v>
      </c>
      <c r="V889" s="172">
        <v>46010.0</v>
      </c>
      <c r="W889" s="3">
        <v>200.0</v>
      </c>
      <c r="X889" s="172">
        <v>46009.46759259259</v>
      </c>
      <c r="Y889" s="172"/>
      <c r="Z889" s="3">
        <v>46008.0</v>
      </c>
      <c r="AA889" s="3"/>
    </row>
    <row r="890">
      <c r="A890" s="3">
        <v>6.804306002179E12</v>
      </c>
      <c r="B890" s="2" t="s">
        <v>4021</v>
      </c>
      <c r="C890" s="2" t="s">
        <v>3694</v>
      </c>
      <c r="D890" s="169">
        <v>46008.0</v>
      </c>
      <c r="E890" s="2">
        <v>3.248401363E9</v>
      </c>
      <c r="F890" s="2" t="s">
        <v>3695</v>
      </c>
      <c r="G890" s="2" t="s">
        <v>368</v>
      </c>
      <c r="H890" s="2">
        <v>2748.0</v>
      </c>
      <c r="I890" s="2">
        <v>2.9120050020472E13</v>
      </c>
      <c r="J890" s="3">
        <v>1.0</v>
      </c>
      <c r="L890" s="2" t="s">
        <v>519</v>
      </c>
      <c r="M890" s="174" t="s">
        <v>409</v>
      </c>
      <c r="N890" s="2" t="s">
        <v>462</v>
      </c>
      <c r="O890" s="3">
        <v>0.5</v>
      </c>
      <c r="P890" s="2" t="s">
        <v>363</v>
      </c>
      <c r="Q890" s="3">
        <v>850.0</v>
      </c>
      <c r="T890" s="2" t="s">
        <v>599</v>
      </c>
      <c r="U890" s="171">
        <v>2748.0</v>
      </c>
      <c r="V890" s="172">
        <v>46010.0</v>
      </c>
      <c r="W890" s="3">
        <v>230.0</v>
      </c>
      <c r="X890" s="172">
        <v>46009.61346064815</v>
      </c>
      <c r="Y890" s="172"/>
      <c r="Z890" s="3">
        <v>46008.0</v>
      </c>
      <c r="AA890" s="3"/>
    </row>
    <row r="891">
      <c r="A891" s="3">
        <v>6.804309803267E12</v>
      </c>
      <c r="B891" s="2" t="s">
        <v>4022</v>
      </c>
      <c r="C891" s="2" t="s">
        <v>4023</v>
      </c>
      <c r="D891" s="169">
        <v>46008.0</v>
      </c>
      <c r="E891" s="2">
        <v>3.060475808E9</v>
      </c>
      <c r="F891" s="2" t="s">
        <v>4024</v>
      </c>
      <c r="G891" s="2" t="s">
        <v>368</v>
      </c>
      <c r="H891" s="2">
        <v>0.0</v>
      </c>
      <c r="J891" s="3">
        <v>0.0</v>
      </c>
      <c r="K891" s="2" t="s">
        <v>4025</v>
      </c>
      <c r="L891" s="2"/>
      <c r="M891" s="2" t="s">
        <v>468</v>
      </c>
      <c r="N891" s="2" t="s">
        <v>406</v>
      </c>
      <c r="O891" s="3">
        <v>0.5</v>
      </c>
      <c r="Q891" s="3">
        <v>0.0</v>
      </c>
      <c r="U891" s="141"/>
      <c r="X891" s="172">
        <v>46057.64278278935</v>
      </c>
      <c r="Y891" s="172"/>
      <c r="Z891" s="3">
        <v>46008.0</v>
      </c>
      <c r="AA891" s="3"/>
    </row>
    <row r="892">
      <c r="A892" s="3">
        <v>6.804310720771E12</v>
      </c>
      <c r="B892" s="2" t="s">
        <v>4026</v>
      </c>
      <c r="C892" s="2" t="s">
        <v>4023</v>
      </c>
      <c r="D892" s="169">
        <v>46008.0</v>
      </c>
      <c r="E892" s="173" t="s">
        <v>4027</v>
      </c>
      <c r="F892" s="2" t="s">
        <v>4024</v>
      </c>
      <c r="G892" s="2" t="s">
        <v>368</v>
      </c>
      <c r="H892" s="2">
        <v>0.0</v>
      </c>
      <c r="J892" s="3">
        <v>0.0</v>
      </c>
      <c r="K892" s="2" t="s">
        <v>4025</v>
      </c>
      <c r="L892" s="2"/>
      <c r="M892" s="2" t="s">
        <v>468</v>
      </c>
      <c r="N892" s="2" t="s">
        <v>406</v>
      </c>
      <c r="O892" s="3">
        <v>0.5</v>
      </c>
      <c r="Q892" s="3">
        <v>0.0</v>
      </c>
      <c r="U892" s="141"/>
      <c r="X892" s="172">
        <v>46057.64278278935</v>
      </c>
      <c r="Y892" s="172"/>
      <c r="Z892" s="3">
        <v>46008.0</v>
      </c>
      <c r="AA892" s="3"/>
    </row>
    <row r="893">
      <c r="A893" s="3">
        <v>6.804315439363E12</v>
      </c>
      <c r="B893" s="2" t="s">
        <v>4028</v>
      </c>
      <c r="C893" s="2" t="s">
        <v>4029</v>
      </c>
      <c r="D893" s="169">
        <v>46008.0</v>
      </c>
      <c r="E893" s="2">
        <v>3.204881875E9</v>
      </c>
      <c r="F893" s="2" t="s">
        <v>4030</v>
      </c>
      <c r="G893" s="2" t="s">
        <v>368</v>
      </c>
      <c r="H893" s="2">
        <v>3999.0</v>
      </c>
      <c r="I893" s="2">
        <v>2.1120050020473E13</v>
      </c>
      <c r="J893" s="3">
        <v>2.0</v>
      </c>
      <c r="L893" s="2" t="s">
        <v>479</v>
      </c>
      <c r="M893" s="174" t="s">
        <v>409</v>
      </c>
      <c r="N893" s="2" t="s">
        <v>462</v>
      </c>
      <c r="O893" s="3">
        <v>0.5</v>
      </c>
      <c r="P893" s="2" t="s">
        <v>73</v>
      </c>
      <c r="Q893" s="3">
        <v>1700.0</v>
      </c>
      <c r="T893" s="2" t="s">
        <v>599</v>
      </c>
      <c r="U893" s="171">
        <v>3999.0</v>
      </c>
      <c r="V893" s="172">
        <v>46010.0</v>
      </c>
      <c r="W893" s="3">
        <v>280.0</v>
      </c>
      <c r="X893" s="172">
        <v>46009.733564814815</v>
      </c>
      <c r="Y893" s="172"/>
      <c r="Z893" s="3">
        <v>46008.0</v>
      </c>
      <c r="AA893" s="3"/>
    </row>
    <row r="894">
      <c r="A894" s="3">
        <v>6.804318716163E12</v>
      </c>
      <c r="B894" s="2" t="s">
        <v>4031</v>
      </c>
      <c r="C894" s="2" t="s">
        <v>4032</v>
      </c>
      <c r="D894" s="169">
        <v>46008.0</v>
      </c>
      <c r="E894" s="2">
        <v>3.090620083E9</v>
      </c>
      <c r="F894" s="2" t="s">
        <v>4033</v>
      </c>
      <c r="G894" s="2" t="s">
        <v>2591</v>
      </c>
      <c r="H894" s="2">
        <v>2748.0</v>
      </c>
      <c r="I894" s="2">
        <v>2.5120050020483E13</v>
      </c>
      <c r="J894" s="3">
        <v>1.0</v>
      </c>
      <c r="L894" s="2" t="s">
        <v>1289</v>
      </c>
      <c r="M894" s="174" t="s">
        <v>409</v>
      </c>
      <c r="N894" s="2" t="s">
        <v>462</v>
      </c>
      <c r="O894" s="3">
        <v>0.5</v>
      </c>
      <c r="P894" s="2" t="s">
        <v>363</v>
      </c>
      <c r="Q894" s="3">
        <v>850.0</v>
      </c>
      <c r="T894" s="2" t="s">
        <v>777</v>
      </c>
      <c r="U894" s="171">
        <v>2748.0</v>
      </c>
      <c r="V894" s="172">
        <v>46014.0</v>
      </c>
      <c r="W894" s="3">
        <v>310.0</v>
      </c>
      <c r="X894" s="172">
        <v>46010.814780092594</v>
      </c>
      <c r="Y894" s="172"/>
      <c r="Z894" s="3">
        <v>46008.0</v>
      </c>
      <c r="AA894" s="3"/>
    </row>
    <row r="895">
      <c r="A895" s="3">
        <v>6.804325564675E12</v>
      </c>
      <c r="B895" s="2" t="s">
        <v>4034</v>
      </c>
      <c r="C895" s="2" t="s">
        <v>4035</v>
      </c>
      <c r="D895" s="169">
        <v>46008.0</v>
      </c>
      <c r="E895" s="173" t="s">
        <v>4036</v>
      </c>
      <c r="F895" s="2" t="s">
        <v>4037</v>
      </c>
      <c r="G895" s="2" t="s">
        <v>2457</v>
      </c>
      <c r="H895" s="2">
        <v>3999.0</v>
      </c>
      <c r="I895" s="2">
        <v>2.0120050020482E13</v>
      </c>
      <c r="J895" s="3">
        <v>2.0</v>
      </c>
      <c r="K895" s="2" t="s">
        <v>1284</v>
      </c>
      <c r="L895" s="2" t="s">
        <v>994</v>
      </c>
      <c r="M895" s="174" t="s">
        <v>409</v>
      </c>
      <c r="N895" s="2" t="s">
        <v>462</v>
      </c>
      <c r="O895" s="3">
        <v>0.5</v>
      </c>
      <c r="P895" s="2" t="s">
        <v>363</v>
      </c>
      <c r="Q895" s="3">
        <v>1700.0</v>
      </c>
      <c r="T895" s="2" t="s">
        <v>777</v>
      </c>
      <c r="U895" s="171">
        <v>3999.0</v>
      </c>
      <c r="V895" s="172">
        <v>46014.0</v>
      </c>
      <c r="W895" s="3">
        <v>387.0</v>
      </c>
      <c r="X895" s="172">
        <v>46011.57032407407</v>
      </c>
      <c r="Y895" s="172"/>
      <c r="Z895" s="3">
        <v>46008.0</v>
      </c>
      <c r="AA895" s="3"/>
    </row>
    <row r="896">
      <c r="A896" s="3">
        <v>6.804340211971E12</v>
      </c>
      <c r="B896" s="2" t="s">
        <v>4038</v>
      </c>
      <c r="C896" s="2" t="s">
        <v>4039</v>
      </c>
      <c r="D896" s="169">
        <v>46008.0</v>
      </c>
      <c r="E896" s="2">
        <v>3.425726309E9</v>
      </c>
      <c r="F896" s="2" t="s">
        <v>4040</v>
      </c>
      <c r="G896" s="2" t="s">
        <v>4041</v>
      </c>
      <c r="H896" s="2">
        <v>0.0</v>
      </c>
      <c r="J896" s="3">
        <v>0.0</v>
      </c>
      <c r="K896" s="2" t="s">
        <v>4042</v>
      </c>
      <c r="L896" s="2"/>
      <c r="M896" s="2" t="s">
        <v>468</v>
      </c>
      <c r="N896" s="2" t="s">
        <v>406</v>
      </c>
      <c r="O896" s="3">
        <v>0.5</v>
      </c>
      <c r="Q896" s="3">
        <v>0.0</v>
      </c>
      <c r="U896" s="141"/>
      <c r="X896" s="172">
        <v>46057.64278278935</v>
      </c>
      <c r="Y896" s="172"/>
      <c r="Z896" s="3">
        <v>46008.0</v>
      </c>
      <c r="AA896" s="3"/>
    </row>
    <row r="897">
      <c r="A897" s="3">
        <v>6.804417249539E12</v>
      </c>
      <c r="B897" s="2" t="s">
        <v>4043</v>
      </c>
      <c r="C897" s="2" t="s">
        <v>4044</v>
      </c>
      <c r="D897" s="169">
        <v>46008.0</v>
      </c>
      <c r="E897" s="173" t="s">
        <v>4045</v>
      </c>
      <c r="F897" s="2" t="s">
        <v>4046</v>
      </c>
      <c r="G897" s="2" t="s">
        <v>2316</v>
      </c>
      <c r="H897" s="2">
        <v>0.0</v>
      </c>
      <c r="I897" s="2">
        <v>2.9120050020545E13</v>
      </c>
      <c r="J897" s="3">
        <v>0.0</v>
      </c>
      <c r="K897" s="2" t="s">
        <v>3832</v>
      </c>
      <c r="L897" s="2"/>
      <c r="M897" s="170" t="s">
        <v>455</v>
      </c>
      <c r="N897" s="2" t="s">
        <v>406</v>
      </c>
      <c r="O897" s="3">
        <v>0.5</v>
      </c>
      <c r="P897" s="2" t="s">
        <v>363</v>
      </c>
      <c r="Q897" s="3">
        <v>0.0</v>
      </c>
      <c r="T897" s="2" t="s">
        <v>3833</v>
      </c>
      <c r="U897" s="171">
        <v>0.0</v>
      </c>
      <c r="V897" s="172">
        <v>46024.0</v>
      </c>
      <c r="W897" s="3">
        <v>213.44</v>
      </c>
      <c r="X897" s="172">
        <v>46057.64278278935</v>
      </c>
      <c r="Y897" s="172"/>
      <c r="Z897" s="3">
        <v>46008.0</v>
      </c>
      <c r="AA897" s="3"/>
    </row>
    <row r="898">
      <c r="A898" s="3">
        <v>6.804423737603E12</v>
      </c>
      <c r="B898" s="2" t="s">
        <v>4047</v>
      </c>
      <c r="C898" s="2" t="s">
        <v>4048</v>
      </c>
      <c r="D898" s="169">
        <v>46008.0</v>
      </c>
      <c r="E898" s="173" t="s">
        <v>4049</v>
      </c>
      <c r="F898" s="2" t="s">
        <v>4050</v>
      </c>
      <c r="G898" s="2" t="s">
        <v>1847</v>
      </c>
      <c r="H898" s="2">
        <v>2748.0</v>
      </c>
      <c r="I898" s="2">
        <v>2.1120050020491E13</v>
      </c>
      <c r="J898" s="3">
        <v>1.0</v>
      </c>
      <c r="L898" s="2" t="s">
        <v>1097</v>
      </c>
      <c r="M898" s="174" t="s">
        <v>409</v>
      </c>
      <c r="N898" s="2" t="s">
        <v>462</v>
      </c>
      <c r="O898" s="3">
        <v>0.5</v>
      </c>
      <c r="P898" s="2" t="s">
        <v>73</v>
      </c>
      <c r="Q898" s="3">
        <v>1100.0</v>
      </c>
      <c r="T898" s="2" t="s">
        <v>777</v>
      </c>
      <c r="U898" s="171">
        <v>2748.0</v>
      </c>
      <c r="V898" s="172">
        <v>46014.0</v>
      </c>
      <c r="W898" s="3">
        <v>310.0</v>
      </c>
      <c r="X898" s="172">
        <v>46011.536990740744</v>
      </c>
      <c r="Y898" s="172"/>
      <c r="Z898" s="3">
        <v>46008.0</v>
      </c>
      <c r="AA898" s="3"/>
    </row>
    <row r="899">
      <c r="A899" s="3">
        <v>6.804432453891E12</v>
      </c>
      <c r="B899" s="2" t="s">
        <v>4051</v>
      </c>
      <c r="C899" s="2" t="s">
        <v>4052</v>
      </c>
      <c r="D899" s="169">
        <v>46008.0</v>
      </c>
      <c r="E899" s="173" t="s">
        <v>4053</v>
      </c>
      <c r="F899" s="2" t="s">
        <v>4054</v>
      </c>
      <c r="G899" s="2" t="s">
        <v>506</v>
      </c>
      <c r="H899" s="2">
        <v>0.0</v>
      </c>
      <c r="I899" s="2">
        <v>2.3120050020492E13</v>
      </c>
      <c r="J899" s="3">
        <v>0.0</v>
      </c>
      <c r="K899" s="2" t="s">
        <v>4055</v>
      </c>
      <c r="L899" s="2"/>
      <c r="M899" s="170" t="s">
        <v>455</v>
      </c>
      <c r="N899" s="2" t="s">
        <v>406</v>
      </c>
      <c r="O899" s="3">
        <v>0.5</v>
      </c>
      <c r="P899" s="2" t="s">
        <v>363</v>
      </c>
      <c r="Q899" s="3">
        <v>0.0</v>
      </c>
      <c r="T899" s="2" t="s">
        <v>2140</v>
      </c>
      <c r="U899" s="171">
        <v>0.0</v>
      </c>
      <c r="V899" s="172">
        <v>46021.0</v>
      </c>
      <c r="W899" s="3">
        <v>200.0</v>
      </c>
      <c r="X899" s="172">
        <v>46057.64278278935</v>
      </c>
      <c r="Y899" s="172"/>
      <c r="Z899" s="3">
        <v>46008.0</v>
      </c>
      <c r="AA899" s="3"/>
    </row>
    <row r="900">
      <c r="A900" s="3">
        <v>6.804452901123E12</v>
      </c>
      <c r="B900" s="2" t="s">
        <v>4056</v>
      </c>
      <c r="C900" s="2" t="s">
        <v>4057</v>
      </c>
      <c r="D900" s="169">
        <v>46008.0</v>
      </c>
      <c r="E900" s="2">
        <v>3.133583903E9</v>
      </c>
      <c r="F900" s="2" t="s">
        <v>4058</v>
      </c>
      <c r="G900" s="2" t="s">
        <v>693</v>
      </c>
      <c r="H900" s="2">
        <v>0.0</v>
      </c>
      <c r="I900" s="2">
        <v>2.4120050020501E13</v>
      </c>
      <c r="J900" s="3">
        <v>0.0</v>
      </c>
      <c r="K900" s="2" t="s">
        <v>4059</v>
      </c>
      <c r="L900" s="2"/>
      <c r="M900" s="170" t="s">
        <v>455</v>
      </c>
      <c r="N900" s="2" t="s">
        <v>406</v>
      </c>
      <c r="O900" s="3">
        <v>0.5</v>
      </c>
      <c r="P900" s="2" t="s">
        <v>363</v>
      </c>
      <c r="Q900" s="3">
        <v>0.0</v>
      </c>
      <c r="T900" s="2" t="s">
        <v>2140</v>
      </c>
      <c r="U900" s="171">
        <v>0.0</v>
      </c>
      <c r="V900" s="172">
        <v>46021.0</v>
      </c>
      <c r="W900" s="3">
        <v>227.0</v>
      </c>
      <c r="X900" s="172">
        <v>46057.64278278935</v>
      </c>
      <c r="Y900" s="172"/>
      <c r="Z900" s="3">
        <v>46008.0</v>
      </c>
      <c r="AA900" s="3"/>
    </row>
    <row r="901">
      <c r="A901" s="3">
        <v>6.804473479427E12</v>
      </c>
      <c r="B901" s="2" t="s">
        <v>4060</v>
      </c>
      <c r="C901" s="2" t="s">
        <v>4061</v>
      </c>
      <c r="D901" s="169">
        <v>46008.0</v>
      </c>
      <c r="E901" s="2">
        <v>3.325720085E9</v>
      </c>
      <c r="F901" s="2" t="s">
        <v>4062</v>
      </c>
      <c r="G901" s="2" t="s">
        <v>366</v>
      </c>
      <c r="H901" s="2">
        <v>0.0</v>
      </c>
      <c r="I901" s="2">
        <v>2.9120050020499E13</v>
      </c>
      <c r="J901" s="3">
        <v>0.0</v>
      </c>
      <c r="K901" s="2" t="s">
        <v>4063</v>
      </c>
      <c r="L901" s="2"/>
      <c r="M901" s="170" t="s">
        <v>455</v>
      </c>
      <c r="N901" s="2" t="s">
        <v>406</v>
      </c>
      <c r="O901" s="3">
        <v>0.5</v>
      </c>
      <c r="P901" s="2" t="s">
        <v>363</v>
      </c>
      <c r="Q901" s="3">
        <v>0.0</v>
      </c>
      <c r="T901" s="2" t="s">
        <v>2140</v>
      </c>
      <c r="U901" s="171">
        <v>0.0</v>
      </c>
      <c r="V901" s="172">
        <v>46021.0</v>
      </c>
      <c r="W901" s="3">
        <v>200.0</v>
      </c>
      <c r="X901" s="172">
        <v>46057.64278278935</v>
      </c>
      <c r="Y901" s="172"/>
      <c r="Z901" s="3">
        <v>46008.0</v>
      </c>
      <c r="AA901" s="3"/>
    </row>
    <row r="902">
      <c r="A902" s="3">
        <v>6.804482818307E12</v>
      </c>
      <c r="B902" s="2" t="s">
        <v>4064</v>
      </c>
      <c r="C902" s="2" t="s">
        <v>4065</v>
      </c>
      <c r="D902" s="169">
        <v>46008.0</v>
      </c>
      <c r="E902" s="2">
        <v>3.282776283E9</v>
      </c>
      <c r="F902" s="2" t="s">
        <v>4066</v>
      </c>
      <c r="G902" s="2" t="s">
        <v>4067</v>
      </c>
      <c r="H902" s="2">
        <v>0.0</v>
      </c>
      <c r="J902" s="3">
        <v>0.0</v>
      </c>
      <c r="K902" s="2" t="s">
        <v>4068</v>
      </c>
      <c r="L902" s="2"/>
      <c r="M902" s="2" t="s">
        <v>468</v>
      </c>
      <c r="N902" s="2" t="s">
        <v>406</v>
      </c>
      <c r="O902" s="3">
        <v>0.5</v>
      </c>
      <c r="Q902" s="3">
        <v>0.0</v>
      </c>
      <c r="U902" s="141"/>
      <c r="X902" s="172">
        <v>46057.64278278935</v>
      </c>
      <c r="Y902" s="172"/>
      <c r="Z902" s="3">
        <v>46008.0</v>
      </c>
      <c r="AA902" s="3"/>
    </row>
    <row r="903">
      <c r="A903" s="3">
        <v>6.804549337347E12</v>
      </c>
      <c r="B903" s="2" t="s">
        <v>4069</v>
      </c>
      <c r="C903" s="2" t="s">
        <v>4070</v>
      </c>
      <c r="D903" s="169">
        <v>46008.0</v>
      </c>
      <c r="E903" s="173" t="s">
        <v>4071</v>
      </c>
      <c r="F903" s="2" t="s">
        <v>4072</v>
      </c>
      <c r="G903" s="2" t="s">
        <v>1969</v>
      </c>
      <c r="H903" s="2">
        <v>3999.0</v>
      </c>
      <c r="I903" s="2">
        <v>2.2120050020493E13</v>
      </c>
      <c r="J903" s="3">
        <v>2.0</v>
      </c>
      <c r="L903" s="2" t="s">
        <v>479</v>
      </c>
      <c r="M903" s="174" t="s">
        <v>409</v>
      </c>
      <c r="N903" s="2" t="s">
        <v>462</v>
      </c>
      <c r="O903" s="3">
        <v>0.5</v>
      </c>
      <c r="P903" s="2" t="s">
        <v>363</v>
      </c>
      <c r="Q903" s="3">
        <v>1700.0</v>
      </c>
      <c r="T903" s="2" t="s">
        <v>777</v>
      </c>
      <c r="U903" s="171">
        <v>3999.0</v>
      </c>
      <c r="V903" s="172">
        <v>46014.0</v>
      </c>
      <c r="W903" s="3">
        <v>380.0</v>
      </c>
      <c r="X903" s="172">
        <v>46011.59601851852</v>
      </c>
      <c r="Y903" s="172"/>
      <c r="Z903" s="3">
        <v>46008.0</v>
      </c>
      <c r="AA903" s="3"/>
    </row>
    <row r="904">
      <c r="A904" s="3">
        <v>6.804571652355E12</v>
      </c>
      <c r="B904" s="2" t="s">
        <v>4073</v>
      </c>
      <c r="C904" s="2" t="s">
        <v>4074</v>
      </c>
      <c r="D904" s="169">
        <v>46008.0</v>
      </c>
      <c r="E904" s="2">
        <v>3.336491858E9</v>
      </c>
      <c r="F904" s="2" t="s">
        <v>4075</v>
      </c>
      <c r="G904" s="2" t="s">
        <v>945</v>
      </c>
      <c r="H904" s="2">
        <v>0.0</v>
      </c>
      <c r="I904" s="2">
        <v>2.31200500205E13</v>
      </c>
      <c r="J904" s="3">
        <v>0.0</v>
      </c>
      <c r="K904" s="2" t="s">
        <v>4076</v>
      </c>
      <c r="L904" s="2"/>
      <c r="M904" s="170" t="s">
        <v>455</v>
      </c>
      <c r="N904" s="2" t="s">
        <v>406</v>
      </c>
      <c r="O904" s="3">
        <v>0.5</v>
      </c>
      <c r="P904" s="2" t="s">
        <v>363</v>
      </c>
      <c r="Q904" s="3">
        <v>0.0</v>
      </c>
      <c r="T904" s="2" t="s">
        <v>4077</v>
      </c>
      <c r="U904" s="171">
        <v>0.0</v>
      </c>
      <c r="V904" s="172">
        <v>46031.0</v>
      </c>
      <c r="W904" s="3">
        <v>213.0</v>
      </c>
      <c r="X904" s="172">
        <v>46057.64278278935</v>
      </c>
      <c r="Y904" s="172"/>
      <c r="Z904" s="3">
        <v>46008.0</v>
      </c>
      <c r="AA904" s="3"/>
    </row>
    <row r="905">
      <c r="A905" s="3">
        <v>6.804597768451E12</v>
      </c>
      <c r="B905" s="2" t="s">
        <v>4078</v>
      </c>
      <c r="C905" s="2" t="s">
        <v>4079</v>
      </c>
      <c r="D905" s="169">
        <v>46008.0</v>
      </c>
      <c r="E905" s="2">
        <v>3.002953025E9</v>
      </c>
      <c r="F905" s="2" t="s">
        <v>4080</v>
      </c>
      <c r="G905" s="2" t="s">
        <v>493</v>
      </c>
      <c r="H905" s="2">
        <v>3999.0</v>
      </c>
      <c r="I905" s="2">
        <v>2.6120050020494E13</v>
      </c>
      <c r="J905" s="3">
        <v>2.0</v>
      </c>
      <c r="L905" s="2" t="s">
        <v>913</v>
      </c>
      <c r="M905" s="174" t="s">
        <v>409</v>
      </c>
      <c r="N905" s="2" t="s">
        <v>462</v>
      </c>
      <c r="O905" s="3">
        <v>0.5</v>
      </c>
      <c r="P905" s="2" t="s">
        <v>363</v>
      </c>
      <c r="Q905" s="3">
        <v>1700.0</v>
      </c>
      <c r="T905" s="2" t="s">
        <v>777</v>
      </c>
      <c r="U905" s="171">
        <v>3999.0</v>
      </c>
      <c r="V905" s="172">
        <v>46014.0</v>
      </c>
      <c r="W905" s="3">
        <v>387.0</v>
      </c>
      <c r="X905" s="172">
        <v>46012.57518518518</v>
      </c>
      <c r="Y905" s="172"/>
      <c r="Z905" s="3">
        <v>46008.0</v>
      </c>
      <c r="AA905" s="3"/>
    </row>
    <row r="906">
      <c r="A906" s="3">
        <v>6.804688306435E12</v>
      </c>
      <c r="B906" s="2" t="s">
        <v>4081</v>
      </c>
      <c r="C906" s="2" t="s">
        <v>4082</v>
      </c>
      <c r="D906" s="169">
        <v>46008.0</v>
      </c>
      <c r="E906" s="173" t="s">
        <v>4083</v>
      </c>
      <c r="F906" s="2" t="s">
        <v>4084</v>
      </c>
      <c r="G906" s="2" t="s">
        <v>1395</v>
      </c>
      <c r="H906" s="2">
        <v>0.0</v>
      </c>
      <c r="I906" s="2">
        <v>2.9120050020525E13</v>
      </c>
      <c r="J906" s="3">
        <v>0.0</v>
      </c>
      <c r="K906" s="2" t="s">
        <v>2653</v>
      </c>
      <c r="L906" s="2"/>
      <c r="M906" s="170" t="s">
        <v>455</v>
      </c>
      <c r="N906" s="2" t="s">
        <v>406</v>
      </c>
      <c r="O906" s="3">
        <v>0.5</v>
      </c>
      <c r="P906" s="2" t="s">
        <v>363</v>
      </c>
      <c r="Q906" s="3">
        <v>0.0</v>
      </c>
      <c r="T906" s="2" t="s">
        <v>2140</v>
      </c>
      <c r="U906" s="171">
        <v>0.0</v>
      </c>
      <c r="V906" s="172">
        <v>46021.0</v>
      </c>
      <c r="W906" s="3">
        <v>227.0</v>
      </c>
      <c r="X906" s="172">
        <v>46057.64278278935</v>
      </c>
      <c r="Y906" s="172"/>
      <c r="Z906" s="3">
        <v>46008.0</v>
      </c>
      <c r="AA906" s="3"/>
    </row>
    <row r="907">
      <c r="A907" s="3">
        <v>6.804710949123E12</v>
      </c>
      <c r="B907" s="2" t="s">
        <v>4085</v>
      </c>
      <c r="C907" s="2" t="s">
        <v>4086</v>
      </c>
      <c r="D907" s="169">
        <v>46008.0</v>
      </c>
      <c r="E907" s="2">
        <v>3.004830669E9</v>
      </c>
      <c r="F907" s="2" t="s">
        <v>4087</v>
      </c>
      <c r="G907" s="2" t="s">
        <v>1323</v>
      </c>
      <c r="H907" s="2">
        <v>249.0</v>
      </c>
      <c r="I907" s="2">
        <v>2.1120050020526E13</v>
      </c>
      <c r="J907" s="3">
        <v>0.0</v>
      </c>
      <c r="L907" s="2"/>
      <c r="M907" s="174" t="s">
        <v>409</v>
      </c>
      <c r="N907" s="2" t="s">
        <v>462</v>
      </c>
      <c r="O907" s="3">
        <v>0.5</v>
      </c>
      <c r="P907" s="2" t="s">
        <v>73</v>
      </c>
      <c r="Q907" s="3">
        <v>0.0</v>
      </c>
      <c r="T907" s="2" t="s">
        <v>777</v>
      </c>
      <c r="U907" s="3">
        <v>249.0</v>
      </c>
      <c r="V907" s="172">
        <v>46014.0</v>
      </c>
      <c r="W907" s="3">
        <v>386.0</v>
      </c>
      <c r="X907" s="172">
        <v>46010.59185185185</v>
      </c>
      <c r="Y907" s="172"/>
      <c r="Z907" s="3">
        <v>46008.0</v>
      </c>
      <c r="AA907" s="3"/>
    </row>
    <row r="908">
      <c r="A908" s="3">
        <v>6.804722188547E12</v>
      </c>
      <c r="B908" s="2" t="s">
        <v>4088</v>
      </c>
      <c r="C908" s="2" t="s">
        <v>196</v>
      </c>
      <c r="D908" s="169">
        <v>46008.0</v>
      </c>
      <c r="E908" s="2">
        <v>3.239699795E9</v>
      </c>
      <c r="F908" s="2" t="s">
        <v>4089</v>
      </c>
      <c r="G908" s="2" t="s">
        <v>361</v>
      </c>
      <c r="H908" s="2">
        <v>2748.0</v>
      </c>
      <c r="I908" s="2">
        <v>2.3120050020579E13</v>
      </c>
      <c r="J908" s="3">
        <v>1.0</v>
      </c>
      <c r="K908" s="2" t="s">
        <v>199</v>
      </c>
      <c r="L908" s="2" t="s">
        <v>200</v>
      </c>
      <c r="M908" s="22" t="s">
        <v>362</v>
      </c>
      <c r="N908" s="2" t="s">
        <v>406</v>
      </c>
      <c r="O908" s="3">
        <v>0.5</v>
      </c>
      <c r="P908" s="2" t="s">
        <v>363</v>
      </c>
      <c r="Q908" s="3">
        <v>1400.0</v>
      </c>
      <c r="T908" s="2" t="s">
        <v>3833</v>
      </c>
      <c r="U908" s="171">
        <v>0.0</v>
      </c>
      <c r="V908" s="172">
        <v>46024.0</v>
      </c>
      <c r="W908" s="3">
        <v>200.1</v>
      </c>
      <c r="X908" s="172">
        <v>46022.75686342592</v>
      </c>
      <c r="Y908" s="172"/>
      <c r="Z908" s="3">
        <v>46008.0</v>
      </c>
      <c r="AA908" s="3"/>
    </row>
    <row r="909">
      <c r="A909" s="3">
        <v>6.804841955587E12</v>
      </c>
      <c r="B909" s="2" t="s">
        <v>4090</v>
      </c>
      <c r="C909" s="2" t="s">
        <v>4091</v>
      </c>
      <c r="D909" s="169">
        <v>46008.0</v>
      </c>
      <c r="E909" s="173" t="s">
        <v>4092</v>
      </c>
      <c r="F909" s="2" t="s">
        <v>4093</v>
      </c>
      <c r="G909" s="2" t="s">
        <v>3653</v>
      </c>
      <c r="H909" s="2">
        <v>2748.0</v>
      </c>
      <c r="I909" s="2">
        <v>2.612005002055E13</v>
      </c>
      <c r="J909" s="3">
        <v>1.0</v>
      </c>
      <c r="K909" s="2" t="s">
        <v>2596</v>
      </c>
      <c r="L909" s="2" t="s">
        <v>4094</v>
      </c>
      <c r="M909" s="174" t="s">
        <v>409</v>
      </c>
      <c r="N909" s="2" t="s">
        <v>462</v>
      </c>
      <c r="O909" s="3">
        <v>0.5</v>
      </c>
      <c r="P909" s="2" t="s">
        <v>363</v>
      </c>
      <c r="Q909" s="3">
        <v>1100.0</v>
      </c>
      <c r="T909" s="2" t="s">
        <v>777</v>
      </c>
      <c r="U909" s="171">
        <v>2748.0</v>
      </c>
      <c r="V909" s="172">
        <v>46014.0</v>
      </c>
      <c r="W909" s="3">
        <v>337.0</v>
      </c>
      <c r="X909" s="172">
        <v>46012.74810185185</v>
      </c>
      <c r="Y909" s="172"/>
      <c r="Z909" s="3">
        <v>46008.0</v>
      </c>
      <c r="AA909" s="3"/>
    </row>
    <row r="910">
      <c r="A910" s="3">
        <v>6.804859191555E12</v>
      </c>
      <c r="B910" s="2" t="s">
        <v>4095</v>
      </c>
      <c r="C910" s="2" t="s">
        <v>4096</v>
      </c>
      <c r="D910" s="169">
        <v>46008.0</v>
      </c>
      <c r="E910" s="2">
        <v>3.336318777E9</v>
      </c>
      <c r="F910" s="2" t="s">
        <v>4097</v>
      </c>
      <c r="G910" s="2" t="s">
        <v>368</v>
      </c>
      <c r="H910" s="2">
        <v>3999.0</v>
      </c>
      <c r="I910" s="2">
        <v>2.1120050020524E13</v>
      </c>
      <c r="J910" s="3">
        <v>2.0</v>
      </c>
      <c r="L910" s="2" t="s">
        <v>994</v>
      </c>
      <c r="M910" s="174" t="s">
        <v>409</v>
      </c>
      <c r="N910" s="2" t="s">
        <v>462</v>
      </c>
      <c r="O910" s="3">
        <v>0.5</v>
      </c>
      <c r="P910" s="2" t="s">
        <v>73</v>
      </c>
      <c r="Q910" s="3">
        <v>1700.0</v>
      </c>
      <c r="T910" s="2" t="s">
        <v>599</v>
      </c>
      <c r="U910" s="171">
        <v>3999.0</v>
      </c>
      <c r="V910" s="172">
        <v>46010.0</v>
      </c>
      <c r="W910" s="3">
        <v>280.0</v>
      </c>
      <c r="X910" s="172">
        <v>46010.46061342592</v>
      </c>
      <c r="Y910" s="172"/>
      <c r="Z910" s="3">
        <v>46008.0</v>
      </c>
      <c r="AA910" s="3"/>
    </row>
    <row r="911">
      <c r="A911" s="3">
        <v>6.804912308483E12</v>
      </c>
      <c r="B911" s="2" t="s">
        <v>4098</v>
      </c>
      <c r="C911" s="2" t="s">
        <v>4099</v>
      </c>
      <c r="D911" s="169">
        <v>46008.0</v>
      </c>
      <c r="E911" s="2">
        <v>3.360306982E9</v>
      </c>
      <c r="F911" s="2" t="s">
        <v>4100</v>
      </c>
      <c r="G911" s="2" t="s">
        <v>4101</v>
      </c>
      <c r="H911" s="2">
        <v>2748.0</v>
      </c>
      <c r="I911" s="2" t="s">
        <v>4102</v>
      </c>
      <c r="J911" s="3">
        <v>1.0</v>
      </c>
      <c r="K911" s="2" t="s">
        <v>4103</v>
      </c>
      <c r="L911" s="2" t="s">
        <v>3455</v>
      </c>
      <c r="M911" s="174" t="s">
        <v>409</v>
      </c>
      <c r="N911" s="2" t="s">
        <v>462</v>
      </c>
      <c r="O911" s="3">
        <v>0.5</v>
      </c>
      <c r="P911" s="2" t="s">
        <v>640</v>
      </c>
      <c r="Q911" s="3">
        <v>1400.0</v>
      </c>
      <c r="T911" s="2" t="s">
        <v>3376</v>
      </c>
      <c r="U911" s="171">
        <v>2748.0</v>
      </c>
      <c r="V911" s="172">
        <v>46023.0</v>
      </c>
      <c r="W911" s="3">
        <v>292.2</v>
      </c>
      <c r="X911" s="172">
        <v>46057.73287325232</v>
      </c>
      <c r="Y911" s="172"/>
      <c r="Z911" s="3">
        <v>46008.0</v>
      </c>
      <c r="AA911" s="3"/>
    </row>
    <row r="912">
      <c r="A912" s="3">
        <v>6.804922204419E12</v>
      </c>
      <c r="B912" s="2" t="s">
        <v>4104</v>
      </c>
      <c r="C912" s="2" t="s">
        <v>2613</v>
      </c>
      <c r="D912" s="169">
        <v>46008.0</v>
      </c>
      <c r="E912" s="2">
        <v>3.150673081E9</v>
      </c>
      <c r="F912" s="2" t="s">
        <v>4105</v>
      </c>
      <c r="G912" s="2" t="s">
        <v>4106</v>
      </c>
      <c r="H912" s="2">
        <v>0.0</v>
      </c>
      <c r="J912" s="3">
        <v>0.0</v>
      </c>
      <c r="K912" s="2" t="s">
        <v>1426</v>
      </c>
      <c r="L912" s="2"/>
      <c r="M912" s="2" t="s">
        <v>468</v>
      </c>
      <c r="N912" s="2" t="s">
        <v>406</v>
      </c>
      <c r="O912" s="3">
        <v>0.5</v>
      </c>
      <c r="Q912" s="3">
        <v>0.0</v>
      </c>
      <c r="U912" s="141"/>
      <c r="X912" s="172">
        <v>46057.64278278935</v>
      </c>
      <c r="Y912" s="172"/>
      <c r="Z912" s="3">
        <v>46008.0</v>
      </c>
      <c r="AA912" s="3"/>
    </row>
    <row r="913">
      <c r="A913" s="3">
        <v>6.804928725251E12</v>
      </c>
      <c r="B913" s="2" t="s">
        <v>4107</v>
      </c>
      <c r="C913" s="2" t="s">
        <v>4108</v>
      </c>
      <c r="D913" s="169">
        <v>46008.0</v>
      </c>
      <c r="E913" s="2">
        <v>3.21646003E9</v>
      </c>
      <c r="F913" s="2" t="s">
        <v>4109</v>
      </c>
      <c r="G913" s="2" t="s">
        <v>368</v>
      </c>
      <c r="H913" s="2">
        <v>0.0</v>
      </c>
      <c r="I913" s="2">
        <v>2.5120050020523E13</v>
      </c>
      <c r="J913" s="3">
        <v>0.0</v>
      </c>
      <c r="K913" s="2" t="s">
        <v>4110</v>
      </c>
      <c r="L913" s="2"/>
      <c r="M913" s="170" t="s">
        <v>455</v>
      </c>
      <c r="N913" s="2" t="s">
        <v>406</v>
      </c>
      <c r="O913" s="3">
        <v>0.5</v>
      </c>
      <c r="P913" s="2" t="s">
        <v>363</v>
      </c>
      <c r="Q913" s="3">
        <v>0.0</v>
      </c>
      <c r="T913" s="2" t="s">
        <v>1468</v>
      </c>
      <c r="U913" s="171">
        <v>0.0</v>
      </c>
      <c r="V913" s="172">
        <v>46017.0</v>
      </c>
      <c r="W913" s="3">
        <v>120.0</v>
      </c>
      <c r="X913" s="172">
        <v>46057.64278278935</v>
      </c>
      <c r="Y913" s="172"/>
      <c r="Z913" s="3">
        <v>46008.0</v>
      </c>
      <c r="AA913" s="3"/>
    </row>
    <row r="914">
      <c r="A914" s="3">
        <v>6.804958216451E12</v>
      </c>
      <c r="B914" s="2" t="s">
        <v>4111</v>
      </c>
      <c r="C914" s="2" t="s">
        <v>3476</v>
      </c>
      <c r="D914" s="169">
        <v>46008.0</v>
      </c>
      <c r="E914" s="173" t="s">
        <v>4112</v>
      </c>
      <c r="F914" s="2" t="s">
        <v>3477</v>
      </c>
      <c r="G914" s="2" t="s">
        <v>1328</v>
      </c>
      <c r="H914" s="2">
        <v>0.0</v>
      </c>
      <c r="I914" s="2">
        <v>2.8120050020502E13</v>
      </c>
      <c r="J914" s="3">
        <v>0.0</v>
      </c>
      <c r="K914" s="2" t="s">
        <v>4113</v>
      </c>
      <c r="L914" s="2"/>
      <c r="M914" s="170" t="s">
        <v>455</v>
      </c>
      <c r="N914" s="2" t="s">
        <v>406</v>
      </c>
      <c r="O914" s="3">
        <v>0.5</v>
      </c>
      <c r="P914" s="2" t="s">
        <v>73</v>
      </c>
      <c r="Q914" s="3">
        <v>0.0</v>
      </c>
      <c r="T914" s="2" t="s">
        <v>2140</v>
      </c>
      <c r="U914" s="171">
        <v>0.0</v>
      </c>
      <c r="V914" s="172">
        <v>46021.0</v>
      </c>
      <c r="W914" s="3">
        <v>407.0</v>
      </c>
      <c r="X914" s="172">
        <v>46057.64278278935</v>
      </c>
      <c r="Y914" s="172"/>
      <c r="Z914" s="3">
        <v>46008.0</v>
      </c>
      <c r="AA914" s="3"/>
    </row>
    <row r="915">
      <c r="A915" s="3">
        <v>6.804959035651E12</v>
      </c>
      <c r="B915" s="2" t="s">
        <v>4114</v>
      </c>
      <c r="C915" s="2" t="s">
        <v>4115</v>
      </c>
      <c r="D915" s="169">
        <v>46008.0</v>
      </c>
      <c r="E915" s="173" t="s">
        <v>4116</v>
      </c>
      <c r="F915" s="2" t="s">
        <v>4117</v>
      </c>
      <c r="G915" s="2" t="s">
        <v>4118</v>
      </c>
      <c r="H915" s="2">
        <v>0.0</v>
      </c>
      <c r="I915" s="2">
        <v>2.8120050020522E13</v>
      </c>
      <c r="J915" s="3">
        <v>0.0</v>
      </c>
      <c r="K915" s="2" t="s">
        <v>4119</v>
      </c>
      <c r="L915" s="2"/>
      <c r="M915" s="170" t="s">
        <v>455</v>
      </c>
      <c r="N915" s="2" t="s">
        <v>406</v>
      </c>
      <c r="O915" s="3">
        <v>0.5</v>
      </c>
      <c r="P915" s="2" t="s">
        <v>73</v>
      </c>
      <c r="Q915" s="3">
        <v>0.0</v>
      </c>
      <c r="T915" s="2" t="s">
        <v>2140</v>
      </c>
      <c r="U915" s="171">
        <v>0.0</v>
      </c>
      <c r="V915" s="172">
        <v>46021.0</v>
      </c>
      <c r="W915" s="3">
        <v>227.0</v>
      </c>
      <c r="X915" s="172">
        <v>46057.64278278935</v>
      </c>
      <c r="Y915" s="172"/>
      <c r="Z915" s="3">
        <v>46008.0</v>
      </c>
      <c r="AA915" s="3"/>
    </row>
    <row r="916">
      <c r="A916" s="3">
        <v>6.805004091651E12</v>
      </c>
      <c r="B916" s="2" t="s">
        <v>4120</v>
      </c>
      <c r="C916" s="2" t="s">
        <v>4121</v>
      </c>
      <c r="D916" s="169">
        <v>46009.0</v>
      </c>
      <c r="E916" s="173" t="s">
        <v>4122</v>
      </c>
      <c r="F916" s="2" t="s">
        <v>4123</v>
      </c>
      <c r="G916" s="2" t="s">
        <v>781</v>
      </c>
      <c r="H916" s="2">
        <v>0.0</v>
      </c>
      <c r="I916" s="2">
        <v>2.7120050020503E13</v>
      </c>
      <c r="J916" s="3">
        <v>0.0</v>
      </c>
      <c r="K916" s="2" t="s">
        <v>2139</v>
      </c>
      <c r="L916" s="2"/>
      <c r="M916" s="170" t="s">
        <v>455</v>
      </c>
      <c r="N916" s="2" t="s">
        <v>406</v>
      </c>
      <c r="O916" s="3">
        <v>0.5</v>
      </c>
      <c r="P916" s="2" t="s">
        <v>363</v>
      </c>
      <c r="Q916" s="3">
        <v>0.0</v>
      </c>
      <c r="T916" s="2" t="s">
        <v>2140</v>
      </c>
      <c r="U916" s="171">
        <v>0.0</v>
      </c>
      <c r="V916" s="172">
        <v>46021.0</v>
      </c>
      <c r="W916" s="3">
        <v>213.0</v>
      </c>
      <c r="X916" s="172">
        <v>46057.64278278935</v>
      </c>
      <c r="Y916" s="172"/>
      <c r="Z916" s="3">
        <v>46009.0</v>
      </c>
      <c r="AA916" s="3"/>
    </row>
    <row r="917">
      <c r="A917" s="3">
        <v>6.805033648387E12</v>
      </c>
      <c r="B917" s="2" t="s">
        <v>4124</v>
      </c>
      <c r="C917" s="2" t="s">
        <v>4125</v>
      </c>
      <c r="D917" s="169">
        <v>46009.0</v>
      </c>
      <c r="E917" s="2">
        <v>3.254314324E9</v>
      </c>
      <c r="F917" s="2" t="s">
        <v>4126</v>
      </c>
      <c r="G917" s="2" t="s">
        <v>374</v>
      </c>
      <c r="H917" s="2">
        <v>0.0</v>
      </c>
      <c r="I917" s="2">
        <v>2.0120050020521E13</v>
      </c>
      <c r="J917" s="3">
        <v>0.0</v>
      </c>
      <c r="K917" s="2" t="s">
        <v>4127</v>
      </c>
      <c r="L917" s="2"/>
      <c r="M917" s="170" t="s">
        <v>455</v>
      </c>
      <c r="N917" s="2" t="s">
        <v>406</v>
      </c>
      <c r="O917" s="3">
        <v>0.5</v>
      </c>
      <c r="P917" s="2" t="s">
        <v>363</v>
      </c>
      <c r="Q917" s="3">
        <v>0.0</v>
      </c>
      <c r="T917" s="2" t="s">
        <v>3833</v>
      </c>
      <c r="U917" s="171">
        <v>0.0</v>
      </c>
      <c r="V917" s="172">
        <v>46024.0</v>
      </c>
      <c r="W917" s="3">
        <v>220.11</v>
      </c>
      <c r="X917" s="172">
        <v>46057.64278278935</v>
      </c>
      <c r="Y917" s="172"/>
      <c r="Z917" s="3">
        <v>46009.0</v>
      </c>
      <c r="AA917" s="3"/>
    </row>
    <row r="918">
      <c r="A918" s="3">
        <v>6.805084897539E12</v>
      </c>
      <c r="B918" s="2" t="s">
        <v>4128</v>
      </c>
      <c r="C918" s="2" t="s">
        <v>4129</v>
      </c>
      <c r="D918" s="169">
        <v>46009.0</v>
      </c>
      <c r="E918" s="173" t="s">
        <v>4130</v>
      </c>
      <c r="F918" s="2" t="s">
        <v>4131</v>
      </c>
      <c r="G918" s="2" t="s">
        <v>368</v>
      </c>
      <c r="H918" s="2">
        <v>2749.0</v>
      </c>
      <c r="I918" s="2">
        <v>2.1120050020527E13</v>
      </c>
      <c r="J918" s="3">
        <v>2.0</v>
      </c>
      <c r="K918" s="2" t="s">
        <v>511</v>
      </c>
      <c r="L918" s="2" t="s">
        <v>35</v>
      </c>
      <c r="M918" s="174" t="s">
        <v>409</v>
      </c>
      <c r="N918" s="2" t="s">
        <v>462</v>
      </c>
      <c r="O918" s="3">
        <v>0.5</v>
      </c>
      <c r="P918" s="2" t="s">
        <v>73</v>
      </c>
      <c r="Q918" s="3">
        <v>980.0</v>
      </c>
      <c r="T918" s="2" t="s">
        <v>777</v>
      </c>
      <c r="U918" s="171">
        <v>2749.0</v>
      </c>
      <c r="V918" s="172">
        <v>46014.0</v>
      </c>
      <c r="W918" s="3">
        <v>217.0</v>
      </c>
      <c r="X918" s="172">
        <v>46010.55572916666</v>
      </c>
      <c r="Y918" s="172"/>
      <c r="Z918" s="3">
        <v>46009.0</v>
      </c>
      <c r="AA918" s="3"/>
    </row>
    <row r="919">
      <c r="A919" s="3">
        <v>6.805103771907E12</v>
      </c>
      <c r="B919" s="2" t="s">
        <v>4132</v>
      </c>
      <c r="C919" s="2" t="s">
        <v>4133</v>
      </c>
      <c r="D919" s="169">
        <v>46009.0</v>
      </c>
      <c r="E919" s="2">
        <v>3.073756151E9</v>
      </c>
      <c r="F919" s="2" t="s">
        <v>4134</v>
      </c>
      <c r="G919" s="2" t="s">
        <v>4135</v>
      </c>
      <c r="H919" s="2">
        <v>2748.0</v>
      </c>
      <c r="I919" s="2">
        <v>2.712005002052E13</v>
      </c>
      <c r="J919" s="3">
        <v>1.0</v>
      </c>
      <c r="L919" s="2" t="s">
        <v>500</v>
      </c>
      <c r="M919" s="174" t="s">
        <v>409</v>
      </c>
      <c r="N919" s="2" t="s">
        <v>462</v>
      </c>
      <c r="O919" s="3">
        <v>0.5</v>
      </c>
      <c r="P919" s="2" t="s">
        <v>363</v>
      </c>
      <c r="Q919" s="3">
        <v>850.0</v>
      </c>
      <c r="T919" s="2" t="s">
        <v>777</v>
      </c>
      <c r="U919" s="171">
        <v>2748.0</v>
      </c>
      <c r="V919" s="172">
        <v>46014.0</v>
      </c>
      <c r="W919" s="3">
        <v>323.0</v>
      </c>
      <c r="X919" s="172">
        <v>46011.573796296296</v>
      </c>
      <c r="Y919" s="172"/>
      <c r="Z919" s="3">
        <v>46009.0</v>
      </c>
      <c r="AA919" s="3"/>
    </row>
    <row r="920">
      <c r="A920" s="3">
        <v>6.805110685955E12</v>
      </c>
      <c r="B920" s="2" t="s">
        <v>4136</v>
      </c>
      <c r="C920" s="2" t="s">
        <v>4137</v>
      </c>
      <c r="D920" s="169">
        <v>46009.0</v>
      </c>
      <c r="E920" s="2">
        <v>3.088432376E9</v>
      </c>
      <c r="F920" s="2" t="s">
        <v>4138</v>
      </c>
      <c r="G920" s="2" t="s">
        <v>4139</v>
      </c>
      <c r="H920" s="2">
        <v>1799.0</v>
      </c>
      <c r="I920" s="2">
        <v>2.0120050020504E13</v>
      </c>
      <c r="J920" s="3">
        <v>1.0</v>
      </c>
      <c r="L920" s="2" t="s">
        <v>1185</v>
      </c>
      <c r="M920" s="174" t="s">
        <v>409</v>
      </c>
      <c r="N920" s="2" t="s">
        <v>462</v>
      </c>
      <c r="O920" s="3">
        <v>0.5</v>
      </c>
      <c r="P920" s="2" t="s">
        <v>363</v>
      </c>
      <c r="Q920" s="3">
        <v>490.0</v>
      </c>
      <c r="T920" s="2" t="s">
        <v>777</v>
      </c>
      <c r="U920" s="171">
        <v>1799.0</v>
      </c>
      <c r="V920" s="172">
        <v>46014.0</v>
      </c>
      <c r="W920" s="3">
        <v>285.0</v>
      </c>
      <c r="X920" s="172">
        <v>46011.5641087963</v>
      </c>
      <c r="Y920" s="172"/>
      <c r="Z920" s="3">
        <v>46009.0</v>
      </c>
      <c r="AA920" s="3"/>
    </row>
    <row r="921">
      <c r="A921" s="3">
        <v>6.805116649731E12</v>
      </c>
      <c r="B921" s="2" t="s">
        <v>4140</v>
      </c>
      <c r="C921" s="2" t="s">
        <v>4141</v>
      </c>
      <c r="D921" s="169">
        <v>46009.0</v>
      </c>
      <c r="E921" s="173" t="s">
        <v>4142</v>
      </c>
      <c r="F921" s="2" t="s">
        <v>4143</v>
      </c>
      <c r="G921" s="2" t="s">
        <v>368</v>
      </c>
      <c r="H921" s="2">
        <v>3999.0</v>
      </c>
      <c r="I921" s="2">
        <v>2.4120050020553E13</v>
      </c>
      <c r="J921" s="3">
        <v>2.0</v>
      </c>
      <c r="K921" s="2" t="s">
        <v>4144</v>
      </c>
      <c r="L921" s="2" t="s">
        <v>994</v>
      </c>
      <c r="M921" s="174" t="s">
        <v>409</v>
      </c>
      <c r="N921" s="2" t="s">
        <v>462</v>
      </c>
      <c r="O921" s="3">
        <v>0.5</v>
      </c>
      <c r="P921" s="2" t="s">
        <v>363</v>
      </c>
      <c r="Q921" s="3">
        <v>1700.0</v>
      </c>
      <c r="T921" s="2" t="s">
        <v>777</v>
      </c>
      <c r="U921" s="3">
        <v>3999.0</v>
      </c>
      <c r="V921" s="172">
        <v>46014.0</v>
      </c>
      <c r="W921" s="3">
        <v>270.0</v>
      </c>
      <c r="X921" s="172">
        <v>46011.525231481486</v>
      </c>
      <c r="Y921" s="172"/>
      <c r="Z921" s="3">
        <v>46009.0</v>
      </c>
      <c r="AA921" s="3"/>
    </row>
    <row r="922">
      <c r="A922" s="3">
        <v>6.805161115907E12</v>
      </c>
      <c r="B922" s="2" t="s">
        <v>4145</v>
      </c>
      <c r="C922" s="2" t="s">
        <v>4146</v>
      </c>
      <c r="D922" s="169">
        <v>46009.0</v>
      </c>
      <c r="E922" s="2">
        <v>3.33879471E9</v>
      </c>
      <c r="F922" s="2" t="s">
        <v>4147</v>
      </c>
      <c r="G922" s="2" t="s">
        <v>506</v>
      </c>
      <c r="H922" s="2">
        <v>0.0</v>
      </c>
      <c r="I922" s="2">
        <v>2.0120050020505E13</v>
      </c>
      <c r="J922" s="3">
        <v>0.0</v>
      </c>
      <c r="K922" s="2" t="s">
        <v>4148</v>
      </c>
      <c r="L922" s="2"/>
      <c r="M922" s="170" t="s">
        <v>455</v>
      </c>
      <c r="N922" s="2" t="s">
        <v>406</v>
      </c>
      <c r="O922" s="3">
        <v>0.5</v>
      </c>
      <c r="P922" s="2" t="s">
        <v>363</v>
      </c>
      <c r="Q922" s="3">
        <v>0.0</v>
      </c>
      <c r="T922" s="2" t="s">
        <v>3833</v>
      </c>
      <c r="U922" s="171">
        <v>0.0</v>
      </c>
      <c r="V922" s="172">
        <v>46024.0</v>
      </c>
      <c r="W922" s="3">
        <v>200.1</v>
      </c>
      <c r="X922" s="172">
        <v>46057.64278278935</v>
      </c>
      <c r="Y922" s="172"/>
      <c r="Z922" s="3">
        <v>46009.0</v>
      </c>
      <c r="AA922" s="3"/>
    </row>
    <row r="923">
      <c r="A923" s="3">
        <v>6.805243920643E12</v>
      </c>
      <c r="B923" s="2" t="s">
        <v>4149</v>
      </c>
      <c r="C923" s="2" t="s">
        <v>4150</v>
      </c>
      <c r="D923" s="169">
        <v>46009.0</v>
      </c>
      <c r="E923" s="2">
        <v>3.150961314E9</v>
      </c>
      <c r="F923" s="2" t="s">
        <v>4151</v>
      </c>
      <c r="G923" s="2" t="s">
        <v>4152</v>
      </c>
      <c r="H923" s="2">
        <v>2749.0</v>
      </c>
      <c r="I923" s="2">
        <v>2.4120050020506E13</v>
      </c>
      <c r="J923" s="3">
        <v>2.0</v>
      </c>
      <c r="L923" s="2" t="s">
        <v>16</v>
      </c>
      <c r="M923" s="174" t="s">
        <v>409</v>
      </c>
      <c r="N923" s="2" t="s">
        <v>462</v>
      </c>
      <c r="O923" s="3">
        <v>0.5</v>
      </c>
      <c r="P923" s="2" t="s">
        <v>363</v>
      </c>
      <c r="Q923" s="3">
        <v>980.0</v>
      </c>
      <c r="T923" s="2" t="s">
        <v>1468</v>
      </c>
      <c r="U923" s="171">
        <v>2749.0</v>
      </c>
      <c r="V923" s="172">
        <v>46017.0</v>
      </c>
      <c r="W923" s="3">
        <v>310.0</v>
      </c>
      <c r="X923" s="172">
        <v>46014.578668981485</v>
      </c>
      <c r="Y923" s="172"/>
      <c r="Z923" s="3">
        <v>46009.0</v>
      </c>
      <c r="AA923" s="3"/>
    </row>
    <row r="924">
      <c r="A924" s="3">
        <v>6.805248213251E12</v>
      </c>
      <c r="B924" s="2" t="s">
        <v>4153</v>
      </c>
      <c r="C924" s="2" t="s">
        <v>4154</v>
      </c>
      <c r="D924" s="169">
        <v>46009.0</v>
      </c>
      <c r="E924" s="2">
        <v>3.70917266E9</v>
      </c>
      <c r="F924" s="2" t="s">
        <v>4155</v>
      </c>
      <c r="G924" s="2" t="s">
        <v>368</v>
      </c>
      <c r="H924" s="2">
        <v>0.0</v>
      </c>
      <c r="J924" s="3">
        <v>0.0</v>
      </c>
      <c r="K924" s="2" t="s">
        <v>571</v>
      </c>
      <c r="L924" s="2"/>
      <c r="M924" s="2" t="s">
        <v>468</v>
      </c>
      <c r="N924" s="2" t="s">
        <v>406</v>
      </c>
      <c r="O924" s="3">
        <v>0.5</v>
      </c>
      <c r="Q924" s="3">
        <v>0.0</v>
      </c>
      <c r="U924" s="141"/>
      <c r="X924" s="172">
        <v>46057.64278278935</v>
      </c>
      <c r="Y924" s="172"/>
      <c r="Z924" s="3">
        <v>46009.0</v>
      </c>
      <c r="AA924" s="3"/>
    </row>
    <row r="925">
      <c r="A925" s="3">
        <v>6.805252833539E12</v>
      </c>
      <c r="B925" s="2" t="s">
        <v>4156</v>
      </c>
      <c r="C925" s="2" t="s">
        <v>4154</v>
      </c>
      <c r="D925" s="169">
        <v>46009.0</v>
      </c>
      <c r="E925" s="173" t="s">
        <v>4157</v>
      </c>
      <c r="F925" s="2" t="s">
        <v>4155</v>
      </c>
      <c r="G925" s="2" t="s">
        <v>368</v>
      </c>
      <c r="H925" s="2">
        <v>3999.0</v>
      </c>
      <c r="I925" s="2">
        <v>2.1120050020519E13</v>
      </c>
      <c r="J925" s="3">
        <v>2.0</v>
      </c>
      <c r="K925" s="2" t="s">
        <v>511</v>
      </c>
      <c r="L925" s="2" t="s">
        <v>532</v>
      </c>
      <c r="M925" s="174" t="s">
        <v>409</v>
      </c>
      <c r="N925" s="2" t="s">
        <v>462</v>
      </c>
      <c r="O925" s="3">
        <v>0.5</v>
      </c>
      <c r="P925" s="2" t="s">
        <v>73</v>
      </c>
      <c r="Q925" s="3">
        <v>1700.0</v>
      </c>
      <c r="T925" s="2" t="s">
        <v>777</v>
      </c>
      <c r="U925" s="171">
        <v>3999.0</v>
      </c>
      <c r="V925" s="172">
        <v>46014.0</v>
      </c>
      <c r="W925" s="3">
        <v>280.0</v>
      </c>
      <c r="X925" s="172">
        <v>46010.608553240745</v>
      </c>
      <c r="Y925" s="172"/>
      <c r="Z925" s="3">
        <v>46009.0</v>
      </c>
      <c r="AA925" s="3"/>
    </row>
    <row r="926">
      <c r="A926" s="3">
        <v>6.805258961155E12</v>
      </c>
      <c r="B926" s="2" t="s">
        <v>4158</v>
      </c>
      <c r="C926" s="2" t="s">
        <v>4159</v>
      </c>
      <c r="D926" s="169">
        <v>46009.0</v>
      </c>
      <c r="E926" s="2">
        <v>3.007888503E9</v>
      </c>
      <c r="F926" s="2" t="s">
        <v>4160</v>
      </c>
      <c r="G926" s="2" t="s">
        <v>493</v>
      </c>
      <c r="H926" s="2">
        <v>3999.0</v>
      </c>
      <c r="I926" s="2">
        <v>2.8120050020518E13</v>
      </c>
      <c r="J926" s="3">
        <v>2.0</v>
      </c>
      <c r="L926" s="2" t="s">
        <v>994</v>
      </c>
      <c r="M926" s="174" t="s">
        <v>409</v>
      </c>
      <c r="N926" s="2" t="s">
        <v>462</v>
      </c>
      <c r="O926" s="3">
        <v>0.5</v>
      </c>
      <c r="P926" s="2" t="s">
        <v>73</v>
      </c>
      <c r="Q926" s="3">
        <v>1700.0</v>
      </c>
      <c r="T926" s="2" t="s">
        <v>777</v>
      </c>
      <c r="U926" s="171">
        <v>3999.0</v>
      </c>
      <c r="V926" s="172">
        <v>46014.0</v>
      </c>
      <c r="W926" s="3">
        <v>387.0</v>
      </c>
      <c r="X926" s="172">
        <v>46012.68629629629</v>
      </c>
      <c r="Y926" s="172"/>
      <c r="Z926" s="3">
        <v>46009.0</v>
      </c>
      <c r="AA926" s="3"/>
    </row>
    <row r="927">
      <c r="A927" s="3">
        <v>6.805298807043E12</v>
      </c>
      <c r="B927" s="2" t="s">
        <v>4161</v>
      </c>
      <c r="C927" s="2" t="s">
        <v>4162</v>
      </c>
      <c r="D927" s="169">
        <v>46009.0</v>
      </c>
      <c r="E927" s="173" t="s">
        <v>4163</v>
      </c>
      <c r="F927" s="2" t="s">
        <v>4164</v>
      </c>
      <c r="G927" s="2" t="s">
        <v>688</v>
      </c>
      <c r="H927" s="2">
        <v>0.0</v>
      </c>
      <c r="I927" s="2">
        <v>2.4120050020517E13</v>
      </c>
      <c r="J927" s="3">
        <v>0.0</v>
      </c>
      <c r="K927" s="2" t="s">
        <v>4165</v>
      </c>
      <c r="L927" s="2"/>
      <c r="M927" s="170" t="s">
        <v>455</v>
      </c>
      <c r="N927" s="2" t="s">
        <v>406</v>
      </c>
      <c r="O927" s="3">
        <v>0.5</v>
      </c>
      <c r="P927" s="2" t="s">
        <v>363</v>
      </c>
      <c r="Q927" s="3">
        <v>0.0</v>
      </c>
      <c r="T927" s="2" t="s">
        <v>2140</v>
      </c>
      <c r="U927" s="171">
        <v>0.0</v>
      </c>
      <c r="V927" s="172">
        <v>46021.0</v>
      </c>
      <c r="W927" s="3">
        <v>220.0</v>
      </c>
      <c r="X927" s="172">
        <v>46057.64278278935</v>
      </c>
      <c r="Y927" s="172"/>
      <c r="Z927" s="3">
        <v>46009.0</v>
      </c>
      <c r="AA927" s="3"/>
    </row>
    <row r="928">
      <c r="A928" s="3">
        <v>6.805591949571E12</v>
      </c>
      <c r="B928" s="2" t="s">
        <v>4166</v>
      </c>
      <c r="C928" s="2" t="s">
        <v>4167</v>
      </c>
      <c r="D928" s="169">
        <v>46009.0</v>
      </c>
      <c r="E928" s="2">
        <v>3.004444323E9</v>
      </c>
      <c r="F928" s="2" t="s">
        <v>4168</v>
      </c>
      <c r="G928" s="2" t="s">
        <v>368</v>
      </c>
      <c r="H928" s="2">
        <v>3099.0</v>
      </c>
      <c r="I928" s="2">
        <v>2.6120050020507E13</v>
      </c>
      <c r="J928" s="3">
        <v>2.0</v>
      </c>
      <c r="L928" s="2" t="s">
        <v>275</v>
      </c>
      <c r="M928" s="174" t="s">
        <v>409</v>
      </c>
      <c r="N928" s="2" t="s">
        <v>462</v>
      </c>
      <c r="O928" s="3">
        <v>0.5</v>
      </c>
      <c r="P928" s="2" t="s">
        <v>363</v>
      </c>
      <c r="Q928" s="3">
        <v>960.0</v>
      </c>
      <c r="T928" s="2" t="s">
        <v>777</v>
      </c>
      <c r="U928" s="171">
        <v>3099.0</v>
      </c>
      <c r="V928" s="172">
        <v>46014.0</v>
      </c>
      <c r="W928" s="3">
        <v>231.0</v>
      </c>
      <c r="X928" s="172">
        <v>46011.541851851856</v>
      </c>
      <c r="Y928" s="172"/>
      <c r="Z928" s="3">
        <v>46009.0</v>
      </c>
      <c r="AA928" s="3"/>
    </row>
    <row r="929">
      <c r="A929" s="3">
        <v>6.805605777667E12</v>
      </c>
      <c r="B929" s="2" t="s">
        <v>4169</v>
      </c>
      <c r="C929" s="2" t="s">
        <v>4170</v>
      </c>
      <c r="D929" s="169">
        <v>46009.0</v>
      </c>
      <c r="E929" s="2">
        <v>3.333015555E9</v>
      </c>
      <c r="F929" s="2" t="s">
        <v>4171</v>
      </c>
      <c r="G929" s="2" t="s">
        <v>506</v>
      </c>
      <c r="H929" s="2">
        <v>0.0</v>
      </c>
      <c r="J929" s="3">
        <v>0.0</v>
      </c>
      <c r="K929" s="2" t="s">
        <v>4172</v>
      </c>
      <c r="L929" s="2"/>
      <c r="M929" s="2" t="s">
        <v>468</v>
      </c>
      <c r="N929" s="2" t="s">
        <v>406</v>
      </c>
      <c r="O929" s="3">
        <v>0.5</v>
      </c>
      <c r="Q929" s="3">
        <v>0.0</v>
      </c>
      <c r="U929" s="141"/>
      <c r="X929" s="172">
        <v>46057.64278278935</v>
      </c>
      <c r="Y929" s="172"/>
      <c r="Z929" s="3">
        <v>46009.0</v>
      </c>
      <c r="AA929" s="3"/>
    </row>
    <row r="930">
      <c r="A930" s="3">
        <v>6.805652013315E12</v>
      </c>
      <c r="B930" s="2" t="s">
        <v>4173</v>
      </c>
      <c r="C930" s="2" t="s">
        <v>4174</v>
      </c>
      <c r="D930" s="169">
        <v>46009.0</v>
      </c>
      <c r="E930" s="2">
        <v>3.158234425E9</v>
      </c>
      <c r="F930" s="2" t="s">
        <v>4175</v>
      </c>
      <c r="G930" s="2" t="s">
        <v>493</v>
      </c>
      <c r="H930" s="2">
        <v>0.0</v>
      </c>
      <c r="I930" s="2">
        <v>2.5120050020516E13</v>
      </c>
      <c r="J930" s="3">
        <v>0.0</v>
      </c>
      <c r="K930" s="2" t="s">
        <v>4176</v>
      </c>
      <c r="L930" s="2"/>
      <c r="M930" s="170" t="s">
        <v>455</v>
      </c>
      <c r="N930" s="2" t="s">
        <v>406</v>
      </c>
      <c r="O930" s="3">
        <v>0.5</v>
      </c>
      <c r="P930" s="2" t="s">
        <v>363</v>
      </c>
      <c r="Q930" s="3">
        <v>0.0</v>
      </c>
      <c r="T930" s="2" t="s">
        <v>2140</v>
      </c>
      <c r="U930" s="171">
        <v>0.0</v>
      </c>
      <c r="V930" s="172">
        <v>46021.0</v>
      </c>
      <c r="W930" s="3">
        <v>227.0</v>
      </c>
      <c r="X930" s="172">
        <v>46057.64278278935</v>
      </c>
      <c r="Y930" s="172"/>
      <c r="Z930" s="3">
        <v>46009.0</v>
      </c>
      <c r="AA930" s="3"/>
    </row>
    <row r="931">
      <c r="A931" s="3">
        <v>6.805660107011E12</v>
      </c>
      <c r="B931" s="2" t="s">
        <v>4177</v>
      </c>
      <c r="C931" s="2" t="s">
        <v>4178</v>
      </c>
      <c r="D931" s="169">
        <v>46009.0</v>
      </c>
      <c r="E931" s="2">
        <v>3.088662098E9</v>
      </c>
      <c r="F931" s="2" t="s">
        <v>4179</v>
      </c>
      <c r="G931" s="2" t="s">
        <v>541</v>
      </c>
      <c r="H931" s="2">
        <v>0.0</v>
      </c>
      <c r="I931" s="2">
        <v>2.0120050020515E13</v>
      </c>
      <c r="J931" s="3">
        <v>0.0</v>
      </c>
      <c r="K931" s="2" t="s">
        <v>4180</v>
      </c>
      <c r="L931" s="2"/>
      <c r="M931" s="170" t="s">
        <v>455</v>
      </c>
      <c r="N931" s="2" t="s">
        <v>406</v>
      </c>
      <c r="O931" s="3">
        <v>0.5</v>
      </c>
      <c r="P931" s="2" t="s">
        <v>363</v>
      </c>
      <c r="Q931" s="3">
        <v>0.0</v>
      </c>
      <c r="T931" s="2" t="s">
        <v>2140</v>
      </c>
      <c r="U931" s="171">
        <v>0.0</v>
      </c>
      <c r="V931" s="172">
        <v>46021.0</v>
      </c>
      <c r="W931" s="3">
        <v>200.0</v>
      </c>
      <c r="X931" s="172">
        <v>46057.64278278935</v>
      </c>
      <c r="Y931" s="172"/>
      <c r="Z931" s="3">
        <v>46009.0</v>
      </c>
      <c r="AA931" s="3"/>
    </row>
    <row r="932">
      <c r="A932" s="3">
        <v>6.805692907779E12</v>
      </c>
      <c r="B932" s="2" t="s">
        <v>4181</v>
      </c>
      <c r="C932" s="2" t="s">
        <v>3814</v>
      </c>
      <c r="D932" s="169">
        <v>46009.0</v>
      </c>
      <c r="E932" s="173" t="s">
        <v>4182</v>
      </c>
      <c r="F932" s="2" t="s">
        <v>3816</v>
      </c>
      <c r="G932" s="2" t="s">
        <v>368</v>
      </c>
      <c r="H932" s="2">
        <v>2397.0</v>
      </c>
      <c r="I932" s="2">
        <v>2.7120050020514E13</v>
      </c>
      <c r="J932" s="3">
        <v>1.0</v>
      </c>
      <c r="K932" s="2" t="s">
        <v>511</v>
      </c>
      <c r="L932" s="2" t="s">
        <v>557</v>
      </c>
      <c r="M932" s="174" t="s">
        <v>409</v>
      </c>
      <c r="N932" s="2" t="s">
        <v>462</v>
      </c>
      <c r="O932" s="3">
        <v>0.5</v>
      </c>
      <c r="P932" s="2" t="s">
        <v>363</v>
      </c>
      <c r="Q932" s="3">
        <v>850.0</v>
      </c>
      <c r="T932" s="2" t="s">
        <v>777</v>
      </c>
      <c r="U932" s="3">
        <v>2397.0</v>
      </c>
      <c r="V932" s="172">
        <v>46014.0</v>
      </c>
      <c r="W932" s="3">
        <v>230.0</v>
      </c>
      <c r="X932" s="172">
        <v>46010.562002314815</v>
      </c>
      <c r="Y932" s="172"/>
      <c r="Z932" s="3">
        <v>46009.0</v>
      </c>
      <c r="AA932" s="3"/>
    </row>
    <row r="933">
      <c r="A933" s="3">
        <v>6.805694939395E12</v>
      </c>
      <c r="B933" s="2" t="s">
        <v>4183</v>
      </c>
      <c r="C933" s="2" t="s">
        <v>4184</v>
      </c>
      <c r="D933" s="169">
        <v>46009.0</v>
      </c>
      <c r="E933" s="2">
        <v>3.003245169E9</v>
      </c>
      <c r="F933" s="2" t="s">
        <v>4185</v>
      </c>
      <c r="G933" s="2" t="s">
        <v>4186</v>
      </c>
      <c r="H933" s="2">
        <v>0.0</v>
      </c>
      <c r="I933" s="2">
        <v>1.7300916726E11</v>
      </c>
      <c r="J933" s="3">
        <v>0.0</v>
      </c>
      <c r="K933" s="2" t="s">
        <v>4187</v>
      </c>
      <c r="L933" s="2"/>
      <c r="M933" s="170" t="s">
        <v>455</v>
      </c>
      <c r="N933" s="2" t="s">
        <v>406</v>
      </c>
      <c r="O933" s="3">
        <v>0.5</v>
      </c>
      <c r="P933" s="2" t="s">
        <v>501</v>
      </c>
      <c r="Q933" s="3">
        <v>0.0</v>
      </c>
      <c r="T933" s="2" t="s">
        <v>3376</v>
      </c>
      <c r="U933" s="141"/>
      <c r="W933" s="3">
        <v>292.2</v>
      </c>
      <c r="X933" s="172">
        <v>46057.64278278935</v>
      </c>
      <c r="Y933" s="172"/>
      <c r="Z933" s="3">
        <v>46009.0</v>
      </c>
      <c r="AA933" s="3"/>
    </row>
    <row r="934">
      <c r="A934" s="3">
        <v>6.805700215043E12</v>
      </c>
      <c r="B934" s="2" t="s">
        <v>4188</v>
      </c>
      <c r="C934" s="2" t="s">
        <v>4189</v>
      </c>
      <c r="D934" s="169">
        <v>46009.0</v>
      </c>
      <c r="E934" s="2">
        <v>3.339232121E9</v>
      </c>
      <c r="F934" s="2" t="s">
        <v>4190</v>
      </c>
      <c r="G934" s="2" t="s">
        <v>4191</v>
      </c>
      <c r="H934" s="2">
        <v>0.0</v>
      </c>
      <c r="J934" s="3">
        <v>0.0</v>
      </c>
      <c r="K934" s="2" t="s">
        <v>4192</v>
      </c>
      <c r="L934" s="2"/>
      <c r="M934" s="2" t="s">
        <v>468</v>
      </c>
      <c r="N934" s="2" t="s">
        <v>406</v>
      </c>
      <c r="O934" s="3">
        <v>0.5</v>
      </c>
      <c r="Q934" s="3">
        <v>0.0</v>
      </c>
      <c r="U934" s="141"/>
      <c r="X934" s="172">
        <v>46057.64278278935</v>
      </c>
      <c r="Y934" s="172"/>
      <c r="Z934" s="3">
        <v>46009.0</v>
      </c>
      <c r="AA934" s="3"/>
    </row>
    <row r="935">
      <c r="A935" s="3">
        <v>6.805711487235E12</v>
      </c>
      <c r="B935" s="2" t="s">
        <v>4193</v>
      </c>
      <c r="C935" s="2" t="s">
        <v>4194</v>
      </c>
      <c r="D935" s="169">
        <v>46009.0</v>
      </c>
      <c r="E935" s="2">
        <v>3.337433306E9</v>
      </c>
      <c r="F935" s="2" t="s">
        <v>4195</v>
      </c>
      <c r="G935" s="2" t="s">
        <v>1044</v>
      </c>
      <c r="H935" s="2">
        <v>5247.0</v>
      </c>
      <c r="I935" s="2">
        <v>2.2120050020513E13</v>
      </c>
      <c r="J935" s="3">
        <v>2.0</v>
      </c>
      <c r="L935" s="2" t="s">
        <v>4196</v>
      </c>
      <c r="M935" s="174" t="s">
        <v>409</v>
      </c>
      <c r="N935" s="2" t="s">
        <v>462</v>
      </c>
      <c r="O935" s="3">
        <v>0.5</v>
      </c>
      <c r="P935" s="2" t="s">
        <v>363</v>
      </c>
      <c r="Q935" s="3">
        <v>2250.0</v>
      </c>
      <c r="T935" s="2" t="s">
        <v>777</v>
      </c>
      <c r="U935" s="171">
        <v>5247.0</v>
      </c>
      <c r="V935" s="172">
        <v>46014.0</v>
      </c>
      <c r="W935" s="3">
        <v>430.0</v>
      </c>
      <c r="X935" s="172">
        <v>46013.696747685186</v>
      </c>
      <c r="Y935" s="172"/>
      <c r="Z935" s="3">
        <v>46009.0</v>
      </c>
      <c r="AA935" s="3"/>
    </row>
    <row r="936">
      <c r="A936" s="3">
        <v>6.805746811139E12</v>
      </c>
      <c r="B936" s="2" t="s">
        <v>4197</v>
      </c>
      <c r="C936" s="2" t="s">
        <v>4198</v>
      </c>
      <c r="D936" s="169">
        <v>46009.0</v>
      </c>
      <c r="E936" s="2">
        <v>3.405990942E9</v>
      </c>
      <c r="F936" s="2" t="s">
        <v>4199</v>
      </c>
      <c r="G936" s="2" t="s">
        <v>506</v>
      </c>
      <c r="H936" s="2">
        <v>2748.0</v>
      </c>
      <c r="I936" s="2">
        <v>2.0120050020508E13</v>
      </c>
      <c r="J936" s="3">
        <v>1.0</v>
      </c>
      <c r="L936" s="2" t="s">
        <v>4200</v>
      </c>
      <c r="M936" s="174" t="s">
        <v>409</v>
      </c>
      <c r="N936" s="2" t="s">
        <v>462</v>
      </c>
      <c r="O936" s="3">
        <v>0.5</v>
      </c>
      <c r="P936" s="2" t="s">
        <v>363</v>
      </c>
      <c r="Q936" s="3">
        <v>1300.0</v>
      </c>
      <c r="T936" s="2" t="s">
        <v>777</v>
      </c>
      <c r="U936" s="171">
        <v>2748.0</v>
      </c>
      <c r="V936" s="172">
        <v>46014.0</v>
      </c>
      <c r="W936" s="3">
        <v>310.0</v>
      </c>
      <c r="X936" s="172">
        <v>46011.44399305555</v>
      </c>
      <c r="Y936" s="172"/>
      <c r="Z936" s="3">
        <v>46009.0</v>
      </c>
      <c r="AA936" s="3"/>
    </row>
    <row r="937">
      <c r="A937" s="3">
        <v>6.805762310403E12</v>
      </c>
      <c r="B937" s="2" t="s">
        <v>4201</v>
      </c>
      <c r="C937" s="2" t="s">
        <v>4202</v>
      </c>
      <c r="D937" s="169">
        <v>46009.0</v>
      </c>
      <c r="E937" s="2">
        <v>3.406268586E9</v>
      </c>
      <c r="F937" s="2" t="s">
        <v>4203</v>
      </c>
      <c r="G937" s="2" t="s">
        <v>493</v>
      </c>
      <c r="H937" s="2">
        <v>0.0</v>
      </c>
      <c r="I937" s="2">
        <v>2.9120050020512E13</v>
      </c>
      <c r="J937" s="3">
        <v>0.0</v>
      </c>
      <c r="K937" s="2" t="s">
        <v>4204</v>
      </c>
      <c r="L937" s="2"/>
      <c r="M937" s="170" t="s">
        <v>455</v>
      </c>
      <c r="N937" s="2" t="s">
        <v>406</v>
      </c>
      <c r="O937" s="3">
        <v>0.5</v>
      </c>
      <c r="P937" s="2" t="s">
        <v>363</v>
      </c>
      <c r="Q937" s="3">
        <v>0.0</v>
      </c>
      <c r="T937" s="2" t="s">
        <v>3833</v>
      </c>
      <c r="U937" s="171">
        <v>0.0</v>
      </c>
      <c r="V937" s="172">
        <v>46024.0</v>
      </c>
      <c r="W937" s="3">
        <v>226.78</v>
      </c>
      <c r="X937" s="172">
        <v>46057.64278278935</v>
      </c>
      <c r="Y937" s="172"/>
      <c r="Z937" s="3">
        <v>46009.0</v>
      </c>
      <c r="AA937" s="3"/>
    </row>
    <row r="938">
      <c r="A938" s="3">
        <v>6.805797929219E12</v>
      </c>
      <c r="B938" s="2" t="s">
        <v>4205</v>
      </c>
      <c r="C938" s="2" t="s">
        <v>2243</v>
      </c>
      <c r="D938" s="169">
        <v>46009.0</v>
      </c>
      <c r="E938" s="173" t="s">
        <v>4206</v>
      </c>
      <c r="F938" s="2" t="s">
        <v>4207</v>
      </c>
      <c r="G938" s="2" t="s">
        <v>506</v>
      </c>
      <c r="H938" s="2">
        <v>3099.0</v>
      </c>
      <c r="I938" s="2">
        <v>2.9120050020529E13</v>
      </c>
      <c r="J938" s="3">
        <v>2.0</v>
      </c>
      <c r="K938" s="2" t="s">
        <v>4208</v>
      </c>
      <c r="L938" s="2" t="s">
        <v>4209</v>
      </c>
      <c r="M938" s="174" t="s">
        <v>409</v>
      </c>
      <c r="N938" s="2" t="s">
        <v>462</v>
      </c>
      <c r="O938" s="3">
        <v>0.5</v>
      </c>
      <c r="P938" s="2" t="s">
        <v>363</v>
      </c>
      <c r="Q938" s="3">
        <v>920.0</v>
      </c>
      <c r="T938" s="2" t="s">
        <v>777</v>
      </c>
      <c r="U938" s="3">
        <v>3099.0</v>
      </c>
      <c r="V938" s="172">
        <v>46014.0</v>
      </c>
      <c r="W938" s="3">
        <v>314.0</v>
      </c>
      <c r="X938" s="172">
        <v>46011.55644675926</v>
      </c>
      <c r="Y938" s="172"/>
      <c r="Z938" s="3">
        <v>46009.0</v>
      </c>
      <c r="AA938" s="3"/>
    </row>
    <row r="939">
      <c r="A939" s="3">
        <v>6.805843116291E12</v>
      </c>
      <c r="B939" s="2" t="s">
        <v>4210</v>
      </c>
      <c r="C939" s="2" t="s">
        <v>4211</v>
      </c>
      <c r="D939" s="169">
        <v>46009.0</v>
      </c>
      <c r="E939" s="2">
        <v>3.110554535E9</v>
      </c>
      <c r="F939" s="2" t="s">
        <v>4212</v>
      </c>
      <c r="G939" s="2" t="s">
        <v>493</v>
      </c>
      <c r="H939" s="2">
        <v>0.0</v>
      </c>
      <c r="I939" s="2">
        <v>2.1120050020509E13</v>
      </c>
      <c r="J939" s="3">
        <v>0.0</v>
      </c>
      <c r="K939" s="2" t="s">
        <v>4213</v>
      </c>
      <c r="L939" s="2"/>
      <c r="M939" s="170" t="s">
        <v>455</v>
      </c>
      <c r="N939" s="2" t="s">
        <v>406</v>
      </c>
      <c r="O939" s="3">
        <v>0.5</v>
      </c>
      <c r="P939" s="2" t="s">
        <v>73</v>
      </c>
      <c r="Q939" s="3">
        <v>0.0</v>
      </c>
      <c r="T939" s="2" t="s">
        <v>3833</v>
      </c>
      <c r="U939" s="171">
        <v>0.0</v>
      </c>
      <c r="V939" s="172">
        <v>46024.0</v>
      </c>
      <c r="W939" s="3">
        <v>213.44</v>
      </c>
      <c r="X939" s="172">
        <v>46057.64278278935</v>
      </c>
      <c r="Y939" s="172"/>
      <c r="Z939" s="3">
        <v>46009.0</v>
      </c>
      <c r="AA939" s="3"/>
    </row>
    <row r="940">
      <c r="A940" s="3">
        <v>6.805846327555E12</v>
      </c>
      <c r="B940" s="2" t="s">
        <v>4214</v>
      </c>
      <c r="C940" s="2" t="s">
        <v>4215</v>
      </c>
      <c r="D940" s="169">
        <v>46009.0</v>
      </c>
      <c r="E940" s="173" t="s">
        <v>4216</v>
      </c>
      <c r="F940" s="2" t="s">
        <v>4217</v>
      </c>
      <c r="G940" s="2" t="s">
        <v>368</v>
      </c>
      <c r="H940" s="2">
        <v>2748.0</v>
      </c>
      <c r="I940" s="2">
        <v>2.412005002051E13</v>
      </c>
      <c r="J940" s="3">
        <v>1.0</v>
      </c>
      <c r="L940" s="2" t="s">
        <v>2436</v>
      </c>
      <c r="M940" s="174" t="s">
        <v>409</v>
      </c>
      <c r="N940" s="2" t="s">
        <v>462</v>
      </c>
      <c r="O940" s="3">
        <v>0.5</v>
      </c>
      <c r="P940" s="2" t="s">
        <v>363</v>
      </c>
      <c r="Q940" s="3">
        <v>1400.0</v>
      </c>
      <c r="T940" s="2" t="s">
        <v>599</v>
      </c>
      <c r="U940" s="171">
        <v>2748.0</v>
      </c>
      <c r="V940" s="172">
        <v>46010.0</v>
      </c>
      <c r="W940" s="3">
        <v>217.0</v>
      </c>
      <c r="X940" s="172">
        <v>46010.46895833334</v>
      </c>
      <c r="Y940" s="172"/>
      <c r="Z940" s="3">
        <v>46009.0</v>
      </c>
      <c r="AA940" s="3"/>
    </row>
    <row r="941">
      <c r="A941" s="3">
        <v>6.805884600579E12</v>
      </c>
      <c r="B941" s="2" t="s">
        <v>4218</v>
      </c>
      <c r="C941" s="2" t="s">
        <v>4219</v>
      </c>
      <c r="D941" s="169">
        <v>46009.0</v>
      </c>
      <c r="E941" s="173" t="s">
        <v>4220</v>
      </c>
      <c r="F941" s="2" t="s">
        <v>4221</v>
      </c>
      <c r="G941" s="2" t="s">
        <v>493</v>
      </c>
      <c r="H941" s="2">
        <v>3099.0</v>
      </c>
      <c r="I941" s="2">
        <v>2.1120050020528E13</v>
      </c>
      <c r="J941" s="3">
        <v>2.0</v>
      </c>
      <c r="K941" s="2" t="s">
        <v>511</v>
      </c>
      <c r="L941" s="2" t="s">
        <v>275</v>
      </c>
      <c r="M941" s="174" t="s">
        <v>409</v>
      </c>
      <c r="N941" s="2" t="s">
        <v>462</v>
      </c>
      <c r="O941" s="3">
        <v>0.5</v>
      </c>
      <c r="P941" s="2" t="s">
        <v>73</v>
      </c>
      <c r="Q941" s="3">
        <v>960.0</v>
      </c>
      <c r="T941" s="2" t="s">
        <v>777</v>
      </c>
      <c r="U941" s="171">
        <v>3099.0</v>
      </c>
      <c r="V941" s="172">
        <v>46014.0</v>
      </c>
      <c r="W941" s="3">
        <v>337.0</v>
      </c>
      <c r="X941" s="172">
        <v>46012.64184027778</v>
      </c>
      <c r="Y941" s="172"/>
      <c r="Z941" s="3">
        <v>46009.0</v>
      </c>
      <c r="AA941" s="3"/>
    </row>
    <row r="942">
      <c r="A942" s="3">
        <v>6.805897117955E12</v>
      </c>
      <c r="B942" s="2" t="s">
        <v>4222</v>
      </c>
      <c r="C942" s="2" t="s">
        <v>4223</v>
      </c>
      <c r="D942" s="169">
        <v>46009.0</v>
      </c>
      <c r="E942" s="2">
        <v>3.145529944E9</v>
      </c>
      <c r="F942" s="2" t="s">
        <v>4224</v>
      </c>
      <c r="G942" s="2" t="s">
        <v>4225</v>
      </c>
      <c r="H942" s="2">
        <v>3099.0</v>
      </c>
      <c r="I942" s="2">
        <v>2.4120050020511E13</v>
      </c>
      <c r="J942" s="3">
        <v>2.0</v>
      </c>
      <c r="L942" s="2" t="s">
        <v>1129</v>
      </c>
      <c r="M942" s="174" t="s">
        <v>409</v>
      </c>
      <c r="N942" s="2" t="s">
        <v>462</v>
      </c>
      <c r="O942" s="3">
        <v>0.5</v>
      </c>
      <c r="P942" s="2" t="s">
        <v>363</v>
      </c>
      <c r="Q942" s="3">
        <v>960.0</v>
      </c>
      <c r="T942" s="2" t="s">
        <v>777</v>
      </c>
      <c r="U942" s="171">
        <v>3099.0</v>
      </c>
      <c r="V942" s="172">
        <v>46014.0</v>
      </c>
      <c r="W942" s="3">
        <v>324.0</v>
      </c>
      <c r="X942" s="172">
        <v>46011.75309027778</v>
      </c>
      <c r="Y942" s="172"/>
      <c r="Z942" s="3">
        <v>46009.0</v>
      </c>
      <c r="AA942" s="3"/>
    </row>
    <row r="943">
      <c r="A943" s="3">
        <v>6.805922447619E12</v>
      </c>
      <c r="B943" s="2" t="s">
        <v>4226</v>
      </c>
      <c r="C943" s="2" t="s">
        <v>3220</v>
      </c>
      <c r="D943" s="169">
        <v>46009.0</v>
      </c>
      <c r="E943" s="173" t="s">
        <v>4227</v>
      </c>
      <c r="F943" s="2" t="s">
        <v>3221</v>
      </c>
      <c r="G943" s="2" t="s">
        <v>374</v>
      </c>
      <c r="H943" s="2">
        <v>1250.0</v>
      </c>
      <c r="I943" s="2">
        <v>2.312005002053E13</v>
      </c>
      <c r="J943" s="3">
        <v>1.0</v>
      </c>
      <c r="K943" s="2" t="s">
        <v>4228</v>
      </c>
      <c r="L943" s="2" t="s">
        <v>2154</v>
      </c>
      <c r="M943" s="174" t="s">
        <v>409</v>
      </c>
      <c r="N943" s="2" t="s">
        <v>462</v>
      </c>
      <c r="O943" s="3">
        <v>0.5</v>
      </c>
      <c r="P943" s="2" t="s">
        <v>363</v>
      </c>
      <c r="Q943" s="3">
        <v>490.0</v>
      </c>
      <c r="T943" s="2" t="s">
        <v>777</v>
      </c>
      <c r="U943" s="3">
        <v>1250.0</v>
      </c>
      <c r="V943" s="172">
        <v>46014.0</v>
      </c>
      <c r="W943" s="3">
        <v>200.0</v>
      </c>
      <c r="X943" s="172">
        <v>46010.77116898148</v>
      </c>
      <c r="Y943" s="172"/>
      <c r="Z943" s="3">
        <v>46009.0</v>
      </c>
      <c r="AA943" s="3"/>
    </row>
    <row r="944">
      <c r="A944" s="3">
        <v>6.805930279171E12</v>
      </c>
      <c r="B944" s="2" t="s">
        <v>4229</v>
      </c>
      <c r="C944" s="2" t="s">
        <v>2025</v>
      </c>
      <c r="D944" s="169">
        <v>46009.0</v>
      </c>
      <c r="E944" s="2">
        <v>3.21203305E9</v>
      </c>
      <c r="F944" s="2" t="s">
        <v>2026</v>
      </c>
      <c r="G944" s="2" t="s">
        <v>2027</v>
      </c>
      <c r="H944" s="2">
        <v>2748.0</v>
      </c>
      <c r="I944" s="2">
        <v>2.6120050020577E13</v>
      </c>
      <c r="J944" s="3">
        <v>1.0</v>
      </c>
      <c r="L944" s="2" t="s">
        <v>2028</v>
      </c>
      <c r="M944" s="174" t="s">
        <v>409</v>
      </c>
      <c r="N944" s="2" t="s">
        <v>462</v>
      </c>
      <c r="O944" s="3">
        <v>0.5</v>
      </c>
      <c r="P944" s="2" t="s">
        <v>363</v>
      </c>
      <c r="Q944" s="3">
        <v>1400.0</v>
      </c>
      <c r="T944" s="2" t="s">
        <v>777</v>
      </c>
      <c r="U944" s="171">
        <v>2748.0</v>
      </c>
      <c r="V944" s="172">
        <v>46014.0</v>
      </c>
      <c r="W944" s="3">
        <v>323.0</v>
      </c>
      <c r="X944" s="172">
        <v>46013.62520833334</v>
      </c>
      <c r="Y944" s="172"/>
      <c r="Z944" s="3">
        <v>46009.0</v>
      </c>
      <c r="AA944" s="3"/>
    </row>
    <row r="945">
      <c r="A945" s="3">
        <v>6.805952856323E12</v>
      </c>
      <c r="B945" s="2" t="s">
        <v>4230</v>
      </c>
      <c r="C945" s="2" t="s">
        <v>4231</v>
      </c>
      <c r="D945" s="169">
        <v>46009.0</v>
      </c>
      <c r="E945" s="173" t="s">
        <v>4232</v>
      </c>
      <c r="F945" s="2" t="s">
        <v>4233</v>
      </c>
      <c r="G945" s="2" t="s">
        <v>1434</v>
      </c>
      <c r="H945" s="2">
        <v>1700.0</v>
      </c>
      <c r="I945" s="2">
        <v>2.9120050020544E13</v>
      </c>
      <c r="J945" s="3">
        <v>1.0</v>
      </c>
      <c r="K945" s="2" t="s">
        <v>4234</v>
      </c>
      <c r="L945" s="2" t="s">
        <v>500</v>
      </c>
      <c r="M945" s="174" t="s">
        <v>409</v>
      </c>
      <c r="N945" s="2" t="s">
        <v>462</v>
      </c>
      <c r="O945" s="3">
        <v>0.5</v>
      </c>
      <c r="P945" s="2" t="s">
        <v>363</v>
      </c>
      <c r="Q945" s="3">
        <v>850.0</v>
      </c>
      <c r="T945" s="2" t="s">
        <v>1468</v>
      </c>
      <c r="U945" s="3">
        <v>1700.0</v>
      </c>
      <c r="V945" s="172">
        <v>46017.0</v>
      </c>
      <c r="W945" s="3">
        <v>358.0</v>
      </c>
      <c r="X945" s="172">
        <v>46014.74480324074</v>
      </c>
      <c r="Y945" s="172"/>
      <c r="Z945" s="3">
        <v>46009.0</v>
      </c>
      <c r="AA945" s="3"/>
    </row>
    <row r="946">
      <c r="A946" s="3">
        <v>6.805955641603E12</v>
      </c>
      <c r="B946" s="2" t="s">
        <v>4235</v>
      </c>
      <c r="C946" s="2" t="s">
        <v>4236</v>
      </c>
      <c r="D946" s="169">
        <v>46009.0</v>
      </c>
      <c r="E946" s="2">
        <v>3.445616423E9</v>
      </c>
      <c r="F946" s="2" t="s">
        <v>4237</v>
      </c>
      <c r="G946" s="2" t="s">
        <v>4238</v>
      </c>
      <c r="H946" s="2">
        <v>0.0</v>
      </c>
      <c r="J946" s="3">
        <v>0.0</v>
      </c>
      <c r="K946" s="2" t="s">
        <v>4239</v>
      </c>
      <c r="L946" s="2"/>
      <c r="M946" s="2" t="s">
        <v>468</v>
      </c>
      <c r="N946" s="2" t="s">
        <v>406</v>
      </c>
      <c r="O946" s="3">
        <v>0.5</v>
      </c>
      <c r="Q946" s="3">
        <v>0.0</v>
      </c>
      <c r="U946" s="141"/>
      <c r="X946" s="172">
        <v>46057.64278278935</v>
      </c>
      <c r="Y946" s="172"/>
      <c r="Z946" s="3">
        <v>46009.0</v>
      </c>
      <c r="AA946" s="3"/>
    </row>
    <row r="947">
      <c r="A947" s="3">
        <v>6.805956198659E12</v>
      </c>
      <c r="B947" s="2" t="s">
        <v>4240</v>
      </c>
      <c r="C947" s="2" t="s">
        <v>4241</v>
      </c>
      <c r="D947" s="169">
        <v>46009.0</v>
      </c>
      <c r="E947" s="2">
        <v>3.35974431E9</v>
      </c>
      <c r="F947" s="2" t="s">
        <v>4242</v>
      </c>
      <c r="G947" s="2" t="s">
        <v>781</v>
      </c>
      <c r="H947" s="2">
        <v>3099.0</v>
      </c>
      <c r="I947" s="2">
        <v>2.0120050020576E13</v>
      </c>
      <c r="J947" s="3">
        <v>2.0</v>
      </c>
      <c r="L947" s="2" t="s">
        <v>50</v>
      </c>
      <c r="M947" s="174" t="s">
        <v>409</v>
      </c>
      <c r="N947" s="2" t="s">
        <v>462</v>
      </c>
      <c r="O947" s="3">
        <v>0.5</v>
      </c>
      <c r="P947" s="2" t="s">
        <v>363</v>
      </c>
      <c r="Q947" s="3">
        <v>920.0</v>
      </c>
      <c r="T947" s="2" t="s">
        <v>777</v>
      </c>
      <c r="U947" s="171">
        <v>3099.0</v>
      </c>
      <c r="V947" s="172">
        <v>46014.0</v>
      </c>
      <c r="W947" s="3">
        <v>337.0</v>
      </c>
      <c r="X947" s="172">
        <v>46013.67811342592</v>
      </c>
      <c r="Y947" s="172"/>
      <c r="Z947" s="3">
        <v>46009.0</v>
      </c>
      <c r="AA947" s="3"/>
    </row>
    <row r="948">
      <c r="A948" s="3">
        <v>6.805962588419E12</v>
      </c>
      <c r="B948" s="2" t="s">
        <v>4243</v>
      </c>
      <c r="C948" s="2" t="s">
        <v>4244</v>
      </c>
      <c r="D948" s="169">
        <v>46009.0</v>
      </c>
      <c r="E948" s="2">
        <v>3.006729697E9</v>
      </c>
      <c r="F948" s="2" t="s">
        <v>4245</v>
      </c>
      <c r="G948" s="2" t="s">
        <v>1044</v>
      </c>
      <c r="H948" s="2">
        <v>2749.0</v>
      </c>
      <c r="I948" s="2">
        <v>2.2120050020575E13</v>
      </c>
      <c r="J948" s="3">
        <v>2.0</v>
      </c>
      <c r="L948" s="2" t="s">
        <v>926</v>
      </c>
      <c r="M948" s="174" t="s">
        <v>409</v>
      </c>
      <c r="N948" s="2" t="s">
        <v>462</v>
      </c>
      <c r="O948" s="3">
        <v>0.5</v>
      </c>
      <c r="P948" s="2" t="s">
        <v>363</v>
      </c>
      <c r="Q948" s="3">
        <v>980.0</v>
      </c>
      <c r="T948" s="2" t="s">
        <v>777</v>
      </c>
      <c r="U948" s="171">
        <v>2749.0</v>
      </c>
      <c r="V948" s="172">
        <v>46014.0</v>
      </c>
      <c r="W948" s="3">
        <v>310.0</v>
      </c>
      <c r="X948" s="172">
        <v>46013.70601851852</v>
      </c>
      <c r="Y948" s="172"/>
      <c r="Z948" s="3">
        <v>46009.0</v>
      </c>
      <c r="AA948" s="3"/>
    </row>
    <row r="949">
      <c r="A949" s="3">
        <v>6.805978710275E12</v>
      </c>
      <c r="B949" s="2" t="s">
        <v>4246</v>
      </c>
      <c r="C949" s="2" t="s">
        <v>3703</v>
      </c>
      <c r="D949" s="169">
        <v>46009.0</v>
      </c>
      <c r="E949" s="173" t="s">
        <v>3707</v>
      </c>
      <c r="F949" s="2" t="s">
        <v>3704</v>
      </c>
      <c r="G949" s="2" t="s">
        <v>3705</v>
      </c>
      <c r="H949" s="2">
        <v>4250.0</v>
      </c>
      <c r="I949" s="2">
        <v>2.8120050020543E13</v>
      </c>
      <c r="J949" s="3">
        <v>2.0</v>
      </c>
      <c r="K949" s="2" t="s">
        <v>4247</v>
      </c>
      <c r="L949" s="2" t="s">
        <v>913</v>
      </c>
      <c r="M949" s="174" t="s">
        <v>409</v>
      </c>
      <c r="N949" s="2" t="s">
        <v>462</v>
      </c>
      <c r="O949" s="3">
        <v>0.5</v>
      </c>
      <c r="P949" s="2" t="s">
        <v>73</v>
      </c>
      <c r="Q949" s="3">
        <v>1700.0</v>
      </c>
      <c r="T949" s="2" t="s">
        <v>777</v>
      </c>
      <c r="U949" s="171">
        <v>4250.0</v>
      </c>
      <c r="V949" s="172">
        <v>46014.0</v>
      </c>
      <c r="W949" s="3">
        <v>390.0</v>
      </c>
      <c r="X949" s="172">
        <v>46013.57035879629</v>
      </c>
      <c r="Y949" s="172"/>
      <c r="Z949" s="3">
        <v>46009.0</v>
      </c>
      <c r="AA949" s="3"/>
    </row>
    <row r="950">
      <c r="A950" s="3">
        <v>6.806004269315E12</v>
      </c>
      <c r="B950" s="2" t="s">
        <v>4248</v>
      </c>
      <c r="C950" s="2" t="s">
        <v>4249</v>
      </c>
      <c r="D950" s="169">
        <v>46009.0</v>
      </c>
      <c r="E950" s="2">
        <v>3.207007711E9</v>
      </c>
      <c r="F950" s="2" t="s">
        <v>4250</v>
      </c>
      <c r="G950" s="2" t="s">
        <v>678</v>
      </c>
      <c r="H950" s="2">
        <v>2299.0</v>
      </c>
      <c r="I950" s="2">
        <v>2.3120050020549E13</v>
      </c>
      <c r="J950" s="3">
        <v>1.0</v>
      </c>
      <c r="L950" s="2" t="s">
        <v>4251</v>
      </c>
      <c r="M950" s="174" t="s">
        <v>409</v>
      </c>
      <c r="N950" s="2" t="s">
        <v>462</v>
      </c>
      <c r="O950" s="3">
        <v>0.5</v>
      </c>
      <c r="P950" s="2" t="s">
        <v>363</v>
      </c>
      <c r="Q950" s="3">
        <v>850.0</v>
      </c>
      <c r="T950" s="2" t="s">
        <v>777</v>
      </c>
      <c r="U950" s="171">
        <v>2299.0</v>
      </c>
      <c r="V950" s="172">
        <v>46014.0</v>
      </c>
      <c r="W950" s="3">
        <v>199.0</v>
      </c>
      <c r="X950" s="172">
        <v>46011.52240740741</v>
      </c>
      <c r="Y950" s="172"/>
      <c r="Z950" s="3">
        <v>46009.0</v>
      </c>
      <c r="AA950" s="3"/>
    </row>
    <row r="951">
      <c r="A951" s="3">
        <v>6.806004629763E12</v>
      </c>
      <c r="B951" s="2" t="s">
        <v>4252</v>
      </c>
      <c r="C951" s="2" t="s">
        <v>4253</v>
      </c>
      <c r="D951" s="169">
        <v>46009.0</v>
      </c>
      <c r="E951" s="173" t="s">
        <v>4254</v>
      </c>
      <c r="F951" s="2" t="s">
        <v>4255</v>
      </c>
      <c r="G951" s="2" t="s">
        <v>4256</v>
      </c>
      <c r="H951" s="2">
        <v>1650.0</v>
      </c>
      <c r="I951" s="2">
        <v>2.1120050020574E13</v>
      </c>
      <c r="J951" s="3">
        <v>1.0</v>
      </c>
      <c r="K951" s="2" t="s">
        <v>1989</v>
      </c>
      <c r="L951" s="2" t="s">
        <v>243</v>
      </c>
      <c r="M951" s="174" t="s">
        <v>409</v>
      </c>
      <c r="N951" s="2" t="s">
        <v>462</v>
      </c>
      <c r="O951" s="3">
        <v>0.5</v>
      </c>
      <c r="P951" s="2" t="s">
        <v>73</v>
      </c>
      <c r="Q951" s="3">
        <v>460.0</v>
      </c>
      <c r="T951" s="2" t="s">
        <v>777</v>
      </c>
      <c r="U951" s="171">
        <v>1650.0</v>
      </c>
      <c r="V951" s="172">
        <v>46014.0</v>
      </c>
      <c r="W951" s="3">
        <v>266.0</v>
      </c>
      <c r="X951" s="172">
        <v>46013.478680555556</v>
      </c>
      <c r="Y951" s="172"/>
      <c r="Z951" s="3">
        <v>46009.0</v>
      </c>
      <c r="AA951" s="3"/>
    </row>
    <row r="952">
      <c r="A952" s="3">
        <v>6.806008791299E12</v>
      </c>
      <c r="B952" s="2" t="s">
        <v>4257</v>
      </c>
      <c r="C952" s="2" t="s">
        <v>4258</v>
      </c>
      <c r="D952" s="169">
        <v>46009.0</v>
      </c>
      <c r="E952" s="173" t="s">
        <v>4259</v>
      </c>
      <c r="F952" s="2" t="s">
        <v>4260</v>
      </c>
      <c r="G952" s="2" t="s">
        <v>506</v>
      </c>
      <c r="H952" s="2">
        <v>5349.0</v>
      </c>
      <c r="I952" s="2">
        <v>2.6120050020573E13</v>
      </c>
      <c r="J952" s="3">
        <v>3.0</v>
      </c>
      <c r="K952" s="173" t="s">
        <v>4261</v>
      </c>
      <c r="L952" s="2" t="s">
        <v>4262</v>
      </c>
      <c r="M952" s="174" t="s">
        <v>409</v>
      </c>
      <c r="N952" s="2" t="s">
        <v>462</v>
      </c>
      <c r="O952" s="3">
        <v>0.5</v>
      </c>
      <c r="P952" s="2" t="s">
        <v>363</v>
      </c>
      <c r="Q952" s="3">
        <v>2360.0</v>
      </c>
      <c r="T952" s="2" t="s">
        <v>1468</v>
      </c>
      <c r="U952" s="3">
        <v>5349.0</v>
      </c>
      <c r="V952" s="172">
        <v>46017.0</v>
      </c>
      <c r="W952" s="3">
        <v>220.0</v>
      </c>
      <c r="X952" s="172">
        <v>46014.60023148148</v>
      </c>
      <c r="Y952" s="172"/>
      <c r="Z952" s="3">
        <v>46009.0</v>
      </c>
      <c r="AA952" s="3"/>
    </row>
    <row r="953">
      <c r="A953" s="3">
        <v>6.806031499523E12</v>
      </c>
      <c r="B953" s="2" t="s">
        <v>4263</v>
      </c>
      <c r="C953" s="2" t="s">
        <v>4264</v>
      </c>
      <c r="D953" s="169">
        <v>46009.0</v>
      </c>
      <c r="E953" s="2">
        <v>3.144312845E9</v>
      </c>
      <c r="F953" s="2" t="s">
        <v>4265</v>
      </c>
      <c r="G953" s="2" t="s">
        <v>493</v>
      </c>
      <c r="H953" s="2">
        <v>0.0</v>
      </c>
      <c r="I953" s="2">
        <v>2.4120050020572E13</v>
      </c>
      <c r="J953" s="3">
        <v>0.0</v>
      </c>
      <c r="K953" s="2" t="s">
        <v>3840</v>
      </c>
      <c r="L953" s="2"/>
      <c r="M953" s="170" t="s">
        <v>455</v>
      </c>
      <c r="N953" s="2" t="s">
        <v>406</v>
      </c>
      <c r="O953" s="3">
        <v>0.5</v>
      </c>
      <c r="P953" s="2" t="s">
        <v>363</v>
      </c>
      <c r="Q953" s="3">
        <v>0.0</v>
      </c>
      <c r="T953" s="2" t="s">
        <v>3833</v>
      </c>
      <c r="U953" s="171">
        <v>0.0</v>
      </c>
      <c r="V953" s="172">
        <v>46024.0</v>
      </c>
      <c r="W953" s="3">
        <v>213.44</v>
      </c>
      <c r="X953" s="172">
        <v>46057.64278278935</v>
      </c>
      <c r="Y953" s="172"/>
      <c r="Z953" s="3">
        <v>46009.0</v>
      </c>
      <c r="AA953" s="3"/>
    </row>
    <row r="954">
      <c r="A954" s="3">
        <v>6.806045622531E12</v>
      </c>
      <c r="B954" s="2" t="s">
        <v>4266</v>
      </c>
      <c r="C954" s="2" t="s">
        <v>4267</v>
      </c>
      <c r="D954" s="169">
        <v>46009.0</v>
      </c>
      <c r="E954" s="2">
        <v>3.497301475E9</v>
      </c>
      <c r="F954" s="2" t="s">
        <v>4268</v>
      </c>
      <c r="G954" s="2" t="s">
        <v>4269</v>
      </c>
      <c r="H954" s="2">
        <v>0.0</v>
      </c>
      <c r="J954" s="3">
        <v>0.0</v>
      </c>
      <c r="K954" s="2" t="s">
        <v>4270</v>
      </c>
      <c r="L954" s="2"/>
      <c r="M954" s="2" t="s">
        <v>468</v>
      </c>
      <c r="N954" s="2" t="s">
        <v>406</v>
      </c>
      <c r="O954" s="3">
        <v>0.5</v>
      </c>
      <c r="Q954" s="3">
        <v>0.0</v>
      </c>
      <c r="U954" s="141"/>
      <c r="X954" s="172">
        <v>46057.64278278935</v>
      </c>
      <c r="Y954" s="172"/>
      <c r="Z954" s="3">
        <v>46009.0</v>
      </c>
      <c r="AA954" s="3"/>
    </row>
    <row r="955">
      <c r="A955" s="3">
        <v>6.806080094467E12</v>
      </c>
      <c r="B955" s="2" t="s">
        <v>4271</v>
      </c>
      <c r="C955" s="2" t="s">
        <v>4272</v>
      </c>
      <c r="D955" s="169">
        <v>46009.0</v>
      </c>
      <c r="E955" s="2">
        <v>3.702403911E9</v>
      </c>
      <c r="F955" s="2" t="s">
        <v>4273</v>
      </c>
      <c r="G955" s="2" t="s">
        <v>1873</v>
      </c>
      <c r="H955" s="2">
        <v>2748.0</v>
      </c>
      <c r="I955" s="2">
        <v>2.9120050020542E13</v>
      </c>
      <c r="J955" s="3">
        <v>1.0</v>
      </c>
      <c r="L955" s="2" t="s">
        <v>512</v>
      </c>
      <c r="M955" s="174" t="s">
        <v>409</v>
      </c>
      <c r="N955" s="2" t="s">
        <v>462</v>
      </c>
      <c r="O955" s="3">
        <v>0.5</v>
      </c>
      <c r="P955" s="2" t="s">
        <v>363</v>
      </c>
      <c r="Q955" s="3">
        <v>850.0</v>
      </c>
      <c r="T955" s="2" t="s">
        <v>777</v>
      </c>
      <c r="U955" s="171">
        <v>2748.0</v>
      </c>
      <c r="V955" s="172">
        <v>46014.0</v>
      </c>
      <c r="W955" s="3">
        <v>337.0</v>
      </c>
      <c r="X955" s="172">
        <v>46013.673888888894</v>
      </c>
      <c r="Y955" s="172"/>
      <c r="Z955" s="3">
        <v>46009.0</v>
      </c>
      <c r="AA955" s="3"/>
    </row>
    <row r="956">
      <c r="A956" s="3">
        <v>6.806084485379E12</v>
      </c>
      <c r="B956" s="2" t="s">
        <v>4274</v>
      </c>
      <c r="C956" s="2" t="s">
        <v>4275</v>
      </c>
      <c r="D956" s="169">
        <v>46009.0</v>
      </c>
      <c r="E956" s="2">
        <v>3.450311289E9</v>
      </c>
      <c r="F956" s="2" t="s">
        <v>4276</v>
      </c>
      <c r="G956" s="2" t="s">
        <v>493</v>
      </c>
      <c r="H956" s="2">
        <v>0.0</v>
      </c>
      <c r="I956" s="2">
        <v>2.4120050020571E13</v>
      </c>
      <c r="J956" s="3">
        <v>0.0</v>
      </c>
      <c r="K956" s="2" t="s">
        <v>4277</v>
      </c>
      <c r="L956" s="2"/>
      <c r="M956" s="170" t="s">
        <v>455</v>
      </c>
      <c r="N956" s="2" t="s">
        <v>406</v>
      </c>
      <c r="O956" s="3">
        <v>0.5</v>
      </c>
      <c r="P956" s="2" t="s">
        <v>363</v>
      </c>
      <c r="Q956" s="3">
        <v>0.0</v>
      </c>
      <c r="T956" s="2" t="s">
        <v>3616</v>
      </c>
      <c r="U956" s="171">
        <v>0.0</v>
      </c>
      <c r="V956" s="172">
        <v>46028.0</v>
      </c>
      <c r="W956" s="3">
        <v>213.44</v>
      </c>
      <c r="X956" s="172">
        <v>46057.64278278935</v>
      </c>
      <c r="Y956" s="172"/>
      <c r="Z956" s="3">
        <v>46009.0</v>
      </c>
      <c r="AA956" s="3"/>
    </row>
    <row r="957">
      <c r="A957" s="3">
        <v>6.806130491651E12</v>
      </c>
      <c r="B957" s="2" t="s">
        <v>4278</v>
      </c>
      <c r="C957" s="2" t="s">
        <v>4279</v>
      </c>
      <c r="D957" s="169">
        <v>46009.0</v>
      </c>
      <c r="E957" s="2">
        <v>3.350380795E9</v>
      </c>
      <c r="F957" s="2" t="s">
        <v>4280</v>
      </c>
      <c r="G957" s="2" t="s">
        <v>493</v>
      </c>
      <c r="H957" s="2">
        <v>3999.0</v>
      </c>
      <c r="I957" s="2">
        <v>2.9120050020541E13</v>
      </c>
      <c r="J957" s="3">
        <v>2.0</v>
      </c>
      <c r="L957" s="2" t="s">
        <v>479</v>
      </c>
      <c r="M957" s="174" t="s">
        <v>409</v>
      </c>
      <c r="N957" s="2" t="s">
        <v>462</v>
      </c>
      <c r="O957" s="3">
        <v>0.5</v>
      </c>
      <c r="P957" s="2" t="s">
        <v>363</v>
      </c>
      <c r="Q957" s="3">
        <v>1700.0</v>
      </c>
      <c r="T957" s="2" t="s">
        <v>1468</v>
      </c>
      <c r="U957" s="171">
        <v>3999.0</v>
      </c>
      <c r="V957" s="172">
        <v>46017.0</v>
      </c>
      <c r="W957" s="3">
        <v>387.0</v>
      </c>
      <c r="X957" s="172">
        <v>46014.7052662037</v>
      </c>
      <c r="Y957" s="172"/>
      <c r="Z957" s="3">
        <v>46009.0</v>
      </c>
      <c r="AA957" s="3"/>
    </row>
    <row r="958">
      <c r="A958" s="3">
        <v>6.806137962755E12</v>
      </c>
      <c r="B958" s="2" t="s">
        <v>4281</v>
      </c>
      <c r="C958" s="2" t="s">
        <v>4282</v>
      </c>
      <c r="D958" s="169">
        <v>46009.0</v>
      </c>
      <c r="E958" s="2">
        <v>3.214757203E9</v>
      </c>
      <c r="F958" s="2" t="s">
        <v>4283</v>
      </c>
      <c r="G958" s="2" t="s">
        <v>368</v>
      </c>
      <c r="H958" s="2">
        <v>0.0</v>
      </c>
      <c r="J958" s="3">
        <v>0.0</v>
      </c>
      <c r="K958" s="2" t="s">
        <v>760</v>
      </c>
      <c r="L958" s="2"/>
      <c r="M958" s="2" t="s">
        <v>468</v>
      </c>
      <c r="N958" s="2" t="s">
        <v>406</v>
      </c>
      <c r="O958" s="3">
        <v>0.5</v>
      </c>
      <c r="Q958" s="3">
        <v>0.0</v>
      </c>
      <c r="U958" s="141"/>
      <c r="X958" s="172">
        <v>46057.64278278935</v>
      </c>
      <c r="Y958" s="172"/>
      <c r="Z958" s="3">
        <v>46009.0</v>
      </c>
      <c r="AA958" s="3"/>
    </row>
    <row r="959">
      <c r="A959" s="3">
        <v>6.806147825923E12</v>
      </c>
      <c r="B959" s="2" t="s">
        <v>4284</v>
      </c>
      <c r="C959" s="2" t="s">
        <v>4282</v>
      </c>
      <c r="D959" s="169">
        <v>46009.0</v>
      </c>
      <c r="E959" s="173" t="s">
        <v>4285</v>
      </c>
      <c r="F959" s="2" t="s">
        <v>4283</v>
      </c>
      <c r="G959" s="2" t="s">
        <v>368</v>
      </c>
      <c r="H959" s="2">
        <v>6851.0</v>
      </c>
      <c r="I959" s="2">
        <v>2.612005002057E13</v>
      </c>
      <c r="J959" s="3">
        <v>4.0</v>
      </c>
      <c r="K959" s="2" t="s">
        <v>241</v>
      </c>
      <c r="L959" s="2" t="s">
        <v>4286</v>
      </c>
      <c r="M959" s="174" t="s">
        <v>409</v>
      </c>
      <c r="N959" s="2" t="s">
        <v>462</v>
      </c>
      <c r="O959" s="3">
        <v>0.5</v>
      </c>
      <c r="P959" s="2" t="s">
        <v>363</v>
      </c>
      <c r="Q959" s="3">
        <v>1920.0</v>
      </c>
      <c r="T959" s="2" t="s">
        <v>777</v>
      </c>
      <c r="U959" s="3">
        <v>6851.0</v>
      </c>
      <c r="V959" s="172">
        <v>46014.0</v>
      </c>
      <c r="W959" s="3">
        <v>358.0</v>
      </c>
      <c r="X959" s="172">
        <v>46011.65368055555</v>
      </c>
      <c r="Y959" s="172"/>
      <c r="Z959" s="3">
        <v>46009.0</v>
      </c>
      <c r="AA959" s="3"/>
    </row>
    <row r="960">
      <c r="A960" s="3">
        <v>6.806196715779E12</v>
      </c>
      <c r="B960" s="2" t="s">
        <v>4287</v>
      </c>
      <c r="C960" s="2" t="s">
        <v>4288</v>
      </c>
      <c r="D960" s="169">
        <v>46009.0</v>
      </c>
      <c r="E960" s="2">
        <v>3.131231247E9</v>
      </c>
      <c r="F960" s="2" t="s">
        <v>4289</v>
      </c>
      <c r="G960" s="2" t="s">
        <v>493</v>
      </c>
      <c r="H960" s="2">
        <v>3999.0</v>
      </c>
      <c r="I960" s="2">
        <v>2.212005002054E13</v>
      </c>
      <c r="J960" s="3">
        <v>2.0</v>
      </c>
      <c r="L960" s="2" t="s">
        <v>994</v>
      </c>
      <c r="M960" s="174" t="s">
        <v>409</v>
      </c>
      <c r="N960" s="2" t="s">
        <v>462</v>
      </c>
      <c r="O960" s="3">
        <v>0.5</v>
      </c>
      <c r="P960" s="2" t="s">
        <v>363</v>
      </c>
      <c r="Q960" s="3">
        <v>1700.0</v>
      </c>
      <c r="T960" s="2" t="s">
        <v>777</v>
      </c>
      <c r="U960" s="171">
        <v>3999.0</v>
      </c>
      <c r="V960" s="172">
        <v>46014.0</v>
      </c>
      <c r="W960" s="3">
        <v>387.0</v>
      </c>
      <c r="X960" s="172">
        <v>46013.54614583333</v>
      </c>
      <c r="Y960" s="172"/>
      <c r="Z960" s="3">
        <v>46009.0</v>
      </c>
      <c r="AA960" s="3"/>
    </row>
    <row r="961">
      <c r="A961" s="3">
        <v>6.806280896771E12</v>
      </c>
      <c r="B961" s="2" t="s">
        <v>4290</v>
      </c>
      <c r="C961" s="2" t="s">
        <v>4291</v>
      </c>
      <c r="D961" s="169">
        <v>46009.0</v>
      </c>
      <c r="E961" s="2">
        <v>3.068111165E9</v>
      </c>
      <c r="F961" s="2" t="s">
        <v>4292</v>
      </c>
      <c r="G961" s="2" t="s">
        <v>541</v>
      </c>
      <c r="H961" s="2">
        <v>2748.0</v>
      </c>
      <c r="I961" s="2">
        <v>2.1120050020539E13</v>
      </c>
      <c r="J961" s="3">
        <v>1.0</v>
      </c>
      <c r="L961" s="2" t="s">
        <v>519</v>
      </c>
      <c r="M961" s="174" t="s">
        <v>409</v>
      </c>
      <c r="N961" s="2" t="s">
        <v>462</v>
      </c>
      <c r="O961" s="3">
        <v>0.5</v>
      </c>
      <c r="P961" s="2" t="s">
        <v>73</v>
      </c>
      <c r="Q961" s="3">
        <v>850.0</v>
      </c>
      <c r="T961" s="2" t="s">
        <v>777</v>
      </c>
      <c r="U961" s="171">
        <v>2748.0</v>
      </c>
      <c r="V961" s="172">
        <v>46014.0</v>
      </c>
      <c r="W961" s="3">
        <v>330.0</v>
      </c>
      <c r="X961" s="172">
        <v>46013.61212962963</v>
      </c>
      <c r="Y961" s="172"/>
      <c r="Z961" s="3">
        <v>46009.0</v>
      </c>
      <c r="AA961" s="3"/>
    </row>
    <row r="962">
      <c r="A962" s="3">
        <v>6.806323265795E12</v>
      </c>
      <c r="B962" s="2" t="s">
        <v>4293</v>
      </c>
      <c r="C962" s="2" t="s">
        <v>4294</v>
      </c>
      <c r="D962" s="169">
        <v>46009.0</v>
      </c>
      <c r="E962" s="2">
        <v>3.36033645E9</v>
      </c>
      <c r="F962" s="2" t="s">
        <v>4295</v>
      </c>
      <c r="G962" s="2" t="s">
        <v>493</v>
      </c>
      <c r="H962" s="2">
        <v>3999.0</v>
      </c>
      <c r="I962" s="2">
        <v>2.3120050020538E13</v>
      </c>
      <c r="J962" s="3">
        <v>2.0</v>
      </c>
      <c r="L962" s="2" t="s">
        <v>913</v>
      </c>
      <c r="M962" s="174" t="s">
        <v>409</v>
      </c>
      <c r="N962" s="2" t="s">
        <v>462</v>
      </c>
      <c r="O962" s="3">
        <v>0.5</v>
      </c>
      <c r="P962" s="2" t="s">
        <v>363</v>
      </c>
      <c r="Q962" s="3">
        <v>1700.0</v>
      </c>
      <c r="T962" s="2" t="s">
        <v>1468</v>
      </c>
      <c r="U962" s="171">
        <v>3999.0</v>
      </c>
      <c r="V962" s="172">
        <v>46017.0</v>
      </c>
      <c r="W962" s="3">
        <v>480.0</v>
      </c>
      <c r="X962" s="172">
        <v>46014.69662037037</v>
      </c>
      <c r="Y962" s="172"/>
      <c r="Z962" s="3">
        <v>46009.0</v>
      </c>
      <c r="AA962" s="3"/>
    </row>
    <row r="963">
      <c r="A963" s="3">
        <v>6.806500737283E12</v>
      </c>
      <c r="B963" s="2" t="s">
        <v>4296</v>
      </c>
      <c r="C963" s="2" t="s">
        <v>4297</v>
      </c>
      <c r="D963" s="169">
        <v>46009.0</v>
      </c>
      <c r="E963" s="2">
        <v>3.00180618E9</v>
      </c>
      <c r="F963" s="2" t="s">
        <v>4298</v>
      </c>
      <c r="G963" s="2" t="s">
        <v>368</v>
      </c>
      <c r="H963" s="2">
        <v>3099.0</v>
      </c>
      <c r="I963" s="2">
        <v>2.8120050020569E13</v>
      </c>
      <c r="J963" s="3">
        <v>2.0</v>
      </c>
      <c r="L963" s="2" t="s">
        <v>40</v>
      </c>
      <c r="M963" s="174" t="s">
        <v>409</v>
      </c>
      <c r="N963" s="2" t="s">
        <v>462</v>
      </c>
      <c r="O963" s="3">
        <v>0.5</v>
      </c>
      <c r="P963" s="2" t="s">
        <v>73</v>
      </c>
      <c r="Q963" s="3">
        <v>920.0</v>
      </c>
      <c r="T963" s="2" t="s">
        <v>777</v>
      </c>
      <c r="U963" s="171">
        <v>3099.0</v>
      </c>
      <c r="V963" s="172">
        <v>46014.0</v>
      </c>
      <c r="W963" s="3">
        <v>231.0</v>
      </c>
      <c r="X963" s="172">
        <v>46011.65504629629</v>
      </c>
      <c r="Y963" s="172"/>
      <c r="Z963" s="3">
        <v>46009.0</v>
      </c>
      <c r="AA963" s="3"/>
    </row>
    <row r="964">
      <c r="A964" s="3">
        <v>6.806635118851E12</v>
      </c>
      <c r="B964" s="2" t="s">
        <v>4299</v>
      </c>
      <c r="C964" s="2" t="s">
        <v>4300</v>
      </c>
      <c r="D964" s="169">
        <v>46010.0</v>
      </c>
      <c r="E964" s="2">
        <v>9.23129090911E11</v>
      </c>
      <c r="F964" s="2" t="s">
        <v>4301</v>
      </c>
      <c r="G964" s="2" t="s">
        <v>368</v>
      </c>
      <c r="H964" s="2">
        <v>0.0</v>
      </c>
      <c r="I964" s="2">
        <v>2.3120050020568E13</v>
      </c>
      <c r="J964" s="3">
        <v>0.0</v>
      </c>
      <c r="K964" s="2" t="s">
        <v>4302</v>
      </c>
      <c r="L964" s="2"/>
      <c r="M964" s="170" t="s">
        <v>455</v>
      </c>
      <c r="N964" s="2" t="s">
        <v>406</v>
      </c>
      <c r="O964" s="3">
        <v>0.5</v>
      </c>
      <c r="P964" s="2" t="s">
        <v>363</v>
      </c>
      <c r="Q964" s="3">
        <v>0.0</v>
      </c>
      <c r="T964" s="2" t="s">
        <v>2140</v>
      </c>
      <c r="U964" s="171">
        <v>0.0</v>
      </c>
      <c r="V964" s="172">
        <v>46021.0</v>
      </c>
      <c r="W964" s="3">
        <v>107.0</v>
      </c>
      <c r="X964" s="172">
        <v>46057.64278278935</v>
      </c>
      <c r="Y964" s="172"/>
      <c r="Z964" s="3">
        <v>46010.0</v>
      </c>
      <c r="AA964" s="3"/>
    </row>
    <row r="965">
      <c r="A965" s="3">
        <v>6.806644424963E12</v>
      </c>
      <c r="B965" s="2" t="s">
        <v>4303</v>
      </c>
      <c r="C965" s="2" t="s">
        <v>4304</v>
      </c>
      <c r="D965" s="169">
        <v>46010.0</v>
      </c>
      <c r="E965" s="2">
        <v>3.15551602E9</v>
      </c>
      <c r="F965" s="2" t="s">
        <v>4305</v>
      </c>
      <c r="G965" s="2" t="s">
        <v>366</v>
      </c>
      <c r="H965" s="2">
        <v>3999.0</v>
      </c>
      <c r="I965" s="2">
        <v>2.6120050020537E13</v>
      </c>
      <c r="J965" s="3">
        <v>2.0</v>
      </c>
      <c r="L965" s="2" t="s">
        <v>532</v>
      </c>
      <c r="M965" s="174" t="s">
        <v>409</v>
      </c>
      <c r="N965" s="2" t="s">
        <v>462</v>
      </c>
      <c r="O965" s="3">
        <v>0.5</v>
      </c>
      <c r="P965" s="2" t="s">
        <v>363</v>
      </c>
      <c r="Q965" s="3">
        <v>1700.0</v>
      </c>
      <c r="T965" s="2" t="s">
        <v>777</v>
      </c>
      <c r="U965" s="171">
        <v>3999.0</v>
      </c>
      <c r="V965" s="172">
        <v>46014.0</v>
      </c>
      <c r="W965" s="3">
        <v>473.0</v>
      </c>
      <c r="X965" s="172">
        <v>46012.72659722222</v>
      </c>
      <c r="Y965" s="172"/>
      <c r="Z965" s="3">
        <v>46010.0</v>
      </c>
      <c r="AA965" s="3"/>
    </row>
    <row r="966">
      <c r="A966" s="3">
        <v>6.806664020227E12</v>
      </c>
      <c r="B966" s="2" t="s">
        <v>4306</v>
      </c>
      <c r="C966" s="2" t="s">
        <v>4307</v>
      </c>
      <c r="D966" s="169">
        <v>46010.0</v>
      </c>
      <c r="E966" s="2">
        <v>3.343556355E9</v>
      </c>
      <c r="F966" s="2" t="s">
        <v>4308</v>
      </c>
      <c r="G966" s="2" t="s">
        <v>493</v>
      </c>
      <c r="H966" s="2">
        <v>2199.0</v>
      </c>
      <c r="I966" s="2">
        <v>2.8120050020567E13</v>
      </c>
      <c r="J966" s="3">
        <v>1.0</v>
      </c>
      <c r="L966" s="2" t="s">
        <v>4309</v>
      </c>
      <c r="M966" s="174" t="s">
        <v>409</v>
      </c>
      <c r="N966" s="2" t="s">
        <v>462</v>
      </c>
      <c r="O966" s="3">
        <v>0.5</v>
      </c>
      <c r="P966" s="2" t="s">
        <v>73</v>
      </c>
      <c r="Q966" s="3">
        <v>650.0</v>
      </c>
      <c r="T966" s="2" t="s">
        <v>1468</v>
      </c>
      <c r="U966" s="171">
        <v>2199.0</v>
      </c>
      <c r="V966" s="172">
        <v>46017.0</v>
      </c>
      <c r="W966" s="3">
        <v>301.0</v>
      </c>
      <c r="X966" s="172">
        <v>46014.803668981476</v>
      </c>
      <c r="Y966" s="172"/>
      <c r="Z966" s="3">
        <v>46010.0</v>
      </c>
      <c r="AA966" s="3"/>
    </row>
    <row r="967">
      <c r="A967" s="3">
        <v>6.806745383171E12</v>
      </c>
      <c r="B967" s="2" t="s">
        <v>4310</v>
      </c>
      <c r="C967" s="2" t="s">
        <v>4311</v>
      </c>
      <c r="D967" s="169">
        <v>46010.0</v>
      </c>
      <c r="E967" s="2">
        <v>3.441803025E9</v>
      </c>
      <c r="F967" s="2" t="s">
        <v>4312</v>
      </c>
      <c r="G967" s="2" t="s">
        <v>493</v>
      </c>
      <c r="H967" s="2">
        <v>0.0</v>
      </c>
      <c r="I967" s="2">
        <v>2.5120050020536E13</v>
      </c>
      <c r="J967" s="3">
        <v>0.0</v>
      </c>
      <c r="K967" s="2" t="s">
        <v>4313</v>
      </c>
      <c r="L967" s="2"/>
      <c r="M967" s="170" t="s">
        <v>455</v>
      </c>
      <c r="N967" s="2" t="s">
        <v>406</v>
      </c>
      <c r="O967" s="3">
        <v>0.5</v>
      </c>
      <c r="P967" s="2" t="s">
        <v>363</v>
      </c>
      <c r="Q967" s="3">
        <v>0.0</v>
      </c>
      <c r="T967" s="2" t="s">
        <v>3833</v>
      </c>
      <c r="U967" s="171">
        <v>0.0</v>
      </c>
      <c r="V967" s="172">
        <v>46024.0</v>
      </c>
      <c r="W967" s="3">
        <v>226.78</v>
      </c>
      <c r="X967" s="172">
        <v>46057.64278278935</v>
      </c>
      <c r="Y967" s="172"/>
      <c r="Z967" s="3">
        <v>46010.0</v>
      </c>
      <c r="AA967" s="3"/>
    </row>
    <row r="968">
      <c r="A968" s="3">
        <v>6.806814916867E12</v>
      </c>
      <c r="B968" s="2" t="s">
        <v>4314</v>
      </c>
      <c r="C968" s="2" t="s">
        <v>4315</v>
      </c>
      <c r="D968" s="169">
        <v>46010.0</v>
      </c>
      <c r="E968" s="173" t="s">
        <v>4316</v>
      </c>
      <c r="F968" s="2" t="s">
        <v>4317</v>
      </c>
      <c r="G968" s="2" t="s">
        <v>898</v>
      </c>
      <c r="H968" s="2">
        <v>3999.0</v>
      </c>
      <c r="I968" s="2">
        <v>2.3120050020535E13</v>
      </c>
      <c r="J968" s="3">
        <v>2.0</v>
      </c>
      <c r="L968" s="2" t="s">
        <v>913</v>
      </c>
      <c r="M968" s="174" t="s">
        <v>409</v>
      </c>
      <c r="N968" s="2" t="s">
        <v>462</v>
      </c>
      <c r="O968" s="3">
        <v>0.5</v>
      </c>
      <c r="P968" s="2" t="s">
        <v>363</v>
      </c>
      <c r="Q968" s="3">
        <v>1700.0</v>
      </c>
      <c r="T968" s="2" t="s">
        <v>777</v>
      </c>
      <c r="U968" s="171">
        <v>3999.0</v>
      </c>
      <c r="V968" s="172">
        <v>46014.0</v>
      </c>
      <c r="W968" s="3">
        <v>380.0</v>
      </c>
      <c r="X968" s="172">
        <v>46011.51130787037</v>
      </c>
      <c r="Y968" s="172"/>
      <c r="Z968" s="3">
        <v>46010.0</v>
      </c>
      <c r="AA968" s="3"/>
    </row>
    <row r="969">
      <c r="A969" s="3">
        <v>6.807415161091E12</v>
      </c>
      <c r="B969" s="2" t="s">
        <v>4318</v>
      </c>
      <c r="C969" s="2" t="s">
        <v>4319</v>
      </c>
      <c r="D969" s="169">
        <v>46010.0</v>
      </c>
      <c r="E969" s="2">
        <v>3.247891619E9</v>
      </c>
      <c r="F969" s="2" t="s">
        <v>4320</v>
      </c>
      <c r="G969" s="2" t="s">
        <v>368</v>
      </c>
      <c r="H969" s="2">
        <v>3099.0</v>
      </c>
      <c r="I969" s="2">
        <v>2.6120050020566E13</v>
      </c>
      <c r="J969" s="3">
        <v>2.0</v>
      </c>
      <c r="L969" s="2" t="s">
        <v>275</v>
      </c>
      <c r="M969" s="174" t="s">
        <v>409</v>
      </c>
      <c r="N969" s="2" t="s">
        <v>462</v>
      </c>
      <c r="O969" s="3">
        <v>0.5</v>
      </c>
      <c r="P969" s="2" t="s">
        <v>363</v>
      </c>
      <c r="Q969" s="3">
        <v>960.0</v>
      </c>
      <c r="T969" s="2" t="s">
        <v>777</v>
      </c>
      <c r="U969" s="171">
        <v>3099.0</v>
      </c>
      <c r="V969" s="172">
        <v>46014.0</v>
      </c>
      <c r="W969" s="3">
        <v>231.0</v>
      </c>
      <c r="X969" s="172">
        <v>46011.69756944444</v>
      </c>
      <c r="Y969" s="172"/>
      <c r="Z969" s="3">
        <v>46010.0</v>
      </c>
      <c r="AA969" s="3"/>
    </row>
    <row r="970">
      <c r="A970" s="3">
        <v>6.807434985731E12</v>
      </c>
      <c r="B970" s="2" t="s">
        <v>4321</v>
      </c>
      <c r="C970" s="2" t="s">
        <v>4322</v>
      </c>
      <c r="D970" s="169">
        <v>46010.0</v>
      </c>
      <c r="E970" s="173" t="s">
        <v>4323</v>
      </c>
      <c r="F970" s="2" t="s">
        <v>4324</v>
      </c>
      <c r="G970" s="2" t="s">
        <v>506</v>
      </c>
      <c r="H970" s="2">
        <v>3999.0</v>
      </c>
      <c r="I970" s="2">
        <v>2.4120050020584E13</v>
      </c>
      <c r="J970" s="3">
        <v>2.0</v>
      </c>
      <c r="K970" s="2" t="s">
        <v>4325</v>
      </c>
      <c r="L970" s="2" t="s">
        <v>994</v>
      </c>
      <c r="M970" s="174" t="s">
        <v>409</v>
      </c>
      <c r="N970" s="2" t="s">
        <v>462</v>
      </c>
      <c r="O970" s="3">
        <v>0.5</v>
      </c>
      <c r="P970" s="2" t="s">
        <v>363</v>
      </c>
      <c r="Q970" s="3">
        <v>1700.0</v>
      </c>
      <c r="T970" s="2" t="s">
        <v>1468</v>
      </c>
      <c r="U970" s="3">
        <v>3999.0</v>
      </c>
      <c r="V970" s="172">
        <v>46017.0</v>
      </c>
      <c r="W970" s="3">
        <v>372.0</v>
      </c>
      <c r="X970" s="172">
        <v>46016.55086805555</v>
      </c>
      <c r="Y970" s="172"/>
      <c r="Z970" s="3">
        <v>46010.0</v>
      </c>
      <c r="AA970" s="3"/>
    </row>
    <row r="971">
      <c r="A971" s="3">
        <v>6.807525392643E12</v>
      </c>
      <c r="B971" s="2" t="s">
        <v>4326</v>
      </c>
      <c r="C971" s="2" t="s">
        <v>4327</v>
      </c>
      <c r="D971" s="169">
        <v>46010.0</v>
      </c>
      <c r="E971" s="173" t="s">
        <v>4328</v>
      </c>
      <c r="F971" s="2" t="s">
        <v>4329</v>
      </c>
      <c r="G971" s="2" t="s">
        <v>368</v>
      </c>
      <c r="H971" s="2">
        <v>3999.0</v>
      </c>
      <c r="I971" s="2">
        <v>2.8120050020534E13</v>
      </c>
      <c r="J971" s="3">
        <v>2.0</v>
      </c>
      <c r="K971" s="2" t="s">
        <v>511</v>
      </c>
      <c r="L971" s="2" t="s">
        <v>913</v>
      </c>
      <c r="M971" s="174" t="s">
        <v>409</v>
      </c>
      <c r="N971" s="2" t="s">
        <v>462</v>
      </c>
      <c r="O971" s="3">
        <v>0.5</v>
      </c>
      <c r="P971" s="2" t="s">
        <v>73</v>
      </c>
      <c r="Q971" s="3">
        <v>1700.0</v>
      </c>
      <c r="T971" s="2" t="s">
        <v>777</v>
      </c>
      <c r="U971" s="171">
        <v>3999.0</v>
      </c>
      <c r="V971" s="172">
        <v>46014.0</v>
      </c>
      <c r="W971" s="3">
        <v>347.0</v>
      </c>
      <c r="X971" s="172">
        <v>46011.56831018519</v>
      </c>
      <c r="Y971" s="172"/>
      <c r="Z971" s="3">
        <v>46010.0</v>
      </c>
      <c r="AA971" s="3"/>
    </row>
    <row r="972">
      <c r="A972" s="3">
        <v>6.807541907715E12</v>
      </c>
      <c r="B972" s="2" t="s">
        <v>4330</v>
      </c>
      <c r="C972" s="2" t="s">
        <v>4331</v>
      </c>
      <c r="D972" s="169">
        <v>46010.0</v>
      </c>
      <c r="E972" s="2">
        <v>3.01010775E9</v>
      </c>
      <c r="F972" s="2" t="s">
        <v>4332</v>
      </c>
      <c r="G972" s="2" t="s">
        <v>366</v>
      </c>
      <c r="H972" s="2">
        <v>2749.0</v>
      </c>
      <c r="I972" s="2">
        <v>2.7120050020565E13</v>
      </c>
      <c r="J972" s="3">
        <v>2.0</v>
      </c>
      <c r="K972" s="2" t="s">
        <v>241</v>
      </c>
      <c r="L972" s="2" t="s">
        <v>926</v>
      </c>
      <c r="M972" s="174" t="s">
        <v>409</v>
      </c>
      <c r="N972" s="2" t="s">
        <v>462</v>
      </c>
      <c r="O972" s="3">
        <v>0.5</v>
      </c>
      <c r="P972" s="2" t="s">
        <v>363</v>
      </c>
      <c r="Q972" s="3">
        <v>980.0</v>
      </c>
      <c r="T972" s="2" t="s">
        <v>777</v>
      </c>
      <c r="U972" s="171">
        <v>2749.0</v>
      </c>
      <c r="V972" s="172">
        <v>46014.0</v>
      </c>
      <c r="W972" s="3">
        <v>310.0</v>
      </c>
      <c r="X972" s="172">
        <v>46013.94478009259</v>
      </c>
      <c r="Y972" s="172"/>
      <c r="Z972" s="3">
        <v>46010.0</v>
      </c>
      <c r="AA972" s="3"/>
    </row>
    <row r="973">
      <c r="A973" s="3">
        <v>6.807577624835E12</v>
      </c>
      <c r="B973" s="2" t="s">
        <v>4333</v>
      </c>
      <c r="C973" s="2" t="s">
        <v>4334</v>
      </c>
      <c r="D973" s="169">
        <v>46010.0</v>
      </c>
      <c r="E973" s="2">
        <v>3.294150919E9</v>
      </c>
      <c r="F973" s="2" t="s">
        <v>4335</v>
      </c>
      <c r="G973" s="2" t="s">
        <v>368</v>
      </c>
      <c r="H973" s="2">
        <v>0.0</v>
      </c>
      <c r="I973" s="2">
        <v>2.1120050020564E13</v>
      </c>
      <c r="J973" s="3">
        <v>0.0</v>
      </c>
      <c r="K973" s="2" t="s">
        <v>4302</v>
      </c>
      <c r="L973" s="2"/>
      <c r="M973" s="170" t="s">
        <v>455</v>
      </c>
      <c r="N973" s="2" t="s">
        <v>406</v>
      </c>
      <c r="O973" s="3">
        <v>0.5</v>
      </c>
      <c r="P973" s="2" t="s">
        <v>73</v>
      </c>
      <c r="Q973" s="3">
        <v>0.0</v>
      </c>
      <c r="T973" s="2" t="s">
        <v>2140</v>
      </c>
      <c r="U973" s="171">
        <v>0.0</v>
      </c>
      <c r="V973" s="172">
        <v>46021.0</v>
      </c>
      <c r="W973" s="3">
        <v>107.0</v>
      </c>
      <c r="X973" s="172">
        <v>46057.64278278935</v>
      </c>
      <c r="Y973" s="172"/>
      <c r="Z973" s="3">
        <v>46010.0</v>
      </c>
      <c r="AA973" s="3"/>
    </row>
    <row r="974">
      <c r="A974" s="3">
        <v>6.807606100227E12</v>
      </c>
      <c r="B974" s="2" t="s">
        <v>4336</v>
      </c>
      <c r="C974" s="2" t="s">
        <v>4337</v>
      </c>
      <c r="D974" s="169">
        <v>46010.0</v>
      </c>
      <c r="E974" s="2">
        <v>3.456392963E9</v>
      </c>
      <c r="F974" s="2" t="s">
        <v>4338</v>
      </c>
      <c r="G974" s="2" t="s">
        <v>4339</v>
      </c>
      <c r="H974" s="2">
        <v>0.0</v>
      </c>
      <c r="I974" s="2">
        <v>2.9120050020533E13</v>
      </c>
      <c r="J974" s="3">
        <v>0.0</v>
      </c>
      <c r="K974" s="2" t="s">
        <v>3662</v>
      </c>
      <c r="L974" s="2"/>
      <c r="M974" s="170" t="s">
        <v>455</v>
      </c>
      <c r="N974" s="2" t="s">
        <v>406</v>
      </c>
      <c r="O974" s="3">
        <v>0.5</v>
      </c>
      <c r="P974" s="2" t="s">
        <v>363</v>
      </c>
      <c r="Q974" s="3">
        <v>0.0</v>
      </c>
      <c r="T974" s="2" t="s">
        <v>2140</v>
      </c>
      <c r="U974" s="171">
        <v>0.0</v>
      </c>
      <c r="V974" s="172">
        <v>46021.0</v>
      </c>
      <c r="W974" s="3">
        <v>200.0</v>
      </c>
      <c r="X974" s="172">
        <v>46057.64278278935</v>
      </c>
      <c r="Y974" s="172"/>
      <c r="Z974" s="3">
        <v>46010.0</v>
      </c>
      <c r="AA974" s="3"/>
    </row>
    <row r="975">
      <c r="A975" s="3">
        <v>6.807681794307E12</v>
      </c>
      <c r="B975" s="2" t="s">
        <v>4340</v>
      </c>
      <c r="C975" s="2" t="s">
        <v>4341</v>
      </c>
      <c r="D975" s="169">
        <v>46010.0</v>
      </c>
      <c r="E975" s="2">
        <v>3.024468203E9</v>
      </c>
      <c r="F975" s="2" t="s">
        <v>4342</v>
      </c>
      <c r="G975" s="2" t="s">
        <v>368</v>
      </c>
      <c r="H975" s="2">
        <v>3099.0</v>
      </c>
      <c r="I975" s="2">
        <v>2.0120050020563E13</v>
      </c>
      <c r="J975" s="3">
        <v>2.0</v>
      </c>
      <c r="L975" s="2" t="s">
        <v>296</v>
      </c>
      <c r="M975" s="174" t="s">
        <v>409</v>
      </c>
      <c r="N975" s="2" t="s">
        <v>462</v>
      </c>
      <c r="O975" s="3">
        <v>0.5</v>
      </c>
      <c r="P975" s="2" t="s">
        <v>363</v>
      </c>
      <c r="Q975" s="3">
        <v>920.0</v>
      </c>
      <c r="T975" s="2" t="s">
        <v>777</v>
      </c>
      <c r="U975" s="171">
        <v>3099.0</v>
      </c>
      <c r="V975" s="172">
        <v>46014.0</v>
      </c>
      <c r="W975" s="3">
        <v>231.0</v>
      </c>
      <c r="X975" s="172">
        <v>46011.635624999995</v>
      </c>
      <c r="Y975" s="172"/>
      <c r="Z975" s="3">
        <v>46010.0</v>
      </c>
      <c r="AA975" s="3"/>
    </row>
    <row r="976">
      <c r="A976" s="3">
        <v>6.807719608579E12</v>
      </c>
      <c r="B976" s="2" t="s">
        <v>4343</v>
      </c>
      <c r="C976" s="2" t="s">
        <v>4344</v>
      </c>
      <c r="D976" s="169">
        <v>46010.0</v>
      </c>
      <c r="E976" s="173" t="s">
        <v>4345</v>
      </c>
      <c r="F976" s="2" t="s">
        <v>4346</v>
      </c>
      <c r="G976" s="2" t="s">
        <v>493</v>
      </c>
      <c r="H976" s="2">
        <v>1799.0</v>
      </c>
      <c r="I976" s="2">
        <v>2.5120050020562E13</v>
      </c>
      <c r="J976" s="3">
        <v>1.0</v>
      </c>
      <c r="L976" s="2" t="s">
        <v>1185</v>
      </c>
      <c r="M976" s="174" t="s">
        <v>409</v>
      </c>
      <c r="N976" s="2" t="s">
        <v>462</v>
      </c>
      <c r="O976" s="3">
        <v>0.5</v>
      </c>
      <c r="P976" s="2" t="s">
        <v>363</v>
      </c>
      <c r="Q976" s="3">
        <v>490.0</v>
      </c>
      <c r="T976" s="2" t="s">
        <v>1468</v>
      </c>
      <c r="U976" s="171">
        <v>1799.0</v>
      </c>
      <c r="V976" s="172">
        <v>46017.0</v>
      </c>
      <c r="W976" s="3">
        <v>285.0</v>
      </c>
      <c r="X976" s="172">
        <v>46015.673125</v>
      </c>
      <c r="Y976" s="172"/>
      <c r="Z976" s="3">
        <v>46010.0</v>
      </c>
      <c r="AA976" s="3"/>
    </row>
    <row r="977">
      <c r="A977" s="3">
        <v>6.807723835651E12</v>
      </c>
      <c r="B977" s="2" t="s">
        <v>4347</v>
      </c>
      <c r="C977" s="2" t="s">
        <v>4215</v>
      </c>
      <c r="D977" s="169">
        <v>46010.0</v>
      </c>
      <c r="E977" s="173" t="s">
        <v>4216</v>
      </c>
      <c r="F977" s="2" t="s">
        <v>4217</v>
      </c>
      <c r="G977" s="2" t="s">
        <v>368</v>
      </c>
      <c r="H977" s="2">
        <v>2948.0</v>
      </c>
      <c r="I977" s="2">
        <v>2.1120050020945E13</v>
      </c>
      <c r="J977" s="3">
        <v>1.0</v>
      </c>
      <c r="K977" s="2" t="s">
        <v>511</v>
      </c>
      <c r="L977" s="2" t="s">
        <v>2499</v>
      </c>
      <c r="M977" s="174" t="s">
        <v>409</v>
      </c>
      <c r="N977" s="2" t="s">
        <v>462</v>
      </c>
      <c r="O977" s="3">
        <v>0.5</v>
      </c>
      <c r="P977" s="2" t="s">
        <v>73</v>
      </c>
      <c r="Q977" s="3">
        <v>1400.0</v>
      </c>
      <c r="T977" s="2" t="s">
        <v>3616</v>
      </c>
      <c r="U977" s="171">
        <v>2948.0</v>
      </c>
      <c r="V977" s="172">
        <v>46028.0</v>
      </c>
      <c r="W977" s="3">
        <v>224.64</v>
      </c>
      <c r="X977" s="172">
        <v>46025.60092592593</v>
      </c>
      <c r="Y977" s="172"/>
      <c r="Z977" s="3">
        <v>46010.0</v>
      </c>
      <c r="AA977" s="3"/>
    </row>
    <row r="978">
      <c r="A978" s="3">
        <v>6.807726981379E12</v>
      </c>
      <c r="B978" s="2" t="s">
        <v>4348</v>
      </c>
      <c r="C978" s="2" t="s">
        <v>4349</v>
      </c>
      <c r="D978" s="169">
        <v>46010.0</v>
      </c>
      <c r="E978" s="173" t="s">
        <v>4350</v>
      </c>
      <c r="F978" s="2" t="s">
        <v>4351</v>
      </c>
      <c r="G978" s="2" t="s">
        <v>4352</v>
      </c>
      <c r="H978" s="2">
        <v>2750.0</v>
      </c>
      <c r="I978" s="2">
        <v>2.4120050020561E13</v>
      </c>
      <c r="J978" s="3">
        <v>2.0</v>
      </c>
      <c r="K978" s="2" t="s">
        <v>4353</v>
      </c>
      <c r="L978" s="2" t="s">
        <v>926</v>
      </c>
      <c r="M978" s="174" t="s">
        <v>409</v>
      </c>
      <c r="N978" s="2" t="s">
        <v>462</v>
      </c>
      <c r="O978" s="3">
        <v>0.5</v>
      </c>
      <c r="P978" s="2" t="s">
        <v>363</v>
      </c>
      <c r="Q978" s="3">
        <v>980.0</v>
      </c>
      <c r="T978" s="2" t="s">
        <v>777</v>
      </c>
      <c r="U978" s="171">
        <v>2750.0</v>
      </c>
      <c r="V978" s="172">
        <v>46014.0</v>
      </c>
      <c r="W978" s="3">
        <v>310.0</v>
      </c>
      <c r="X978" s="172">
        <v>46013.721284722225</v>
      </c>
      <c r="Y978" s="172"/>
      <c r="Z978" s="3">
        <v>46010.0</v>
      </c>
      <c r="AA978" s="3"/>
    </row>
    <row r="979">
      <c r="A979" s="3">
        <v>6.807732814083E12</v>
      </c>
      <c r="B979" s="2" t="s">
        <v>4354</v>
      </c>
      <c r="C979" s="2" t="s">
        <v>4355</v>
      </c>
      <c r="D979" s="169">
        <v>46010.0</v>
      </c>
      <c r="E979" s="173" t="s">
        <v>4356</v>
      </c>
      <c r="F979" s="2" t="s">
        <v>4357</v>
      </c>
      <c r="G979" s="2" t="s">
        <v>541</v>
      </c>
      <c r="H979" s="2">
        <v>2450.0</v>
      </c>
      <c r="I979" s="2">
        <v>2.112005002056E13</v>
      </c>
      <c r="J979" s="3">
        <v>2.0</v>
      </c>
      <c r="K979" s="2" t="s">
        <v>1989</v>
      </c>
      <c r="L979" s="2" t="s">
        <v>228</v>
      </c>
      <c r="M979" s="174" t="s">
        <v>409</v>
      </c>
      <c r="N979" s="2" t="s">
        <v>462</v>
      </c>
      <c r="O979" s="3">
        <v>0.5</v>
      </c>
      <c r="P979" s="2" t="s">
        <v>73</v>
      </c>
      <c r="Q979" s="3">
        <v>920.0</v>
      </c>
      <c r="T979" s="2" t="s">
        <v>777</v>
      </c>
      <c r="U979" s="171">
        <v>2450.0</v>
      </c>
      <c r="V979" s="172">
        <v>46014.0</v>
      </c>
      <c r="W979" s="3">
        <v>298.0</v>
      </c>
      <c r="X979" s="172">
        <v>46013.6787037037</v>
      </c>
      <c r="Y979" s="172"/>
      <c r="Z979" s="3">
        <v>46010.0</v>
      </c>
      <c r="AA979" s="3"/>
    </row>
    <row r="980">
      <c r="A980" s="3">
        <v>6.807735927043E12</v>
      </c>
      <c r="B980" s="2" t="s">
        <v>4358</v>
      </c>
      <c r="C980" s="2" t="s">
        <v>4359</v>
      </c>
      <c r="D980" s="169">
        <v>46010.0</v>
      </c>
      <c r="E980" s="173" t="s">
        <v>4360</v>
      </c>
      <c r="F980" s="2" t="s">
        <v>4361</v>
      </c>
      <c r="G980" s="2" t="s">
        <v>4362</v>
      </c>
      <c r="H980" s="2">
        <v>2449.0</v>
      </c>
      <c r="I980" s="2">
        <v>2.9120050020559E13</v>
      </c>
      <c r="J980" s="3">
        <v>2.0</v>
      </c>
      <c r="K980" s="2" t="s">
        <v>1989</v>
      </c>
      <c r="L980" s="2" t="s">
        <v>4363</v>
      </c>
      <c r="M980" s="174" t="s">
        <v>409</v>
      </c>
      <c r="N980" s="2" t="s">
        <v>462</v>
      </c>
      <c r="O980" s="3">
        <v>0.5</v>
      </c>
      <c r="P980" s="2" t="s">
        <v>363</v>
      </c>
      <c r="Q980" s="3">
        <v>920.0</v>
      </c>
      <c r="T980" s="2" t="s">
        <v>2140</v>
      </c>
      <c r="U980" s="171">
        <v>2449.0</v>
      </c>
      <c r="V980" s="172">
        <v>46021.0</v>
      </c>
      <c r="W980" s="3">
        <v>311.0</v>
      </c>
      <c r="X980" s="172">
        <v>46018.84538194444</v>
      </c>
      <c r="Y980" s="172"/>
      <c r="Z980" s="3">
        <v>46010.0</v>
      </c>
      <c r="AA980" s="3"/>
    </row>
    <row r="981">
      <c r="A981" s="3">
        <v>6.807739924739E12</v>
      </c>
      <c r="B981" s="2" t="s">
        <v>4364</v>
      </c>
      <c r="C981" s="2" t="s">
        <v>4365</v>
      </c>
      <c r="D981" s="169">
        <v>46010.0</v>
      </c>
      <c r="E981" s="2">
        <v>3.008018941E9</v>
      </c>
      <c r="F981" s="2" t="s">
        <v>4366</v>
      </c>
      <c r="G981" s="2" t="s">
        <v>688</v>
      </c>
      <c r="H981" s="2">
        <v>2948.0</v>
      </c>
      <c r="I981" s="2">
        <v>2.7120050020558E13</v>
      </c>
      <c r="J981" s="3">
        <v>1.0</v>
      </c>
      <c r="L981" s="2" t="s">
        <v>2436</v>
      </c>
      <c r="M981" s="174" t="s">
        <v>409</v>
      </c>
      <c r="N981" s="2" t="s">
        <v>462</v>
      </c>
      <c r="O981" s="3">
        <v>0.5</v>
      </c>
      <c r="P981" s="2" t="s">
        <v>363</v>
      </c>
      <c r="Q981" s="3">
        <v>1400.0</v>
      </c>
      <c r="T981" s="2" t="s">
        <v>777</v>
      </c>
      <c r="U981" s="171">
        <v>2948.0</v>
      </c>
      <c r="V981" s="172">
        <v>46014.0</v>
      </c>
      <c r="W981" s="3">
        <v>318.0</v>
      </c>
      <c r="X981" s="172">
        <v>46013.596041666664</v>
      </c>
      <c r="Y981" s="172"/>
      <c r="Z981" s="3">
        <v>46010.0</v>
      </c>
      <c r="AA981" s="3"/>
    </row>
    <row r="982">
      <c r="A982" s="3">
        <v>6.807744643331E12</v>
      </c>
      <c r="B982" s="2" t="s">
        <v>4367</v>
      </c>
      <c r="C982" s="2" t="s">
        <v>4368</v>
      </c>
      <c r="D982" s="169">
        <v>46010.0</v>
      </c>
      <c r="E982" s="173" t="s">
        <v>4369</v>
      </c>
      <c r="F982" s="2" t="s">
        <v>4370</v>
      </c>
      <c r="G982" s="2" t="s">
        <v>1873</v>
      </c>
      <c r="H982" s="2">
        <v>0.0</v>
      </c>
      <c r="I982" s="2">
        <v>2.9120050020557E13</v>
      </c>
      <c r="J982" s="3">
        <v>0.0</v>
      </c>
      <c r="K982" s="2" t="s">
        <v>4371</v>
      </c>
      <c r="L982" s="2"/>
      <c r="M982" s="170" t="s">
        <v>455</v>
      </c>
      <c r="N982" s="2" t="s">
        <v>406</v>
      </c>
      <c r="O982" s="3">
        <v>0.5</v>
      </c>
      <c r="P982" s="2" t="s">
        <v>363</v>
      </c>
      <c r="Q982" s="3">
        <v>0.0</v>
      </c>
      <c r="T982" s="2" t="s">
        <v>2140</v>
      </c>
      <c r="U982" s="171">
        <v>0.0</v>
      </c>
      <c r="V982" s="172">
        <v>46021.0</v>
      </c>
      <c r="W982" s="3">
        <v>213.0</v>
      </c>
      <c r="X982" s="172">
        <v>46057.64278278935</v>
      </c>
      <c r="Y982" s="172"/>
      <c r="Z982" s="3">
        <v>46010.0</v>
      </c>
      <c r="AA982" s="3"/>
    </row>
    <row r="983">
      <c r="A983" s="3">
        <v>6.807754146051E12</v>
      </c>
      <c r="B983" s="2" t="s">
        <v>4372</v>
      </c>
      <c r="C983" s="2" t="s">
        <v>4373</v>
      </c>
      <c r="D983" s="169">
        <v>46010.0</v>
      </c>
      <c r="E983" s="2">
        <v>3.239989989E9</v>
      </c>
      <c r="F983" s="2" t="s">
        <v>4374</v>
      </c>
      <c r="G983" s="2" t="s">
        <v>368</v>
      </c>
      <c r="H983" s="2">
        <v>2748.0</v>
      </c>
      <c r="I983" s="2">
        <v>2.3120050020548E13</v>
      </c>
      <c r="J983" s="3">
        <v>1.0</v>
      </c>
      <c r="L983" s="2" t="s">
        <v>4375</v>
      </c>
      <c r="M983" s="174" t="s">
        <v>409</v>
      </c>
      <c r="N983" s="2" t="s">
        <v>462</v>
      </c>
      <c r="O983" s="3">
        <v>0.5</v>
      </c>
      <c r="P983" s="2" t="s">
        <v>363</v>
      </c>
      <c r="Q983" s="3">
        <v>1100.0</v>
      </c>
      <c r="T983" s="2" t="s">
        <v>777</v>
      </c>
      <c r="U983" s="171">
        <v>2748.0</v>
      </c>
      <c r="V983" s="172">
        <v>46014.0</v>
      </c>
      <c r="W983" s="3">
        <v>230.0</v>
      </c>
      <c r="X983" s="172">
        <v>46011.702997685185</v>
      </c>
      <c r="Y983" s="172"/>
      <c r="Z983" s="3">
        <v>46010.0</v>
      </c>
      <c r="AA983" s="3"/>
    </row>
    <row r="984">
      <c r="A984" s="3">
        <v>6.807765287171E12</v>
      </c>
      <c r="B984" s="2" t="s">
        <v>4376</v>
      </c>
      <c r="C984" s="2" t="s">
        <v>4377</v>
      </c>
      <c r="D984" s="169">
        <v>46010.0</v>
      </c>
      <c r="E984" s="173" t="s">
        <v>4378</v>
      </c>
      <c r="F984" s="2" t="s">
        <v>4379</v>
      </c>
      <c r="G984" s="2" t="s">
        <v>817</v>
      </c>
      <c r="H984" s="2">
        <v>0.0</v>
      </c>
      <c r="I984" s="2">
        <v>2.7120050020556E13</v>
      </c>
      <c r="J984" s="3">
        <v>0.0</v>
      </c>
      <c r="K984" s="2" t="s">
        <v>4380</v>
      </c>
      <c r="L984" s="2"/>
      <c r="M984" s="170" t="s">
        <v>455</v>
      </c>
      <c r="N984" s="2" t="s">
        <v>406</v>
      </c>
      <c r="O984" s="3">
        <v>0.5</v>
      </c>
      <c r="P984" s="2" t="s">
        <v>363</v>
      </c>
      <c r="Q984" s="3">
        <v>0.0</v>
      </c>
      <c r="T984" s="2" t="s">
        <v>3833</v>
      </c>
      <c r="U984" s="171">
        <v>0.0</v>
      </c>
      <c r="V984" s="172">
        <v>46024.0</v>
      </c>
      <c r="W984" s="3">
        <v>213.44</v>
      </c>
      <c r="X984" s="172">
        <v>46057.64278278935</v>
      </c>
      <c r="Y984" s="172"/>
      <c r="Z984" s="3">
        <v>46010.0</v>
      </c>
      <c r="AA984" s="3"/>
    </row>
    <row r="985">
      <c r="A985" s="3">
        <v>6.807769153795E12</v>
      </c>
      <c r="B985" s="2" t="s">
        <v>4381</v>
      </c>
      <c r="C985" s="2" t="s">
        <v>4382</v>
      </c>
      <c r="D985" s="169">
        <v>46010.0</v>
      </c>
      <c r="E985" s="2">
        <v>3.175440002E9</v>
      </c>
      <c r="F985" s="2" t="s">
        <v>4383</v>
      </c>
      <c r="G985" s="2" t="s">
        <v>506</v>
      </c>
      <c r="H985" s="2">
        <v>0.0</v>
      </c>
      <c r="J985" s="3">
        <v>0.0</v>
      </c>
      <c r="K985" s="2" t="s">
        <v>571</v>
      </c>
      <c r="L985" s="2"/>
      <c r="M985" s="2" t="s">
        <v>468</v>
      </c>
      <c r="N985" s="2" t="s">
        <v>406</v>
      </c>
      <c r="O985" s="3">
        <v>0.5</v>
      </c>
      <c r="Q985" s="3">
        <v>0.0</v>
      </c>
      <c r="U985" s="141"/>
      <c r="X985" s="172">
        <v>46057.64278278935</v>
      </c>
      <c r="Y985" s="172"/>
      <c r="Z985" s="3">
        <v>46010.0</v>
      </c>
      <c r="AA985" s="3"/>
    </row>
    <row r="986">
      <c r="A986" s="3">
        <v>6.807770726659E12</v>
      </c>
      <c r="B986" s="2" t="s">
        <v>4384</v>
      </c>
      <c r="C986" s="2" t="s">
        <v>4382</v>
      </c>
      <c r="D986" s="169">
        <v>46010.0</v>
      </c>
      <c r="E986" s="173" t="s">
        <v>4385</v>
      </c>
      <c r="F986" s="2" t="s">
        <v>4383</v>
      </c>
      <c r="G986" s="2" t="s">
        <v>506</v>
      </c>
      <c r="H986" s="2">
        <v>0.0</v>
      </c>
      <c r="I986" s="2">
        <v>2.2120050020532E13</v>
      </c>
      <c r="J986" s="3">
        <v>0.0</v>
      </c>
      <c r="K986" s="2" t="s">
        <v>4386</v>
      </c>
      <c r="L986" s="2"/>
      <c r="M986" s="170" t="s">
        <v>455</v>
      </c>
      <c r="N986" s="2" t="s">
        <v>406</v>
      </c>
      <c r="O986" s="3">
        <v>0.5</v>
      </c>
      <c r="P986" s="2" t="s">
        <v>363</v>
      </c>
      <c r="Q986" s="3">
        <v>0.0</v>
      </c>
      <c r="T986" s="2" t="s">
        <v>2140</v>
      </c>
      <c r="U986" s="171">
        <v>0.0</v>
      </c>
      <c r="V986" s="172">
        <v>46021.0</v>
      </c>
      <c r="W986" s="3">
        <v>220.0</v>
      </c>
      <c r="X986" s="172">
        <v>46057.64278278935</v>
      </c>
      <c r="Y986" s="172"/>
      <c r="Z986" s="3">
        <v>46010.0</v>
      </c>
      <c r="AA986" s="3"/>
    </row>
    <row r="987">
      <c r="A987" s="3">
        <v>6.807776690435E12</v>
      </c>
      <c r="B987" s="2" t="s">
        <v>4387</v>
      </c>
      <c r="C987" s="2" t="s">
        <v>4388</v>
      </c>
      <c r="D987" s="169">
        <v>46010.0</v>
      </c>
      <c r="E987" s="173" t="s">
        <v>4389</v>
      </c>
      <c r="F987" s="2" t="s">
        <v>4390</v>
      </c>
      <c r="G987" s="2" t="s">
        <v>993</v>
      </c>
      <c r="H987" s="2">
        <v>3250.0</v>
      </c>
      <c r="I987" s="2">
        <v>2.8120050020555E13</v>
      </c>
      <c r="J987" s="3">
        <v>3.0</v>
      </c>
      <c r="K987" s="2" t="s">
        <v>4391</v>
      </c>
      <c r="L987" s="2" t="s">
        <v>4392</v>
      </c>
      <c r="M987" s="174" t="s">
        <v>409</v>
      </c>
      <c r="N987" s="2" t="s">
        <v>462</v>
      </c>
      <c r="O987" s="3">
        <v>0.5</v>
      </c>
      <c r="P987" s="2" t="s">
        <v>73</v>
      </c>
      <c r="Q987" s="3">
        <v>1510.0</v>
      </c>
      <c r="T987" s="2" t="s">
        <v>777</v>
      </c>
      <c r="U987" s="3">
        <v>3250.0</v>
      </c>
      <c r="V987" s="172">
        <v>46014.0</v>
      </c>
      <c r="W987" s="3">
        <v>340.0</v>
      </c>
      <c r="X987" s="172">
        <v>46013.47313657407</v>
      </c>
      <c r="Y987" s="172"/>
      <c r="Z987" s="3">
        <v>46010.0</v>
      </c>
      <c r="AA987" s="3"/>
    </row>
    <row r="988">
      <c r="A988" s="3">
        <v>6.807797432579E12</v>
      </c>
      <c r="B988" s="2" t="s">
        <v>4393</v>
      </c>
      <c r="C988" s="2" t="s">
        <v>4394</v>
      </c>
      <c r="D988" s="169">
        <v>46010.0</v>
      </c>
      <c r="E988" s="2">
        <v>3.459846566E9</v>
      </c>
      <c r="F988" s="2" t="s">
        <v>4395</v>
      </c>
      <c r="G988" s="2" t="s">
        <v>4396</v>
      </c>
      <c r="H988" s="2">
        <v>0.0</v>
      </c>
      <c r="J988" s="3">
        <v>0.0</v>
      </c>
      <c r="K988" s="2" t="s">
        <v>760</v>
      </c>
      <c r="L988" s="2"/>
      <c r="M988" s="2" t="s">
        <v>468</v>
      </c>
      <c r="N988" s="2" t="s">
        <v>406</v>
      </c>
      <c r="O988" s="3">
        <v>0.5</v>
      </c>
      <c r="Q988" s="3">
        <v>0.0</v>
      </c>
      <c r="U988" s="141"/>
      <c r="X988" s="172">
        <v>46057.64278278935</v>
      </c>
      <c r="Y988" s="172"/>
      <c r="Z988" s="3">
        <v>46010.0</v>
      </c>
      <c r="AA988" s="3"/>
    </row>
    <row r="989">
      <c r="A989" s="3">
        <v>6.807798808835E12</v>
      </c>
      <c r="B989" s="2" t="s">
        <v>4397</v>
      </c>
      <c r="C989" s="2" t="s">
        <v>4394</v>
      </c>
      <c r="D989" s="169">
        <v>46010.0</v>
      </c>
      <c r="E989" s="2">
        <v>3.459846566E9</v>
      </c>
      <c r="F989" s="2" t="s">
        <v>4395</v>
      </c>
      <c r="G989" s="2" t="s">
        <v>4396</v>
      </c>
      <c r="H989" s="2">
        <v>0.0</v>
      </c>
      <c r="I989" s="2">
        <v>2.6120050020605E13</v>
      </c>
      <c r="J989" s="3">
        <v>0.0</v>
      </c>
      <c r="K989" s="2" t="s">
        <v>4398</v>
      </c>
      <c r="L989" s="2"/>
      <c r="M989" s="170" t="s">
        <v>455</v>
      </c>
      <c r="N989" s="2" t="s">
        <v>406</v>
      </c>
      <c r="O989" s="3">
        <v>0.5</v>
      </c>
      <c r="P989" s="2" t="s">
        <v>363</v>
      </c>
      <c r="Q989" s="3">
        <v>0.0</v>
      </c>
      <c r="T989" s="2" t="s">
        <v>3833</v>
      </c>
      <c r="U989" s="171">
        <v>0.0</v>
      </c>
      <c r="V989" s="172">
        <v>46024.0</v>
      </c>
      <c r="W989" s="3">
        <v>226.78</v>
      </c>
      <c r="X989" s="172">
        <v>46057.64278278935</v>
      </c>
      <c r="Y989" s="172"/>
      <c r="Z989" s="3">
        <v>46010.0</v>
      </c>
      <c r="AA989" s="3"/>
    </row>
    <row r="990">
      <c r="A990" s="3">
        <v>6.807800774915E12</v>
      </c>
      <c r="B990" s="2" t="s">
        <v>4399</v>
      </c>
      <c r="C990" s="2" t="s">
        <v>4400</v>
      </c>
      <c r="D990" s="169">
        <v>46010.0</v>
      </c>
      <c r="E990" s="2">
        <v>3.22488798E9</v>
      </c>
      <c r="F990" s="2" t="s">
        <v>4401</v>
      </c>
      <c r="G990" s="2" t="s">
        <v>368</v>
      </c>
      <c r="H990" s="2">
        <v>3099.0</v>
      </c>
      <c r="I990" s="2">
        <v>2.2120050020554E13</v>
      </c>
      <c r="J990" s="3">
        <v>2.0</v>
      </c>
      <c r="L990" s="2" t="s">
        <v>2906</v>
      </c>
      <c r="M990" s="174" t="s">
        <v>409</v>
      </c>
      <c r="N990" s="2" t="s">
        <v>462</v>
      </c>
      <c r="O990" s="3">
        <v>0.5</v>
      </c>
      <c r="P990" s="2" t="s">
        <v>363</v>
      </c>
      <c r="Q990" s="3">
        <v>960.0</v>
      </c>
      <c r="T990" s="2" t="s">
        <v>777</v>
      </c>
      <c r="U990" s="171">
        <v>3099.0</v>
      </c>
      <c r="V990" s="172">
        <v>46014.0</v>
      </c>
      <c r="W990" s="3">
        <v>231.0</v>
      </c>
      <c r="X990" s="172">
        <v>46011.634976851856</v>
      </c>
      <c r="Y990" s="172"/>
      <c r="Z990" s="3">
        <v>46010.0</v>
      </c>
      <c r="AA990" s="3"/>
    </row>
    <row r="991">
      <c r="A991" s="3">
        <v>6.807855005955E12</v>
      </c>
      <c r="B991" s="2" t="s">
        <v>4402</v>
      </c>
      <c r="C991" s="2" t="s">
        <v>4403</v>
      </c>
      <c r="D991" s="169">
        <v>46010.0</v>
      </c>
      <c r="E991" s="2">
        <v>3.027868533E9</v>
      </c>
      <c r="F991" s="2" t="s">
        <v>4404</v>
      </c>
      <c r="G991" s="2" t="s">
        <v>2074</v>
      </c>
      <c r="H991" s="2">
        <v>3999.0</v>
      </c>
      <c r="I991" s="2">
        <v>2.012005002058E13</v>
      </c>
      <c r="J991" s="3">
        <v>2.0</v>
      </c>
      <c r="L991" s="2" t="s">
        <v>913</v>
      </c>
      <c r="M991" s="174" t="s">
        <v>409</v>
      </c>
      <c r="N991" s="2" t="s">
        <v>462</v>
      </c>
      <c r="O991" s="3">
        <v>0.5</v>
      </c>
      <c r="P991" s="2" t="s">
        <v>363</v>
      </c>
      <c r="Q991" s="3">
        <v>1700.0</v>
      </c>
      <c r="T991" s="2" t="s">
        <v>777</v>
      </c>
      <c r="U991" s="171">
        <v>3999.0</v>
      </c>
      <c r="V991" s="172">
        <v>46014.0</v>
      </c>
      <c r="W991" s="3">
        <v>347.0</v>
      </c>
      <c r="X991" s="172">
        <v>46011.546053240745</v>
      </c>
      <c r="Y991" s="172"/>
      <c r="Z991" s="3">
        <v>46010.0</v>
      </c>
      <c r="AA991" s="3"/>
    </row>
    <row r="992">
      <c r="A992" s="3">
        <v>6.807858282755E12</v>
      </c>
      <c r="B992" s="2" t="s">
        <v>4405</v>
      </c>
      <c r="C992" s="2" t="s">
        <v>4406</v>
      </c>
      <c r="D992" s="169">
        <v>46010.0</v>
      </c>
      <c r="E992" s="173" t="s">
        <v>4407</v>
      </c>
      <c r="F992" s="2" t="s">
        <v>4408</v>
      </c>
      <c r="G992" s="2" t="s">
        <v>506</v>
      </c>
      <c r="H992" s="2">
        <v>4099.0</v>
      </c>
      <c r="I992" s="2">
        <v>2.1120050020615E13</v>
      </c>
      <c r="J992" s="3">
        <v>1.0</v>
      </c>
      <c r="K992" s="2" t="s">
        <v>4409</v>
      </c>
      <c r="L992" s="2" t="s">
        <v>4410</v>
      </c>
      <c r="M992" s="170" t="s">
        <v>455</v>
      </c>
      <c r="N992" s="2" t="s">
        <v>406</v>
      </c>
      <c r="O992" s="3">
        <v>0.5</v>
      </c>
      <c r="P992" s="2" t="s">
        <v>73</v>
      </c>
      <c r="Q992" s="3">
        <v>1600.0</v>
      </c>
      <c r="T992" s="2" t="s">
        <v>2140</v>
      </c>
      <c r="U992" s="171">
        <v>0.0</v>
      </c>
      <c r="V992" s="172">
        <v>46021.0</v>
      </c>
      <c r="W992" s="3">
        <v>220.0</v>
      </c>
      <c r="X992" s="172">
        <v>46057.64278278935</v>
      </c>
      <c r="Y992" s="172"/>
      <c r="Z992" s="3">
        <v>46010.0</v>
      </c>
      <c r="AA992" s="3"/>
    </row>
    <row r="993">
      <c r="A993" s="3">
        <v>6.807873257731E12</v>
      </c>
      <c r="B993" s="2" t="s">
        <v>4411</v>
      </c>
      <c r="C993" s="2" t="s">
        <v>4412</v>
      </c>
      <c r="D993" s="169">
        <v>46010.0</v>
      </c>
      <c r="E993" s="2">
        <v>3.068148963E9</v>
      </c>
      <c r="F993" s="2" t="s">
        <v>4413</v>
      </c>
      <c r="G993" s="2" t="s">
        <v>781</v>
      </c>
      <c r="H993" s="2">
        <v>0.0</v>
      </c>
      <c r="I993" s="2">
        <v>2.7120050020581E13</v>
      </c>
      <c r="J993" s="3">
        <v>0.0</v>
      </c>
      <c r="K993" s="2" t="s">
        <v>2139</v>
      </c>
      <c r="L993" s="2"/>
      <c r="M993" s="170" t="s">
        <v>455</v>
      </c>
      <c r="N993" s="2" t="s">
        <v>406</v>
      </c>
      <c r="O993" s="3">
        <v>0.5</v>
      </c>
      <c r="P993" s="2" t="s">
        <v>363</v>
      </c>
      <c r="Q993" s="3">
        <v>0.0</v>
      </c>
      <c r="T993" s="2" t="s">
        <v>2140</v>
      </c>
      <c r="U993" s="171">
        <v>0.0</v>
      </c>
      <c r="V993" s="172">
        <v>46021.0</v>
      </c>
      <c r="W993" s="3">
        <v>213.0</v>
      </c>
      <c r="X993" s="172">
        <v>46057.64278278935</v>
      </c>
      <c r="Y993" s="172"/>
      <c r="Z993" s="3">
        <v>46010.0</v>
      </c>
      <c r="AA993" s="3"/>
    </row>
    <row r="994">
      <c r="A994" s="3">
        <v>6.807875748099E12</v>
      </c>
      <c r="B994" s="2" t="s">
        <v>4414</v>
      </c>
      <c r="C994" s="2" t="s">
        <v>4415</v>
      </c>
      <c r="D994" s="169">
        <v>46010.0</v>
      </c>
      <c r="E994" s="2">
        <v>3.335100787E9</v>
      </c>
      <c r="F994" s="2" t="s">
        <v>4416</v>
      </c>
      <c r="G994" s="2" t="s">
        <v>366</v>
      </c>
      <c r="H994" s="2">
        <v>3099.0</v>
      </c>
      <c r="I994" s="2">
        <v>2.4120050020582E13</v>
      </c>
      <c r="J994" s="3">
        <v>2.0</v>
      </c>
      <c r="L994" s="2" t="s">
        <v>50</v>
      </c>
      <c r="M994" s="174" t="s">
        <v>409</v>
      </c>
      <c r="N994" s="2" t="s">
        <v>462</v>
      </c>
      <c r="O994" s="3">
        <v>0.5</v>
      </c>
      <c r="P994" s="2" t="s">
        <v>363</v>
      </c>
      <c r="Q994" s="3">
        <v>920.0</v>
      </c>
      <c r="T994" s="2" t="s">
        <v>777</v>
      </c>
      <c r="U994" s="171">
        <v>3099.0</v>
      </c>
      <c r="V994" s="172">
        <v>46014.0</v>
      </c>
      <c r="W994" s="3">
        <v>324.0</v>
      </c>
      <c r="X994" s="172">
        <v>46013.8975462963</v>
      </c>
      <c r="Y994" s="172"/>
      <c r="Z994" s="3">
        <v>46010.0</v>
      </c>
      <c r="AA994" s="3"/>
    </row>
    <row r="995">
      <c r="A995" s="3">
        <v>6.807885316355E12</v>
      </c>
      <c r="B995" s="2" t="s">
        <v>4417</v>
      </c>
      <c r="C995" s="2" t="s">
        <v>4418</v>
      </c>
      <c r="D995" s="169">
        <v>46010.0</v>
      </c>
      <c r="E995" s="2">
        <v>3.119311125E9</v>
      </c>
      <c r="F995" s="2" t="s">
        <v>4419</v>
      </c>
      <c r="G995" s="2" t="s">
        <v>1425</v>
      </c>
      <c r="H995" s="2">
        <v>3099.0</v>
      </c>
      <c r="I995" s="2">
        <v>2.9120050020583E13</v>
      </c>
      <c r="J995" s="3">
        <v>2.0</v>
      </c>
      <c r="K995" s="2" t="s">
        <v>4420</v>
      </c>
      <c r="L995" s="2" t="s">
        <v>1258</v>
      </c>
      <c r="M995" s="174" t="s">
        <v>409</v>
      </c>
      <c r="N995" s="2" t="s">
        <v>462</v>
      </c>
      <c r="O995" s="3">
        <v>0.5</v>
      </c>
      <c r="P995" s="2" t="s">
        <v>363</v>
      </c>
      <c r="Q995" s="3">
        <v>960.0</v>
      </c>
      <c r="T995" s="2" t="s">
        <v>1468</v>
      </c>
      <c r="U995" s="171">
        <v>3099.0</v>
      </c>
      <c r="V995" s="172">
        <v>46017.0</v>
      </c>
      <c r="W995" s="3">
        <v>337.0</v>
      </c>
      <c r="X995" s="172">
        <v>46015.466203703705</v>
      </c>
      <c r="Y995" s="172"/>
      <c r="Z995" s="3">
        <v>46010.0</v>
      </c>
      <c r="AA995" s="3"/>
    </row>
    <row r="996">
      <c r="A996" s="3">
        <v>6.807895572739E12</v>
      </c>
      <c r="B996" s="2" t="s">
        <v>4421</v>
      </c>
      <c r="C996" s="2" t="s">
        <v>4422</v>
      </c>
      <c r="D996" s="169">
        <v>46010.0</v>
      </c>
      <c r="E996" s="173" t="s">
        <v>4423</v>
      </c>
      <c r="F996" s="2" t="s">
        <v>4424</v>
      </c>
      <c r="G996" s="2" t="s">
        <v>4425</v>
      </c>
      <c r="H996" s="2">
        <v>3099.0</v>
      </c>
      <c r="I996" s="2">
        <v>2.2120050020604E13</v>
      </c>
      <c r="J996" s="3">
        <v>2.0</v>
      </c>
      <c r="L996" s="2" t="s">
        <v>40</v>
      </c>
      <c r="M996" s="174" t="s">
        <v>409</v>
      </c>
      <c r="N996" s="2" t="s">
        <v>462</v>
      </c>
      <c r="O996" s="3">
        <v>0.5</v>
      </c>
      <c r="P996" s="2" t="s">
        <v>363</v>
      </c>
      <c r="Q996" s="3">
        <v>920.0</v>
      </c>
      <c r="T996" s="2" t="s">
        <v>777</v>
      </c>
      <c r="U996" s="171">
        <v>3099.0</v>
      </c>
      <c r="V996" s="172">
        <v>46014.0</v>
      </c>
      <c r="W996" s="3">
        <v>337.0</v>
      </c>
      <c r="X996" s="172">
        <v>46013.58289351852</v>
      </c>
      <c r="Y996" s="172"/>
      <c r="Z996" s="3">
        <v>46010.0</v>
      </c>
      <c r="AA996" s="3"/>
    </row>
    <row r="997">
      <c r="A997" s="3">
        <v>6.807928307971E12</v>
      </c>
      <c r="B997" s="2" t="s">
        <v>4426</v>
      </c>
      <c r="C997" s="2" t="s">
        <v>4427</v>
      </c>
      <c r="D997" s="169">
        <v>46010.0</v>
      </c>
      <c r="E997" s="2">
        <v>3.099294901E9</v>
      </c>
      <c r="F997" s="2" t="s">
        <v>4428</v>
      </c>
      <c r="G997" s="2" t="s">
        <v>4429</v>
      </c>
      <c r="H997" s="2">
        <v>0.0</v>
      </c>
      <c r="J997" s="3">
        <v>0.0</v>
      </c>
      <c r="K997" s="2" t="s">
        <v>4430</v>
      </c>
      <c r="L997" s="2"/>
      <c r="M997" s="2" t="s">
        <v>468</v>
      </c>
      <c r="N997" s="2" t="s">
        <v>406</v>
      </c>
      <c r="O997" s="3">
        <v>0.5</v>
      </c>
      <c r="Q997" s="3">
        <v>0.0</v>
      </c>
      <c r="U997" s="141"/>
      <c r="X997" s="172">
        <v>46057.64278278935</v>
      </c>
      <c r="Y997" s="172"/>
      <c r="Z997" s="3">
        <v>46010.0</v>
      </c>
      <c r="AA997" s="3"/>
    </row>
    <row r="998">
      <c r="A998" s="3">
        <v>6.807930667267E12</v>
      </c>
      <c r="B998" s="2" t="s">
        <v>4431</v>
      </c>
      <c r="C998" s="2" t="s">
        <v>4432</v>
      </c>
      <c r="D998" s="169">
        <v>46010.0</v>
      </c>
      <c r="E998" s="2">
        <v>3.121564197E9</v>
      </c>
      <c r="F998" s="2" t="s">
        <v>4433</v>
      </c>
      <c r="G998" s="2" t="s">
        <v>366</v>
      </c>
      <c r="H998" s="2">
        <v>0.0</v>
      </c>
      <c r="J998" s="3">
        <v>0.0</v>
      </c>
      <c r="K998" s="2" t="s">
        <v>571</v>
      </c>
      <c r="L998" s="2"/>
      <c r="M998" s="2" t="s">
        <v>468</v>
      </c>
      <c r="N998" s="2" t="s">
        <v>406</v>
      </c>
      <c r="O998" s="3">
        <v>0.5</v>
      </c>
      <c r="Q998" s="3">
        <v>0.0</v>
      </c>
      <c r="U998" s="141"/>
      <c r="X998" s="172">
        <v>46057.64278278935</v>
      </c>
      <c r="Y998" s="172"/>
      <c r="Z998" s="3">
        <v>46010.0</v>
      </c>
      <c r="AA998" s="3"/>
    </row>
    <row r="999">
      <c r="A999" s="3">
        <v>6.807941284099E12</v>
      </c>
      <c r="B999" s="2" t="s">
        <v>4434</v>
      </c>
      <c r="C999" s="2" t="s">
        <v>2495</v>
      </c>
      <c r="D999" s="169">
        <v>46010.0</v>
      </c>
      <c r="E999" s="173" t="s">
        <v>2496</v>
      </c>
      <c r="F999" s="2" t="s">
        <v>4435</v>
      </c>
      <c r="G999" s="2" t="s">
        <v>546</v>
      </c>
      <c r="H999" s="2">
        <v>8097.0</v>
      </c>
      <c r="I999" s="2">
        <v>2.0120050020614E13</v>
      </c>
      <c r="J999" s="3">
        <v>3.0</v>
      </c>
      <c r="K999" s="2" t="s">
        <v>511</v>
      </c>
      <c r="L999" s="2" t="s">
        <v>4436</v>
      </c>
      <c r="M999" s="174" t="s">
        <v>409</v>
      </c>
      <c r="N999" s="2" t="s">
        <v>462</v>
      </c>
      <c r="O999" s="3">
        <v>0.5</v>
      </c>
      <c r="P999" s="2" t="s">
        <v>363</v>
      </c>
      <c r="Q999" s="3">
        <v>4100.0</v>
      </c>
      <c r="T999" s="2" t="s">
        <v>777</v>
      </c>
      <c r="U999" s="3">
        <v>8097.0</v>
      </c>
      <c r="V999" s="172">
        <v>46014.0</v>
      </c>
      <c r="W999" s="3">
        <v>313.0</v>
      </c>
      <c r="X999" s="172">
        <v>46013.52244212963</v>
      </c>
      <c r="Y999" s="172"/>
      <c r="Z999" s="3">
        <v>46010.0</v>
      </c>
      <c r="AA999" s="3"/>
    </row>
    <row r="1000">
      <c r="A1000" s="3">
        <v>6.807943315715E12</v>
      </c>
      <c r="B1000" s="2" t="s">
        <v>4437</v>
      </c>
      <c r="C1000" s="2" t="s">
        <v>4432</v>
      </c>
      <c r="D1000" s="169">
        <v>46010.0</v>
      </c>
      <c r="E1000" s="173" t="s">
        <v>4438</v>
      </c>
      <c r="F1000" s="2" t="s">
        <v>4433</v>
      </c>
      <c r="G1000" s="2" t="s">
        <v>366</v>
      </c>
      <c r="H1000" s="2">
        <v>3099.0</v>
      </c>
      <c r="I1000" s="2">
        <v>2.0120050020616E13</v>
      </c>
      <c r="J1000" s="3">
        <v>2.0</v>
      </c>
      <c r="K1000" s="2" t="s">
        <v>4439</v>
      </c>
      <c r="L1000" s="2" t="s">
        <v>296</v>
      </c>
      <c r="M1000" s="174" t="s">
        <v>409</v>
      </c>
      <c r="N1000" s="2" t="s">
        <v>462</v>
      </c>
      <c r="O1000" s="3">
        <v>0.5</v>
      </c>
      <c r="P1000" s="2" t="s">
        <v>363</v>
      </c>
      <c r="Q1000" s="3">
        <v>920.0</v>
      </c>
      <c r="T1000" s="2" t="s">
        <v>2140</v>
      </c>
      <c r="U1000" s="171">
        <v>3099.0</v>
      </c>
      <c r="V1000" s="172">
        <v>46021.0</v>
      </c>
      <c r="W1000" s="3">
        <v>324.0</v>
      </c>
      <c r="X1000" s="172">
        <v>46017.53077546296</v>
      </c>
      <c r="Y1000" s="172"/>
      <c r="Z1000" s="3">
        <v>46010.0</v>
      </c>
      <c r="AA1000" s="3"/>
    </row>
    <row r="1001">
      <c r="A1001" s="3">
        <v>6.807950885123E12</v>
      </c>
      <c r="B1001" s="2" t="s">
        <v>4440</v>
      </c>
      <c r="C1001" s="2" t="s">
        <v>4441</v>
      </c>
      <c r="D1001" s="169">
        <v>46010.0</v>
      </c>
      <c r="E1001" s="2">
        <v>3.119763183E9</v>
      </c>
      <c r="F1001" s="2" t="s">
        <v>4442</v>
      </c>
      <c r="G1001" s="2" t="s">
        <v>1083</v>
      </c>
      <c r="H1001" s="2">
        <v>0.0</v>
      </c>
      <c r="J1001" s="3">
        <v>0.0</v>
      </c>
      <c r="K1001" s="2" t="s">
        <v>571</v>
      </c>
      <c r="L1001" s="2"/>
      <c r="M1001" s="2" t="s">
        <v>468</v>
      </c>
      <c r="N1001" s="2" t="s">
        <v>406</v>
      </c>
      <c r="O1001" s="3">
        <v>0.5</v>
      </c>
      <c r="Q1001" s="3">
        <v>0.0</v>
      </c>
      <c r="U1001" s="141"/>
      <c r="X1001" s="172">
        <v>46057.64278278935</v>
      </c>
      <c r="Y1001" s="172"/>
      <c r="Z1001" s="3">
        <v>46010.0</v>
      </c>
      <c r="AA1001" s="3"/>
    </row>
    <row r="1002">
      <c r="A1002" s="3">
        <v>6.808023171331E12</v>
      </c>
      <c r="B1002" s="2" t="s">
        <v>4443</v>
      </c>
      <c r="C1002" s="2" t="s">
        <v>4444</v>
      </c>
      <c r="D1002" s="169">
        <v>46010.0</v>
      </c>
      <c r="E1002" s="173" t="s">
        <v>4445</v>
      </c>
      <c r="F1002" s="2" t="s">
        <v>4446</v>
      </c>
      <c r="G1002" s="2" t="s">
        <v>1180</v>
      </c>
      <c r="H1002" s="2">
        <v>0.0</v>
      </c>
      <c r="J1002" s="3">
        <v>0.0</v>
      </c>
      <c r="K1002" s="2" t="s">
        <v>4447</v>
      </c>
      <c r="L1002" s="2"/>
      <c r="M1002" s="2" t="s">
        <v>468</v>
      </c>
      <c r="N1002" s="2" t="s">
        <v>406</v>
      </c>
      <c r="O1002" s="3">
        <v>0.5</v>
      </c>
      <c r="Q1002" s="3">
        <v>0.0</v>
      </c>
      <c r="U1002" s="141"/>
      <c r="X1002" s="172">
        <v>46057.64278278935</v>
      </c>
      <c r="Y1002" s="172"/>
      <c r="Z1002" s="3">
        <v>46010.0</v>
      </c>
      <c r="AA1002" s="3"/>
    </row>
    <row r="1003">
      <c r="A1003" s="3">
        <v>6.808044372227E12</v>
      </c>
      <c r="B1003" s="2" t="s">
        <v>4448</v>
      </c>
      <c r="C1003" s="2" t="s">
        <v>3915</v>
      </c>
      <c r="D1003" s="169">
        <v>46010.0</v>
      </c>
      <c r="E1003" s="173" t="s">
        <v>3916</v>
      </c>
      <c r="F1003" s="2" t="s">
        <v>3917</v>
      </c>
      <c r="G1003" s="2" t="s">
        <v>366</v>
      </c>
      <c r="H1003" s="2">
        <v>0.0</v>
      </c>
      <c r="J1003" s="3">
        <v>0.0</v>
      </c>
      <c r="K1003" s="2" t="s">
        <v>760</v>
      </c>
      <c r="L1003" s="2"/>
      <c r="M1003" s="2" t="s">
        <v>468</v>
      </c>
      <c r="N1003" s="2" t="s">
        <v>406</v>
      </c>
      <c r="O1003" s="3">
        <v>0.5</v>
      </c>
      <c r="Q1003" s="3">
        <v>0.0</v>
      </c>
      <c r="U1003" s="141"/>
      <c r="X1003" s="172">
        <v>46057.64278278935</v>
      </c>
      <c r="Y1003" s="172"/>
      <c r="Z1003" s="3">
        <v>46010.0</v>
      </c>
      <c r="AA1003" s="3"/>
    </row>
    <row r="1004">
      <c r="A1004" s="3">
        <v>6.808044962051E12</v>
      </c>
      <c r="B1004" s="2" t="s">
        <v>4449</v>
      </c>
      <c r="C1004" s="2" t="s">
        <v>3915</v>
      </c>
      <c r="D1004" s="169">
        <v>46010.0</v>
      </c>
      <c r="E1004" s="173" t="s">
        <v>3916</v>
      </c>
      <c r="F1004" s="2" t="s">
        <v>3917</v>
      </c>
      <c r="G1004" s="2" t="s">
        <v>366</v>
      </c>
      <c r="H1004" s="2">
        <v>0.0</v>
      </c>
      <c r="J1004" s="3">
        <v>0.0</v>
      </c>
      <c r="K1004" s="2" t="s">
        <v>760</v>
      </c>
      <c r="L1004" s="2"/>
      <c r="M1004" s="2" t="s">
        <v>468</v>
      </c>
      <c r="N1004" s="2" t="s">
        <v>406</v>
      </c>
      <c r="O1004" s="3">
        <v>0.5</v>
      </c>
      <c r="Q1004" s="3">
        <v>0.0</v>
      </c>
      <c r="U1004" s="141"/>
      <c r="X1004" s="172">
        <v>46057.64278278935</v>
      </c>
      <c r="Y1004" s="172"/>
      <c r="Z1004" s="3">
        <v>46010.0</v>
      </c>
      <c r="AA1004" s="3"/>
    </row>
    <row r="1005">
      <c r="A1005" s="3">
        <v>6.808045551875E12</v>
      </c>
      <c r="B1005" s="2" t="s">
        <v>4450</v>
      </c>
      <c r="C1005" s="2" t="s">
        <v>3915</v>
      </c>
      <c r="D1005" s="169">
        <v>46010.0</v>
      </c>
      <c r="E1005" s="173" t="s">
        <v>3916</v>
      </c>
      <c r="F1005" s="2" t="s">
        <v>3917</v>
      </c>
      <c r="G1005" s="2" t="s">
        <v>366</v>
      </c>
      <c r="H1005" s="2">
        <v>0.0</v>
      </c>
      <c r="J1005" s="3">
        <v>0.0</v>
      </c>
      <c r="K1005" s="2" t="s">
        <v>760</v>
      </c>
      <c r="L1005" s="2"/>
      <c r="M1005" s="2" t="s">
        <v>468</v>
      </c>
      <c r="N1005" s="2" t="s">
        <v>406</v>
      </c>
      <c r="O1005" s="3">
        <v>0.5</v>
      </c>
      <c r="Q1005" s="3">
        <v>0.0</v>
      </c>
      <c r="U1005" s="141"/>
      <c r="X1005" s="172">
        <v>46057.64278278935</v>
      </c>
      <c r="Y1005" s="172"/>
      <c r="Z1005" s="3">
        <v>46010.0</v>
      </c>
      <c r="AA1005" s="3"/>
    </row>
    <row r="1006">
      <c r="A1006" s="3">
        <v>6.808046403843E12</v>
      </c>
      <c r="B1006" s="2" t="s">
        <v>4451</v>
      </c>
      <c r="C1006" s="2" t="s">
        <v>3915</v>
      </c>
      <c r="D1006" s="169">
        <v>46010.0</v>
      </c>
      <c r="E1006" s="173" t="s">
        <v>3916</v>
      </c>
      <c r="F1006" s="2" t="s">
        <v>3917</v>
      </c>
      <c r="G1006" s="2" t="s">
        <v>366</v>
      </c>
      <c r="H1006" s="2">
        <v>0.0</v>
      </c>
      <c r="J1006" s="3">
        <v>0.0</v>
      </c>
      <c r="K1006" s="2" t="s">
        <v>760</v>
      </c>
      <c r="L1006" s="2"/>
      <c r="M1006" s="2" t="s">
        <v>468</v>
      </c>
      <c r="N1006" s="2" t="s">
        <v>406</v>
      </c>
      <c r="O1006" s="3">
        <v>0.5</v>
      </c>
      <c r="Q1006" s="3">
        <v>0.0</v>
      </c>
      <c r="U1006" s="141"/>
      <c r="X1006" s="172">
        <v>46057.64278278935</v>
      </c>
      <c r="Y1006" s="172"/>
      <c r="Z1006" s="3">
        <v>46010.0</v>
      </c>
      <c r="AA1006" s="3"/>
    </row>
    <row r="1007">
      <c r="A1007" s="3">
        <v>6.808047845635E12</v>
      </c>
      <c r="B1007" s="2" t="s">
        <v>4452</v>
      </c>
      <c r="C1007" s="2" t="s">
        <v>3915</v>
      </c>
      <c r="D1007" s="169">
        <v>46010.0</v>
      </c>
      <c r="E1007" s="173" t="s">
        <v>3916</v>
      </c>
      <c r="F1007" s="2" t="s">
        <v>3917</v>
      </c>
      <c r="G1007" s="2" t="s">
        <v>366</v>
      </c>
      <c r="H1007" s="2">
        <v>0.0</v>
      </c>
      <c r="J1007" s="3">
        <v>0.0</v>
      </c>
      <c r="K1007" s="2" t="s">
        <v>4453</v>
      </c>
      <c r="L1007" s="2"/>
      <c r="M1007" s="2" t="s">
        <v>468</v>
      </c>
      <c r="N1007" s="2" t="s">
        <v>406</v>
      </c>
      <c r="O1007" s="3">
        <v>0.5</v>
      </c>
      <c r="Q1007" s="3">
        <v>0.0</v>
      </c>
      <c r="U1007" s="141"/>
      <c r="X1007" s="172">
        <v>46057.64278278935</v>
      </c>
      <c r="Y1007" s="172"/>
      <c r="Z1007" s="3">
        <v>46010.0</v>
      </c>
      <c r="AA1007" s="3"/>
    </row>
    <row r="1008">
      <c r="A1008" s="3">
        <v>6.808150737155E12</v>
      </c>
      <c r="B1008" s="2" t="s">
        <v>4454</v>
      </c>
      <c r="C1008" s="2" t="s">
        <v>4455</v>
      </c>
      <c r="D1008" s="169">
        <v>46010.0</v>
      </c>
      <c r="E1008" s="2">
        <v>3.216695666E9</v>
      </c>
      <c r="F1008" s="2" t="s">
        <v>4456</v>
      </c>
      <c r="G1008" s="2" t="s">
        <v>368</v>
      </c>
      <c r="H1008" s="2">
        <v>3099.0</v>
      </c>
      <c r="I1008" s="2">
        <v>2.4120050020603E13</v>
      </c>
      <c r="J1008" s="3">
        <v>2.0</v>
      </c>
      <c r="L1008" s="2" t="s">
        <v>275</v>
      </c>
      <c r="M1008" s="174" t="s">
        <v>409</v>
      </c>
      <c r="N1008" s="2" t="s">
        <v>462</v>
      </c>
      <c r="O1008" s="3">
        <v>0.5</v>
      </c>
      <c r="P1008" s="2" t="s">
        <v>363</v>
      </c>
      <c r="Q1008" s="3">
        <v>960.0</v>
      </c>
      <c r="T1008" s="2" t="s">
        <v>777</v>
      </c>
      <c r="U1008" s="171">
        <v>3099.0</v>
      </c>
      <c r="V1008" s="172">
        <v>46014.0</v>
      </c>
      <c r="W1008" s="3">
        <v>231.0</v>
      </c>
      <c r="X1008" s="172">
        <v>46013.63491898148</v>
      </c>
      <c r="Y1008" s="172"/>
      <c r="Z1008" s="3">
        <v>46010.0</v>
      </c>
      <c r="AA1008" s="3"/>
    </row>
    <row r="1009">
      <c r="A1009" s="3">
        <v>6.808173478147E12</v>
      </c>
      <c r="B1009" s="2" t="s">
        <v>4457</v>
      </c>
      <c r="C1009" s="2" t="s">
        <v>4458</v>
      </c>
      <c r="D1009" s="169">
        <v>46010.0</v>
      </c>
      <c r="E1009" s="2">
        <v>3.00006645E9</v>
      </c>
      <c r="F1009" s="2" t="s">
        <v>4459</v>
      </c>
      <c r="G1009" s="2" t="s">
        <v>1425</v>
      </c>
      <c r="H1009" s="2">
        <v>2749.0</v>
      </c>
      <c r="I1009" s="2">
        <v>2.9120050020602E13</v>
      </c>
      <c r="J1009" s="3">
        <v>2.0</v>
      </c>
      <c r="L1009" s="2" t="s">
        <v>16</v>
      </c>
      <c r="M1009" s="174" t="s">
        <v>409</v>
      </c>
      <c r="N1009" s="2" t="s">
        <v>462</v>
      </c>
      <c r="O1009" s="3">
        <v>0.5</v>
      </c>
      <c r="P1009" s="2" t="s">
        <v>363</v>
      </c>
      <c r="Q1009" s="3">
        <v>980.0</v>
      </c>
      <c r="T1009" s="2" t="s">
        <v>777</v>
      </c>
      <c r="U1009" s="171">
        <v>2749.0</v>
      </c>
      <c r="V1009" s="172">
        <v>46014.0</v>
      </c>
      <c r="W1009" s="3">
        <v>323.0</v>
      </c>
      <c r="X1009" s="172">
        <v>46013.682129629626</v>
      </c>
      <c r="Y1009" s="172"/>
      <c r="Z1009" s="3">
        <v>46010.0</v>
      </c>
      <c r="AA1009" s="3"/>
    </row>
    <row r="1010">
      <c r="A1010" s="3">
        <v>6.808215781635E12</v>
      </c>
      <c r="B1010" s="2" t="s">
        <v>4460</v>
      </c>
      <c r="C1010" s="2" t="s">
        <v>4441</v>
      </c>
      <c r="D1010" s="169">
        <v>46010.0</v>
      </c>
      <c r="E1010" s="2">
        <v>3.119763183E9</v>
      </c>
      <c r="F1010" s="2" t="s">
        <v>4461</v>
      </c>
      <c r="G1010" s="2" t="s">
        <v>1083</v>
      </c>
      <c r="H1010" s="2">
        <v>2948.0</v>
      </c>
      <c r="I1010" s="2">
        <v>2.5120050020601E13</v>
      </c>
      <c r="J1010" s="3">
        <v>1.0</v>
      </c>
      <c r="K1010" s="2" t="s">
        <v>4462</v>
      </c>
      <c r="L1010" s="2" t="s">
        <v>4463</v>
      </c>
      <c r="M1010" s="174" t="s">
        <v>409</v>
      </c>
      <c r="N1010" s="2" t="s">
        <v>462</v>
      </c>
      <c r="O1010" s="3">
        <v>0.5</v>
      </c>
      <c r="P1010" s="2" t="s">
        <v>363</v>
      </c>
      <c r="Q1010" s="3">
        <v>1300.0</v>
      </c>
      <c r="T1010" s="2" t="s">
        <v>1468</v>
      </c>
      <c r="U1010" s="171">
        <v>2948.0</v>
      </c>
      <c r="V1010" s="172">
        <v>46017.0</v>
      </c>
      <c r="W1010" s="3">
        <v>338.0</v>
      </c>
      <c r="X1010" s="172">
        <v>46015.666863425926</v>
      </c>
      <c r="Y1010" s="172"/>
      <c r="Z1010" s="3">
        <v>46010.0</v>
      </c>
      <c r="AA1010" s="3"/>
    </row>
    <row r="1011">
      <c r="A1011" s="3">
        <v>6.808330469635E12</v>
      </c>
      <c r="B1011" s="2" t="s">
        <v>4464</v>
      </c>
      <c r="C1011" s="2" t="s">
        <v>4465</v>
      </c>
      <c r="D1011" s="169">
        <v>46010.0</v>
      </c>
      <c r="E1011" s="2">
        <v>3.049416016E9</v>
      </c>
      <c r="F1011" s="2" t="s">
        <v>4466</v>
      </c>
      <c r="G1011" s="2" t="s">
        <v>4467</v>
      </c>
      <c r="H1011" s="2">
        <v>2749.0</v>
      </c>
      <c r="I1011" s="2">
        <v>2.41200500206E13</v>
      </c>
      <c r="J1011" s="3">
        <v>2.0</v>
      </c>
      <c r="K1011" s="2" t="s">
        <v>511</v>
      </c>
      <c r="L1011" s="2" t="s">
        <v>926</v>
      </c>
      <c r="M1011" s="174" t="s">
        <v>409</v>
      </c>
      <c r="N1011" s="2" t="s">
        <v>462</v>
      </c>
      <c r="O1011" s="3">
        <v>0.5</v>
      </c>
      <c r="P1011" s="2" t="s">
        <v>363</v>
      </c>
      <c r="Q1011" s="3">
        <v>980.0</v>
      </c>
      <c r="T1011" s="2" t="s">
        <v>777</v>
      </c>
      <c r="U1011" s="171">
        <v>2749.0</v>
      </c>
      <c r="V1011" s="172">
        <v>46014.0</v>
      </c>
      <c r="W1011" s="3">
        <v>310.0</v>
      </c>
      <c r="X1011" s="172">
        <v>46013.888807870375</v>
      </c>
      <c r="Y1011" s="172"/>
      <c r="Z1011" s="3">
        <v>46010.0</v>
      </c>
      <c r="AA1011" s="3"/>
    </row>
    <row r="1012">
      <c r="A1012" s="3">
        <v>6.808332828931E12</v>
      </c>
      <c r="B1012" s="2" t="s">
        <v>4468</v>
      </c>
      <c r="C1012" s="2" t="s">
        <v>4469</v>
      </c>
      <c r="D1012" s="169">
        <v>46010.0</v>
      </c>
      <c r="E1012" s="173" t="s">
        <v>4470</v>
      </c>
      <c r="F1012" s="2" t="s">
        <v>4471</v>
      </c>
      <c r="G1012" s="2" t="s">
        <v>4472</v>
      </c>
      <c r="H1012" s="2">
        <v>2749.0</v>
      </c>
      <c r="I1012" s="2">
        <v>2.5120050020613E13</v>
      </c>
      <c r="J1012" s="3">
        <v>1.0</v>
      </c>
      <c r="L1012" s="2" t="s">
        <v>542</v>
      </c>
      <c r="M1012" s="174" t="s">
        <v>409</v>
      </c>
      <c r="N1012" s="2" t="s">
        <v>462</v>
      </c>
      <c r="O1012" s="3">
        <v>0.5</v>
      </c>
      <c r="P1012" s="2" t="s">
        <v>363</v>
      </c>
      <c r="Q1012" s="3">
        <v>610.0</v>
      </c>
      <c r="T1012" s="2" t="s">
        <v>1468</v>
      </c>
      <c r="U1012" s="171">
        <v>2749.0</v>
      </c>
      <c r="V1012" s="172">
        <v>46017.0</v>
      </c>
      <c r="W1012" s="3">
        <v>310.0</v>
      </c>
      <c r="X1012" s="172">
        <v>46014.67528935186</v>
      </c>
      <c r="Y1012" s="172"/>
      <c r="Z1012" s="3">
        <v>46010.0</v>
      </c>
      <c r="AA1012" s="3"/>
    </row>
    <row r="1013">
      <c r="A1013" s="3">
        <v>6.808409211139E12</v>
      </c>
      <c r="B1013" s="2" t="s">
        <v>4473</v>
      </c>
      <c r="C1013" s="2" t="s">
        <v>4474</v>
      </c>
      <c r="D1013" s="169">
        <v>46010.0</v>
      </c>
      <c r="E1013" s="2">
        <v>3.132771148E9</v>
      </c>
      <c r="F1013" s="2" t="s">
        <v>4475</v>
      </c>
      <c r="G1013" s="2" t="s">
        <v>493</v>
      </c>
      <c r="H1013" s="2">
        <v>2749.0</v>
      </c>
      <c r="I1013" s="2">
        <v>2.9120050020599E13</v>
      </c>
      <c r="J1013" s="3">
        <v>2.0</v>
      </c>
      <c r="L1013" s="2" t="s">
        <v>926</v>
      </c>
      <c r="M1013" s="174" t="s">
        <v>409</v>
      </c>
      <c r="N1013" s="2" t="s">
        <v>462</v>
      </c>
      <c r="O1013" s="3">
        <v>0.5</v>
      </c>
      <c r="P1013" s="2" t="s">
        <v>363</v>
      </c>
      <c r="Q1013" s="3">
        <v>980.0</v>
      </c>
      <c r="T1013" s="2" t="s">
        <v>2140</v>
      </c>
      <c r="U1013" s="171">
        <v>2749.0</v>
      </c>
      <c r="V1013" s="172">
        <v>46021.0</v>
      </c>
      <c r="W1013" s="3">
        <v>323.0</v>
      </c>
      <c r="X1013" s="172">
        <v>46017.86150462963</v>
      </c>
      <c r="Y1013" s="172"/>
      <c r="Z1013" s="3">
        <v>46010.0</v>
      </c>
      <c r="AA1013" s="3"/>
    </row>
    <row r="1014">
      <c r="A1014" s="3">
        <v>6.808423072003E12</v>
      </c>
      <c r="B1014" s="2" t="s">
        <v>4476</v>
      </c>
      <c r="C1014" s="2" t="s">
        <v>4477</v>
      </c>
      <c r="D1014" s="169">
        <v>46010.0</v>
      </c>
      <c r="E1014" s="2">
        <v>3.478587801E9</v>
      </c>
      <c r="F1014" s="2" t="s">
        <v>4478</v>
      </c>
      <c r="G1014" s="2" t="s">
        <v>366</v>
      </c>
      <c r="H1014" s="2">
        <v>2748.0</v>
      </c>
      <c r="I1014" s="2">
        <v>2.9120050020608E13</v>
      </c>
      <c r="J1014" s="3">
        <v>1.0</v>
      </c>
      <c r="K1014" s="2" t="s">
        <v>537</v>
      </c>
      <c r="L1014" s="2" t="s">
        <v>500</v>
      </c>
      <c r="M1014" s="174" t="s">
        <v>409</v>
      </c>
      <c r="N1014" s="2" t="s">
        <v>462</v>
      </c>
      <c r="O1014" s="3">
        <v>0.5</v>
      </c>
      <c r="P1014" s="2" t="s">
        <v>363</v>
      </c>
      <c r="Q1014" s="3">
        <v>850.0</v>
      </c>
      <c r="T1014" s="2" t="s">
        <v>2140</v>
      </c>
      <c r="U1014" s="171">
        <v>2748.0</v>
      </c>
      <c r="V1014" s="172">
        <v>46021.0</v>
      </c>
      <c r="W1014" s="3">
        <v>310.0</v>
      </c>
      <c r="X1014" s="172">
        <v>46020.513391203705</v>
      </c>
      <c r="Y1014" s="172"/>
      <c r="Z1014" s="3">
        <v>46010.0</v>
      </c>
      <c r="AA1014" s="3"/>
    </row>
    <row r="1015">
      <c r="A1015" s="3">
        <v>6.808468488451E12</v>
      </c>
      <c r="B1015" s="2" t="s">
        <v>4479</v>
      </c>
      <c r="C1015" s="2" t="s">
        <v>4480</v>
      </c>
      <c r="D1015" s="169">
        <v>46011.0</v>
      </c>
      <c r="E1015" s="2">
        <v>3.162912738E9</v>
      </c>
      <c r="F1015" s="2" t="s">
        <v>4481</v>
      </c>
      <c r="G1015" s="2" t="s">
        <v>493</v>
      </c>
      <c r="H1015" s="2">
        <v>1799.0</v>
      </c>
      <c r="I1015" s="2">
        <v>2.5120050020598E13</v>
      </c>
      <c r="J1015" s="3">
        <v>1.0</v>
      </c>
      <c r="L1015" s="2" t="s">
        <v>4482</v>
      </c>
      <c r="M1015" s="174" t="s">
        <v>409</v>
      </c>
      <c r="N1015" s="2" t="s">
        <v>462</v>
      </c>
      <c r="O1015" s="3">
        <v>0.5</v>
      </c>
      <c r="P1015" s="2" t="s">
        <v>363</v>
      </c>
      <c r="Q1015" s="3">
        <v>490.0</v>
      </c>
      <c r="T1015" s="2" t="s">
        <v>1468</v>
      </c>
      <c r="U1015" s="171">
        <v>1799.0</v>
      </c>
      <c r="V1015" s="172">
        <v>46017.0</v>
      </c>
      <c r="W1015" s="3">
        <v>285.0</v>
      </c>
      <c r="X1015" s="172">
        <v>46014.634247685186</v>
      </c>
      <c r="Y1015" s="172"/>
      <c r="Z1015" s="3">
        <v>46011.0</v>
      </c>
      <c r="AA1015" s="3"/>
    </row>
    <row r="1016">
      <c r="A1016" s="3">
        <v>6.808487461123E12</v>
      </c>
      <c r="B1016" s="2" t="s">
        <v>4483</v>
      </c>
      <c r="C1016" s="2" t="s">
        <v>264</v>
      </c>
      <c r="D1016" s="169">
        <v>46011.0</v>
      </c>
      <c r="E1016" s="2">
        <v>3.002801508E9</v>
      </c>
      <c r="F1016" s="2" t="s">
        <v>4484</v>
      </c>
      <c r="G1016" s="2" t="s">
        <v>4485</v>
      </c>
      <c r="H1016" s="2">
        <v>2749.0</v>
      </c>
      <c r="I1016" s="2">
        <v>2.8120050020597E13</v>
      </c>
      <c r="J1016" s="3">
        <v>2.0</v>
      </c>
      <c r="L1016" s="2" t="s">
        <v>926</v>
      </c>
      <c r="M1016" s="174" t="s">
        <v>409</v>
      </c>
      <c r="N1016" s="2" t="s">
        <v>462</v>
      </c>
      <c r="O1016" s="3">
        <v>0.5</v>
      </c>
      <c r="P1016" s="2" t="s">
        <v>73</v>
      </c>
      <c r="Q1016" s="3">
        <v>980.0</v>
      </c>
      <c r="T1016" s="2" t="s">
        <v>777</v>
      </c>
      <c r="U1016" s="171">
        <v>2749.0</v>
      </c>
      <c r="V1016" s="172">
        <v>46014.0</v>
      </c>
      <c r="W1016" s="3">
        <v>323.0</v>
      </c>
      <c r="X1016" s="172">
        <v>46013.68726851852</v>
      </c>
      <c r="Y1016" s="172"/>
      <c r="Z1016" s="3">
        <v>46011.0</v>
      </c>
      <c r="AA1016" s="3"/>
    </row>
    <row r="1017">
      <c r="A1017" s="3">
        <v>6.808530616579E12</v>
      </c>
      <c r="B1017" s="2" t="s">
        <v>4486</v>
      </c>
      <c r="C1017" s="2" t="s">
        <v>4487</v>
      </c>
      <c r="D1017" s="169">
        <v>46011.0</v>
      </c>
      <c r="E1017" s="2">
        <v>3.325667772E9</v>
      </c>
      <c r="F1017" s="2" t="s">
        <v>4488</v>
      </c>
      <c r="G1017" s="2" t="s">
        <v>1914</v>
      </c>
      <c r="H1017" s="2">
        <v>0.0</v>
      </c>
      <c r="I1017" s="2">
        <v>2.5120050020944E13</v>
      </c>
      <c r="J1017" s="3">
        <v>0.0</v>
      </c>
      <c r="K1017" s="2" t="s">
        <v>4489</v>
      </c>
      <c r="L1017" s="2"/>
      <c r="M1017" s="170" t="s">
        <v>455</v>
      </c>
      <c r="N1017" s="2" t="s">
        <v>406</v>
      </c>
      <c r="O1017" s="3">
        <v>0.5</v>
      </c>
      <c r="P1017" s="2" t="s">
        <v>363</v>
      </c>
      <c r="Q1017" s="3">
        <v>0.0</v>
      </c>
      <c r="T1017" s="2" t="s">
        <v>3701</v>
      </c>
      <c r="U1017" s="171">
        <v>0.0</v>
      </c>
      <c r="V1017" s="172">
        <v>46035.0</v>
      </c>
      <c r="W1017" s="3">
        <v>107.0</v>
      </c>
      <c r="X1017" s="172">
        <v>46057.64278278935</v>
      </c>
      <c r="Y1017" s="172"/>
      <c r="Z1017" s="3">
        <v>46011.0</v>
      </c>
      <c r="AA1017" s="3"/>
    </row>
    <row r="1018">
      <c r="A1018" s="3">
        <v>6.808540905731E12</v>
      </c>
      <c r="B1018" s="2" t="s">
        <v>4490</v>
      </c>
      <c r="C1018" s="2" t="s">
        <v>4491</v>
      </c>
      <c r="D1018" s="169">
        <v>46011.0</v>
      </c>
      <c r="E1018" s="2">
        <v>3.469305557E9</v>
      </c>
      <c r="F1018" s="2" t="s">
        <v>4492</v>
      </c>
      <c r="G1018" s="2" t="s">
        <v>493</v>
      </c>
      <c r="H1018" s="2">
        <v>0.0</v>
      </c>
      <c r="I1018" s="2">
        <v>2.7120050020596E13</v>
      </c>
      <c r="J1018" s="3">
        <v>0.0</v>
      </c>
      <c r="K1018" s="2" t="s">
        <v>4493</v>
      </c>
      <c r="L1018" s="2"/>
      <c r="M1018" s="170" t="s">
        <v>455</v>
      </c>
      <c r="N1018" s="2" t="s">
        <v>406</v>
      </c>
      <c r="O1018" s="3">
        <v>0.5</v>
      </c>
      <c r="P1018" s="2" t="s">
        <v>363</v>
      </c>
      <c r="Q1018" s="3">
        <v>0.0</v>
      </c>
      <c r="T1018" s="2" t="s">
        <v>3833</v>
      </c>
      <c r="U1018" s="171">
        <v>0.0</v>
      </c>
      <c r="V1018" s="172">
        <v>46024.0</v>
      </c>
      <c r="W1018" s="3">
        <v>213.44</v>
      </c>
      <c r="X1018" s="172">
        <v>46057.642782800925</v>
      </c>
      <c r="Y1018" s="172"/>
      <c r="Z1018" s="3">
        <v>46011.0</v>
      </c>
      <c r="AA1018" s="3"/>
    </row>
    <row r="1019">
      <c r="A1019" s="3">
        <v>6.808544739587E12</v>
      </c>
      <c r="B1019" s="2" t="s">
        <v>4494</v>
      </c>
      <c r="C1019" s="2" t="s">
        <v>4495</v>
      </c>
      <c r="D1019" s="169">
        <v>46011.0</v>
      </c>
      <c r="E1019" s="2">
        <v>3.098038438E9</v>
      </c>
      <c r="F1019" s="2" t="s">
        <v>4496</v>
      </c>
      <c r="G1019" s="2" t="s">
        <v>461</v>
      </c>
      <c r="H1019" s="2">
        <v>2699.0</v>
      </c>
      <c r="I1019" s="2">
        <v>2.6120050020607E13</v>
      </c>
      <c r="J1019" s="3">
        <v>1.0</v>
      </c>
      <c r="L1019" s="2" t="s">
        <v>4497</v>
      </c>
      <c r="M1019" s="174" t="s">
        <v>409</v>
      </c>
      <c r="N1019" s="2" t="s">
        <v>462</v>
      </c>
      <c r="O1019" s="3">
        <v>0.5</v>
      </c>
      <c r="P1019" s="2" t="s">
        <v>363</v>
      </c>
      <c r="Q1019" s="3">
        <v>1075.0</v>
      </c>
      <c r="T1019" s="2" t="s">
        <v>777</v>
      </c>
      <c r="U1019" s="171">
        <v>2699.0</v>
      </c>
      <c r="V1019" s="172">
        <v>46014.0</v>
      </c>
      <c r="W1019" s="3">
        <v>328.0</v>
      </c>
      <c r="X1019" s="172">
        <v>46013.803865740745</v>
      </c>
      <c r="Y1019" s="172"/>
      <c r="Z1019" s="3">
        <v>46011.0</v>
      </c>
      <c r="AA1019" s="3"/>
    </row>
    <row r="1020">
      <c r="A1020" s="3">
        <v>6.808558436611E12</v>
      </c>
      <c r="B1020" s="2" t="s">
        <v>4498</v>
      </c>
      <c r="C1020" s="2" t="s">
        <v>4499</v>
      </c>
      <c r="D1020" s="169">
        <v>46011.0</v>
      </c>
      <c r="E1020" s="2">
        <v>3.114602523E9</v>
      </c>
      <c r="F1020" s="2" t="s">
        <v>4500</v>
      </c>
      <c r="G1020" s="2" t="s">
        <v>4501</v>
      </c>
      <c r="H1020" s="2">
        <v>2948.0</v>
      </c>
      <c r="I1020" s="2" t="s">
        <v>4502</v>
      </c>
      <c r="J1020" s="3">
        <v>1.0</v>
      </c>
      <c r="K1020" s="2" t="s">
        <v>4503</v>
      </c>
      <c r="L1020" s="2" t="s">
        <v>2075</v>
      </c>
      <c r="M1020" s="170" t="s">
        <v>455</v>
      </c>
      <c r="N1020" s="2" t="s">
        <v>406</v>
      </c>
      <c r="O1020" s="3">
        <v>0.5</v>
      </c>
      <c r="P1020" s="2" t="s">
        <v>640</v>
      </c>
      <c r="Q1020" s="3">
        <v>1300.0</v>
      </c>
      <c r="T1020" s="2" t="s">
        <v>4504</v>
      </c>
      <c r="U1020" s="141"/>
      <c r="W1020" s="3">
        <v>292.2</v>
      </c>
      <c r="X1020" s="172">
        <v>46057.642782800925</v>
      </c>
      <c r="Y1020" s="172"/>
      <c r="Z1020" s="3">
        <v>46011.0</v>
      </c>
      <c r="AA1020" s="3"/>
    </row>
    <row r="1021">
      <c r="A1021" s="3">
        <v>6.808600609027E12</v>
      </c>
      <c r="B1021" s="2" t="s">
        <v>4505</v>
      </c>
      <c r="C1021" s="2" t="s">
        <v>4506</v>
      </c>
      <c r="D1021" s="169">
        <v>46011.0</v>
      </c>
      <c r="E1021" s="2">
        <v>3.116456208E9</v>
      </c>
      <c r="F1021" s="2" t="s">
        <v>4507</v>
      </c>
      <c r="G1021" s="2" t="s">
        <v>2725</v>
      </c>
      <c r="H1021" s="2">
        <v>0.0</v>
      </c>
      <c r="I1021" s="2">
        <v>2.2120050020585E13</v>
      </c>
      <c r="J1021" s="3">
        <v>0.0</v>
      </c>
      <c r="K1021" s="2" t="s">
        <v>4508</v>
      </c>
      <c r="L1021" s="2"/>
      <c r="M1021" s="170" t="s">
        <v>455</v>
      </c>
      <c r="N1021" s="2" t="s">
        <v>406</v>
      </c>
      <c r="O1021" s="3">
        <v>0.5</v>
      </c>
      <c r="P1021" s="2" t="s">
        <v>363</v>
      </c>
      <c r="Q1021" s="3">
        <v>0.0</v>
      </c>
      <c r="T1021" s="2" t="s">
        <v>2140</v>
      </c>
      <c r="U1021" s="171">
        <v>0.0</v>
      </c>
      <c r="V1021" s="172">
        <v>46021.0</v>
      </c>
      <c r="W1021" s="3">
        <v>313.0</v>
      </c>
      <c r="X1021" s="172">
        <v>46057.642782800925</v>
      </c>
      <c r="Y1021" s="172"/>
      <c r="Z1021" s="3">
        <v>46011.0</v>
      </c>
      <c r="AA1021" s="3"/>
    </row>
    <row r="1022">
      <c r="A1022" s="3">
        <v>6.808615616771E12</v>
      </c>
      <c r="B1022" s="2" t="s">
        <v>4509</v>
      </c>
      <c r="C1022" s="2" t="s">
        <v>4510</v>
      </c>
      <c r="D1022" s="169">
        <v>46011.0</v>
      </c>
      <c r="E1022" s="2">
        <v>3.096431636E9</v>
      </c>
      <c r="F1022" s="2" t="s">
        <v>4511</v>
      </c>
      <c r="G1022" s="2" t="s">
        <v>374</v>
      </c>
      <c r="H1022" s="2">
        <v>0.0</v>
      </c>
      <c r="I1022" s="2">
        <v>2.5120050020595E13</v>
      </c>
      <c r="J1022" s="3">
        <v>0.0</v>
      </c>
      <c r="K1022" s="2" t="s">
        <v>4512</v>
      </c>
      <c r="L1022" s="2"/>
      <c r="M1022" s="170" t="s">
        <v>455</v>
      </c>
      <c r="N1022" s="2" t="s">
        <v>406</v>
      </c>
      <c r="O1022" s="3">
        <v>0.5</v>
      </c>
      <c r="P1022" s="2" t="s">
        <v>363</v>
      </c>
      <c r="Q1022" s="3">
        <v>0.0</v>
      </c>
      <c r="T1022" s="2" t="s">
        <v>3833</v>
      </c>
      <c r="U1022" s="171">
        <v>0.0</v>
      </c>
      <c r="V1022" s="172">
        <v>46024.0</v>
      </c>
      <c r="W1022" s="3">
        <v>200.1</v>
      </c>
      <c r="X1022" s="172">
        <v>46057.642782800925</v>
      </c>
      <c r="Y1022" s="172"/>
      <c r="Z1022" s="3">
        <v>46011.0</v>
      </c>
      <c r="AA1022" s="3"/>
    </row>
    <row r="1023">
      <c r="A1023" s="3">
        <v>6.808695734531E12</v>
      </c>
      <c r="B1023" s="2" t="s">
        <v>4513</v>
      </c>
      <c r="C1023" s="2" t="s">
        <v>4514</v>
      </c>
      <c r="D1023" s="169">
        <v>46011.0</v>
      </c>
      <c r="E1023" s="2">
        <v>3.217808861E9</v>
      </c>
      <c r="F1023" s="2" t="s">
        <v>4515</v>
      </c>
      <c r="G1023" s="2" t="s">
        <v>374</v>
      </c>
      <c r="H1023" s="2">
        <v>3999.0</v>
      </c>
      <c r="I1023" s="2">
        <v>2.7120050020586E13</v>
      </c>
      <c r="J1023" s="3">
        <v>2.0</v>
      </c>
      <c r="L1023" s="2" t="s">
        <v>994</v>
      </c>
      <c r="M1023" s="174" t="s">
        <v>409</v>
      </c>
      <c r="N1023" s="2" t="s">
        <v>462</v>
      </c>
      <c r="O1023" s="3">
        <v>0.5</v>
      </c>
      <c r="P1023" s="2" t="s">
        <v>363</v>
      </c>
      <c r="Q1023" s="3">
        <v>1700.0</v>
      </c>
      <c r="T1023" s="2" t="s">
        <v>777</v>
      </c>
      <c r="U1023" s="171">
        <v>3999.0</v>
      </c>
      <c r="V1023" s="172">
        <v>46014.0</v>
      </c>
      <c r="W1023" s="3">
        <v>380.0</v>
      </c>
      <c r="X1023" s="172">
        <v>46013.6537962963</v>
      </c>
      <c r="Y1023" s="172"/>
      <c r="Z1023" s="3">
        <v>46011.0</v>
      </c>
      <c r="AA1023" s="3"/>
    </row>
    <row r="1024">
      <c r="A1024" s="3">
        <v>6.808822087939E12</v>
      </c>
      <c r="B1024" s="2" t="s">
        <v>4516</v>
      </c>
      <c r="C1024" s="2" t="s">
        <v>4517</v>
      </c>
      <c r="D1024" s="169">
        <v>46011.0</v>
      </c>
      <c r="E1024" s="2">
        <v>3.206440537E9</v>
      </c>
      <c r="F1024" s="2" t="s">
        <v>4518</v>
      </c>
      <c r="G1024" s="2" t="s">
        <v>374</v>
      </c>
      <c r="H1024" s="2">
        <v>0.0</v>
      </c>
      <c r="I1024" s="2">
        <v>2.9120050020594E13</v>
      </c>
      <c r="J1024" s="3">
        <v>0.0</v>
      </c>
      <c r="K1024" s="2" t="s">
        <v>4519</v>
      </c>
      <c r="L1024" s="2"/>
      <c r="M1024" s="170" t="s">
        <v>455</v>
      </c>
      <c r="N1024" s="2" t="s">
        <v>406</v>
      </c>
      <c r="O1024" s="3">
        <v>0.5</v>
      </c>
      <c r="P1024" s="2" t="s">
        <v>363</v>
      </c>
      <c r="Q1024" s="3">
        <v>0.0</v>
      </c>
      <c r="T1024" s="2" t="s">
        <v>3833</v>
      </c>
      <c r="U1024" s="171">
        <v>0.0</v>
      </c>
      <c r="V1024" s="172">
        <v>46024.0</v>
      </c>
      <c r="W1024" s="3">
        <v>200.1</v>
      </c>
      <c r="X1024" s="172">
        <v>46057.642782800925</v>
      </c>
      <c r="Y1024" s="172"/>
      <c r="Z1024" s="3">
        <v>46011.0</v>
      </c>
      <c r="AA1024" s="3"/>
    </row>
    <row r="1025">
      <c r="A1025" s="3">
        <v>6.809028886787E12</v>
      </c>
      <c r="B1025" s="2" t="s">
        <v>4520</v>
      </c>
      <c r="C1025" s="2" t="s">
        <v>4023</v>
      </c>
      <c r="D1025" s="169">
        <v>46011.0</v>
      </c>
      <c r="E1025" s="173" t="s">
        <v>4027</v>
      </c>
      <c r="F1025" s="2" t="s">
        <v>4024</v>
      </c>
      <c r="G1025" s="2" t="s">
        <v>368</v>
      </c>
      <c r="H1025" s="2">
        <v>0.0</v>
      </c>
      <c r="J1025" s="3">
        <v>0.0</v>
      </c>
      <c r="K1025" s="2" t="s">
        <v>4025</v>
      </c>
      <c r="L1025" s="2"/>
      <c r="M1025" s="2" t="s">
        <v>468</v>
      </c>
      <c r="N1025" s="2" t="s">
        <v>406</v>
      </c>
      <c r="O1025" s="3">
        <v>0.5</v>
      </c>
      <c r="Q1025" s="3">
        <v>0.0</v>
      </c>
      <c r="U1025" s="141"/>
      <c r="X1025" s="172">
        <v>46057.642782800925</v>
      </c>
      <c r="Y1025" s="172"/>
      <c r="Z1025" s="3">
        <v>46011.0</v>
      </c>
      <c r="AA1025" s="3"/>
    </row>
    <row r="1026">
      <c r="A1026" s="3">
        <v>6.809096225027E12</v>
      </c>
      <c r="B1026" s="2" t="s">
        <v>4521</v>
      </c>
      <c r="C1026" s="2" t="s">
        <v>4023</v>
      </c>
      <c r="D1026" s="169">
        <v>46011.0</v>
      </c>
      <c r="E1026" s="173" t="s">
        <v>4027</v>
      </c>
      <c r="F1026" s="2" t="s">
        <v>4024</v>
      </c>
      <c r="G1026" s="2" t="s">
        <v>368</v>
      </c>
      <c r="H1026" s="2">
        <v>0.0</v>
      </c>
      <c r="J1026" s="3">
        <v>0.0</v>
      </c>
      <c r="K1026" s="2" t="s">
        <v>4025</v>
      </c>
      <c r="L1026" s="2"/>
      <c r="M1026" s="2" t="s">
        <v>468</v>
      </c>
      <c r="N1026" s="2" t="s">
        <v>406</v>
      </c>
      <c r="O1026" s="3">
        <v>0.5</v>
      </c>
      <c r="Q1026" s="3">
        <v>0.0</v>
      </c>
      <c r="U1026" s="141"/>
      <c r="X1026" s="172">
        <v>46057.642782800925</v>
      </c>
      <c r="Y1026" s="172"/>
      <c r="Z1026" s="3">
        <v>46011.0</v>
      </c>
      <c r="AA1026" s="3"/>
    </row>
    <row r="1027">
      <c r="A1027" s="3">
        <v>6.809383731459E12</v>
      </c>
      <c r="B1027" s="2" t="s">
        <v>4522</v>
      </c>
      <c r="C1027" s="2" t="s">
        <v>4523</v>
      </c>
      <c r="D1027" s="169">
        <v>46011.0</v>
      </c>
      <c r="E1027" s="2">
        <v>3.452828024E9</v>
      </c>
      <c r="F1027" s="2" t="s">
        <v>4524</v>
      </c>
      <c r="G1027" s="2" t="s">
        <v>4525</v>
      </c>
      <c r="H1027" s="2">
        <v>3999.0</v>
      </c>
      <c r="I1027" s="2">
        <v>2.6120050020609E13</v>
      </c>
      <c r="J1027" s="3">
        <v>2.0</v>
      </c>
      <c r="K1027" s="2" t="s">
        <v>511</v>
      </c>
      <c r="L1027" s="2" t="s">
        <v>479</v>
      </c>
      <c r="M1027" s="174" t="s">
        <v>409</v>
      </c>
      <c r="N1027" s="2" t="s">
        <v>462</v>
      </c>
      <c r="O1027" s="3">
        <v>0.5</v>
      </c>
      <c r="P1027" s="2" t="s">
        <v>363</v>
      </c>
      <c r="Q1027" s="3">
        <v>1700.0</v>
      </c>
      <c r="T1027" s="2" t="s">
        <v>3833</v>
      </c>
      <c r="U1027" s="171">
        <v>3999.0</v>
      </c>
      <c r="V1027" s="172">
        <v>46024.0</v>
      </c>
      <c r="W1027" s="3">
        <v>380.07</v>
      </c>
      <c r="X1027" s="172">
        <v>46021.81364583333</v>
      </c>
      <c r="Y1027" s="172"/>
      <c r="Z1027" s="3">
        <v>46011.0</v>
      </c>
      <c r="AA1027" s="3"/>
    </row>
    <row r="1028">
      <c r="A1028" s="3">
        <v>6.809449005315E12</v>
      </c>
      <c r="B1028" s="2" t="s">
        <v>4526</v>
      </c>
      <c r="C1028" s="2" t="s">
        <v>4527</v>
      </c>
      <c r="D1028" s="169">
        <v>46011.0</v>
      </c>
      <c r="E1028" s="2">
        <v>3.325208724E9</v>
      </c>
      <c r="F1028" s="2" t="s">
        <v>4528</v>
      </c>
      <c r="G1028" s="2" t="s">
        <v>366</v>
      </c>
      <c r="H1028" s="2">
        <v>3099.0</v>
      </c>
      <c r="I1028" s="2">
        <v>2.7120050020593E13</v>
      </c>
      <c r="J1028" s="3">
        <v>2.0</v>
      </c>
      <c r="L1028" s="2" t="s">
        <v>228</v>
      </c>
      <c r="M1028" s="174" t="s">
        <v>409</v>
      </c>
      <c r="N1028" s="2" t="s">
        <v>462</v>
      </c>
      <c r="O1028" s="3">
        <v>0.5</v>
      </c>
      <c r="P1028" s="2" t="s">
        <v>363</v>
      </c>
      <c r="Q1028" s="3">
        <v>920.0</v>
      </c>
      <c r="T1028" s="2" t="s">
        <v>1468</v>
      </c>
      <c r="U1028" s="171">
        <v>3099.0</v>
      </c>
      <c r="V1028" s="172">
        <v>46017.0</v>
      </c>
      <c r="W1028" s="3">
        <v>324.0</v>
      </c>
      <c r="X1028" s="172">
        <v>46014.80873842593</v>
      </c>
      <c r="Y1028" s="172"/>
      <c r="Z1028" s="3">
        <v>46011.0</v>
      </c>
      <c r="AA1028" s="3"/>
    </row>
    <row r="1029">
      <c r="A1029" s="3">
        <v>6.809519227139E12</v>
      </c>
      <c r="B1029" s="2" t="s">
        <v>4529</v>
      </c>
      <c r="C1029" s="2" t="s">
        <v>4530</v>
      </c>
      <c r="D1029" s="169">
        <v>46011.0</v>
      </c>
      <c r="E1029" s="2">
        <v>3.363012994E9</v>
      </c>
      <c r="F1029" s="2" t="s">
        <v>4531</v>
      </c>
      <c r="G1029" s="2" t="s">
        <v>368</v>
      </c>
      <c r="H1029" s="2">
        <v>0.0</v>
      </c>
      <c r="I1029" s="2">
        <v>2.7120050020587E13</v>
      </c>
      <c r="J1029" s="3">
        <v>0.0</v>
      </c>
      <c r="K1029" s="2" t="s">
        <v>4532</v>
      </c>
      <c r="L1029" s="2"/>
      <c r="M1029" s="170" t="s">
        <v>455</v>
      </c>
      <c r="N1029" s="2" t="s">
        <v>406</v>
      </c>
      <c r="O1029" s="3">
        <v>0.5</v>
      </c>
      <c r="P1029" s="2" t="s">
        <v>363</v>
      </c>
      <c r="Q1029" s="3">
        <v>0.0</v>
      </c>
      <c r="T1029" s="2" t="s">
        <v>2140</v>
      </c>
      <c r="U1029" s="171">
        <v>0.0</v>
      </c>
      <c r="V1029" s="172">
        <v>46021.0</v>
      </c>
      <c r="W1029" s="3">
        <v>120.0</v>
      </c>
      <c r="X1029" s="172">
        <v>46057.642782800925</v>
      </c>
      <c r="Y1029" s="172"/>
      <c r="Z1029" s="3">
        <v>46011.0</v>
      </c>
      <c r="AA1029" s="3"/>
    </row>
    <row r="1030">
      <c r="A1030" s="3">
        <v>6.809524797699E12</v>
      </c>
      <c r="B1030" s="2" t="s">
        <v>4533</v>
      </c>
      <c r="C1030" s="2" t="s">
        <v>4534</v>
      </c>
      <c r="D1030" s="169">
        <v>46011.0</v>
      </c>
      <c r="E1030" s="2">
        <v>3.163500016E9</v>
      </c>
      <c r="F1030" s="2" t="s">
        <v>4535</v>
      </c>
      <c r="G1030" s="2" t="s">
        <v>4536</v>
      </c>
      <c r="H1030" s="2">
        <v>0.0</v>
      </c>
      <c r="I1030" s="2">
        <v>2.2120050020592E13</v>
      </c>
      <c r="J1030" s="3">
        <v>0.0</v>
      </c>
      <c r="K1030" s="2" t="s">
        <v>4213</v>
      </c>
      <c r="L1030" s="2"/>
      <c r="M1030" s="170" t="s">
        <v>455</v>
      </c>
      <c r="N1030" s="2" t="s">
        <v>406</v>
      </c>
      <c r="O1030" s="3">
        <v>0.5</v>
      </c>
      <c r="P1030" s="2" t="s">
        <v>363</v>
      </c>
      <c r="Q1030" s="3">
        <v>0.0</v>
      </c>
      <c r="T1030" s="2" t="s">
        <v>3833</v>
      </c>
      <c r="U1030" s="171">
        <v>0.0</v>
      </c>
      <c r="V1030" s="172">
        <v>46024.0</v>
      </c>
      <c r="W1030" s="3">
        <v>213.44</v>
      </c>
      <c r="X1030" s="172">
        <v>46057.642782800925</v>
      </c>
      <c r="Y1030" s="172"/>
      <c r="Z1030" s="3">
        <v>46011.0</v>
      </c>
      <c r="AA1030" s="3"/>
    </row>
    <row r="1031">
      <c r="A1031" s="3">
        <v>6.809569558787E12</v>
      </c>
      <c r="B1031" s="2" t="s">
        <v>4537</v>
      </c>
      <c r="C1031" s="2" t="s">
        <v>4241</v>
      </c>
      <c r="D1031" s="169">
        <v>46011.0</v>
      </c>
      <c r="E1031" s="173" t="s">
        <v>4538</v>
      </c>
      <c r="F1031" s="2" t="s">
        <v>4242</v>
      </c>
      <c r="G1031" s="2" t="s">
        <v>781</v>
      </c>
      <c r="H1031" s="2">
        <v>0.0</v>
      </c>
      <c r="J1031" s="3">
        <v>0.0</v>
      </c>
      <c r="K1031" s="2" t="s">
        <v>4539</v>
      </c>
      <c r="L1031" s="2"/>
      <c r="M1031" s="2" t="s">
        <v>468</v>
      </c>
      <c r="N1031" s="2" t="s">
        <v>406</v>
      </c>
      <c r="O1031" s="3">
        <v>0.5</v>
      </c>
      <c r="Q1031" s="3">
        <v>0.0</v>
      </c>
      <c r="U1031" s="141"/>
      <c r="X1031" s="172">
        <v>46057.642782800925</v>
      </c>
      <c r="Y1031" s="172"/>
      <c r="Z1031" s="3">
        <v>46011.0</v>
      </c>
      <c r="AA1031" s="3"/>
    </row>
    <row r="1032">
      <c r="A1032" s="3">
        <v>6.809579356419E12</v>
      </c>
      <c r="B1032" s="2" t="s">
        <v>4540</v>
      </c>
      <c r="C1032" s="2" t="s">
        <v>4086</v>
      </c>
      <c r="D1032" s="169">
        <v>46011.0</v>
      </c>
      <c r="E1032" s="173" t="s">
        <v>4541</v>
      </c>
      <c r="F1032" s="2" t="s">
        <v>4087</v>
      </c>
      <c r="G1032" s="2" t="s">
        <v>1323</v>
      </c>
      <c r="H1032" s="2">
        <v>4339.0</v>
      </c>
      <c r="I1032" s="2">
        <v>2.5120050020589E13</v>
      </c>
      <c r="J1032" s="3">
        <v>1.0</v>
      </c>
      <c r="K1032" s="2" t="s">
        <v>4542</v>
      </c>
      <c r="L1032" s="2" t="s">
        <v>4543</v>
      </c>
      <c r="M1032" s="174" t="s">
        <v>409</v>
      </c>
      <c r="N1032" s="2" t="s">
        <v>462</v>
      </c>
      <c r="O1032" s="3">
        <v>0.5</v>
      </c>
      <c r="P1032" s="2" t="s">
        <v>363</v>
      </c>
      <c r="Q1032" s="3">
        <v>1600.0</v>
      </c>
      <c r="T1032" s="2" t="s">
        <v>777</v>
      </c>
      <c r="U1032" s="3">
        <v>4339.0</v>
      </c>
      <c r="V1032" s="172">
        <v>46014.0</v>
      </c>
      <c r="W1032" s="3">
        <v>238.0</v>
      </c>
      <c r="X1032" s="172">
        <v>46013.68283564815</v>
      </c>
      <c r="Y1032" s="172"/>
      <c r="Z1032" s="3">
        <v>46011.0</v>
      </c>
      <c r="AA1032" s="3"/>
    </row>
    <row r="1033">
      <c r="A1033" s="3">
        <v>6.809605996803E12</v>
      </c>
      <c r="B1033" s="2" t="s">
        <v>4544</v>
      </c>
      <c r="C1033" s="2" t="s">
        <v>4545</v>
      </c>
      <c r="D1033" s="169">
        <v>46011.0</v>
      </c>
      <c r="E1033" s="173" t="s">
        <v>4546</v>
      </c>
      <c r="F1033" s="2" t="s">
        <v>4547</v>
      </c>
      <c r="G1033" s="2" t="s">
        <v>366</v>
      </c>
      <c r="H1033" s="2">
        <v>0.0</v>
      </c>
      <c r="J1033" s="3">
        <v>0.0</v>
      </c>
      <c r="K1033" s="2" t="s">
        <v>4548</v>
      </c>
      <c r="L1033" s="2"/>
      <c r="M1033" s="2" t="s">
        <v>468</v>
      </c>
      <c r="N1033" s="2" t="s">
        <v>406</v>
      </c>
      <c r="O1033" s="3">
        <v>0.5</v>
      </c>
      <c r="P1033" s="2"/>
      <c r="Q1033" s="3">
        <v>0.0</v>
      </c>
      <c r="U1033" s="141"/>
      <c r="X1033" s="172">
        <v>46057.642782800925</v>
      </c>
      <c r="Y1033" s="172"/>
      <c r="Z1033" s="3">
        <v>46011.0</v>
      </c>
      <c r="AA1033" s="3"/>
    </row>
    <row r="1034">
      <c r="A1034" s="3">
        <v>6.809607536899E12</v>
      </c>
      <c r="B1034" s="2" t="s">
        <v>4549</v>
      </c>
      <c r="C1034" s="2" t="s">
        <v>2335</v>
      </c>
      <c r="D1034" s="169">
        <v>46011.0</v>
      </c>
      <c r="E1034" s="2">
        <v>3.468271E9</v>
      </c>
      <c r="F1034" s="2" t="s">
        <v>2336</v>
      </c>
      <c r="G1034" s="2" t="s">
        <v>368</v>
      </c>
      <c r="H1034" s="2">
        <v>1425.0</v>
      </c>
      <c r="I1034" s="2" t="s">
        <v>4550</v>
      </c>
      <c r="J1034" s="3">
        <v>1.0</v>
      </c>
      <c r="K1034" s="2" t="s">
        <v>4551</v>
      </c>
      <c r="L1034" s="2" t="s">
        <v>243</v>
      </c>
      <c r="M1034" s="174" t="s">
        <v>409</v>
      </c>
      <c r="N1034" s="2" t="s">
        <v>462</v>
      </c>
      <c r="O1034" s="3">
        <v>0.5</v>
      </c>
      <c r="P1034" s="2"/>
      <c r="Q1034" s="3">
        <v>460.0</v>
      </c>
      <c r="U1034" s="2">
        <v>1425.0</v>
      </c>
      <c r="X1034" s="172">
        <v>46059.31649224537</v>
      </c>
      <c r="Y1034" s="172"/>
      <c r="Z1034" s="3">
        <v>46011.0</v>
      </c>
      <c r="AA1034" s="3"/>
    </row>
    <row r="1035">
      <c r="A1035" s="3">
        <v>6.809620087043E12</v>
      </c>
      <c r="B1035" s="2" t="s">
        <v>4552</v>
      </c>
      <c r="C1035" s="2" t="s">
        <v>4553</v>
      </c>
      <c r="D1035" s="169">
        <v>46011.0</v>
      </c>
      <c r="E1035" s="173" t="s">
        <v>4554</v>
      </c>
      <c r="F1035" s="2" t="s">
        <v>4555</v>
      </c>
      <c r="G1035" s="2" t="s">
        <v>4556</v>
      </c>
      <c r="H1035" s="2">
        <v>4000.0</v>
      </c>
      <c r="I1035" s="2">
        <v>2.8120050020606E13</v>
      </c>
      <c r="J1035" s="3">
        <v>2.0</v>
      </c>
      <c r="K1035" s="2" t="s">
        <v>4557</v>
      </c>
      <c r="L1035" s="2" t="s">
        <v>994</v>
      </c>
      <c r="M1035" s="174" t="s">
        <v>409</v>
      </c>
      <c r="N1035" s="2" t="s">
        <v>462</v>
      </c>
      <c r="O1035" s="3">
        <v>0.5</v>
      </c>
      <c r="P1035" s="2" t="s">
        <v>73</v>
      </c>
      <c r="Q1035" s="3">
        <v>1700.0</v>
      </c>
      <c r="T1035" s="2" t="s">
        <v>1468</v>
      </c>
      <c r="U1035" s="171">
        <v>4000.0</v>
      </c>
      <c r="V1035" s="172">
        <v>46017.0</v>
      </c>
      <c r="W1035" s="3">
        <v>380.0</v>
      </c>
      <c r="X1035" s="172">
        <v>46015.4203587963</v>
      </c>
      <c r="Y1035" s="172"/>
      <c r="Z1035" s="3">
        <v>46011.0</v>
      </c>
      <c r="AA1035" s="3"/>
    </row>
    <row r="1036">
      <c r="A1036" s="3">
        <v>6.809632506115E12</v>
      </c>
      <c r="B1036" s="2" t="s">
        <v>4558</v>
      </c>
      <c r="C1036" s="2" t="s">
        <v>4559</v>
      </c>
      <c r="D1036" s="169">
        <v>46011.0</v>
      </c>
      <c r="E1036" s="2">
        <v>3.055981099E9</v>
      </c>
      <c r="F1036" s="2" t="s">
        <v>4560</v>
      </c>
      <c r="G1036" s="2" t="s">
        <v>541</v>
      </c>
      <c r="H1036" s="2">
        <v>6600.0</v>
      </c>
      <c r="I1036" s="2">
        <v>2.412005002061E13</v>
      </c>
      <c r="J1036" s="3">
        <v>4.0</v>
      </c>
      <c r="K1036" s="2" t="s">
        <v>511</v>
      </c>
      <c r="L1036" s="2" t="s">
        <v>4561</v>
      </c>
      <c r="M1036" s="174" t="s">
        <v>409</v>
      </c>
      <c r="N1036" s="2" t="s">
        <v>462</v>
      </c>
      <c r="O1036" s="3">
        <v>0.5</v>
      </c>
      <c r="P1036" s="2" t="s">
        <v>363</v>
      </c>
      <c r="Q1036" s="3">
        <v>2620.0</v>
      </c>
      <c r="T1036" s="2" t="s">
        <v>1468</v>
      </c>
      <c r="U1036" s="171">
        <v>6600.0</v>
      </c>
      <c r="V1036" s="172">
        <v>46017.0</v>
      </c>
      <c r="W1036" s="3">
        <v>577.0</v>
      </c>
      <c r="X1036" s="172">
        <v>46014.69677083333</v>
      </c>
      <c r="Y1036" s="172"/>
      <c r="Z1036" s="3">
        <v>46011.0</v>
      </c>
      <c r="AA1036" s="3"/>
    </row>
    <row r="1037">
      <c r="A1037" s="3">
        <v>6.809633456387E12</v>
      </c>
      <c r="B1037" s="2" t="s">
        <v>4562</v>
      </c>
      <c r="C1037" s="2" t="s">
        <v>4563</v>
      </c>
      <c r="D1037" s="169">
        <v>46011.0</v>
      </c>
      <c r="E1037" s="2">
        <v>3.091828149E9</v>
      </c>
      <c r="F1037" s="2" t="s">
        <v>4564</v>
      </c>
      <c r="G1037" s="2" t="s">
        <v>493</v>
      </c>
      <c r="H1037" s="2">
        <v>1999.0</v>
      </c>
      <c r="I1037" s="2">
        <v>2.212005002059E13</v>
      </c>
      <c r="J1037" s="3">
        <v>1.0</v>
      </c>
      <c r="L1037" s="2" t="s">
        <v>4565</v>
      </c>
      <c r="M1037" s="174" t="s">
        <v>409</v>
      </c>
      <c r="N1037" s="2" t="s">
        <v>462</v>
      </c>
      <c r="O1037" s="3">
        <v>0.5</v>
      </c>
      <c r="P1037" s="2" t="s">
        <v>363</v>
      </c>
      <c r="Q1037" s="3">
        <v>1125.0</v>
      </c>
      <c r="T1037" s="2" t="s">
        <v>1468</v>
      </c>
      <c r="U1037" s="171">
        <v>1999.0</v>
      </c>
      <c r="V1037" s="172">
        <v>46017.0</v>
      </c>
      <c r="W1037" s="3">
        <v>293.0</v>
      </c>
      <c r="X1037" s="172">
        <v>46014.58841435185</v>
      </c>
      <c r="Y1037" s="172"/>
      <c r="Z1037" s="3">
        <v>46011.0</v>
      </c>
      <c r="AA1037" s="3"/>
    </row>
    <row r="1038">
      <c r="A1038" s="3">
        <v>6.809650233603E12</v>
      </c>
      <c r="B1038" s="2" t="s">
        <v>4566</v>
      </c>
      <c r="C1038" s="2" t="s">
        <v>4567</v>
      </c>
      <c r="D1038" s="169">
        <v>46011.0</v>
      </c>
      <c r="E1038" s="2">
        <v>3.002633664E9</v>
      </c>
      <c r="F1038" s="2" t="s">
        <v>4568</v>
      </c>
      <c r="G1038" s="2" t="s">
        <v>493</v>
      </c>
      <c r="H1038" s="2">
        <v>3999.0</v>
      </c>
      <c r="I1038" s="2">
        <v>2.212005002073E13</v>
      </c>
      <c r="J1038" s="3">
        <v>2.0</v>
      </c>
      <c r="L1038" s="2" t="s">
        <v>479</v>
      </c>
      <c r="M1038" s="174" t="s">
        <v>409</v>
      </c>
      <c r="N1038" s="2" t="s">
        <v>462</v>
      </c>
      <c r="O1038" s="3">
        <v>0.5</v>
      </c>
      <c r="P1038" s="2" t="s">
        <v>363</v>
      </c>
      <c r="Q1038" s="3">
        <v>1700.0</v>
      </c>
      <c r="T1038" s="2" t="s">
        <v>2140</v>
      </c>
      <c r="U1038" s="171">
        <v>3999.0</v>
      </c>
      <c r="V1038" s="172">
        <v>46021.0</v>
      </c>
      <c r="W1038" s="3">
        <v>387.0</v>
      </c>
      <c r="X1038" s="172">
        <v>46021.45023148148</v>
      </c>
      <c r="Y1038" s="172"/>
      <c r="Z1038" s="3">
        <v>46011.0</v>
      </c>
      <c r="AA1038" s="3"/>
    </row>
    <row r="1039">
      <c r="A1039" s="3">
        <v>6.809652855043E12</v>
      </c>
      <c r="B1039" s="2" t="s">
        <v>4569</v>
      </c>
      <c r="C1039" s="2" t="s">
        <v>4570</v>
      </c>
      <c r="D1039" s="169">
        <v>46011.0</v>
      </c>
      <c r="E1039" s="2">
        <v>3.078821882E9</v>
      </c>
      <c r="F1039" s="2" t="s">
        <v>4571</v>
      </c>
      <c r="G1039" s="2" t="s">
        <v>368</v>
      </c>
      <c r="H1039" s="2">
        <v>4148.0</v>
      </c>
      <c r="I1039" s="2">
        <v>2.7120050020611E13</v>
      </c>
      <c r="J1039" s="3">
        <v>1.0</v>
      </c>
      <c r="L1039" s="2" t="s">
        <v>4572</v>
      </c>
      <c r="M1039" s="174" t="s">
        <v>409</v>
      </c>
      <c r="N1039" s="2" t="s">
        <v>462</v>
      </c>
      <c r="O1039" s="3">
        <v>0.5</v>
      </c>
      <c r="P1039" s="2" t="s">
        <v>363</v>
      </c>
      <c r="Q1039" s="3">
        <v>1600.0</v>
      </c>
      <c r="T1039" s="2" t="s">
        <v>1468</v>
      </c>
      <c r="U1039" s="171">
        <v>4148.0</v>
      </c>
      <c r="V1039" s="172">
        <v>46017.0</v>
      </c>
      <c r="W1039" s="3">
        <v>286.0</v>
      </c>
      <c r="X1039" s="172">
        <v>46014.675312499996</v>
      </c>
      <c r="Y1039" s="172"/>
      <c r="Z1039" s="3">
        <v>46011.0</v>
      </c>
      <c r="AA1039" s="3"/>
    </row>
    <row r="1040">
      <c r="A1040" s="3">
        <v>6.809656918275E12</v>
      </c>
      <c r="B1040" s="2" t="s">
        <v>4573</v>
      </c>
      <c r="C1040" s="2" t="s">
        <v>4574</v>
      </c>
      <c r="D1040" s="169">
        <v>46011.0</v>
      </c>
      <c r="E1040" s="173" t="s">
        <v>4575</v>
      </c>
      <c r="F1040" s="2" t="s">
        <v>4576</v>
      </c>
      <c r="G1040" s="2" t="s">
        <v>4577</v>
      </c>
      <c r="H1040" s="2">
        <v>0.0</v>
      </c>
      <c r="I1040" s="2">
        <v>2.1120050020617E13</v>
      </c>
      <c r="J1040" s="3">
        <v>0.0</v>
      </c>
      <c r="K1040" s="2" t="s">
        <v>4578</v>
      </c>
      <c r="L1040" s="2"/>
      <c r="M1040" s="170" t="s">
        <v>455</v>
      </c>
      <c r="N1040" s="2" t="s">
        <v>406</v>
      </c>
      <c r="O1040" s="3">
        <v>0.5</v>
      </c>
      <c r="P1040" s="2" t="s">
        <v>73</v>
      </c>
      <c r="Q1040" s="3">
        <v>0.0</v>
      </c>
      <c r="T1040" s="2" t="s">
        <v>3833</v>
      </c>
      <c r="U1040" s="171">
        <v>0.0</v>
      </c>
      <c r="V1040" s="172">
        <v>46024.0</v>
      </c>
      <c r="W1040" s="3">
        <v>200.1</v>
      </c>
      <c r="X1040" s="172">
        <v>46057.642782800925</v>
      </c>
      <c r="Y1040" s="172"/>
      <c r="Z1040" s="3">
        <v>46011.0</v>
      </c>
      <c r="AA1040" s="3"/>
    </row>
    <row r="1041">
      <c r="A1041" s="3">
        <v>6.809665306883E12</v>
      </c>
      <c r="B1041" s="2" t="s">
        <v>4579</v>
      </c>
      <c r="C1041" s="2" t="s">
        <v>4580</v>
      </c>
      <c r="D1041" s="169">
        <v>46011.0</v>
      </c>
      <c r="E1041" s="2">
        <v>3.142457704E9</v>
      </c>
      <c r="F1041" s="2" t="s">
        <v>4581</v>
      </c>
      <c r="G1041" s="2" t="s">
        <v>4582</v>
      </c>
      <c r="H1041" s="2">
        <v>0.0</v>
      </c>
      <c r="J1041" s="3">
        <v>0.0</v>
      </c>
      <c r="K1041" s="2" t="s">
        <v>4583</v>
      </c>
      <c r="L1041" s="2"/>
      <c r="M1041" s="2" t="s">
        <v>468</v>
      </c>
      <c r="N1041" s="2" t="s">
        <v>406</v>
      </c>
      <c r="O1041" s="3">
        <v>0.5</v>
      </c>
      <c r="Q1041" s="3">
        <v>0.0</v>
      </c>
      <c r="U1041" s="141"/>
      <c r="X1041" s="172">
        <v>46057.642782800925</v>
      </c>
      <c r="Y1041" s="172"/>
      <c r="Z1041" s="3">
        <v>46011.0</v>
      </c>
      <c r="AA1041" s="3"/>
    </row>
    <row r="1042">
      <c r="A1042" s="3">
        <v>6.809669042435E12</v>
      </c>
      <c r="B1042" s="2" t="s">
        <v>4584</v>
      </c>
      <c r="C1042" s="2" t="s">
        <v>4585</v>
      </c>
      <c r="D1042" s="169">
        <v>46011.0</v>
      </c>
      <c r="E1042" s="2">
        <v>3.00866972E9</v>
      </c>
      <c r="F1042" s="2" t="s">
        <v>4586</v>
      </c>
      <c r="G1042" s="2" t="s">
        <v>374</v>
      </c>
      <c r="H1042" s="2">
        <v>3999.0</v>
      </c>
      <c r="I1042" s="2">
        <v>2.1120050020612E13</v>
      </c>
      <c r="J1042" s="3">
        <v>2.0</v>
      </c>
      <c r="L1042" s="2" t="s">
        <v>532</v>
      </c>
      <c r="M1042" s="174" t="s">
        <v>409</v>
      </c>
      <c r="N1042" s="2" t="s">
        <v>462</v>
      </c>
      <c r="O1042" s="3">
        <v>0.5</v>
      </c>
      <c r="P1042" s="2" t="s">
        <v>73</v>
      </c>
      <c r="Q1042" s="3">
        <v>1700.0</v>
      </c>
      <c r="T1042" s="2" t="s">
        <v>777</v>
      </c>
      <c r="U1042" s="171">
        <v>3999.0</v>
      </c>
      <c r="V1042" s="172">
        <v>46014.0</v>
      </c>
      <c r="W1042" s="3">
        <v>380.0</v>
      </c>
      <c r="X1042" s="172">
        <v>46013.79364583333</v>
      </c>
      <c r="Y1042" s="172"/>
      <c r="Z1042" s="3">
        <v>46011.0</v>
      </c>
      <c r="AA1042" s="3"/>
    </row>
    <row r="1043">
      <c r="A1043" s="3">
        <v>6.809683296515E12</v>
      </c>
      <c r="B1043" s="2" t="s">
        <v>4587</v>
      </c>
      <c r="C1043" s="2" t="s">
        <v>4588</v>
      </c>
      <c r="D1043" s="169">
        <v>46011.0</v>
      </c>
      <c r="E1043" s="173" t="s">
        <v>4589</v>
      </c>
      <c r="F1043" s="2" t="s">
        <v>4590</v>
      </c>
      <c r="G1043" s="2" t="s">
        <v>4591</v>
      </c>
      <c r="H1043" s="2">
        <v>3297.0</v>
      </c>
      <c r="I1043" s="2" t="s">
        <v>4592</v>
      </c>
      <c r="J1043" s="3">
        <v>2.0</v>
      </c>
      <c r="K1043" s="2" t="s">
        <v>4593</v>
      </c>
      <c r="L1043" s="2" t="s">
        <v>4594</v>
      </c>
      <c r="M1043" s="174" t="s">
        <v>409</v>
      </c>
      <c r="N1043" s="2" t="s">
        <v>462</v>
      </c>
      <c r="O1043" s="3">
        <v>0.5</v>
      </c>
      <c r="P1043" s="2" t="s">
        <v>640</v>
      </c>
      <c r="Q1043" s="3">
        <v>1700.0</v>
      </c>
      <c r="T1043" s="2" t="s">
        <v>4595</v>
      </c>
      <c r="U1043" s="2">
        <v>3297.0</v>
      </c>
      <c r="V1043" s="172">
        <v>46023.0</v>
      </c>
      <c r="W1043" s="3">
        <v>501.0</v>
      </c>
      <c r="X1043" s="172">
        <v>46057.71476466436</v>
      </c>
      <c r="Y1043" s="172"/>
      <c r="Z1043" s="3">
        <v>46011.0</v>
      </c>
      <c r="AA1043" s="3"/>
    </row>
    <row r="1044">
      <c r="A1044" s="3">
        <v>6.809765806339E12</v>
      </c>
      <c r="B1044" s="2" t="s">
        <v>4596</v>
      </c>
      <c r="C1044" s="2" t="s">
        <v>4597</v>
      </c>
      <c r="D1044" s="169">
        <v>46011.0</v>
      </c>
      <c r="E1044" s="173" t="s">
        <v>4598</v>
      </c>
      <c r="F1044" s="2" t="s">
        <v>4599</v>
      </c>
      <c r="G1044" s="2" t="s">
        <v>506</v>
      </c>
      <c r="H1044" s="2">
        <v>2749.0</v>
      </c>
      <c r="I1044" s="2" t="s">
        <v>4600</v>
      </c>
      <c r="J1044" s="3">
        <v>2.0</v>
      </c>
      <c r="K1044" s="2" t="s">
        <v>4601</v>
      </c>
      <c r="L1044" s="2" t="s">
        <v>16</v>
      </c>
      <c r="M1044" s="174" t="s">
        <v>409</v>
      </c>
      <c r="N1044" s="2" t="s">
        <v>462</v>
      </c>
      <c r="O1044" s="3">
        <v>0.5</v>
      </c>
      <c r="P1044" s="2" t="s">
        <v>640</v>
      </c>
      <c r="Q1044" s="3">
        <v>980.0</v>
      </c>
      <c r="T1044" s="2" t="s">
        <v>3376</v>
      </c>
      <c r="U1044" s="2">
        <v>2749.0</v>
      </c>
      <c r="V1044" s="172">
        <v>46023.0</v>
      </c>
      <c r="W1044" s="3">
        <v>263.2</v>
      </c>
      <c r="X1044" s="172">
        <v>46057.71477355324</v>
      </c>
      <c r="Y1044" s="172"/>
      <c r="Z1044" s="3">
        <v>46011.0</v>
      </c>
      <c r="AA1044" s="3"/>
    </row>
    <row r="1045">
      <c r="A1045" s="3">
        <v>6.809779536131E12</v>
      </c>
      <c r="B1045" s="2" t="s">
        <v>4602</v>
      </c>
      <c r="C1045" s="2" t="s">
        <v>1496</v>
      </c>
      <c r="D1045" s="169">
        <v>46011.0</v>
      </c>
      <c r="E1045" s="173" t="s">
        <v>4603</v>
      </c>
      <c r="F1045" s="2" t="s">
        <v>1497</v>
      </c>
      <c r="G1045" s="2" t="s">
        <v>1498</v>
      </c>
      <c r="H1045" s="2">
        <v>1999.0</v>
      </c>
      <c r="I1045" s="2">
        <v>2.1120050020693E13</v>
      </c>
      <c r="J1045" s="3">
        <v>1.0</v>
      </c>
      <c r="K1045" s="2" t="s">
        <v>4604</v>
      </c>
      <c r="L1045" s="2" t="s">
        <v>1576</v>
      </c>
      <c r="M1045" s="174" t="s">
        <v>409</v>
      </c>
      <c r="N1045" s="2" t="s">
        <v>462</v>
      </c>
      <c r="O1045" s="3">
        <v>0.5</v>
      </c>
      <c r="P1045" s="2" t="s">
        <v>73</v>
      </c>
      <c r="Q1045" s="3">
        <v>1095.0</v>
      </c>
      <c r="T1045" s="2" t="s">
        <v>2140</v>
      </c>
      <c r="U1045" s="3">
        <v>1999.0</v>
      </c>
      <c r="V1045" s="172">
        <v>46021.0</v>
      </c>
      <c r="W1045" s="3">
        <v>283.0</v>
      </c>
      <c r="X1045" s="172">
        <v>46019.701585648145</v>
      </c>
      <c r="Y1045" s="172"/>
      <c r="Z1045" s="3">
        <v>46011.0</v>
      </c>
      <c r="AA1045" s="3"/>
    </row>
    <row r="1046">
      <c r="A1046" s="3">
        <v>6.809797755139E12</v>
      </c>
      <c r="B1046" s="2" t="s">
        <v>4605</v>
      </c>
      <c r="C1046" s="2" t="s">
        <v>4606</v>
      </c>
      <c r="D1046" s="169">
        <v>46011.0</v>
      </c>
      <c r="E1046" s="2">
        <v>3.218275396E9</v>
      </c>
      <c r="F1046" s="2" t="s">
        <v>4607</v>
      </c>
      <c r="G1046" s="2" t="s">
        <v>493</v>
      </c>
      <c r="H1046" s="2">
        <v>2749.0</v>
      </c>
      <c r="I1046" s="2">
        <v>2.3120050020642E13</v>
      </c>
      <c r="J1046" s="3">
        <v>2.0</v>
      </c>
      <c r="L1046" s="2" t="s">
        <v>35</v>
      </c>
      <c r="M1046" s="174" t="s">
        <v>409</v>
      </c>
      <c r="N1046" s="2" t="s">
        <v>462</v>
      </c>
      <c r="O1046" s="3">
        <v>0.5</v>
      </c>
      <c r="P1046" s="2" t="s">
        <v>363</v>
      </c>
      <c r="Q1046" s="3">
        <v>980.0</v>
      </c>
      <c r="T1046" s="2" t="s">
        <v>2140</v>
      </c>
      <c r="U1046" s="171">
        <v>2749.0</v>
      </c>
      <c r="V1046" s="172">
        <v>46021.0</v>
      </c>
      <c r="W1046" s="3">
        <v>323.0</v>
      </c>
      <c r="X1046" s="172">
        <v>46020.73439814815</v>
      </c>
      <c r="Y1046" s="172"/>
      <c r="Z1046" s="3">
        <v>46011.0</v>
      </c>
      <c r="AA1046" s="3"/>
    </row>
    <row r="1047">
      <c r="A1047" s="3">
        <v>6.809879511299E12</v>
      </c>
      <c r="B1047" s="2" t="s">
        <v>4608</v>
      </c>
      <c r="C1047" s="2" t="s">
        <v>3353</v>
      </c>
      <c r="D1047" s="169">
        <v>46011.0</v>
      </c>
      <c r="E1047" s="173" t="s">
        <v>3354</v>
      </c>
      <c r="F1047" s="2" t="s">
        <v>3355</v>
      </c>
      <c r="G1047" s="2" t="s">
        <v>3356</v>
      </c>
      <c r="H1047" s="2">
        <v>0.0</v>
      </c>
      <c r="I1047" s="2" t="s">
        <v>4609</v>
      </c>
      <c r="J1047" s="3">
        <v>0.0</v>
      </c>
      <c r="K1047" s="2" t="s">
        <v>2055</v>
      </c>
      <c r="L1047" s="2"/>
      <c r="M1047" s="170" t="s">
        <v>455</v>
      </c>
      <c r="N1047" s="2" t="s">
        <v>406</v>
      </c>
      <c r="O1047" s="3">
        <v>0.5</v>
      </c>
      <c r="P1047" s="2" t="s">
        <v>640</v>
      </c>
      <c r="Q1047" s="3">
        <v>0.0</v>
      </c>
      <c r="T1047" s="2" t="s">
        <v>3376</v>
      </c>
      <c r="U1047" s="141"/>
      <c r="W1047" s="3">
        <v>292.2</v>
      </c>
      <c r="X1047" s="172">
        <v>46057.642782800925</v>
      </c>
      <c r="Y1047" s="172"/>
      <c r="Z1047" s="3">
        <v>46011.0</v>
      </c>
      <c r="AA1047" s="3"/>
    </row>
    <row r="1048">
      <c r="A1048" s="3">
        <v>6.809912901891E12</v>
      </c>
      <c r="B1048" s="2" t="s">
        <v>4610</v>
      </c>
      <c r="C1048" s="2" t="s">
        <v>4611</v>
      </c>
      <c r="D1048" s="169">
        <v>46011.0</v>
      </c>
      <c r="E1048" s="2">
        <v>3.350322354E9</v>
      </c>
      <c r="F1048" s="2" t="s">
        <v>4612</v>
      </c>
      <c r="G1048" s="2" t="s">
        <v>493</v>
      </c>
      <c r="H1048" s="2">
        <v>0.0</v>
      </c>
      <c r="I1048" s="2">
        <v>2.112005002062E13</v>
      </c>
      <c r="J1048" s="3">
        <v>0.0</v>
      </c>
      <c r="K1048" s="2" t="s">
        <v>4613</v>
      </c>
      <c r="L1048" s="2"/>
      <c r="M1048" s="170" t="s">
        <v>455</v>
      </c>
      <c r="N1048" s="2" t="s">
        <v>406</v>
      </c>
      <c r="O1048" s="3">
        <v>0.5</v>
      </c>
      <c r="P1048" s="2" t="s">
        <v>73</v>
      </c>
      <c r="Q1048" s="3">
        <v>0.0</v>
      </c>
      <c r="T1048" s="2" t="s">
        <v>3616</v>
      </c>
      <c r="U1048" s="171">
        <v>0.0</v>
      </c>
      <c r="V1048" s="172">
        <v>46028.0</v>
      </c>
      <c r="W1048" s="3">
        <v>213.44</v>
      </c>
      <c r="X1048" s="172">
        <v>46057.642782800925</v>
      </c>
      <c r="Y1048" s="172"/>
      <c r="Z1048" s="3">
        <v>46011.0</v>
      </c>
      <c r="AA1048" s="3"/>
    </row>
    <row r="1049">
      <c r="A1049" s="3">
        <v>6.810012582147E12</v>
      </c>
      <c r="B1049" s="2" t="s">
        <v>4614</v>
      </c>
      <c r="C1049" s="2" t="s">
        <v>1145</v>
      </c>
      <c r="D1049" s="169">
        <v>46011.0</v>
      </c>
      <c r="E1049" s="2">
        <v>3.179747708E9</v>
      </c>
      <c r="F1049" s="2" t="s">
        <v>1146</v>
      </c>
      <c r="G1049" s="2" t="s">
        <v>1147</v>
      </c>
      <c r="H1049" s="2">
        <v>2749.0</v>
      </c>
      <c r="I1049" s="2">
        <v>2.9120050020663E13</v>
      </c>
      <c r="J1049" s="3">
        <v>2.0</v>
      </c>
      <c r="L1049" s="2" t="s">
        <v>16</v>
      </c>
      <c r="M1049" s="174" t="s">
        <v>409</v>
      </c>
      <c r="N1049" s="2" t="s">
        <v>462</v>
      </c>
      <c r="O1049" s="3">
        <v>0.5</v>
      </c>
      <c r="P1049" s="2" t="s">
        <v>363</v>
      </c>
      <c r="Q1049" s="3">
        <v>980.0</v>
      </c>
      <c r="T1049" s="2" t="s">
        <v>1468</v>
      </c>
      <c r="U1049" s="171">
        <v>2749.0</v>
      </c>
      <c r="V1049" s="172">
        <v>46017.0</v>
      </c>
      <c r="W1049" s="3">
        <v>323.0</v>
      </c>
      <c r="X1049" s="172">
        <v>46016.837685185186</v>
      </c>
      <c r="Y1049" s="172"/>
      <c r="Z1049" s="3">
        <v>46011.0</v>
      </c>
      <c r="AA1049" s="3"/>
    </row>
    <row r="1050">
      <c r="A1050" s="3">
        <v>6.810040697091E12</v>
      </c>
      <c r="B1050" s="2" t="s">
        <v>4615</v>
      </c>
      <c r="C1050" s="2" t="s">
        <v>4616</v>
      </c>
      <c r="D1050" s="169">
        <v>46011.0</v>
      </c>
      <c r="E1050" s="2">
        <v>3.349103501E9</v>
      </c>
      <c r="F1050" s="2" t="s">
        <v>4617</v>
      </c>
      <c r="G1050" s="2" t="s">
        <v>781</v>
      </c>
      <c r="H1050" s="2">
        <v>3999.0</v>
      </c>
      <c r="I1050" s="2">
        <v>2.4120050020664E13</v>
      </c>
      <c r="J1050" s="3">
        <v>2.0</v>
      </c>
      <c r="L1050" s="2" t="s">
        <v>532</v>
      </c>
      <c r="M1050" s="174" t="s">
        <v>409</v>
      </c>
      <c r="N1050" s="2" t="s">
        <v>462</v>
      </c>
      <c r="O1050" s="3">
        <v>0.5</v>
      </c>
      <c r="P1050" s="2" t="s">
        <v>363</v>
      </c>
      <c r="Q1050" s="3">
        <v>1700.0</v>
      </c>
      <c r="T1050" s="2" t="s">
        <v>2140</v>
      </c>
      <c r="U1050" s="171">
        <v>3999.0</v>
      </c>
      <c r="V1050" s="172">
        <v>46021.0</v>
      </c>
      <c r="W1050" s="3">
        <v>480.0</v>
      </c>
      <c r="X1050" s="172">
        <v>46017.62449074074</v>
      </c>
      <c r="Y1050" s="172"/>
      <c r="Z1050" s="3">
        <v>46011.0</v>
      </c>
      <c r="AA1050" s="3"/>
    </row>
    <row r="1051">
      <c r="A1051" s="3">
        <v>6.810086080771E12</v>
      </c>
      <c r="B1051" s="2" t="s">
        <v>4618</v>
      </c>
      <c r="C1051" s="2" t="s">
        <v>4619</v>
      </c>
      <c r="D1051" s="169">
        <v>46011.0</v>
      </c>
      <c r="E1051" s="2">
        <v>3.127981836E9</v>
      </c>
      <c r="F1051" s="2" t="s">
        <v>4620</v>
      </c>
      <c r="G1051" s="2" t="s">
        <v>3739</v>
      </c>
      <c r="H1051" s="2">
        <v>3999.0</v>
      </c>
      <c r="I1051" s="2">
        <v>2.6120050020665E13</v>
      </c>
      <c r="J1051" s="3">
        <v>2.0</v>
      </c>
      <c r="L1051" s="2" t="s">
        <v>994</v>
      </c>
      <c r="M1051" s="174" t="s">
        <v>409</v>
      </c>
      <c r="N1051" s="2" t="s">
        <v>462</v>
      </c>
      <c r="O1051" s="3">
        <v>0.5</v>
      </c>
      <c r="P1051" s="2" t="s">
        <v>363</v>
      </c>
      <c r="Q1051" s="3">
        <v>1700.0</v>
      </c>
      <c r="T1051" s="2" t="s">
        <v>2140</v>
      </c>
      <c r="U1051" s="171">
        <v>3999.0</v>
      </c>
      <c r="V1051" s="172">
        <v>46021.0</v>
      </c>
      <c r="W1051" s="3">
        <v>380.0</v>
      </c>
      <c r="X1051" s="172">
        <v>46017.60229166667</v>
      </c>
      <c r="Y1051" s="172"/>
      <c r="Z1051" s="3">
        <v>46011.0</v>
      </c>
      <c r="AA1051" s="3"/>
    </row>
    <row r="1052">
      <c r="A1052" s="3">
        <v>6.810181697795E12</v>
      </c>
      <c r="B1052" s="2" t="s">
        <v>4621</v>
      </c>
      <c r="C1052" s="2" t="s">
        <v>4622</v>
      </c>
      <c r="D1052" s="169">
        <v>46011.0</v>
      </c>
      <c r="E1052" s="2">
        <v>3.239699795E9</v>
      </c>
      <c r="F1052" s="2" t="s">
        <v>4623</v>
      </c>
      <c r="G1052" s="2" t="s">
        <v>361</v>
      </c>
      <c r="H1052" s="2">
        <v>0.0</v>
      </c>
      <c r="J1052" s="3">
        <v>0.0</v>
      </c>
      <c r="K1052" s="2" t="s">
        <v>537</v>
      </c>
      <c r="L1052" s="2"/>
      <c r="M1052" s="2" t="s">
        <v>468</v>
      </c>
      <c r="N1052" s="2" t="s">
        <v>406</v>
      </c>
      <c r="O1052" s="3">
        <v>0.5</v>
      </c>
      <c r="Q1052" s="3">
        <v>0.0</v>
      </c>
      <c r="U1052" s="141"/>
      <c r="X1052" s="172">
        <v>46057.642782800925</v>
      </c>
      <c r="Y1052" s="172"/>
      <c r="Z1052" s="3">
        <v>46011.0</v>
      </c>
      <c r="AA1052" s="3"/>
    </row>
    <row r="1053">
      <c r="A1053" s="3">
        <v>6.810185564419E12</v>
      </c>
      <c r="B1053" s="2" t="s">
        <v>4624</v>
      </c>
      <c r="C1053" s="2" t="s">
        <v>4625</v>
      </c>
      <c r="D1053" s="169">
        <v>46011.0</v>
      </c>
      <c r="E1053" s="2">
        <v>3.492501847E9</v>
      </c>
      <c r="F1053" s="2" t="s">
        <v>4626</v>
      </c>
      <c r="G1053" s="2" t="s">
        <v>749</v>
      </c>
      <c r="H1053" s="2">
        <v>0.0</v>
      </c>
      <c r="I1053" s="2">
        <v>2.9120050020666E13</v>
      </c>
      <c r="J1053" s="3">
        <v>0.0</v>
      </c>
      <c r="K1053" s="2" t="s">
        <v>4627</v>
      </c>
      <c r="L1053" s="2"/>
      <c r="M1053" s="170" t="s">
        <v>455</v>
      </c>
      <c r="N1053" s="2" t="s">
        <v>406</v>
      </c>
      <c r="O1053" s="3">
        <v>0.5</v>
      </c>
      <c r="P1053" s="2" t="s">
        <v>363</v>
      </c>
      <c r="Q1053" s="3">
        <v>0.0</v>
      </c>
      <c r="T1053" s="2" t="s">
        <v>3833</v>
      </c>
      <c r="U1053" s="171">
        <v>0.0</v>
      </c>
      <c r="V1053" s="172">
        <v>46024.0</v>
      </c>
      <c r="W1053" s="3">
        <v>220.11</v>
      </c>
      <c r="X1053" s="172">
        <v>46057.642782800925</v>
      </c>
      <c r="Y1053" s="172"/>
      <c r="Z1053" s="3">
        <v>46011.0</v>
      </c>
      <c r="AA1053" s="3"/>
    </row>
    <row r="1054">
      <c r="A1054" s="3">
        <v>6.810188972291E12</v>
      </c>
      <c r="B1054" s="2" t="s">
        <v>4628</v>
      </c>
      <c r="C1054" s="2" t="s">
        <v>4629</v>
      </c>
      <c r="D1054" s="169">
        <v>46011.0</v>
      </c>
      <c r="E1054" s="2">
        <v>3.09404444E9</v>
      </c>
      <c r="F1054" s="2" t="s">
        <v>4630</v>
      </c>
      <c r="G1054" s="2" t="s">
        <v>541</v>
      </c>
      <c r="H1054" s="2">
        <v>4798.0</v>
      </c>
      <c r="I1054" s="2">
        <v>2.3120050020667E13</v>
      </c>
      <c r="J1054" s="3">
        <v>2.0</v>
      </c>
      <c r="L1054" s="2" t="s">
        <v>4631</v>
      </c>
      <c r="M1054" s="174" t="s">
        <v>409</v>
      </c>
      <c r="N1054" s="2" t="s">
        <v>462</v>
      </c>
      <c r="O1054" s="3">
        <v>0.5</v>
      </c>
      <c r="P1054" s="2" t="s">
        <v>363</v>
      </c>
      <c r="Q1054" s="3">
        <v>1950.0</v>
      </c>
      <c r="T1054" s="2" t="s">
        <v>1468</v>
      </c>
      <c r="U1054" s="171">
        <v>4798.0</v>
      </c>
      <c r="V1054" s="172">
        <v>46017.0</v>
      </c>
      <c r="W1054" s="3">
        <v>412.0</v>
      </c>
      <c r="X1054" s="172">
        <v>46016.69047453704</v>
      </c>
      <c r="Y1054" s="172"/>
      <c r="Z1054" s="3">
        <v>46011.0</v>
      </c>
      <c r="AA1054" s="3"/>
    </row>
    <row r="1055">
      <c r="A1055" s="3">
        <v>6.810198245635E12</v>
      </c>
      <c r="B1055" s="2" t="s">
        <v>4632</v>
      </c>
      <c r="C1055" s="2" t="s">
        <v>4633</v>
      </c>
      <c r="D1055" s="169">
        <v>46011.0</v>
      </c>
      <c r="E1055" s="2">
        <v>3.027533543E9</v>
      </c>
      <c r="F1055" s="2" t="s">
        <v>4634</v>
      </c>
      <c r="G1055" s="2" t="s">
        <v>368</v>
      </c>
      <c r="H1055" s="2">
        <v>0.0</v>
      </c>
      <c r="J1055" s="3">
        <v>0.0</v>
      </c>
      <c r="K1055" s="2" t="s">
        <v>4635</v>
      </c>
      <c r="L1055" s="2"/>
      <c r="M1055" s="2" t="s">
        <v>468</v>
      </c>
      <c r="N1055" s="2" t="s">
        <v>406</v>
      </c>
      <c r="O1055" s="3">
        <v>0.5</v>
      </c>
      <c r="Q1055" s="3">
        <v>0.0</v>
      </c>
      <c r="U1055" s="141"/>
      <c r="X1055" s="172">
        <v>46057.642782800925</v>
      </c>
      <c r="Y1055" s="172"/>
      <c r="Z1055" s="3">
        <v>46011.0</v>
      </c>
      <c r="AA1055" s="3"/>
    </row>
    <row r="1056">
      <c r="A1056" s="3">
        <v>6.810265354499E12</v>
      </c>
      <c r="B1056" s="2" t="s">
        <v>4636</v>
      </c>
      <c r="C1056" s="2" t="s">
        <v>4637</v>
      </c>
      <c r="D1056" s="169">
        <v>46011.0</v>
      </c>
      <c r="E1056" s="2">
        <v>3.006789748E9</v>
      </c>
      <c r="F1056" s="2" t="s">
        <v>4638</v>
      </c>
      <c r="G1056" s="2" t="s">
        <v>693</v>
      </c>
      <c r="H1056" s="2">
        <v>0.0</v>
      </c>
      <c r="I1056" s="2">
        <v>2.5120050020621E13</v>
      </c>
      <c r="J1056" s="3">
        <v>0.0</v>
      </c>
      <c r="K1056" s="2" t="s">
        <v>4613</v>
      </c>
      <c r="L1056" s="2"/>
      <c r="M1056" s="170" t="s">
        <v>455</v>
      </c>
      <c r="N1056" s="2" t="s">
        <v>406</v>
      </c>
      <c r="O1056" s="3">
        <v>0.5</v>
      </c>
      <c r="P1056" s="2" t="s">
        <v>363</v>
      </c>
      <c r="Q1056" s="3">
        <v>0.0</v>
      </c>
      <c r="T1056" s="2" t="s">
        <v>3616</v>
      </c>
      <c r="U1056" s="171">
        <v>0.0</v>
      </c>
      <c r="V1056" s="172">
        <v>46028.0</v>
      </c>
      <c r="W1056" s="3">
        <v>213.44</v>
      </c>
      <c r="X1056" s="172">
        <v>46057.642782800925</v>
      </c>
      <c r="Y1056" s="172"/>
      <c r="Z1056" s="3">
        <v>46011.0</v>
      </c>
      <c r="AA1056" s="3"/>
    </row>
    <row r="1057">
      <c r="A1057" s="3">
        <v>6.810287309059E12</v>
      </c>
      <c r="B1057" s="2" t="s">
        <v>4639</v>
      </c>
      <c r="C1057" s="2" t="s">
        <v>4640</v>
      </c>
      <c r="D1057" s="169">
        <v>46011.0</v>
      </c>
      <c r="E1057" s="2">
        <v>3.350070808E9</v>
      </c>
      <c r="F1057" s="2" t="s">
        <v>4641</v>
      </c>
      <c r="G1057" s="2" t="s">
        <v>3851</v>
      </c>
      <c r="H1057" s="2">
        <v>2124.0</v>
      </c>
      <c r="I1057" s="2">
        <v>2.7120050020668E13</v>
      </c>
      <c r="J1057" s="3">
        <v>1.0</v>
      </c>
      <c r="L1057" s="2" t="s">
        <v>519</v>
      </c>
      <c r="M1057" s="174" t="s">
        <v>409</v>
      </c>
      <c r="N1057" s="2" t="s">
        <v>462</v>
      </c>
      <c r="O1057" s="3">
        <v>0.5</v>
      </c>
      <c r="P1057" s="2" t="s">
        <v>363</v>
      </c>
      <c r="Q1057" s="3">
        <v>850.0</v>
      </c>
      <c r="T1057" s="2" t="s">
        <v>2140</v>
      </c>
      <c r="U1057" s="3">
        <v>2124.0</v>
      </c>
      <c r="V1057" s="172">
        <v>46021.0</v>
      </c>
      <c r="W1057" s="3">
        <v>380.0</v>
      </c>
      <c r="X1057" s="172">
        <v>46018.5953125</v>
      </c>
      <c r="Y1057" s="172"/>
      <c r="Z1057" s="3">
        <v>46011.0</v>
      </c>
      <c r="AA1057" s="3"/>
    </row>
    <row r="1058">
      <c r="A1058" s="3">
        <v>6.810364379395E12</v>
      </c>
      <c r="B1058" s="2" t="s">
        <v>4642</v>
      </c>
      <c r="C1058" s="2" t="s">
        <v>4643</v>
      </c>
      <c r="D1058" s="169">
        <v>46012.0</v>
      </c>
      <c r="E1058" s="173" t="s">
        <v>4644</v>
      </c>
      <c r="F1058" s="2" t="s">
        <v>4645</v>
      </c>
      <c r="G1058" s="2" t="s">
        <v>366</v>
      </c>
      <c r="H1058" s="2">
        <v>3999.0</v>
      </c>
      <c r="I1058" s="2">
        <v>2.9120050020669E13</v>
      </c>
      <c r="J1058" s="3">
        <v>2.0</v>
      </c>
      <c r="L1058" s="2" t="s">
        <v>913</v>
      </c>
      <c r="M1058" s="174" t="s">
        <v>409</v>
      </c>
      <c r="N1058" s="2" t="s">
        <v>462</v>
      </c>
      <c r="O1058" s="3">
        <v>0.5</v>
      </c>
      <c r="P1058" s="2" t="s">
        <v>363</v>
      </c>
      <c r="Q1058" s="3">
        <v>1700.0</v>
      </c>
      <c r="T1058" s="2" t="s">
        <v>1468</v>
      </c>
      <c r="U1058" s="171">
        <v>3999.0</v>
      </c>
      <c r="V1058" s="172">
        <v>46017.0</v>
      </c>
      <c r="W1058" s="3">
        <v>380.0</v>
      </c>
      <c r="X1058" s="172">
        <v>46015.61409722222</v>
      </c>
      <c r="Y1058" s="172"/>
      <c r="Z1058" s="3">
        <v>46012.0</v>
      </c>
      <c r="AA1058" s="3"/>
    </row>
    <row r="1059">
      <c r="A1059" s="3">
        <v>6.810391576835E12</v>
      </c>
      <c r="B1059" s="2" t="s">
        <v>4646</v>
      </c>
      <c r="C1059" s="2" t="s">
        <v>4647</v>
      </c>
      <c r="D1059" s="169">
        <v>46012.0</v>
      </c>
      <c r="E1059" s="2">
        <v>3.21459791E9</v>
      </c>
      <c r="F1059" s="2" t="s">
        <v>4648</v>
      </c>
      <c r="G1059" s="2" t="s">
        <v>368</v>
      </c>
      <c r="H1059" s="2">
        <v>2748.0</v>
      </c>
      <c r="I1059" s="2">
        <v>2.212005002067E13</v>
      </c>
      <c r="J1059" s="3">
        <v>1.0</v>
      </c>
      <c r="L1059" s="2" t="s">
        <v>519</v>
      </c>
      <c r="M1059" s="174" t="s">
        <v>409</v>
      </c>
      <c r="N1059" s="2" t="s">
        <v>462</v>
      </c>
      <c r="O1059" s="3">
        <v>0.5</v>
      </c>
      <c r="P1059" s="2" t="s">
        <v>363</v>
      </c>
      <c r="Q1059" s="3">
        <v>850.0</v>
      </c>
      <c r="T1059" s="2" t="s">
        <v>1468</v>
      </c>
      <c r="U1059" s="171">
        <v>2748.0</v>
      </c>
      <c r="V1059" s="172">
        <v>46017.0</v>
      </c>
      <c r="W1059" s="3">
        <v>230.0</v>
      </c>
      <c r="X1059" s="172">
        <v>46015.53077546296</v>
      </c>
      <c r="Y1059" s="172"/>
      <c r="Z1059" s="3">
        <v>46012.0</v>
      </c>
      <c r="AA1059" s="3"/>
    </row>
    <row r="1060">
      <c r="A1060" s="3">
        <v>6.810407633155E12</v>
      </c>
      <c r="B1060" s="2" t="s">
        <v>4649</v>
      </c>
      <c r="C1060" s="2" t="s">
        <v>4650</v>
      </c>
      <c r="D1060" s="169">
        <v>46012.0</v>
      </c>
      <c r="E1060" s="2">
        <v>3.453035686E9</v>
      </c>
      <c r="F1060" s="2" t="s">
        <v>4651</v>
      </c>
      <c r="G1060" s="2" t="s">
        <v>493</v>
      </c>
      <c r="H1060" s="2">
        <v>0.0</v>
      </c>
      <c r="I1060" s="2">
        <v>2.6120050020671E13</v>
      </c>
      <c r="J1060" s="3">
        <v>0.0</v>
      </c>
      <c r="K1060" s="2" t="s">
        <v>4652</v>
      </c>
      <c r="L1060" s="2"/>
      <c r="M1060" s="170" t="s">
        <v>455</v>
      </c>
      <c r="N1060" s="2" t="s">
        <v>406</v>
      </c>
      <c r="O1060" s="3">
        <v>0.5</v>
      </c>
      <c r="P1060" s="2" t="s">
        <v>363</v>
      </c>
      <c r="Q1060" s="3">
        <v>0.0</v>
      </c>
      <c r="T1060" s="2" t="s">
        <v>3616</v>
      </c>
      <c r="U1060" s="171">
        <v>0.0</v>
      </c>
      <c r="V1060" s="172">
        <v>46028.0</v>
      </c>
      <c r="W1060" s="3">
        <v>226.78</v>
      </c>
      <c r="X1060" s="172">
        <v>46057.642782800925</v>
      </c>
      <c r="Y1060" s="172"/>
      <c r="Z1060" s="3">
        <v>46012.0</v>
      </c>
      <c r="AA1060" s="3"/>
    </row>
    <row r="1061">
      <c r="A1061" s="3">
        <v>6.810529628419E12</v>
      </c>
      <c r="B1061" s="2" t="s">
        <v>4653</v>
      </c>
      <c r="C1061" s="2" t="s">
        <v>4654</v>
      </c>
      <c r="D1061" s="169">
        <v>46012.0</v>
      </c>
      <c r="E1061" s="2">
        <v>3.219655881E9</v>
      </c>
      <c r="F1061" s="2" t="s">
        <v>4655</v>
      </c>
      <c r="G1061" s="2" t="s">
        <v>374</v>
      </c>
      <c r="H1061" s="2">
        <v>3999.0</v>
      </c>
      <c r="I1061" s="2">
        <v>2.6120050020672E13</v>
      </c>
      <c r="J1061" s="3">
        <v>2.0</v>
      </c>
      <c r="L1061" s="2" t="s">
        <v>913</v>
      </c>
      <c r="M1061" s="174" t="s">
        <v>409</v>
      </c>
      <c r="N1061" s="2" t="s">
        <v>462</v>
      </c>
      <c r="O1061" s="3">
        <v>0.5</v>
      </c>
      <c r="P1061" s="2" t="s">
        <v>363</v>
      </c>
      <c r="Q1061" s="3">
        <v>1700.0</v>
      </c>
      <c r="T1061" s="2" t="s">
        <v>1468</v>
      </c>
      <c r="U1061" s="171">
        <v>3999.0</v>
      </c>
      <c r="V1061" s="172">
        <v>46017.0</v>
      </c>
      <c r="W1061" s="3">
        <v>380.0</v>
      </c>
      <c r="X1061" s="172">
        <v>46015.52173611111</v>
      </c>
      <c r="Y1061" s="172"/>
      <c r="Z1061" s="3">
        <v>46012.0</v>
      </c>
      <c r="AA1061" s="3"/>
    </row>
    <row r="1062">
      <c r="A1062" s="3">
        <v>6.810630684931E12</v>
      </c>
      <c r="B1062" s="2" t="s">
        <v>4656</v>
      </c>
      <c r="C1062" s="2" t="s">
        <v>4657</v>
      </c>
      <c r="D1062" s="169">
        <v>46012.0</v>
      </c>
      <c r="E1062" s="173" t="s">
        <v>4658</v>
      </c>
      <c r="F1062" s="2" t="s">
        <v>4659</v>
      </c>
      <c r="G1062" s="2" t="s">
        <v>493</v>
      </c>
      <c r="H1062" s="2">
        <v>0.0</v>
      </c>
      <c r="I1062" s="2">
        <v>2.6120050020622E13</v>
      </c>
      <c r="J1062" s="3">
        <v>0.0</v>
      </c>
      <c r="K1062" s="2" t="s">
        <v>4213</v>
      </c>
      <c r="L1062" s="2"/>
      <c r="M1062" s="170" t="s">
        <v>455</v>
      </c>
      <c r="N1062" s="2" t="s">
        <v>406</v>
      </c>
      <c r="O1062" s="3">
        <v>0.5</v>
      </c>
      <c r="P1062" s="2" t="s">
        <v>363</v>
      </c>
      <c r="Q1062" s="3">
        <v>0.0</v>
      </c>
      <c r="T1062" s="2" t="s">
        <v>3833</v>
      </c>
      <c r="U1062" s="171">
        <v>0.0</v>
      </c>
      <c r="V1062" s="172">
        <v>46024.0</v>
      </c>
      <c r="W1062" s="3">
        <v>213.44</v>
      </c>
      <c r="X1062" s="172">
        <v>46057.642782800925</v>
      </c>
      <c r="Y1062" s="172"/>
      <c r="Z1062" s="3">
        <v>46012.0</v>
      </c>
      <c r="AA1062" s="3"/>
    </row>
    <row r="1063">
      <c r="A1063" s="3">
        <v>6.810920485123E12</v>
      </c>
      <c r="B1063" s="2" t="s">
        <v>4660</v>
      </c>
      <c r="C1063" s="2" t="s">
        <v>4661</v>
      </c>
      <c r="D1063" s="169">
        <v>46012.0</v>
      </c>
      <c r="E1063" s="2">
        <v>3.035770677E9</v>
      </c>
      <c r="F1063" s="2" t="s">
        <v>4662</v>
      </c>
      <c r="G1063" s="2" t="s">
        <v>1637</v>
      </c>
      <c r="H1063" s="2">
        <v>2749.0</v>
      </c>
      <c r="I1063" s="2">
        <v>2.1120050020623E13</v>
      </c>
      <c r="J1063" s="3">
        <v>2.0</v>
      </c>
      <c r="L1063" s="2" t="s">
        <v>35</v>
      </c>
      <c r="M1063" s="174" t="s">
        <v>409</v>
      </c>
      <c r="N1063" s="2" t="s">
        <v>462</v>
      </c>
      <c r="O1063" s="3">
        <v>0.5</v>
      </c>
      <c r="P1063" s="2" t="s">
        <v>73</v>
      </c>
      <c r="Q1063" s="3">
        <v>980.0</v>
      </c>
      <c r="T1063" s="2" t="s">
        <v>1468</v>
      </c>
      <c r="U1063" s="171">
        <v>2749.0</v>
      </c>
      <c r="V1063" s="172">
        <v>46017.0</v>
      </c>
      <c r="W1063" s="3">
        <v>310.0</v>
      </c>
      <c r="X1063" s="172">
        <v>46014.65193287037</v>
      </c>
      <c r="Y1063" s="172"/>
      <c r="Z1063" s="3">
        <v>46012.0</v>
      </c>
      <c r="AA1063" s="3"/>
    </row>
    <row r="1064">
      <c r="A1064" s="3">
        <v>6.810932904195E12</v>
      </c>
      <c r="B1064" s="2" t="s">
        <v>4663</v>
      </c>
      <c r="C1064" s="2" t="s">
        <v>4664</v>
      </c>
      <c r="D1064" s="169">
        <v>46012.0</v>
      </c>
      <c r="E1064" s="173" t="s">
        <v>4665</v>
      </c>
      <c r="F1064" s="2" t="s">
        <v>4666</v>
      </c>
      <c r="G1064" s="2" t="s">
        <v>4667</v>
      </c>
      <c r="H1064" s="2">
        <v>0.0</v>
      </c>
      <c r="I1064" s="2">
        <v>2.3120050020618E13</v>
      </c>
      <c r="J1064" s="3">
        <v>0.0</v>
      </c>
      <c r="K1064" s="2" t="s">
        <v>3950</v>
      </c>
      <c r="L1064" s="2"/>
      <c r="M1064" s="170" t="s">
        <v>455</v>
      </c>
      <c r="N1064" s="2" t="s">
        <v>406</v>
      </c>
      <c r="O1064" s="3">
        <v>0.5</v>
      </c>
      <c r="P1064" s="2" t="s">
        <v>363</v>
      </c>
      <c r="Q1064" s="3">
        <v>0.0</v>
      </c>
      <c r="T1064" s="2" t="s">
        <v>3833</v>
      </c>
      <c r="U1064" s="171">
        <v>0.0</v>
      </c>
      <c r="V1064" s="172">
        <v>46024.0</v>
      </c>
      <c r="W1064" s="3">
        <v>200.1</v>
      </c>
      <c r="X1064" s="172">
        <v>46057.642782800925</v>
      </c>
      <c r="Y1064" s="172"/>
      <c r="Z1064" s="3">
        <v>46012.0</v>
      </c>
      <c r="AA1064" s="3"/>
    </row>
    <row r="1065">
      <c r="A1065" s="3">
        <v>6.811014398211E12</v>
      </c>
      <c r="B1065" s="2" t="s">
        <v>4668</v>
      </c>
      <c r="C1065" s="2" t="s">
        <v>4669</v>
      </c>
      <c r="D1065" s="169">
        <v>46012.0</v>
      </c>
      <c r="E1065" s="2">
        <v>3.332325637E9</v>
      </c>
      <c r="F1065" s="2" t="s">
        <v>4670</v>
      </c>
      <c r="G1065" s="2" t="s">
        <v>493</v>
      </c>
      <c r="H1065" s="2">
        <v>3099.0</v>
      </c>
      <c r="I1065" s="2">
        <v>2.3120050020624E13</v>
      </c>
      <c r="J1065" s="3">
        <v>2.0</v>
      </c>
      <c r="L1065" s="2" t="s">
        <v>27</v>
      </c>
      <c r="M1065" s="174" t="s">
        <v>409</v>
      </c>
      <c r="N1065" s="2" t="s">
        <v>462</v>
      </c>
      <c r="O1065" s="3">
        <v>0.5</v>
      </c>
      <c r="P1065" s="2" t="s">
        <v>363</v>
      </c>
      <c r="Q1065" s="3">
        <v>920.0</v>
      </c>
      <c r="T1065" s="2" t="s">
        <v>2140</v>
      </c>
      <c r="U1065" s="171">
        <v>3099.0</v>
      </c>
      <c r="V1065" s="172">
        <v>46021.0</v>
      </c>
      <c r="W1065" s="3">
        <v>337.0</v>
      </c>
      <c r="X1065" s="172">
        <v>46017.843460648146</v>
      </c>
      <c r="Y1065" s="172"/>
      <c r="Z1065" s="3">
        <v>46012.0</v>
      </c>
      <c r="AA1065" s="3"/>
    </row>
    <row r="1066">
      <c r="A1066" s="3">
        <v>6.811181973763E12</v>
      </c>
      <c r="B1066" s="2" t="s">
        <v>4671</v>
      </c>
      <c r="C1066" s="2" t="s">
        <v>4672</v>
      </c>
      <c r="D1066" s="169">
        <v>46012.0</v>
      </c>
      <c r="E1066" s="173" t="s">
        <v>4673</v>
      </c>
      <c r="F1066" s="2" t="s">
        <v>4674</v>
      </c>
      <c r="G1066" s="2" t="s">
        <v>374</v>
      </c>
      <c r="H1066" s="2">
        <v>3099.0</v>
      </c>
      <c r="I1066" s="2">
        <v>2.9120050020662E13</v>
      </c>
      <c r="J1066" s="3">
        <v>2.0</v>
      </c>
      <c r="K1066" s="2" t="s">
        <v>4675</v>
      </c>
      <c r="L1066" s="2" t="s">
        <v>4676</v>
      </c>
      <c r="M1066" s="174" t="s">
        <v>409</v>
      </c>
      <c r="N1066" s="2" t="s">
        <v>462</v>
      </c>
      <c r="O1066" s="3">
        <v>0.5</v>
      </c>
      <c r="P1066" s="2" t="s">
        <v>363</v>
      </c>
      <c r="Q1066" s="3">
        <v>940.0</v>
      </c>
      <c r="T1066" s="2" t="s">
        <v>1468</v>
      </c>
      <c r="U1066" s="171">
        <v>3099.0</v>
      </c>
      <c r="V1066" s="172">
        <v>46017.0</v>
      </c>
      <c r="W1066" s="3">
        <v>324.0</v>
      </c>
      <c r="X1066" s="172">
        <v>46015.68016203704</v>
      </c>
      <c r="Y1066" s="172"/>
      <c r="Z1066" s="3">
        <v>46012.0</v>
      </c>
      <c r="AA1066" s="3"/>
    </row>
    <row r="1067">
      <c r="A1067" s="3">
        <v>6.811261370627E12</v>
      </c>
      <c r="B1067" s="2" t="s">
        <v>4677</v>
      </c>
      <c r="C1067" s="2" t="s">
        <v>4678</v>
      </c>
      <c r="D1067" s="169">
        <v>46012.0</v>
      </c>
      <c r="E1067" s="2">
        <v>3.132457947E9</v>
      </c>
      <c r="F1067" s="2" t="s">
        <v>4679</v>
      </c>
      <c r="G1067" s="2" t="s">
        <v>493</v>
      </c>
      <c r="H1067" s="2">
        <v>3099.0</v>
      </c>
      <c r="I1067" s="2">
        <v>2.5120050020625E13</v>
      </c>
      <c r="J1067" s="3">
        <v>2.0</v>
      </c>
      <c r="L1067" s="2" t="s">
        <v>662</v>
      </c>
      <c r="M1067" s="174" t="s">
        <v>409</v>
      </c>
      <c r="N1067" s="2" t="s">
        <v>462</v>
      </c>
      <c r="O1067" s="3">
        <v>0.5</v>
      </c>
      <c r="P1067" s="2" t="s">
        <v>363</v>
      </c>
      <c r="Q1067" s="3">
        <v>960.0</v>
      </c>
      <c r="T1067" s="2" t="s">
        <v>2140</v>
      </c>
      <c r="U1067" s="171">
        <v>3099.0</v>
      </c>
      <c r="V1067" s="172">
        <v>46021.0</v>
      </c>
      <c r="W1067" s="3">
        <v>337.0</v>
      </c>
      <c r="X1067" s="172">
        <v>46017.659270833334</v>
      </c>
      <c r="Y1067" s="172"/>
      <c r="Z1067" s="3">
        <v>46012.0</v>
      </c>
      <c r="AA1067" s="3"/>
    </row>
    <row r="1068">
      <c r="A1068" s="3">
        <v>6.811327627523E12</v>
      </c>
      <c r="B1068" s="2" t="s">
        <v>4680</v>
      </c>
      <c r="C1068" s="2" t="s">
        <v>4681</v>
      </c>
      <c r="D1068" s="169">
        <v>46012.0</v>
      </c>
      <c r="E1068" s="2">
        <v>3.030836329E9</v>
      </c>
      <c r="F1068" s="2" t="s">
        <v>4682</v>
      </c>
      <c r="G1068" s="2" t="s">
        <v>4683</v>
      </c>
      <c r="H1068" s="2">
        <v>0.0</v>
      </c>
      <c r="I1068" s="2">
        <v>2.2120050020661E13</v>
      </c>
      <c r="J1068" s="3">
        <v>0.0</v>
      </c>
      <c r="K1068" s="2" t="s">
        <v>4684</v>
      </c>
      <c r="L1068" s="2"/>
      <c r="M1068" s="170" t="s">
        <v>455</v>
      </c>
      <c r="N1068" s="2" t="s">
        <v>406</v>
      </c>
      <c r="O1068" s="3">
        <v>0.5</v>
      </c>
      <c r="P1068" s="2" t="s">
        <v>363</v>
      </c>
      <c r="Q1068" s="3">
        <v>0.0</v>
      </c>
      <c r="T1068" s="2" t="s">
        <v>3833</v>
      </c>
      <c r="U1068" s="171">
        <v>0.0</v>
      </c>
      <c r="V1068" s="172">
        <v>46024.0</v>
      </c>
      <c r="W1068" s="3">
        <v>200.1</v>
      </c>
      <c r="X1068" s="172">
        <v>46057.642782800925</v>
      </c>
      <c r="Y1068" s="172"/>
      <c r="Z1068" s="3">
        <v>46012.0</v>
      </c>
      <c r="AA1068" s="3"/>
    </row>
    <row r="1069">
      <c r="A1069" s="3">
        <v>6.811405385987E12</v>
      </c>
      <c r="B1069" s="2" t="s">
        <v>4685</v>
      </c>
      <c r="C1069" s="2" t="s">
        <v>4686</v>
      </c>
      <c r="D1069" s="169">
        <v>46012.0</v>
      </c>
      <c r="E1069" s="173" t="s">
        <v>4687</v>
      </c>
      <c r="F1069" s="2" t="s">
        <v>4688</v>
      </c>
      <c r="G1069" s="2" t="s">
        <v>4689</v>
      </c>
      <c r="H1069" s="2">
        <v>2748.0</v>
      </c>
      <c r="I1069" s="2">
        <v>2.2120050020673E13</v>
      </c>
      <c r="J1069" s="3">
        <v>1.0</v>
      </c>
      <c r="L1069" s="2" t="s">
        <v>500</v>
      </c>
      <c r="M1069" s="174" t="s">
        <v>409</v>
      </c>
      <c r="N1069" s="2" t="s">
        <v>462</v>
      </c>
      <c r="O1069" s="3">
        <v>0.5</v>
      </c>
      <c r="P1069" s="2" t="s">
        <v>363</v>
      </c>
      <c r="Q1069" s="3">
        <v>850.0</v>
      </c>
      <c r="T1069" s="2" t="s">
        <v>1468</v>
      </c>
      <c r="U1069" s="171">
        <v>2748.0</v>
      </c>
      <c r="V1069" s="172">
        <v>46017.0</v>
      </c>
      <c r="W1069" s="3">
        <v>310.0</v>
      </c>
      <c r="X1069" s="172">
        <v>46015.56476851852</v>
      </c>
      <c r="Y1069" s="172"/>
      <c r="Z1069" s="3">
        <v>46012.0</v>
      </c>
      <c r="AA1069" s="3"/>
    </row>
    <row r="1070">
      <c r="A1070" s="3">
        <v>6.811410891011E12</v>
      </c>
      <c r="B1070" s="2" t="s">
        <v>4690</v>
      </c>
      <c r="C1070" s="2" t="s">
        <v>4691</v>
      </c>
      <c r="D1070" s="169">
        <v>46012.0</v>
      </c>
      <c r="E1070" s="2">
        <v>3.062324296E9</v>
      </c>
      <c r="F1070" s="2" t="s">
        <v>4692</v>
      </c>
      <c r="G1070" s="2" t="s">
        <v>1257</v>
      </c>
      <c r="H1070" s="2">
        <v>3099.0</v>
      </c>
      <c r="I1070" s="2">
        <v>2.6120050020626E13</v>
      </c>
      <c r="J1070" s="3">
        <v>2.0</v>
      </c>
      <c r="L1070" s="2" t="s">
        <v>228</v>
      </c>
      <c r="M1070" s="174" t="s">
        <v>409</v>
      </c>
      <c r="N1070" s="2" t="s">
        <v>462</v>
      </c>
      <c r="O1070" s="3">
        <v>0.5</v>
      </c>
      <c r="P1070" s="2" t="s">
        <v>363</v>
      </c>
      <c r="Q1070" s="3">
        <v>920.0</v>
      </c>
      <c r="T1070" s="2" t="s">
        <v>1468</v>
      </c>
      <c r="U1070" s="171">
        <v>3099.0</v>
      </c>
      <c r="V1070" s="172">
        <v>46017.0</v>
      </c>
      <c r="W1070" s="3">
        <v>324.0</v>
      </c>
      <c r="X1070" s="172">
        <v>46014.571759259255</v>
      </c>
      <c r="Y1070" s="172"/>
      <c r="Z1070" s="3">
        <v>46012.0</v>
      </c>
      <c r="AA1070" s="3"/>
    </row>
    <row r="1071">
      <c r="A1071" s="3">
        <v>6.811416330499E12</v>
      </c>
      <c r="B1071" s="2" t="s">
        <v>4693</v>
      </c>
      <c r="C1071" s="2" t="s">
        <v>4341</v>
      </c>
      <c r="D1071" s="169">
        <v>46012.0</v>
      </c>
      <c r="E1071" s="2">
        <v>3.024468203E9</v>
      </c>
      <c r="F1071" s="2" t="s">
        <v>4342</v>
      </c>
      <c r="G1071" s="2" t="s">
        <v>368</v>
      </c>
      <c r="H1071" s="2">
        <v>0.0</v>
      </c>
      <c r="J1071" s="3">
        <v>0.0</v>
      </c>
      <c r="K1071" s="2" t="s">
        <v>571</v>
      </c>
      <c r="L1071" s="2"/>
      <c r="M1071" s="2" t="s">
        <v>468</v>
      </c>
      <c r="N1071" s="2" t="s">
        <v>406</v>
      </c>
      <c r="O1071" s="3">
        <v>0.5</v>
      </c>
      <c r="Q1071" s="3">
        <v>0.0</v>
      </c>
      <c r="U1071" s="141"/>
      <c r="X1071" s="172">
        <v>46057.642782800925</v>
      </c>
      <c r="Y1071" s="172"/>
      <c r="Z1071" s="3">
        <v>46012.0</v>
      </c>
      <c r="AA1071" s="3"/>
    </row>
    <row r="1072">
      <c r="A1072" s="3">
        <v>6.811432583427E12</v>
      </c>
      <c r="B1072" s="2" t="s">
        <v>4694</v>
      </c>
      <c r="C1072" s="2" t="s">
        <v>1416</v>
      </c>
      <c r="D1072" s="169">
        <v>46012.0</v>
      </c>
      <c r="E1072" s="2">
        <v>3.036411511E9</v>
      </c>
      <c r="F1072" s="2" t="s">
        <v>4695</v>
      </c>
      <c r="G1072" s="2" t="s">
        <v>366</v>
      </c>
      <c r="H1072" s="2">
        <v>0.0</v>
      </c>
      <c r="I1072" s="2">
        <v>2.2120050020674E13</v>
      </c>
      <c r="J1072" s="3">
        <v>0.0</v>
      </c>
      <c r="K1072" s="2" t="s">
        <v>4696</v>
      </c>
      <c r="L1072" s="2"/>
      <c r="M1072" s="170" t="s">
        <v>455</v>
      </c>
      <c r="N1072" s="2" t="s">
        <v>406</v>
      </c>
      <c r="O1072" s="3">
        <v>0.5</v>
      </c>
      <c r="P1072" s="2" t="s">
        <v>363</v>
      </c>
      <c r="Q1072" s="3">
        <v>0.0</v>
      </c>
      <c r="T1072" s="2" t="s">
        <v>3833</v>
      </c>
      <c r="U1072" s="171">
        <v>0.0</v>
      </c>
      <c r="V1072" s="172">
        <v>46024.0</v>
      </c>
      <c r="W1072" s="3">
        <v>220.11</v>
      </c>
      <c r="X1072" s="172">
        <v>46057.642782800925</v>
      </c>
      <c r="Y1072" s="172"/>
      <c r="Z1072" s="3">
        <v>46012.0</v>
      </c>
      <c r="AA1072" s="3"/>
    </row>
    <row r="1073">
      <c r="A1073" s="3">
        <v>6.811466268931E12</v>
      </c>
      <c r="B1073" s="2" t="s">
        <v>4697</v>
      </c>
      <c r="C1073" s="2" t="s">
        <v>4698</v>
      </c>
      <c r="D1073" s="169">
        <v>46012.0</v>
      </c>
      <c r="E1073" s="2">
        <v>3.07008011E9</v>
      </c>
      <c r="F1073" s="2" t="s">
        <v>4699</v>
      </c>
      <c r="G1073" s="2" t="s">
        <v>493</v>
      </c>
      <c r="H1073" s="2">
        <v>2749.0</v>
      </c>
      <c r="I1073" s="2">
        <v>2.1120050020627E13</v>
      </c>
      <c r="J1073" s="3">
        <v>2.0</v>
      </c>
      <c r="L1073" s="2" t="s">
        <v>16</v>
      </c>
      <c r="M1073" s="174" t="s">
        <v>409</v>
      </c>
      <c r="N1073" s="2" t="s">
        <v>462</v>
      </c>
      <c r="O1073" s="3">
        <v>0.5</v>
      </c>
      <c r="P1073" s="2" t="s">
        <v>73</v>
      </c>
      <c r="Q1073" s="3">
        <v>980.0</v>
      </c>
      <c r="T1073" s="2" t="s">
        <v>2140</v>
      </c>
      <c r="U1073" s="171">
        <v>2749.0</v>
      </c>
      <c r="V1073" s="172">
        <v>46021.0</v>
      </c>
      <c r="W1073" s="3">
        <v>323.0</v>
      </c>
      <c r="X1073" s="172">
        <v>46017.88111111111</v>
      </c>
      <c r="Y1073" s="172"/>
      <c r="Z1073" s="3">
        <v>46012.0</v>
      </c>
      <c r="AA1073" s="3"/>
    </row>
    <row r="1074">
      <c r="A1074" s="3">
        <v>6.811476033795E12</v>
      </c>
      <c r="B1074" s="2" t="s">
        <v>4700</v>
      </c>
      <c r="C1074" s="2" t="s">
        <v>4701</v>
      </c>
      <c r="D1074" s="169">
        <v>46012.0</v>
      </c>
      <c r="E1074" s="173" t="s">
        <v>4702</v>
      </c>
      <c r="F1074" s="2" t="s">
        <v>4703</v>
      </c>
      <c r="G1074" s="2" t="s">
        <v>368</v>
      </c>
      <c r="H1074" s="2">
        <v>5149.0</v>
      </c>
      <c r="I1074" s="2">
        <v>2.1120050020694E13</v>
      </c>
      <c r="J1074" s="3">
        <v>2.0</v>
      </c>
      <c r="L1074" s="2" t="s">
        <v>4704</v>
      </c>
      <c r="M1074" s="174" t="s">
        <v>409</v>
      </c>
      <c r="N1074" s="2" t="s">
        <v>462</v>
      </c>
      <c r="O1074" s="3">
        <v>0.5</v>
      </c>
      <c r="P1074" s="2" t="s">
        <v>73</v>
      </c>
      <c r="Q1074" s="3">
        <v>2150.0</v>
      </c>
      <c r="T1074" s="2" t="s">
        <v>2140</v>
      </c>
      <c r="U1074" s="171">
        <v>5149.0</v>
      </c>
      <c r="V1074" s="172">
        <v>46021.0</v>
      </c>
      <c r="W1074" s="3">
        <v>459.0</v>
      </c>
      <c r="X1074" s="172">
        <v>46017.51342592592</v>
      </c>
      <c r="Y1074" s="172"/>
      <c r="Z1074" s="3">
        <v>46012.0</v>
      </c>
      <c r="AA1074" s="3"/>
    </row>
    <row r="1075">
      <c r="A1075" s="3">
        <v>6.811487338755E12</v>
      </c>
      <c r="B1075" s="2" t="s">
        <v>4705</v>
      </c>
      <c r="C1075" s="2" t="s">
        <v>4706</v>
      </c>
      <c r="D1075" s="169">
        <v>46012.0</v>
      </c>
      <c r="E1075" s="2">
        <v>3.360000792E9</v>
      </c>
      <c r="F1075" s="2" t="s">
        <v>4707</v>
      </c>
      <c r="G1075" s="2" t="s">
        <v>506</v>
      </c>
      <c r="H1075" s="2">
        <v>3099.0</v>
      </c>
      <c r="I1075" s="2">
        <v>2.5120050020628E13</v>
      </c>
      <c r="J1075" s="3">
        <v>2.0</v>
      </c>
      <c r="L1075" s="2" t="s">
        <v>1329</v>
      </c>
      <c r="M1075" s="174" t="s">
        <v>409</v>
      </c>
      <c r="N1075" s="2" t="s">
        <v>462</v>
      </c>
      <c r="O1075" s="3">
        <v>0.5</v>
      </c>
      <c r="P1075" s="2" t="s">
        <v>363</v>
      </c>
      <c r="Q1075" s="3">
        <v>960.0</v>
      </c>
      <c r="T1075" s="2" t="s">
        <v>1468</v>
      </c>
      <c r="U1075" s="171">
        <v>3099.0</v>
      </c>
      <c r="V1075" s="172">
        <v>46017.0</v>
      </c>
      <c r="W1075" s="3">
        <v>324.0</v>
      </c>
      <c r="X1075" s="172">
        <v>46015.48494212963</v>
      </c>
      <c r="Y1075" s="172"/>
      <c r="Z1075" s="3">
        <v>46012.0</v>
      </c>
      <c r="AA1075" s="3"/>
    </row>
    <row r="1076">
      <c r="A1076" s="3">
        <v>6.811497136387E12</v>
      </c>
      <c r="B1076" s="2" t="s">
        <v>4708</v>
      </c>
      <c r="C1076" s="2" t="s">
        <v>4709</v>
      </c>
      <c r="D1076" s="169">
        <v>46012.0</v>
      </c>
      <c r="E1076" s="2">
        <v>3.415623872E9</v>
      </c>
      <c r="F1076" s="2" t="s">
        <v>4710</v>
      </c>
      <c r="G1076" s="2" t="s">
        <v>368</v>
      </c>
      <c r="H1076" s="2">
        <v>0.0</v>
      </c>
      <c r="J1076" s="3">
        <v>0.0</v>
      </c>
      <c r="K1076" s="2" t="s">
        <v>760</v>
      </c>
      <c r="L1076" s="2"/>
      <c r="M1076" s="2" t="s">
        <v>468</v>
      </c>
      <c r="N1076" s="2" t="s">
        <v>406</v>
      </c>
      <c r="O1076" s="3">
        <v>0.5</v>
      </c>
      <c r="Q1076" s="3">
        <v>0.0</v>
      </c>
      <c r="U1076" s="141"/>
      <c r="X1076" s="172">
        <v>46057.642782800925</v>
      </c>
      <c r="Y1076" s="172"/>
      <c r="Z1076" s="3">
        <v>46012.0</v>
      </c>
      <c r="AA1076" s="3"/>
    </row>
    <row r="1077">
      <c r="A1077" s="3">
        <v>6.811525284099E12</v>
      </c>
      <c r="B1077" s="2" t="s">
        <v>4711</v>
      </c>
      <c r="C1077" s="2" t="s">
        <v>4709</v>
      </c>
      <c r="D1077" s="169">
        <v>46012.0</v>
      </c>
      <c r="E1077" s="173" t="s">
        <v>4712</v>
      </c>
      <c r="F1077" s="2" t="s">
        <v>4710</v>
      </c>
      <c r="G1077" s="2" t="s">
        <v>368</v>
      </c>
      <c r="H1077" s="2">
        <v>5700.0</v>
      </c>
      <c r="I1077" s="2">
        <v>2.812005002066E13</v>
      </c>
      <c r="J1077" s="3">
        <v>3.0</v>
      </c>
      <c r="K1077" s="2" t="s">
        <v>4713</v>
      </c>
      <c r="L1077" s="2" t="s">
        <v>4714</v>
      </c>
      <c r="M1077" s="174" t="s">
        <v>409</v>
      </c>
      <c r="N1077" s="2" t="s">
        <v>462</v>
      </c>
      <c r="O1077" s="3">
        <v>0.5</v>
      </c>
      <c r="P1077" s="2" t="s">
        <v>73</v>
      </c>
      <c r="Q1077" s="3">
        <v>2360.0</v>
      </c>
      <c r="T1077" s="2" t="s">
        <v>1468</v>
      </c>
      <c r="U1077" s="3">
        <v>5700.0</v>
      </c>
      <c r="V1077" s="172">
        <v>46017.0</v>
      </c>
      <c r="W1077" s="3">
        <v>366.0</v>
      </c>
      <c r="X1077" s="172">
        <v>46015.66782407407</v>
      </c>
      <c r="Y1077" s="172"/>
      <c r="Z1077" s="3">
        <v>46012.0</v>
      </c>
      <c r="AA1077" s="3"/>
    </row>
    <row r="1078">
      <c r="A1078" s="3">
        <v>6.811622998275E12</v>
      </c>
      <c r="B1078" s="2" t="s">
        <v>4715</v>
      </c>
      <c r="C1078" s="2" t="s">
        <v>2197</v>
      </c>
      <c r="D1078" s="169">
        <v>46012.0</v>
      </c>
      <c r="E1078" s="173" t="s">
        <v>3303</v>
      </c>
      <c r="F1078" s="2" t="s">
        <v>3304</v>
      </c>
      <c r="G1078" s="2" t="s">
        <v>3305</v>
      </c>
      <c r="H1078" s="2">
        <v>0.0</v>
      </c>
      <c r="I1078" s="2">
        <v>2.5120050020675E13</v>
      </c>
      <c r="J1078" s="3">
        <v>0.0</v>
      </c>
      <c r="K1078" s="2" t="s">
        <v>4716</v>
      </c>
      <c r="L1078" s="2"/>
      <c r="M1078" s="170" t="s">
        <v>455</v>
      </c>
      <c r="N1078" s="2" t="s">
        <v>406</v>
      </c>
      <c r="O1078" s="3">
        <v>0.5</v>
      </c>
      <c r="P1078" s="2" t="s">
        <v>363</v>
      </c>
      <c r="Q1078" s="3">
        <v>0.0</v>
      </c>
      <c r="T1078" s="2" t="s">
        <v>4077</v>
      </c>
      <c r="U1078" s="171">
        <v>0.0</v>
      </c>
      <c r="V1078" s="172">
        <v>46031.0</v>
      </c>
      <c r="W1078" s="3">
        <v>200.0</v>
      </c>
      <c r="X1078" s="172">
        <v>46057.642782800925</v>
      </c>
      <c r="Y1078" s="172"/>
      <c r="Z1078" s="3">
        <v>46012.0</v>
      </c>
      <c r="AA1078" s="3"/>
    </row>
    <row r="1079">
      <c r="A1079" s="3">
        <v>6.811769110787E12</v>
      </c>
      <c r="B1079" s="2" t="s">
        <v>4717</v>
      </c>
      <c r="C1079" s="2" t="s">
        <v>4718</v>
      </c>
      <c r="D1079" s="169">
        <v>46012.0</v>
      </c>
      <c r="E1079" s="2">
        <v>3.332409952E9</v>
      </c>
      <c r="F1079" s="2" t="s">
        <v>4719</v>
      </c>
      <c r="G1079" s="2" t="s">
        <v>493</v>
      </c>
      <c r="H1079" s="2">
        <v>1449.0</v>
      </c>
      <c r="I1079" s="2">
        <v>2.9120050020629E13</v>
      </c>
      <c r="J1079" s="3">
        <v>1.0</v>
      </c>
      <c r="L1079" s="2" t="s">
        <v>765</v>
      </c>
      <c r="M1079" s="174" t="s">
        <v>409</v>
      </c>
      <c r="N1079" s="2" t="s">
        <v>462</v>
      </c>
      <c r="O1079" s="3">
        <v>0.5</v>
      </c>
      <c r="P1079" s="2" t="s">
        <v>363</v>
      </c>
      <c r="Q1079" s="3">
        <v>550.0</v>
      </c>
      <c r="T1079" s="2" t="s">
        <v>2140</v>
      </c>
      <c r="U1079" s="171">
        <v>1449.0</v>
      </c>
      <c r="V1079" s="172">
        <v>46021.0</v>
      </c>
      <c r="W1079" s="3">
        <v>271.0</v>
      </c>
      <c r="X1079" s="172">
        <v>46017.516863425924</v>
      </c>
      <c r="Y1079" s="172"/>
      <c r="Z1079" s="3">
        <v>46012.0</v>
      </c>
      <c r="AA1079" s="3"/>
    </row>
    <row r="1080">
      <c r="A1080" s="3">
        <v>6.811785986307E12</v>
      </c>
      <c r="B1080" s="2" t="s">
        <v>4720</v>
      </c>
      <c r="C1080" s="2" t="s">
        <v>4721</v>
      </c>
      <c r="D1080" s="169">
        <v>46012.0</v>
      </c>
      <c r="E1080" s="2">
        <v>3.168776097E9</v>
      </c>
      <c r="F1080" s="2" t="s">
        <v>4722</v>
      </c>
      <c r="G1080" s="2" t="s">
        <v>4723</v>
      </c>
      <c r="H1080" s="2">
        <v>3999.0</v>
      </c>
      <c r="I1080" s="2">
        <v>2.0120050020731E13</v>
      </c>
      <c r="J1080" s="3">
        <v>2.0</v>
      </c>
      <c r="L1080" s="2" t="s">
        <v>479</v>
      </c>
      <c r="M1080" s="174" t="s">
        <v>409</v>
      </c>
      <c r="N1080" s="2" t="s">
        <v>462</v>
      </c>
      <c r="O1080" s="3">
        <v>0.5</v>
      </c>
      <c r="P1080" s="2" t="s">
        <v>363</v>
      </c>
      <c r="Q1080" s="3">
        <v>1700.0</v>
      </c>
      <c r="T1080" s="2" t="s">
        <v>2140</v>
      </c>
      <c r="U1080" s="171">
        <v>3999.0</v>
      </c>
      <c r="V1080" s="172">
        <v>46021.0</v>
      </c>
      <c r="W1080" s="3">
        <v>380.0</v>
      </c>
      <c r="X1080" s="172">
        <v>46020.66135416667</v>
      </c>
      <c r="Y1080" s="172"/>
      <c r="Z1080" s="3">
        <v>46012.0</v>
      </c>
      <c r="AA1080" s="3"/>
    </row>
    <row r="1081">
      <c r="A1081" s="3">
        <v>6.811894841603E12</v>
      </c>
      <c r="B1081" s="2" t="s">
        <v>4724</v>
      </c>
      <c r="C1081" s="2" t="s">
        <v>4725</v>
      </c>
      <c r="D1081" s="169">
        <v>46012.0</v>
      </c>
      <c r="E1081" s="2">
        <v>3.006462848E9</v>
      </c>
      <c r="F1081" s="2" t="s">
        <v>4726</v>
      </c>
      <c r="G1081" s="2" t="s">
        <v>493</v>
      </c>
      <c r="H1081" s="2">
        <v>0.0</v>
      </c>
      <c r="I1081" s="2">
        <v>2.6120050020676E13</v>
      </c>
      <c r="J1081" s="3">
        <v>0.0</v>
      </c>
      <c r="K1081" s="2" t="s">
        <v>4727</v>
      </c>
      <c r="L1081" s="2"/>
      <c r="M1081" s="170" t="s">
        <v>455</v>
      </c>
      <c r="N1081" s="2" t="s">
        <v>406</v>
      </c>
      <c r="O1081" s="3">
        <v>0.5</v>
      </c>
      <c r="P1081" s="2" t="s">
        <v>363</v>
      </c>
      <c r="Q1081" s="3">
        <v>0.0</v>
      </c>
      <c r="T1081" s="2" t="s">
        <v>4077</v>
      </c>
      <c r="U1081" s="171">
        <v>0.0</v>
      </c>
      <c r="V1081" s="172">
        <v>46031.0</v>
      </c>
      <c r="W1081" s="3">
        <v>213.0</v>
      </c>
      <c r="X1081" s="172">
        <v>46057.642782800925</v>
      </c>
      <c r="Y1081" s="172"/>
      <c r="Z1081" s="3">
        <v>46012.0</v>
      </c>
      <c r="AA1081" s="3"/>
    </row>
    <row r="1082">
      <c r="A1082" s="3">
        <v>6.811971911939E12</v>
      </c>
      <c r="B1082" s="2" t="s">
        <v>4728</v>
      </c>
      <c r="C1082" s="2" t="s">
        <v>4729</v>
      </c>
      <c r="D1082" s="169">
        <v>46012.0</v>
      </c>
      <c r="E1082" s="2">
        <v>3.320683336E9</v>
      </c>
      <c r="F1082" s="2" t="s">
        <v>4730</v>
      </c>
      <c r="G1082" s="2" t="s">
        <v>4396</v>
      </c>
      <c r="H1082" s="2">
        <v>0.0</v>
      </c>
      <c r="I1082" s="2">
        <v>2.7120050020659E13</v>
      </c>
      <c r="J1082" s="3">
        <v>0.0</v>
      </c>
      <c r="K1082" s="2" t="s">
        <v>3840</v>
      </c>
      <c r="L1082" s="2"/>
      <c r="M1082" s="170" t="s">
        <v>455</v>
      </c>
      <c r="N1082" s="2" t="s">
        <v>406</v>
      </c>
      <c r="O1082" s="3">
        <v>0.5</v>
      </c>
      <c r="P1082" s="2" t="s">
        <v>363</v>
      </c>
      <c r="Q1082" s="3">
        <v>0.0</v>
      </c>
      <c r="T1082" s="2" t="s">
        <v>3833</v>
      </c>
      <c r="U1082" s="171">
        <v>0.0</v>
      </c>
      <c r="V1082" s="172">
        <v>46024.0</v>
      </c>
      <c r="W1082" s="3">
        <v>213.44</v>
      </c>
      <c r="X1082" s="172">
        <v>46057.642782800925</v>
      </c>
      <c r="Y1082" s="172"/>
      <c r="Z1082" s="3">
        <v>46012.0</v>
      </c>
      <c r="AA1082" s="3"/>
    </row>
    <row r="1083">
      <c r="A1083" s="3">
        <v>6.811985805571E12</v>
      </c>
      <c r="B1083" s="2" t="s">
        <v>4731</v>
      </c>
      <c r="C1083" s="2" t="s">
        <v>1089</v>
      </c>
      <c r="D1083" s="169">
        <v>46012.0</v>
      </c>
      <c r="E1083" s="2">
        <v>3.336447433E9</v>
      </c>
      <c r="F1083" s="2" t="s">
        <v>1090</v>
      </c>
      <c r="G1083" s="2" t="s">
        <v>368</v>
      </c>
      <c r="H1083" s="2">
        <v>3299.0</v>
      </c>
      <c r="I1083" s="2">
        <v>2.7120050020943E13</v>
      </c>
      <c r="J1083" s="3">
        <v>1.0</v>
      </c>
      <c r="L1083" s="2" t="s">
        <v>2499</v>
      </c>
      <c r="M1083" s="174" t="s">
        <v>409</v>
      </c>
      <c r="N1083" s="2" t="s">
        <v>462</v>
      </c>
      <c r="O1083" s="3">
        <v>0.5</v>
      </c>
      <c r="P1083" s="2" t="s">
        <v>363</v>
      </c>
      <c r="Q1083" s="3">
        <v>1400.0</v>
      </c>
      <c r="T1083" s="2" t="s">
        <v>3616</v>
      </c>
      <c r="U1083" s="171">
        <v>3299.0</v>
      </c>
      <c r="V1083" s="172">
        <v>46028.0</v>
      </c>
      <c r="W1083" s="3">
        <v>238.68</v>
      </c>
      <c r="X1083" s="172">
        <v>46025.60861111111</v>
      </c>
      <c r="Y1083" s="172"/>
      <c r="Z1083" s="3">
        <v>46012.0</v>
      </c>
      <c r="AA1083" s="3"/>
    </row>
    <row r="1084">
      <c r="A1084" s="3">
        <v>6.811996553475E12</v>
      </c>
      <c r="B1084" s="2" t="s">
        <v>4732</v>
      </c>
      <c r="C1084" s="2" t="s">
        <v>4733</v>
      </c>
      <c r="D1084" s="169">
        <v>46012.0</v>
      </c>
      <c r="E1084" s="2">
        <v>3.44493402E9</v>
      </c>
      <c r="F1084" s="2" t="s">
        <v>4734</v>
      </c>
      <c r="G1084" s="2" t="s">
        <v>368</v>
      </c>
      <c r="H1084" s="2">
        <v>0.0</v>
      </c>
      <c r="I1084" s="2">
        <v>2.9120050020732E13</v>
      </c>
      <c r="J1084" s="3">
        <v>0.0</v>
      </c>
      <c r="K1084" s="2" t="s">
        <v>4735</v>
      </c>
      <c r="L1084" s="2"/>
      <c r="M1084" s="170" t="s">
        <v>455</v>
      </c>
      <c r="N1084" s="2" t="s">
        <v>406</v>
      </c>
      <c r="O1084" s="3">
        <v>0.5</v>
      </c>
      <c r="P1084" s="2" t="s">
        <v>363</v>
      </c>
      <c r="Q1084" s="3">
        <v>0.0</v>
      </c>
      <c r="T1084" s="2" t="s">
        <v>3616</v>
      </c>
      <c r="U1084" s="171">
        <v>0.0</v>
      </c>
      <c r="V1084" s="172">
        <v>46028.0</v>
      </c>
      <c r="W1084" s="3">
        <v>120.06</v>
      </c>
      <c r="X1084" s="172">
        <v>46057.642782800925</v>
      </c>
      <c r="Y1084" s="172"/>
      <c r="Z1084" s="3">
        <v>46012.0</v>
      </c>
      <c r="AA1084" s="3"/>
    </row>
    <row r="1085">
      <c r="A1085" s="3">
        <v>6.812002713859E12</v>
      </c>
      <c r="B1085" s="2" t="s">
        <v>4736</v>
      </c>
      <c r="C1085" s="2" t="s">
        <v>3513</v>
      </c>
      <c r="D1085" s="169">
        <v>46012.0</v>
      </c>
      <c r="E1085" s="2">
        <v>3.034613803E9</v>
      </c>
      <c r="F1085" s="2" t="s">
        <v>4737</v>
      </c>
      <c r="G1085" s="2" t="s">
        <v>855</v>
      </c>
      <c r="H1085" s="2">
        <v>3099.0</v>
      </c>
      <c r="I1085" s="2">
        <v>2.012005002063E13</v>
      </c>
      <c r="J1085" s="3">
        <v>2.0</v>
      </c>
      <c r="L1085" s="2" t="s">
        <v>40</v>
      </c>
      <c r="M1085" s="174" t="s">
        <v>409</v>
      </c>
      <c r="N1085" s="2" t="s">
        <v>462</v>
      </c>
      <c r="O1085" s="3">
        <v>0.5</v>
      </c>
      <c r="P1085" s="2" t="s">
        <v>363</v>
      </c>
      <c r="Q1085" s="3">
        <v>920.0</v>
      </c>
      <c r="T1085" s="2" t="s">
        <v>1468</v>
      </c>
      <c r="U1085" s="171">
        <v>3099.0</v>
      </c>
      <c r="V1085" s="172">
        <v>46017.0</v>
      </c>
      <c r="W1085" s="3">
        <v>324.0</v>
      </c>
      <c r="X1085" s="172">
        <v>46014.64407407407</v>
      </c>
      <c r="Y1085" s="172"/>
      <c r="Z1085" s="3">
        <v>46012.0</v>
      </c>
      <c r="AA1085" s="3"/>
    </row>
    <row r="1086">
      <c r="A1086" s="3">
        <v>6.812003795203E12</v>
      </c>
      <c r="B1086" s="2" t="s">
        <v>4738</v>
      </c>
      <c r="C1086" s="2" t="s">
        <v>4739</v>
      </c>
      <c r="D1086" s="169">
        <v>46012.0</v>
      </c>
      <c r="E1086" s="2">
        <v>3.410585552E9</v>
      </c>
      <c r="F1086" s="2" t="s">
        <v>4740</v>
      </c>
      <c r="G1086" s="2" t="s">
        <v>4741</v>
      </c>
      <c r="H1086" s="2">
        <v>1799.0</v>
      </c>
      <c r="I1086" s="2">
        <v>2.3120050020631E13</v>
      </c>
      <c r="J1086" s="3">
        <v>1.0</v>
      </c>
      <c r="L1086" s="2" t="s">
        <v>4482</v>
      </c>
      <c r="M1086" s="174" t="s">
        <v>409</v>
      </c>
      <c r="N1086" s="2" t="s">
        <v>462</v>
      </c>
      <c r="O1086" s="3">
        <v>0.5</v>
      </c>
      <c r="P1086" s="2" t="s">
        <v>363</v>
      </c>
      <c r="Q1086" s="3">
        <v>490.0</v>
      </c>
      <c r="T1086" s="2" t="s">
        <v>1468</v>
      </c>
      <c r="U1086" s="171">
        <v>1799.0</v>
      </c>
      <c r="V1086" s="172">
        <v>46017.0</v>
      </c>
      <c r="W1086" s="3">
        <v>285.0</v>
      </c>
      <c r="X1086" s="172">
        <v>46015.51696759259</v>
      </c>
      <c r="Y1086" s="172"/>
      <c r="Z1086" s="3">
        <v>46012.0</v>
      </c>
      <c r="AA1086" s="3"/>
    </row>
    <row r="1087">
      <c r="A1087" s="3">
        <v>6.812066414851E12</v>
      </c>
      <c r="B1087" s="2" t="s">
        <v>4742</v>
      </c>
      <c r="C1087" s="2" t="s">
        <v>4743</v>
      </c>
      <c r="D1087" s="169">
        <v>46012.0</v>
      </c>
      <c r="E1087" s="173" t="s">
        <v>4744</v>
      </c>
      <c r="F1087" s="2" t="s">
        <v>4745</v>
      </c>
      <c r="G1087" s="2" t="s">
        <v>4746</v>
      </c>
      <c r="H1087" s="2">
        <v>1499.0</v>
      </c>
      <c r="I1087" s="2" t="s">
        <v>4747</v>
      </c>
      <c r="J1087" s="3">
        <v>1.0</v>
      </c>
      <c r="K1087" s="2" t="s">
        <v>511</v>
      </c>
      <c r="L1087" s="2" t="s">
        <v>3301</v>
      </c>
      <c r="M1087" s="170" t="s">
        <v>455</v>
      </c>
      <c r="N1087" s="2" t="s">
        <v>406</v>
      </c>
      <c r="O1087" s="3">
        <v>0.5</v>
      </c>
      <c r="P1087" s="2" t="s">
        <v>640</v>
      </c>
      <c r="Q1087" s="3">
        <v>550.0</v>
      </c>
      <c r="T1087" s="2" t="s">
        <v>3376</v>
      </c>
      <c r="U1087" s="141"/>
      <c r="W1087" s="3">
        <v>292.2</v>
      </c>
      <c r="X1087" s="172">
        <v>46057.642782800925</v>
      </c>
      <c r="Y1087" s="172"/>
      <c r="Z1087" s="3">
        <v>46012.0</v>
      </c>
      <c r="AA1087" s="3"/>
    </row>
    <row r="1088">
      <c r="A1088" s="3">
        <v>6.812176548099E12</v>
      </c>
      <c r="B1088" s="2" t="s">
        <v>4748</v>
      </c>
      <c r="C1088" s="2" t="s">
        <v>4749</v>
      </c>
      <c r="D1088" s="169">
        <v>46012.0</v>
      </c>
      <c r="E1088" s="2">
        <v>3.061538927E9</v>
      </c>
      <c r="F1088" s="2" t="s">
        <v>4750</v>
      </c>
      <c r="G1088" s="2" t="s">
        <v>4751</v>
      </c>
      <c r="H1088" s="2">
        <v>0.0</v>
      </c>
      <c r="I1088" s="2">
        <v>2.5120050020632E13</v>
      </c>
      <c r="J1088" s="3">
        <v>0.0</v>
      </c>
      <c r="K1088" s="2" t="s">
        <v>4752</v>
      </c>
      <c r="L1088" s="2"/>
      <c r="M1088" s="170" t="s">
        <v>455</v>
      </c>
      <c r="N1088" s="2" t="s">
        <v>406</v>
      </c>
      <c r="O1088" s="3">
        <v>0.5</v>
      </c>
      <c r="P1088" s="2" t="s">
        <v>363</v>
      </c>
      <c r="Q1088" s="3">
        <v>0.0</v>
      </c>
      <c r="T1088" s="2" t="s">
        <v>2140</v>
      </c>
      <c r="U1088" s="171">
        <v>0.0</v>
      </c>
      <c r="V1088" s="172">
        <v>46021.0</v>
      </c>
      <c r="W1088" s="3">
        <v>220.0</v>
      </c>
      <c r="X1088" s="172">
        <v>46057.642782800925</v>
      </c>
      <c r="Y1088" s="172"/>
      <c r="Z1088" s="3">
        <v>46012.0</v>
      </c>
      <c r="AA1088" s="3"/>
    </row>
    <row r="1089">
      <c r="A1089" s="3">
        <v>6.812181397763E12</v>
      </c>
      <c r="B1089" s="2" t="s">
        <v>4753</v>
      </c>
      <c r="C1089" s="2" t="s">
        <v>4754</v>
      </c>
      <c r="D1089" s="169">
        <v>46012.0</v>
      </c>
      <c r="E1089" s="173" t="s">
        <v>4755</v>
      </c>
      <c r="F1089" s="2" t="s">
        <v>4756</v>
      </c>
      <c r="G1089" s="2" t="s">
        <v>506</v>
      </c>
      <c r="H1089" s="2">
        <v>3099.0</v>
      </c>
      <c r="I1089" s="2">
        <v>2.6120050020658E13</v>
      </c>
      <c r="J1089" s="3">
        <v>2.0</v>
      </c>
      <c r="K1089" s="2" t="s">
        <v>511</v>
      </c>
      <c r="L1089" s="2" t="s">
        <v>2906</v>
      </c>
      <c r="M1089" s="174" t="s">
        <v>409</v>
      </c>
      <c r="N1089" s="2" t="s">
        <v>462</v>
      </c>
      <c r="O1089" s="3">
        <v>0.5</v>
      </c>
      <c r="P1089" s="2" t="s">
        <v>363</v>
      </c>
      <c r="Q1089" s="3">
        <v>960.0</v>
      </c>
      <c r="T1089" s="2" t="s">
        <v>1468</v>
      </c>
      <c r="U1089" s="171">
        <v>3099.0</v>
      </c>
      <c r="V1089" s="172">
        <v>46017.0</v>
      </c>
      <c r="W1089" s="3">
        <v>324.0</v>
      </c>
      <c r="X1089" s="172">
        <v>46015.650254629625</v>
      </c>
      <c r="Y1089" s="172"/>
      <c r="Z1089" s="3">
        <v>46012.0</v>
      </c>
      <c r="AA1089" s="3"/>
    </row>
    <row r="1090">
      <c r="A1090" s="3">
        <v>6.812183625987E12</v>
      </c>
      <c r="B1090" s="2" t="s">
        <v>4757</v>
      </c>
      <c r="C1090" s="2" t="s">
        <v>4758</v>
      </c>
      <c r="D1090" s="169">
        <v>46012.0</v>
      </c>
      <c r="E1090" s="2">
        <v>3.23148365E9</v>
      </c>
      <c r="F1090" s="2" t="s">
        <v>4759</v>
      </c>
      <c r="G1090" s="2" t="s">
        <v>368</v>
      </c>
      <c r="H1090" s="2">
        <v>5700.0</v>
      </c>
      <c r="I1090" s="2">
        <v>2.0120050020657E13</v>
      </c>
      <c r="J1090" s="3">
        <v>4.0</v>
      </c>
      <c r="K1090" s="2" t="s">
        <v>4675</v>
      </c>
      <c r="L1090" s="2" t="s">
        <v>4760</v>
      </c>
      <c r="M1090" s="174" t="s">
        <v>409</v>
      </c>
      <c r="N1090" s="2" t="s">
        <v>462</v>
      </c>
      <c r="O1090" s="3">
        <v>0.5</v>
      </c>
      <c r="P1090" s="2" t="s">
        <v>363</v>
      </c>
      <c r="Q1090" s="3">
        <v>1840.0</v>
      </c>
      <c r="T1090" s="2" t="s">
        <v>1468</v>
      </c>
      <c r="U1090" s="171">
        <v>5700.0</v>
      </c>
      <c r="V1090" s="172">
        <v>46017.0</v>
      </c>
      <c r="W1090" s="3">
        <v>348.0</v>
      </c>
      <c r="X1090" s="172">
        <v>46015.611296296294</v>
      </c>
      <c r="Y1090" s="172"/>
      <c r="Z1090" s="3">
        <v>46012.0</v>
      </c>
      <c r="AA1090" s="3"/>
    </row>
    <row r="1091">
      <c r="A1091" s="3">
        <v>6.812199125251E12</v>
      </c>
      <c r="B1091" s="2" t="s">
        <v>4761</v>
      </c>
      <c r="C1091" s="2" t="s">
        <v>4762</v>
      </c>
      <c r="D1091" s="169">
        <v>46012.0</v>
      </c>
      <c r="E1091" s="2">
        <v>3.038980172E9</v>
      </c>
      <c r="F1091" s="2" t="s">
        <v>4763</v>
      </c>
      <c r="G1091" s="2" t="s">
        <v>374</v>
      </c>
      <c r="H1091" s="2">
        <v>0.0</v>
      </c>
      <c r="I1091" s="2">
        <v>2.7120050020733E13</v>
      </c>
      <c r="J1091" s="3">
        <v>0.0</v>
      </c>
      <c r="K1091" s="2" t="s">
        <v>4764</v>
      </c>
      <c r="L1091" s="2"/>
      <c r="M1091" s="170" t="s">
        <v>455</v>
      </c>
      <c r="N1091" s="2" t="s">
        <v>406</v>
      </c>
      <c r="O1091" s="3">
        <v>0.5</v>
      </c>
      <c r="P1091" s="2" t="s">
        <v>363</v>
      </c>
      <c r="Q1091" s="3">
        <v>0.0</v>
      </c>
      <c r="T1091" s="2" t="s">
        <v>3616</v>
      </c>
      <c r="U1091" s="171">
        <v>0.0</v>
      </c>
      <c r="V1091" s="172">
        <v>46028.0</v>
      </c>
      <c r="W1091" s="3">
        <v>220.11</v>
      </c>
      <c r="X1091" s="172">
        <v>46057.642782800925</v>
      </c>
      <c r="Y1091" s="172"/>
      <c r="Z1091" s="3">
        <v>46012.0</v>
      </c>
      <c r="AA1091" s="3"/>
    </row>
    <row r="1092">
      <c r="A1092" s="3">
        <v>6.812218097923E12</v>
      </c>
      <c r="B1092" s="2" t="s">
        <v>4765</v>
      </c>
      <c r="C1092" s="2" t="s">
        <v>4766</v>
      </c>
      <c r="D1092" s="169">
        <v>46012.0</v>
      </c>
      <c r="E1092" s="173" t="s">
        <v>4767</v>
      </c>
      <c r="F1092" s="2" t="s">
        <v>4768</v>
      </c>
      <c r="G1092" s="2" t="s">
        <v>368</v>
      </c>
      <c r="H1092" s="2">
        <v>2050.0</v>
      </c>
      <c r="I1092" s="2">
        <v>2.6120050020877E13</v>
      </c>
      <c r="J1092" s="3">
        <v>1.0</v>
      </c>
      <c r="L1092" s="2" t="s">
        <v>4251</v>
      </c>
      <c r="M1092" s="174" t="s">
        <v>409</v>
      </c>
      <c r="N1092" s="2" t="s">
        <v>462</v>
      </c>
      <c r="O1092" s="3">
        <v>0.5</v>
      </c>
      <c r="P1092" s="2" t="s">
        <v>363</v>
      </c>
      <c r="Q1092" s="3">
        <v>850.0</v>
      </c>
      <c r="T1092" s="2" t="s">
        <v>3833</v>
      </c>
      <c r="U1092" s="171">
        <v>2050.0</v>
      </c>
      <c r="V1092" s="172">
        <v>46024.0</v>
      </c>
      <c r="W1092" s="3">
        <v>188.72</v>
      </c>
      <c r="X1092" s="172">
        <v>46022.59886574074</v>
      </c>
      <c r="Y1092" s="172"/>
      <c r="Z1092" s="3">
        <v>46012.0</v>
      </c>
      <c r="AA1092" s="3"/>
    </row>
    <row r="1093">
      <c r="A1093" s="3">
        <v>6.812229533955E12</v>
      </c>
      <c r="B1093" s="2" t="s">
        <v>4769</v>
      </c>
      <c r="C1093" s="2" t="s">
        <v>4770</v>
      </c>
      <c r="D1093" s="169">
        <v>46012.0</v>
      </c>
      <c r="E1093" s="173" t="s">
        <v>4771</v>
      </c>
      <c r="F1093" s="2" t="s">
        <v>4772</v>
      </c>
      <c r="G1093" s="2" t="s">
        <v>493</v>
      </c>
      <c r="H1093" s="2">
        <v>2699.0</v>
      </c>
      <c r="I1093" s="2">
        <v>2.0120050020656E13</v>
      </c>
      <c r="J1093" s="3">
        <v>2.0</v>
      </c>
      <c r="K1093" s="2" t="s">
        <v>511</v>
      </c>
      <c r="L1093" s="2" t="s">
        <v>1129</v>
      </c>
      <c r="M1093" s="174" t="s">
        <v>409</v>
      </c>
      <c r="N1093" s="2" t="s">
        <v>462</v>
      </c>
      <c r="O1093" s="3">
        <v>0.5</v>
      </c>
      <c r="P1093" s="2" t="s">
        <v>363</v>
      </c>
      <c r="Q1093" s="3">
        <v>960.0</v>
      </c>
      <c r="T1093" s="2" t="s">
        <v>2140</v>
      </c>
      <c r="U1093" s="3">
        <v>2699.0</v>
      </c>
      <c r="V1093" s="172">
        <v>46021.0</v>
      </c>
      <c r="W1093" s="3">
        <v>337.0</v>
      </c>
      <c r="X1093" s="172">
        <v>46020.55642361111</v>
      </c>
      <c r="Y1093" s="172"/>
      <c r="Z1093" s="3">
        <v>46012.0</v>
      </c>
      <c r="AA1093" s="3"/>
    </row>
    <row r="1094">
      <c r="A1094" s="3">
        <v>6.812306178307E12</v>
      </c>
      <c r="B1094" s="2" t="s">
        <v>4773</v>
      </c>
      <c r="C1094" s="2" t="s">
        <v>4133</v>
      </c>
      <c r="D1094" s="169">
        <v>46012.0</v>
      </c>
      <c r="E1094" s="2">
        <v>3.073756151E9</v>
      </c>
      <c r="F1094" s="2" t="s">
        <v>4134</v>
      </c>
      <c r="G1094" s="2" t="s">
        <v>4135</v>
      </c>
      <c r="H1094" s="2">
        <v>0.0</v>
      </c>
      <c r="I1094" s="2">
        <v>2.5120050020677E13</v>
      </c>
      <c r="J1094" s="3">
        <v>0.0</v>
      </c>
      <c r="K1094" s="2" t="s">
        <v>4774</v>
      </c>
      <c r="L1094" s="2"/>
      <c r="M1094" s="170" t="s">
        <v>455</v>
      </c>
      <c r="N1094" s="2" t="s">
        <v>406</v>
      </c>
      <c r="O1094" s="3">
        <v>0.5</v>
      </c>
      <c r="P1094" s="2" t="s">
        <v>363</v>
      </c>
      <c r="Q1094" s="3">
        <v>0.0</v>
      </c>
      <c r="T1094" s="2" t="s">
        <v>3674</v>
      </c>
      <c r="U1094" s="171">
        <v>0.0</v>
      </c>
      <c r="V1094" s="172">
        <v>46038.0</v>
      </c>
      <c r="W1094" s="3">
        <v>227.0</v>
      </c>
      <c r="X1094" s="172">
        <v>46057.642782800925</v>
      </c>
      <c r="Y1094" s="172"/>
      <c r="Z1094" s="3">
        <v>46012.0</v>
      </c>
      <c r="AA1094" s="3"/>
    </row>
    <row r="1095">
      <c r="A1095" s="3">
        <v>6.812336062723E12</v>
      </c>
      <c r="B1095" s="2" t="s">
        <v>4775</v>
      </c>
      <c r="C1095" s="2" t="s">
        <v>3345</v>
      </c>
      <c r="D1095" s="169">
        <v>46012.0</v>
      </c>
      <c r="E1095" s="173" t="s">
        <v>4776</v>
      </c>
      <c r="F1095" s="2" t="s">
        <v>3346</v>
      </c>
      <c r="G1095" s="2" t="s">
        <v>3347</v>
      </c>
      <c r="H1095" s="2">
        <v>2748.0</v>
      </c>
      <c r="I1095" s="2">
        <v>1.73009249986E11</v>
      </c>
      <c r="J1095" s="3">
        <v>1.0</v>
      </c>
      <c r="K1095" s="2" t="s">
        <v>4777</v>
      </c>
      <c r="L1095" s="2" t="s">
        <v>512</v>
      </c>
      <c r="M1095" s="170" t="s">
        <v>455</v>
      </c>
      <c r="N1095" s="2" t="s">
        <v>406</v>
      </c>
      <c r="O1095" s="3">
        <v>0.5</v>
      </c>
      <c r="P1095" s="2" t="s">
        <v>501</v>
      </c>
      <c r="Q1095" s="3">
        <v>850.0</v>
      </c>
      <c r="T1095" s="2" t="s">
        <v>3376</v>
      </c>
      <c r="U1095" s="141"/>
      <c r="W1095" s="3">
        <v>292.2</v>
      </c>
      <c r="X1095" s="172">
        <v>46057.642782800925</v>
      </c>
      <c r="Y1095" s="172"/>
      <c r="Z1095" s="3">
        <v>46012.0</v>
      </c>
      <c r="AA1095" s="3"/>
    </row>
    <row r="1096">
      <c r="A1096" s="3">
        <v>6.812341305603E12</v>
      </c>
      <c r="B1096" s="2" t="s">
        <v>4778</v>
      </c>
      <c r="C1096" s="2" t="s">
        <v>3741</v>
      </c>
      <c r="D1096" s="169">
        <v>46012.0</v>
      </c>
      <c r="E1096" s="2">
        <v>3.353230005E9</v>
      </c>
      <c r="F1096" s="2" t="s">
        <v>4779</v>
      </c>
      <c r="G1096" s="2" t="s">
        <v>3743</v>
      </c>
      <c r="H1096" s="2">
        <v>4249.0</v>
      </c>
      <c r="I1096" s="2">
        <v>2.5120050020633E13</v>
      </c>
      <c r="J1096" s="3">
        <v>3.0</v>
      </c>
      <c r="L1096" s="2" t="s">
        <v>4780</v>
      </c>
      <c r="M1096" s="174" t="s">
        <v>409</v>
      </c>
      <c r="N1096" s="2" t="s">
        <v>462</v>
      </c>
      <c r="O1096" s="3">
        <v>0.5</v>
      </c>
      <c r="P1096" s="2" t="s">
        <v>363</v>
      </c>
      <c r="Q1096" s="3">
        <v>1590.0</v>
      </c>
      <c r="T1096" s="2" t="s">
        <v>1468</v>
      </c>
      <c r="U1096" s="171">
        <v>4249.0</v>
      </c>
      <c r="V1096" s="172">
        <v>46017.0</v>
      </c>
      <c r="W1096" s="3">
        <v>397.0</v>
      </c>
      <c r="X1096" s="172">
        <v>46015.49606481481</v>
      </c>
      <c r="Y1096" s="172"/>
      <c r="Z1096" s="3">
        <v>46012.0</v>
      </c>
      <c r="AA1096" s="3"/>
    </row>
    <row r="1097">
      <c r="A1097" s="3">
        <v>6.812384067843E12</v>
      </c>
      <c r="B1097" s="2" t="s">
        <v>4781</v>
      </c>
      <c r="C1097" s="2" t="s">
        <v>4782</v>
      </c>
      <c r="D1097" s="169">
        <v>46012.0</v>
      </c>
      <c r="E1097" s="173" t="s">
        <v>4783</v>
      </c>
      <c r="F1097" s="2" t="s">
        <v>4784</v>
      </c>
      <c r="G1097" s="2" t="s">
        <v>1044</v>
      </c>
      <c r="H1097" s="2">
        <v>3999.0</v>
      </c>
      <c r="I1097" s="2">
        <v>2.8120050020678E13</v>
      </c>
      <c r="J1097" s="3">
        <v>2.0</v>
      </c>
      <c r="K1097" s="2" t="s">
        <v>4675</v>
      </c>
      <c r="L1097" s="2" t="s">
        <v>994</v>
      </c>
      <c r="M1097" s="174" t="s">
        <v>409</v>
      </c>
      <c r="N1097" s="2" t="s">
        <v>462</v>
      </c>
      <c r="O1097" s="3">
        <v>0.5</v>
      </c>
      <c r="P1097" s="2" t="s">
        <v>73</v>
      </c>
      <c r="Q1097" s="3">
        <v>1700.0</v>
      </c>
      <c r="T1097" s="2" t="s">
        <v>1468</v>
      </c>
      <c r="U1097" s="171">
        <v>3999.0</v>
      </c>
      <c r="V1097" s="172">
        <v>46017.0</v>
      </c>
      <c r="W1097" s="3">
        <v>380.0</v>
      </c>
      <c r="X1097" s="172">
        <v>46016.480729166666</v>
      </c>
      <c r="Y1097" s="172"/>
      <c r="Z1097" s="3">
        <v>46012.0</v>
      </c>
      <c r="AA1097" s="3"/>
    </row>
    <row r="1098">
      <c r="A1098" s="3">
        <v>6.812439085315E12</v>
      </c>
      <c r="B1098" s="2" t="s">
        <v>4785</v>
      </c>
      <c r="C1098" s="2" t="s">
        <v>1546</v>
      </c>
      <c r="D1098" s="169">
        <v>46012.0</v>
      </c>
      <c r="E1098" s="173" t="s">
        <v>4786</v>
      </c>
      <c r="F1098" s="2" t="s">
        <v>4787</v>
      </c>
      <c r="G1098" s="2" t="s">
        <v>4788</v>
      </c>
      <c r="H1098" s="2">
        <v>3999.0</v>
      </c>
      <c r="I1098" s="2">
        <v>1.73009244982E11</v>
      </c>
      <c r="J1098" s="3">
        <v>2.0</v>
      </c>
      <c r="K1098" s="2" t="s">
        <v>4789</v>
      </c>
      <c r="L1098" s="2" t="s">
        <v>994</v>
      </c>
      <c r="M1098" s="174" t="s">
        <v>409</v>
      </c>
      <c r="N1098" s="2" t="s">
        <v>462</v>
      </c>
      <c r="O1098" s="3">
        <v>0.5</v>
      </c>
      <c r="P1098" s="2" t="s">
        <v>501</v>
      </c>
      <c r="Q1098" s="3">
        <v>1700.0</v>
      </c>
      <c r="T1098" s="2" t="s">
        <v>3376</v>
      </c>
      <c r="U1098" s="171">
        <v>3999.0</v>
      </c>
      <c r="W1098" s="3">
        <v>660.96</v>
      </c>
      <c r="X1098" s="172">
        <v>46057.71512371528</v>
      </c>
      <c r="Y1098" s="172"/>
      <c r="Z1098" s="3">
        <v>46012.0</v>
      </c>
      <c r="AA1098" s="3"/>
    </row>
    <row r="1099">
      <c r="A1099" s="3">
        <v>6.812514877699E12</v>
      </c>
      <c r="B1099" s="2" t="s">
        <v>4790</v>
      </c>
      <c r="C1099" s="2" t="s">
        <v>4791</v>
      </c>
      <c r="D1099" s="169">
        <v>46012.0</v>
      </c>
      <c r="E1099" s="2">
        <v>3.019027229E9</v>
      </c>
      <c r="F1099" s="2" t="s">
        <v>4792</v>
      </c>
      <c r="G1099" s="2" t="s">
        <v>781</v>
      </c>
      <c r="H1099" s="2">
        <v>2748.0</v>
      </c>
      <c r="I1099" s="2">
        <v>2.5120050020679E13</v>
      </c>
      <c r="J1099" s="3">
        <v>1.0</v>
      </c>
      <c r="L1099" s="2" t="s">
        <v>512</v>
      </c>
      <c r="M1099" s="174" t="s">
        <v>409</v>
      </c>
      <c r="N1099" s="2" t="s">
        <v>462</v>
      </c>
      <c r="O1099" s="3">
        <v>0.5</v>
      </c>
      <c r="P1099" s="2" t="s">
        <v>363</v>
      </c>
      <c r="Q1099" s="3">
        <v>850.0</v>
      </c>
      <c r="T1099" s="2" t="s">
        <v>1468</v>
      </c>
      <c r="U1099" s="171">
        <v>2748.0</v>
      </c>
      <c r="V1099" s="172">
        <v>46017.0</v>
      </c>
      <c r="W1099" s="3">
        <v>337.0</v>
      </c>
      <c r="X1099" s="172">
        <v>46016.52170138889</v>
      </c>
      <c r="Y1099" s="172"/>
      <c r="Z1099" s="3">
        <v>46012.0</v>
      </c>
      <c r="AA1099" s="3"/>
    </row>
    <row r="1100">
      <c r="A1100" s="3">
        <v>6.812567372035E12</v>
      </c>
      <c r="B1100" s="2" t="s">
        <v>4793</v>
      </c>
      <c r="C1100" s="2" t="s">
        <v>4794</v>
      </c>
      <c r="D1100" s="169">
        <v>46013.0</v>
      </c>
      <c r="E1100" s="173" t="s">
        <v>4795</v>
      </c>
      <c r="F1100" s="2" t="s">
        <v>4796</v>
      </c>
      <c r="G1100" s="2" t="s">
        <v>3739</v>
      </c>
      <c r="H1100" s="2">
        <v>2748.0</v>
      </c>
      <c r="I1100" s="2">
        <v>2.212005002068E13</v>
      </c>
      <c r="J1100" s="3">
        <v>1.0</v>
      </c>
      <c r="K1100" s="2" t="s">
        <v>511</v>
      </c>
      <c r="L1100" s="2" t="s">
        <v>519</v>
      </c>
      <c r="M1100" s="174" t="s">
        <v>409</v>
      </c>
      <c r="N1100" s="2" t="s">
        <v>462</v>
      </c>
      <c r="O1100" s="3">
        <v>0.5</v>
      </c>
      <c r="P1100" s="2" t="s">
        <v>363</v>
      </c>
      <c r="Q1100" s="3">
        <v>850.0</v>
      </c>
      <c r="T1100" s="2" t="s">
        <v>2140</v>
      </c>
      <c r="U1100" s="171">
        <v>2748.0</v>
      </c>
      <c r="V1100" s="172">
        <v>46021.0</v>
      </c>
      <c r="W1100" s="3">
        <v>330.0</v>
      </c>
      <c r="X1100" s="172">
        <v>46017.53145833334</v>
      </c>
      <c r="Y1100" s="172"/>
      <c r="Z1100" s="3">
        <v>46013.0</v>
      </c>
      <c r="AA1100" s="3"/>
    </row>
    <row r="1101">
      <c r="A1101" s="3">
        <v>6.812592865539E12</v>
      </c>
      <c r="B1101" s="2" t="s">
        <v>4797</v>
      </c>
      <c r="C1101" s="2" t="s">
        <v>2530</v>
      </c>
      <c r="D1101" s="169">
        <v>46013.0</v>
      </c>
      <c r="E1101" s="2">
        <v>3.452268505E9</v>
      </c>
      <c r="F1101" s="2" t="s">
        <v>4798</v>
      </c>
      <c r="G1101" s="2" t="s">
        <v>493</v>
      </c>
      <c r="H1101" s="2">
        <v>3099.0</v>
      </c>
      <c r="I1101" s="2">
        <v>2.3120050020634E13</v>
      </c>
      <c r="J1101" s="3">
        <v>2.0</v>
      </c>
      <c r="L1101" s="2" t="s">
        <v>1116</v>
      </c>
      <c r="M1101" s="174" t="s">
        <v>409</v>
      </c>
      <c r="N1101" s="2" t="s">
        <v>462</v>
      </c>
      <c r="O1101" s="3">
        <v>0.5</v>
      </c>
      <c r="P1101" s="2" t="s">
        <v>363</v>
      </c>
      <c r="Q1101" s="3">
        <v>960.0</v>
      </c>
      <c r="T1101" s="2" t="s">
        <v>2140</v>
      </c>
      <c r="U1101" s="171">
        <v>3099.0</v>
      </c>
      <c r="V1101" s="172">
        <v>46021.0</v>
      </c>
      <c r="W1101" s="3">
        <v>337.0</v>
      </c>
      <c r="X1101" s="172">
        <v>46018.63072916667</v>
      </c>
      <c r="Y1101" s="172"/>
      <c r="Z1101" s="3">
        <v>46013.0</v>
      </c>
      <c r="AA1101" s="3"/>
    </row>
    <row r="1102">
      <c r="A1102" s="3">
        <v>6.812725674243E12</v>
      </c>
      <c r="B1102" s="2" t="s">
        <v>4799</v>
      </c>
      <c r="C1102" s="2" t="s">
        <v>4800</v>
      </c>
      <c r="D1102" s="169">
        <v>46013.0</v>
      </c>
      <c r="E1102" s="2">
        <v>3.433444886E9</v>
      </c>
      <c r="F1102" s="2" t="s">
        <v>4801</v>
      </c>
      <c r="G1102" s="2" t="s">
        <v>493</v>
      </c>
      <c r="H1102" s="2">
        <v>3099.0</v>
      </c>
      <c r="I1102" s="2">
        <v>2.3120050020635E13</v>
      </c>
      <c r="J1102" s="3">
        <v>2.0</v>
      </c>
      <c r="L1102" s="2" t="s">
        <v>906</v>
      </c>
      <c r="M1102" s="174" t="s">
        <v>409</v>
      </c>
      <c r="N1102" s="2" t="s">
        <v>462</v>
      </c>
      <c r="O1102" s="3">
        <v>0.5</v>
      </c>
      <c r="P1102" s="2" t="s">
        <v>363</v>
      </c>
      <c r="Q1102" s="3">
        <v>920.0</v>
      </c>
      <c r="T1102" s="2" t="s">
        <v>1468</v>
      </c>
      <c r="U1102" s="171">
        <v>3099.0</v>
      </c>
      <c r="V1102" s="172">
        <v>46017.0</v>
      </c>
      <c r="W1102" s="3">
        <v>337.0</v>
      </c>
      <c r="X1102" s="172">
        <v>46015.68283564815</v>
      </c>
      <c r="Y1102" s="172"/>
      <c r="Z1102" s="3">
        <v>46013.0</v>
      </c>
      <c r="AA1102" s="3"/>
    </row>
    <row r="1103">
      <c r="A1103" s="3">
        <v>6.812756869379E12</v>
      </c>
      <c r="B1103" s="2" t="s">
        <v>4802</v>
      </c>
      <c r="C1103" s="2" t="s">
        <v>4803</v>
      </c>
      <c r="D1103" s="169">
        <v>46013.0</v>
      </c>
      <c r="E1103" s="2">
        <v>3.452021515E9</v>
      </c>
      <c r="F1103" s="2" t="s">
        <v>4804</v>
      </c>
      <c r="G1103" s="2" t="s">
        <v>493</v>
      </c>
      <c r="H1103" s="2">
        <v>2749.0</v>
      </c>
      <c r="I1103" s="2">
        <v>2.2120050020643E13</v>
      </c>
      <c r="J1103" s="3">
        <v>2.0</v>
      </c>
      <c r="L1103" s="2" t="s">
        <v>35</v>
      </c>
      <c r="M1103" s="174" t="s">
        <v>409</v>
      </c>
      <c r="N1103" s="2" t="s">
        <v>462</v>
      </c>
      <c r="O1103" s="3">
        <v>0.5</v>
      </c>
      <c r="P1103" s="2" t="s">
        <v>363</v>
      </c>
      <c r="Q1103" s="3">
        <v>980.0</v>
      </c>
      <c r="T1103" s="2" t="s">
        <v>1468</v>
      </c>
      <c r="U1103" s="171">
        <v>2749.0</v>
      </c>
      <c r="V1103" s="172">
        <v>46017.0</v>
      </c>
      <c r="W1103" s="3">
        <v>323.0</v>
      </c>
      <c r="X1103" s="172">
        <v>46016.57240740741</v>
      </c>
      <c r="Y1103" s="172"/>
      <c r="Z1103" s="3">
        <v>46013.0</v>
      </c>
      <c r="AA1103" s="3"/>
    </row>
    <row r="1104">
      <c r="A1104" s="3">
        <v>6.812843671811E12</v>
      </c>
      <c r="B1104" s="2" t="s">
        <v>4805</v>
      </c>
      <c r="C1104" s="2" t="s">
        <v>4806</v>
      </c>
      <c r="D1104" s="169">
        <v>46013.0</v>
      </c>
      <c r="E1104" s="2">
        <v>3.446328229E9</v>
      </c>
      <c r="F1104" s="2" t="s">
        <v>4807</v>
      </c>
      <c r="G1104" s="2" t="s">
        <v>493</v>
      </c>
      <c r="H1104" s="2">
        <v>1449.0</v>
      </c>
      <c r="I1104" s="2">
        <v>2.4120050020636E13</v>
      </c>
      <c r="J1104" s="3">
        <v>1.0</v>
      </c>
      <c r="L1104" s="2" t="s">
        <v>4808</v>
      </c>
      <c r="M1104" s="174" t="s">
        <v>409</v>
      </c>
      <c r="N1104" s="2" t="s">
        <v>462</v>
      </c>
      <c r="O1104" s="3">
        <v>0.5</v>
      </c>
      <c r="P1104" s="2" t="s">
        <v>363</v>
      </c>
      <c r="Q1104" s="3">
        <v>550.0</v>
      </c>
      <c r="T1104" s="2" t="s">
        <v>1468</v>
      </c>
      <c r="U1104" s="171">
        <v>1449.0</v>
      </c>
      <c r="V1104" s="172">
        <v>46017.0</v>
      </c>
      <c r="W1104" s="3">
        <v>271.0</v>
      </c>
      <c r="X1104" s="172">
        <v>46015.59116898148</v>
      </c>
      <c r="Y1104" s="172"/>
      <c r="Z1104" s="3">
        <v>46013.0</v>
      </c>
      <c r="AA1104" s="3"/>
    </row>
    <row r="1105">
      <c r="A1105" s="3">
        <v>6.812868149507E12</v>
      </c>
      <c r="B1105" s="2" t="s">
        <v>4809</v>
      </c>
      <c r="C1105" s="2" t="s">
        <v>4810</v>
      </c>
      <c r="D1105" s="169">
        <v>46013.0</v>
      </c>
      <c r="E1105" s="2">
        <v>3.000045772E9</v>
      </c>
      <c r="F1105" s="2" t="s">
        <v>4811</v>
      </c>
      <c r="G1105" s="2" t="s">
        <v>3725</v>
      </c>
      <c r="H1105" s="2">
        <v>0.0</v>
      </c>
      <c r="I1105" s="2">
        <v>2.3120050020637E13</v>
      </c>
      <c r="J1105" s="3">
        <v>0.0</v>
      </c>
      <c r="K1105" s="2" t="s">
        <v>4684</v>
      </c>
      <c r="L1105" s="2"/>
      <c r="M1105" s="170" t="s">
        <v>455</v>
      </c>
      <c r="N1105" s="2" t="s">
        <v>406</v>
      </c>
      <c r="O1105" s="3">
        <v>0.5</v>
      </c>
      <c r="P1105" s="2" t="s">
        <v>363</v>
      </c>
      <c r="Q1105" s="3">
        <v>0.0</v>
      </c>
      <c r="T1105" s="2" t="s">
        <v>3833</v>
      </c>
      <c r="U1105" s="171">
        <v>0.0</v>
      </c>
      <c r="V1105" s="172">
        <v>46024.0</v>
      </c>
      <c r="W1105" s="3">
        <v>200.1</v>
      </c>
      <c r="X1105" s="172">
        <v>46057.642782800925</v>
      </c>
      <c r="Y1105" s="172"/>
      <c r="Z1105" s="3">
        <v>46013.0</v>
      </c>
      <c r="AA1105" s="3"/>
    </row>
    <row r="1106">
      <c r="A1106" s="3">
        <v>6.812912025859E12</v>
      </c>
      <c r="B1106" s="2" t="s">
        <v>4812</v>
      </c>
      <c r="C1106" s="2" t="s">
        <v>4813</v>
      </c>
      <c r="D1106" s="169">
        <v>46013.0</v>
      </c>
      <c r="E1106" s="173" t="s">
        <v>4814</v>
      </c>
      <c r="F1106" s="2" t="s">
        <v>4815</v>
      </c>
      <c r="G1106" s="2" t="s">
        <v>688</v>
      </c>
      <c r="H1106" s="2">
        <v>4099.0</v>
      </c>
      <c r="I1106" s="2">
        <v>2.5120050020681E13</v>
      </c>
      <c r="J1106" s="3">
        <v>1.0</v>
      </c>
      <c r="K1106" s="2" t="s">
        <v>4816</v>
      </c>
      <c r="L1106" s="2" t="s">
        <v>4817</v>
      </c>
      <c r="M1106" s="170" t="s">
        <v>455</v>
      </c>
      <c r="N1106" s="2" t="s">
        <v>406</v>
      </c>
      <c r="O1106" s="3">
        <v>0.5</v>
      </c>
      <c r="P1106" s="2" t="s">
        <v>363</v>
      </c>
      <c r="Q1106" s="3">
        <v>1600.0</v>
      </c>
      <c r="T1106" s="2" t="s">
        <v>3833</v>
      </c>
      <c r="U1106" s="171">
        <v>0.0</v>
      </c>
      <c r="V1106" s="172">
        <v>46024.0</v>
      </c>
      <c r="W1106" s="3">
        <v>220.11</v>
      </c>
      <c r="X1106" s="172">
        <v>46057.642782800925</v>
      </c>
      <c r="Y1106" s="172"/>
      <c r="Z1106" s="3">
        <v>46013.0</v>
      </c>
      <c r="AA1106" s="3"/>
    </row>
    <row r="1107">
      <c r="A1107" s="3">
        <v>6.812998762755E12</v>
      </c>
      <c r="B1107" s="2" t="s">
        <v>4818</v>
      </c>
      <c r="C1107" s="2" t="s">
        <v>4819</v>
      </c>
      <c r="D1107" s="169">
        <v>46013.0</v>
      </c>
      <c r="E1107" s="2">
        <v>3.000692953E9</v>
      </c>
      <c r="F1107" s="2" t="s">
        <v>4820</v>
      </c>
      <c r="G1107" s="2" t="s">
        <v>1425</v>
      </c>
      <c r="H1107" s="2">
        <v>0.0</v>
      </c>
      <c r="I1107" s="2">
        <v>2.0120050020638E13</v>
      </c>
      <c r="J1107" s="3">
        <v>0.0</v>
      </c>
      <c r="K1107" s="2" t="s">
        <v>4213</v>
      </c>
      <c r="L1107" s="2"/>
      <c r="M1107" s="170" t="s">
        <v>455</v>
      </c>
      <c r="N1107" s="2" t="s">
        <v>406</v>
      </c>
      <c r="O1107" s="3">
        <v>0.5</v>
      </c>
      <c r="P1107" s="2" t="s">
        <v>363</v>
      </c>
      <c r="Q1107" s="3">
        <v>0.0</v>
      </c>
      <c r="T1107" s="2" t="s">
        <v>3833</v>
      </c>
      <c r="U1107" s="171">
        <v>0.0</v>
      </c>
      <c r="V1107" s="172">
        <v>46024.0</v>
      </c>
      <c r="W1107" s="3">
        <v>213.44</v>
      </c>
      <c r="X1107" s="172">
        <v>46057.642782800925</v>
      </c>
      <c r="Y1107" s="172"/>
      <c r="Z1107" s="3">
        <v>46013.0</v>
      </c>
      <c r="AA1107" s="3"/>
    </row>
    <row r="1108">
      <c r="A1108" s="3">
        <v>6.813050863875E12</v>
      </c>
      <c r="B1108" s="2" t="s">
        <v>4821</v>
      </c>
      <c r="C1108" s="2" t="s">
        <v>4822</v>
      </c>
      <c r="D1108" s="169">
        <v>46013.0</v>
      </c>
      <c r="E1108" s="173" t="s">
        <v>4823</v>
      </c>
      <c r="F1108" s="2" t="s">
        <v>4824</v>
      </c>
      <c r="G1108" s="2" t="s">
        <v>945</v>
      </c>
      <c r="H1108" s="2">
        <v>4248.0</v>
      </c>
      <c r="I1108" s="2">
        <v>2.9120050020682E13</v>
      </c>
      <c r="J1108" s="3">
        <v>1.0</v>
      </c>
      <c r="L1108" s="2" t="s">
        <v>4825</v>
      </c>
      <c r="M1108" s="174" t="s">
        <v>409</v>
      </c>
      <c r="N1108" s="2" t="s">
        <v>462</v>
      </c>
      <c r="O1108" s="3">
        <v>0.5</v>
      </c>
      <c r="P1108" s="2" t="s">
        <v>363</v>
      </c>
      <c r="Q1108" s="3">
        <v>2300.0</v>
      </c>
      <c r="T1108" s="2" t="s">
        <v>2140</v>
      </c>
      <c r="U1108" s="171">
        <v>4248.0</v>
      </c>
      <c r="V1108" s="172">
        <v>46021.0</v>
      </c>
      <c r="W1108" s="3">
        <v>397.0</v>
      </c>
      <c r="X1108" s="172">
        <v>46018.75650462963</v>
      </c>
      <c r="Y1108" s="172"/>
      <c r="Z1108" s="3">
        <v>46013.0</v>
      </c>
      <c r="AA1108" s="3"/>
    </row>
    <row r="1109">
      <c r="A1109" s="3">
        <v>6.813255008515E12</v>
      </c>
      <c r="B1109" s="2" t="s">
        <v>4826</v>
      </c>
      <c r="C1109" s="2" t="s">
        <v>4827</v>
      </c>
      <c r="D1109" s="169">
        <v>46013.0</v>
      </c>
      <c r="E1109" s="2">
        <v>3.006717106E9</v>
      </c>
      <c r="F1109" s="2" t="s">
        <v>4828</v>
      </c>
      <c r="G1109" s="2" t="s">
        <v>4829</v>
      </c>
      <c r="H1109" s="2">
        <v>1999.0</v>
      </c>
      <c r="I1109" s="2">
        <v>2.1120050020639E13</v>
      </c>
      <c r="J1109" s="3">
        <v>1.0</v>
      </c>
      <c r="L1109" s="2" t="s">
        <v>4830</v>
      </c>
      <c r="M1109" s="174" t="s">
        <v>409</v>
      </c>
      <c r="N1109" s="2" t="s">
        <v>462</v>
      </c>
      <c r="O1109" s="3">
        <v>0.5</v>
      </c>
      <c r="P1109" s="2" t="s">
        <v>73</v>
      </c>
      <c r="Q1109" s="3">
        <v>1100.0</v>
      </c>
      <c r="T1109" s="2" t="s">
        <v>2140</v>
      </c>
      <c r="U1109" s="171">
        <v>1999.0</v>
      </c>
      <c r="V1109" s="172">
        <v>46021.0</v>
      </c>
      <c r="W1109" s="3">
        <v>280.0</v>
      </c>
      <c r="X1109" s="172">
        <v>46020.71407407407</v>
      </c>
      <c r="Y1109" s="172"/>
      <c r="Z1109" s="3">
        <v>46013.0</v>
      </c>
      <c r="AA1109" s="3"/>
    </row>
    <row r="1110">
      <c r="A1110" s="3">
        <v>6.813344825603E12</v>
      </c>
      <c r="B1110" s="2" t="s">
        <v>4831</v>
      </c>
      <c r="C1110" s="2" t="s">
        <v>4832</v>
      </c>
      <c r="D1110" s="169">
        <v>46013.0</v>
      </c>
      <c r="E1110" s="2">
        <v>3.071777684E9</v>
      </c>
      <c r="F1110" s="2" t="s">
        <v>4833</v>
      </c>
      <c r="G1110" s="2" t="s">
        <v>493</v>
      </c>
      <c r="H1110" s="2">
        <v>0.0</v>
      </c>
      <c r="I1110" s="2">
        <v>2.012005002064E13</v>
      </c>
      <c r="J1110" s="3">
        <v>0.0</v>
      </c>
      <c r="K1110" s="2" t="s">
        <v>4613</v>
      </c>
      <c r="L1110" s="2"/>
      <c r="M1110" s="170" t="s">
        <v>455</v>
      </c>
      <c r="N1110" s="2" t="s">
        <v>406</v>
      </c>
      <c r="O1110" s="3">
        <v>0.5</v>
      </c>
      <c r="P1110" s="2" t="s">
        <v>363</v>
      </c>
      <c r="Q1110" s="3">
        <v>0.0</v>
      </c>
      <c r="T1110" s="2" t="s">
        <v>3616</v>
      </c>
      <c r="U1110" s="171">
        <v>0.0</v>
      </c>
      <c r="V1110" s="172">
        <v>46028.0</v>
      </c>
      <c r="W1110" s="3">
        <v>213.44</v>
      </c>
      <c r="X1110" s="172">
        <v>46057.642782800925</v>
      </c>
      <c r="Y1110" s="172"/>
      <c r="Z1110" s="3">
        <v>46013.0</v>
      </c>
      <c r="AA1110" s="3"/>
    </row>
    <row r="1111">
      <c r="A1111" s="3">
        <v>6.813345743107E12</v>
      </c>
      <c r="B1111" s="2" t="s">
        <v>4834</v>
      </c>
      <c r="C1111" s="2" t="s">
        <v>4835</v>
      </c>
      <c r="D1111" s="169">
        <v>46013.0</v>
      </c>
      <c r="E1111" s="2">
        <v>3.364196971E9</v>
      </c>
      <c r="F1111" s="2" t="s">
        <v>4836</v>
      </c>
      <c r="G1111" s="2" t="s">
        <v>366</v>
      </c>
      <c r="H1111" s="2">
        <v>0.0</v>
      </c>
      <c r="I1111" s="2">
        <v>2.6120050020683E13</v>
      </c>
      <c r="J1111" s="3">
        <v>0.0</v>
      </c>
      <c r="K1111" s="2" t="s">
        <v>4837</v>
      </c>
      <c r="L1111" s="2"/>
      <c r="M1111" s="170" t="s">
        <v>455</v>
      </c>
      <c r="N1111" s="2" t="s">
        <v>406</v>
      </c>
      <c r="O1111" s="3">
        <v>0.5</v>
      </c>
      <c r="P1111" s="2" t="s">
        <v>363</v>
      </c>
      <c r="Q1111" s="3">
        <v>0.0</v>
      </c>
      <c r="T1111" s="2" t="s">
        <v>4077</v>
      </c>
      <c r="U1111" s="171">
        <v>0.0</v>
      </c>
      <c r="V1111" s="172">
        <v>46031.0</v>
      </c>
      <c r="W1111" s="3">
        <v>220.0</v>
      </c>
      <c r="X1111" s="172">
        <v>46057.642782800925</v>
      </c>
      <c r="Y1111" s="172"/>
      <c r="Z1111" s="3">
        <v>46013.0</v>
      </c>
      <c r="AA1111" s="3"/>
    </row>
    <row r="1112">
      <c r="A1112" s="3">
        <v>6.813398237443E12</v>
      </c>
      <c r="B1112" s="2" t="s">
        <v>4838</v>
      </c>
      <c r="C1112" s="2" t="s">
        <v>4839</v>
      </c>
      <c r="D1112" s="169">
        <v>46013.0</v>
      </c>
      <c r="E1112" s="2">
        <v>3.03366996E9</v>
      </c>
      <c r="F1112" s="2" t="s">
        <v>4840</v>
      </c>
      <c r="G1112" s="2" t="s">
        <v>374</v>
      </c>
      <c r="H1112" s="2">
        <v>3999.0</v>
      </c>
      <c r="I1112" s="2">
        <v>2.5120050020684E13</v>
      </c>
      <c r="J1112" s="3">
        <v>2.0</v>
      </c>
      <c r="K1112" s="2" t="s">
        <v>511</v>
      </c>
      <c r="L1112" s="2" t="s">
        <v>994</v>
      </c>
      <c r="M1112" s="174" t="s">
        <v>409</v>
      </c>
      <c r="N1112" s="2" t="s">
        <v>462</v>
      </c>
      <c r="O1112" s="3">
        <v>0.5</v>
      </c>
      <c r="P1112" s="2" t="s">
        <v>363</v>
      </c>
      <c r="Q1112" s="3">
        <v>1700.0</v>
      </c>
      <c r="T1112" s="2" t="s">
        <v>1468</v>
      </c>
      <c r="U1112" s="171">
        <v>3999.0</v>
      </c>
      <c r="V1112" s="172">
        <v>46017.0</v>
      </c>
      <c r="W1112" s="3">
        <v>380.0</v>
      </c>
      <c r="X1112" s="172">
        <v>46015.545335648145</v>
      </c>
      <c r="Y1112" s="172"/>
      <c r="Z1112" s="3">
        <v>46013.0</v>
      </c>
      <c r="AA1112" s="3"/>
    </row>
    <row r="1113">
      <c r="A1113" s="3">
        <v>6.813489463555E12</v>
      </c>
      <c r="B1113" s="2" t="s">
        <v>4841</v>
      </c>
      <c r="C1113" s="2" t="s">
        <v>4842</v>
      </c>
      <c r="D1113" s="169">
        <v>46013.0</v>
      </c>
      <c r="E1113" s="2">
        <v>3.337368865E9</v>
      </c>
      <c r="F1113" s="2" t="s">
        <v>4843</v>
      </c>
      <c r="G1113" s="2" t="s">
        <v>4844</v>
      </c>
      <c r="H1113" s="2">
        <v>3999.0</v>
      </c>
      <c r="I1113" s="2">
        <v>2.5120050020685E13</v>
      </c>
      <c r="J1113" s="3">
        <v>2.0</v>
      </c>
      <c r="L1113" s="2" t="s">
        <v>532</v>
      </c>
      <c r="M1113" s="174" t="s">
        <v>409</v>
      </c>
      <c r="N1113" s="2" t="s">
        <v>462</v>
      </c>
      <c r="O1113" s="3">
        <v>0.5</v>
      </c>
      <c r="P1113" s="2" t="s">
        <v>363</v>
      </c>
      <c r="Q1113" s="3">
        <v>1700.0</v>
      </c>
      <c r="T1113" s="2" t="s">
        <v>2140</v>
      </c>
      <c r="U1113" s="171">
        <v>3999.0</v>
      </c>
      <c r="V1113" s="172">
        <v>46021.0</v>
      </c>
      <c r="W1113" s="3">
        <v>480.0</v>
      </c>
      <c r="X1113" s="172">
        <v>46019.64671296296</v>
      </c>
      <c r="Y1113" s="172"/>
      <c r="Z1113" s="3">
        <v>46013.0</v>
      </c>
      <c r="AA1113" s="3"/>
    </row>
    <row r="1114">
      <c r="A1114" s="3">
        <v>6.813511287043E12</v>
      </c>
      <c r="B1114" s="2" t="s">
        <v>4845</v>
      </c>
      <c r="C1114" s="2" t="s">
        <v>4846</v>
      </c>
      <c r="D1114" s="169">
        <v>46013.0</v>
      </c>
      <c r="E1114" s="2">
        <v>3.137491155E9</v>
      </c>
      <c r="F1114" s="2" t="s">
        <v>4847</v>
      </c>
      <c r="G1114" s="2" t="s">
        <v>688</v>
      </c>
      <c r="H1114" s="2">
        <v>0.0</v>
      </c>
      <c r="I1114" s="2">
        <v>2.5120050020686E13</v>
      </c>
      <c r="J1114" s="3">
        <v>0.0</v>
      </c>
      <c r="K1114" s="2" t="s">
        <v>4816</v>
      </c>
      <c r="L1114" s="2"/>
      <c r="M1114" s="170" t="s">
        <v>455</v>
      </c>
      <c r="N1114" s="2" t="s">
        <v>406</v>
      </c>
      <c r="O1114" s="3">
        <v>0.5</v>
      </c>
      <c r="P1114" s="2" t="s">
        <v>363</v>
      </c>
      <c r="Q1114" s="3">
        <v>0.0</v>
      </c>
      <c r="T1114" s="2" t="s">
        <v>3833</v>
      </c>
      <c r="U1114" s="171">
        <v>0.0</v>
      </c>
      <c r="V1114" s="172">
        <v>46024.0</v>
      </c>
      <c r="W1114" s="3">
        <v>220.11</v>
      </c>
      <c r="X1114" s="172">
        <v>46057.642782800925</v>
      </c>
      <c r="Y1114" s="172"/>
      <c r="Z1114" s="3">
        <v>46013.0</v>
      </c>
      <c r="AA1114" s="3"/>
    </row>
    <row r="1115">
      <c r="A1115" s="3">
        <v>6.813516660995E12</v>
      </c>
      <c r="B1115" s="2" t="s">
        <v>4848</v>
      </c>
      <c r="C1115" s="2" t="s">
        <v>4849</v>
      </c>
      <c r="D1115" s="169">
        <v>46013.0</v>
      </c>
      <c r="E1115" s="173" t="s">
        <v>4850</v>
      </c>
      <c r="F1115" s="2" t="s">
        <v>4851</v>
      </c>
      <c r="G1115" s="2" t="s">
        <v>1619</v>
      </c>
      <c r="H1115" s="2">
        <v>1650.0</v>
      </c>
      <c r="I1115" s="2">
        <v>2.7120050020641E13</v>
      </c>
      <c r="J1115" s="3">
        <v>1.0</v>
      </c>
      <c r="K1115" s="2" t="s">
        <v>1989</v>
      </c>
      <c r="L1115" s="2" t="s">
        <v>4852</v>
      </c>
      <c r="M1115" s="174" t="s">
        <v>409</v>
      </c>
      <c r="N1115" s="2" t="s">
        <v>462</v>
      </c>
      <c r="O1115" s="3">
        <v>0.5</v>
      </c>
      <c r="P1115" s="2" t="s">
        <v>363</v>
      </c>
      <c r="Q1115" s="3">
        <v>460.0</v>
      </c>
      <c r="T1115" s="2" t="s">
        <v>1468</v>
      </c>
      <c r="U1115" s="171">
        <v>1650.0</v>
      </c>
      <c r="V1115" s="172">
        <v>46017.0</v>
      </c>
      <c r="W1115" s="3">
        <v>173.0</v>
      </c>
      <c r="X1115" s="172">
        <v>46015.64201388889</v>
      </c>
      <c r="Y1115" s="172"/>
      <c r="Z1115" s="3">
        <v>46013.0</v>
      </c>
      <c r="AA1115" s="3"/>
    </row>
    <row r="1116">
      <c r="A1116" s="3">
        <v>6.813552115971E12</v>
      </c>
      <c r="B1116" s="2" t="s">
        <v>4853</v>
      </c>
      <c r="C1116" s="2" t="s">
        <v>4854</v>
      </c>
      <c r="D1116" s="169">
        <v>46013.0</v>
      </c>
      <c r="E1116" s="173" t="s">
        <v>4855</v>
      </c>
      <c r="F1116" s="2" t="s">
        <v>4856</v>
      </c>
      <c r="G1116" s="2" t="s">
        <v>4857</v>
      </c>
      <c r="H1116" s="2">
        <v>4100.0</v>
      </c>
      <c r="I1116" s="2">
        <v>1.73009244853E11</v>
      </c>
      <c r="J1116" s="3">
        <v>1.0</v>
      </c>
      <c r="K1116" s="2" t="s">
        <v>499</v>
      </c>
      <c r="L1116" s="2" t="s">
        <v>4817</v>
      </c>
      <c r="M1116" s="170" t="s">
        <v>455</v>
      </c>
      <c r="N1116" s="2" t="s">
        <v>406</v>
      </c>
      <c r="O1116" s="3">
        <v>0.5</v>
      </c>
      <c r="P1116" s="2" t="s">
        <v>501</v>
      </c>
      <c r="Q1116" s="3">
        <v>1600.0</v>
      </c>
      <c r="T1116" s="2" t="s">
        <v>3376</v>
      </c>
      <c r="U1116" s="141"/>
      <c r="W1116" s="3">
        <v>292.2</v>
      </c>
      <c r="X1116" s="172">
        <v>46057.642782800925</v>
      </c>
      <c r="Y1116" s="172"/>
      <c r="Z1116" s="3">
        <v>46013.0</v>
      </c>
      <c r="AA1116" s="3"/>
    </row>
    <row r="1117">
      <c r="A1117" s="3">
        <v>6.813571350787E12</v>
      </c>
      <c r="B1117" s="2" t="s">
        <v>4858</v>
      </c>
      <c r="C1117" s="2" t="s">
        <v>4859</v>
      </c>
      <c r="D1117" s="169">
        <v>46013.0</v>
      </c>
      <c r="E1117" s="2">
        <v>3.420163066E9</v>
      </c>
      <c r="F1117" s="2" t="s">
        <v>4860</v>
      </c>
      <c r="G1117" s="2" t="s">
        <v>2905</v>
      </c>
      <c r="H1117" s="2">
        <v>2748.0</v>
      </c>
      <c r="I1117" s="2">
        <v>2.9120050020687E13</v>
      </c>
      <c r="J1117" s="3">
        <v>1.0</v>
      </c>
      <c r="L1117" s="2" t="s">
        <v>519</v>
      </c>
      <c r="M1117" s="174" t="s">
        <v>409</v>
      </c>
      <c r="N1117" s="2" t="s">
        <v>462</v>
      </c>
      <c r="O1117" s="3">
        <v>0.5</v>
      </c>
      <c r="P1117" s="2" t="s">
        <v>363</v>
      </c>
      <c r="Q1117" s="3">
        <v>850.0</v>
      </c>
      <c r="T1117" s="2" t="s">
        <v>2140</v>
      </c>
      <c r="U1117" s="171">
        <v>2748.0</v>
      </c>
      <c r="V1117" s="172">
        <v>46021.0</v>
      </c>
      <c r="W1117" s="3">
        <v>330.0</v>
      </c>
      <c r="X1117" s="172">
        <v>46019.566979166666</v>
      </c>
      <c r="Y1117" s="172"/>
      <c r="Z1117" s="3">
        <v>46013.0</v>
      </c>
      <c r="AA1117" s="3"/>
    </row>
    <row r="1118">
      <c r="A1118" s="3">
        <v>6.813572595971E12</v>
      </c>
      <c r="B1118" s="2" t="s">
        <v>4861</v>
      </c>
      <c r="C1118" s="2" t="s">
        <v>4862</v>
      </c>
      <c r="D1118" s="169">
        <v>46013.0</v>
      </c>
      <c r="E1118" s="2">
        <v>3.144040404E9</v>
      </c>
      <c r="F1118" s="2" t="s">
        <v>4863</v>
      </c>
      <c r="G1118" s="2" t="s">
        <v>2675</v>
      </c>
      <c r="H1118" s="2">
        <v>3999.0</v>
      </c>
      <c r="I1118" s="2">
        <v>2.8120050020688E13</v>
      </c>
      <c r="J1118" s="3">
        <v>2.0</v>
      </c>
      <c r="L1118" s="2" t="s">
        <v>994</v>
      </c>
      <c r="M1118" s="174" t="s">
        <v>409</v>
      </c>
      <c r="N1118" s="2" t="s">
        <v>462</v>
      </c>
      <c r="O1118" s="3">
        <v>0.5</v>
      </c>
      <c r="P1118" s="2" t="s">
        <v>73</v>
      </c>
      <c r="Q1118" s="3">
        <v>1700.0</v>
      </c>
      <c r="T1118" s="2" t="s">
        <v>1468</v>
      </c>
      <c r="U1118" s="171">
        <v>3999.0</v>
      </c>
      <c r="V1118" s="172">
        <v>46017.0</v>
      </c>
      <c r="W1118" s="3">
        <v>380.0</v>
      </c>
      <c r="X1118" s="172">
        <v>46015.45019675926</v>
      </c>
      <c r="Y1118" s="172"/>
      <c r="Z1118" s="3">
        <v>46013.0</v>
      </c>
      <c r="AA1118" s="3"/>
    </row>
    <row r="1119">
      <c r="A1119" s="3">
        <v>6.813594583299E12</v>
      </c>
      <c r="B1119" s="2" t="s">
        <v>4864</v>
      </c>
      <c r="C1119" s="2" t="s">
        <v>4865</v>
      </c>
      <c r="D1119" s="169">
        <v>46013.0</v>
      </c>
      <c r="E1119" s="2">
        <v>3.17540415E9</v>
      </c>
      <c r="F1119" s="2" t="s">
        <v>4866</v>
      </c>
      <c r="G1119" s="2" t="s">
        <v>366</v>
      </c>
      <c r="H1119" s="2">
        <v>5700.0</v>
      </c>
      <c r="I1119" s="2">
        <v>2.9120050020655E13</v>
      </c>
      <c r="J1119" s="3">
        <v>4.0</v>
      </c>
      <c r="L1119" s="2" t="s">
        <v>4867</v>
      </c>
      <c r="M1119" s="174" t="s">
        <v>409</v>
      </c>
      <c r="N1119" s="2" t="s">
        <v>462</v>
      </c>
      <c r="O1119" s="3">
        <v>0.5</v>
      </c>
      <c r="P1119" s="2" t="s">
        <v>363</v>
      </c>
      <c r="Q1119" s="3">
        <v>1880.0</v>
      </c>
      <c r="T1119" s="2" t="s">
        <v>2140</v>
      </c>
      <c r="U1119" s="171">
        <v>5700.0</v>
      </c>
      <c r="V1119" s="172">
        <v>46021.0</v>
      </c>
      <c r="W1119" s="3">
        <v>448.0</v>
      </c>
      <c r="X1119" s="172">
        <v>46017.63568287037</v>
      </c>
      <c r="Y1119" s="172"/>
      <c r="Z1119" s="3">
        <v>46013.0</v>
      </c>
      <c r="AA1119" s="3"/>
    </row>
    <row r="1120">
      <c r="A1120" s="3">
        <v>6.813614637315E12</v>
      </c>
      <c r="B1120" s="2" t="s">
        <v>4868</v>
      </c>
      <c r="C1120" s="2" t="s">
        <v>4869</v>
      </c>
      <c r="D1120" s="169">
        <v>46013.0</v>
      </c>
      <c r="E1120" s="2">
        <v>3.162816404E9</v>
      </c>
      <c r="F1120" s="2" t="s">
        <v>4870</v>
      </c>
      <c r="G1120" s="2" t="s">
        <v>4871</v>
      </c>
      <c r="H1120" s="2">
        <v>1799.0</v>
      </c>
      <c r="I1120" s="2">
        <v>2.5120050020654E13</v>
      </c>
      <c r="J1120" s="3">
        <v>1.0</v>
      </c>
      <c r="L1120" s="2" t="s">
        <v>4872</v>
      </c>
      <c r="M1120" s="174" t="s">
        <v>409</v>
      </c>
      <c r="N1120" s="2" t="s">
        <v>462</v>
      </c>
      <c r="O1120" s="3">
        <v>0.5</v>
      </c>
      <c r="P1120" s="2" t="s">
        <v>363</v>
      </c>
      <c r="Q1120" s="3">
        <v>490.0</v>
      </c>
      <c r="T1120" s="2" t="s">
        <v>2140</v>
      </c>
      <c r="U1120" s="171">
        <v>1799.0</v>
      </c>
      <c r="V1120" s="172">
        <v>46021.0</v>
      </c>
      <c r="W1120" s="3">
        <v>285.0</v>
      </c>
      <c r="X1120" s="172">
        <v>46018.693298611106</v>
      </c>
      <c r="Y1120" s="172"/>
      <c r="Z1120" s="3">
        <v>46013.0</v>
      </c>
      <c r="AA1120" s="3"/>
    </row>
    <row r="1121">
      <c r="A1121" s="3">
        <v>6.813713629443E12</v>
      </c>
      <c r="B1121" s="2" t="s">
        <v>4873</v>
      </c>
      <c r="C1121" s="2" t="s">
        <v>4418</v>
      </c>
      <c r="D1121" s="169">
        <v>46013.0</v>
      </c>
      <c r="E1121" s="2">
        <v>3.119311125E9</v>
      </c>
      <c r="F1121" s="2" t="s">
        <v>4874</v>
      </c>
      <c r="G1121" s="2" t="s">
        <v>1425</v>
      </c>
      <c r="H1121" s="2">
        <v>0.0</v>
      </c>
      <c r="J1121" s="3">
        <v>0.0</v>
      </c>
      <c r="K1121" s="2" t="s">
        <v>4875</v>
      </c>
      <c r="L1121" s="2"/>
      <c r="M1121" s="2" t="s">
        <v>468</v>
      </c>
      <c r="N1121" s="2" t="s">
        <v>406</v>
      </c>
      <c r="O1121" s="3">
        <v>0.5</v>
      </c>
      <c r="Q1121" s="3">
        <v>0.0</v>
      </c>
      <c r="U1121" s="141"/>
      <c r="X1121" s="172">
        <v>46057.642782800925</v>
      </c>
      <c r="Y1121" s="172"/>
      <c r="Z1121" s="3">
        <v>46013.0</v>
      </c>
      <c r="AA1121" s="3"/>
    </row>
    <row r="1122">
      <c r="A1122" s="3">
        <v>6.813852238083E12</v>
      </c>
      <c r="B1122" s="2" t="s">
        <v>4876</v>
      </c>
      <c r="C1122" s="2" t="s">
        <v>4877</v>
      </c>
      <c r="D1122" s="169">
        <v>46013.0</v>
      </c>
      <c r="E1122" s="2">
        <v>3.426690262E9</v>
      </c>
      <c r="F1122" s="2" t="s">
        <v>4878</v>
      </c>
      <c r="G1122" s="2" t="s">
        <v>506</v>
      </c>
      <c r="H1122" s="2">
        <v>1799.0</v>
      </c>
      <c r="I1122" s="2">
        <v>2.7120050020653E13</v>
      </c>
      <c r="J1122" s="3">
        <v>1.0</v>
      </c>
      <c r="L1122" s="2" t="s">
        <v>4872</v>
      </c>
      <c r="M1122" s="174" t="s">
        <v>409</v>
      </c>
      <c r="N1122" s="2" t="s">
        <v>462</v>
      </c>
      <c r="O1122" s="3">
        <v>0.5</v>
      </c>
      <c r="P1122" s="2" t="s">
        <v>363</v>
      </c>
      <c r="Q1122" s="3">
        <v>490.0</v>
      </c>
      <c r="T1122" s="2" t="s">
        <v>1468</v>
      </c>
      <c r="U1122" s="171">
        <v>1799.0</v>
      </c>
      <c r="V1122" s="172">
        <v>46017.0</v>
      </c>
      <c r="W1122" s="3">
        <v>272.0</v>
      </c>
      <c r="X1122" s="172">
        <v>46015.55438657408</v>
      </c>
      <c r="Y1122" s="172"/>
      <c r="Z1122" s="3">
        <v>46013.0</v>
      </c>
      <c r="AA1122" s="3"/>
    </row>
    <row r="1123">
      <c r="A1123" s="3">
        <v>6.813908926723E12</v>
      </c>
      <c r="B1123" s="2" t="s">
        <v>4879</v>
      </c>
      <c r="C1123" s="2" t="s">
        <v>4880</v>
      </c>
      <c r="D1123" s="169">
        <v>46013.0</v>
      </c>
      <c r="E1123" s="2">
        <v>3.085858433E9</v>
      </c>
      <c r="F1123" s="2" t="s">
        <v>4881</v>
      </c>
      <c r="G1123" s="2" t="s">
        <v>693</v>
      </c>
      <c r="H1123" s="2">
        <v>0.0</v>
      </c>
      <c r="I1123" s="2">
        <v>2.3120050020652E13</v>
      </c>
      <c r="J1123" s="3">
        <v>0.0</v>
      </c>
      <c r="K1123" s="2" t="s">
        <v>4882</v>
      </c>
      <c r="L1123" s="2"/>
      <c r="M1123" s="170" t="s">
        <v>455</v>
      </c>
      <c r="N1123" s="2" t="s">
        <v>406</v>
      </c>
      <c r="O1123" s="3">
        <v>0.5</v>
      </c>
      <c r="P1123" s="2" t="s">
        <v>363</v>
      </c>
      <c r="Q1123" s="3">
        <v>0.0</v>
      </c>
      <c r="T1123" s="2" t="s">
        <v>3616</v>
      </c>
      <c r="U1123" s="171">
        <v>0.0</v>
      </c>
      <c r="V1123" s="172">
        <v>46028.0</v>
      </c>
      <c r="W1123" s="3">
        <v>213.44</v>
      </c>
      <c r="X1123" s="172">
        <v>46057.642782800925</v>
      </c>
      <c r="Y1123" s="172"/>
      <c r="Z1123" s="3">
        <v>46013.0</v>
      </c>
      <c r="AA1123" s="3"/>
    </row>
    <row r="1124">
      <c r="A1124" s="3">
        <v>6.814132306179E12</v>
      </c>
      <c r="B1124" s="2" t="s">
        <v>4883</v>
      </c>
      <c r="C1124" s="2" t="s">
        <v>4884</v>
      </c>
      <c r="D1124" s="169">
        <v>46013.0</v>
      </c>
      <c r="E1124" s="173" t="s">
        <v>4885</v>
      </c>
      <c r="F1124" s="2" t="s">
        <v>4886</v>
      </c>
      <c r="G1124" s="2" t="s">
        <v>2269</v>
      </c>
      <c r="H1124" s="2">
        <v>6100.0</v>
      </c>
      <c r="I1124" s="2">
        <v>1.73009447059E11</v>
      </c>
      <c r="J1124" s="3">
        <v>2.0</v>
      </c>
      <c r="K1124" s="2" t="s">
        <v>4887</v>
      </c>
      <c r="L1124" s="2" t="s">
        <v>4888</v>
      </c>
      <c r="M1124" s="174" t="s">
        <v>409</v>
      </c>
      <c r="N1124" s="2" t="s">
        <v>462</v>
      </c>
      <c r="O1124" s="3">
        <v>0.5</v>
      </c>
      <c r="P1124" s="2" t="s">
        <v>501</v>
      </c>
      <c r="Q1124" s="3">
        <v>2800.0</v>
      </c>
      <c r="T1124" s="2" t="s">
        <v>4595</v>
      </c>
      <c r="U1124" s="171">
        <v>6100.0</v>
      </c>
      <c r="V1124" s="172">
        <v>46023.0</v>
      </c>
      <c r="W1124" s="3">
        <v>292.2</v>
      </c>
      <c r="X1124" s="172">
        <v>46057.715370578706</v>
      </c>
      <c r="Y1124" s="172"/>
      <c r="Z1124" s="3">
        <v>46013.0</v>
      </c>
      <c r="AA1124" s="3"/>
    </row>
    <row r="1125">
      <c r="A1125" s="3">
        <v>6.814275862787E12</v>
      </c>
      <c r="B1125" s="2" t="s">
        <v>4889</v>
      </c>
      <c r="C1125" s="2" t="s">
        <v>4890</v>
      </c>
      <c r="D1125" s="169">
        <v>46014.0</v>
      </c>
      <c r="E1125" s="2">
        <v>3.072121005E9</v>
      </c>
      <c r="F1125" s="2" t="s">
        <v>4891</v>
      </c>
      <c r="G1125" s="2" t="s">
        <v>368</v>
      </c>
      <c r="H1125" s="2">
        <v>0.0</v>
      </c>
      <c r="I1125" s="2">
        <v>2.3120050020689E13</v>
      </c>
      <c r="J1125" s="3">
        <v>0.0</v>
      </c>
      <c r="K1125" s="2" t="s">
        <v>4892</v>
      </c>
      <c r="L1125" s="2"/>
      <c r="M1125" s="170" t="s">
        <v>455</v>
      </c>
      <c r="N1125" s="2" t="s">
        <v>406</v>
      </c>
      <c r="O1125" s="3">
        <v>0.5</v>
      </c>
      <c r="P1125" s="2" t="s">
        <v>363</v>
      </c>
      <c r="Q1125" s="3">
        <v>0.0</v>
      </c>
      <c r="T1125" s="2" t="s">
        <v>3833</v>
      </c>
      <c r="U1125" s="171">
        <v>0.0</v>
      </c>
      <c r="V1125" s="172">
        <v>46024.0</v>
      </c>
      <c r="W1125" s="3">
        <v>120.06</v>
      </c>
      <c r="X1125" s="172">
        <v>46057.642782800925</v>
      </c>
      <c r="Y1125" s="172"/>
      <c r="Z1125" s="3">
        <v>46014.0</v>
      </c>
      <c r="AA1125" s="3"/>
    </row>
    <row r="1126">
      <c r="A1126" s="3">
        <v>6.814317052163E12</v>
      </c>
      <c r="B1126" s="2" t="s">
        <v>4893</v>
      </c>
      <c r="C1126" s="2" t="s">
        <v>4894</v>
      </c>
      <c r="D1126" s="169">
        <v>46014.0</v>
      </c>
      <c r="E1126" s="173" t="s">
        <v>4895</v>
      </c>
      <c r="F1126" s="2" t="s">
        <v>4896</v>
      </c>
      <c r="G1126" s="2" t="s">
        <v>374</v>
      </c>
      <c r="H1126" s="2">
        <v>3999.0</v>
      </c>
      <c r="I1126" s="2">
        <v>2.1120050020713E13</v>
      </c>
      <c r="J1126" s="3">
        <v>2.0</v>
      </c>
      <c r="L1126" s="2" t="s">
        <v>994</v>
      </c>
      <c r="M1126" s="174" t="s">
        <v>409</v>
      </c>
      <c r="N1126" s="2" t="s">
        <v>462</v>
      </c>
      <c r="O1126" s="3">
        <v>0.5</v>
      </c>
      <c r="P1126" s="2" t="s">
        <v>73</v>
      </c>
      <c r="Q1126" s="3">
        <v>1700.0</v>
      </c>
      <c r="T1126" s="2" t="s">
        <v>2140</v>
      </c>
      <c r="U1126" s="171">
        <v>3999.0</v>
      </c>
      <c r="V1126" s="172">
        <v>46021.0</v>
      </c>
      <c r="W1126" s="3">
        <v>473.0</v>
      </c>
      <c r="X1126" s="172">
        <v>46018.71487268519</v>
      </c>
      <c r="Y1126" s="172"/>
      <c r="Z1126" s="3">
        <v>46014.0</v>
      </c>
      <c r="AA1126" s="3"/>
    </row>
    <row r="1127">
      <c r="A1127" s="3">
        <v>6.814367449347E12</v>
      </c>
      <c r="B1127" s="2" t="s">
        <v>4897</v>
      </c>
      <c r="C1127" s="2" t="s">
        <v>4898</v>
      </c>
      <c r="D1127" s="169">
        <v>46014.0</v>
      </c>
      <c r="E1127" s="2">
        <v>3.021448288E9</v>
      </c>
      <c r="F1127" s="2" t="s">
        <v>4899</v>
      </c>
      <c r="G1127" s="2" t="s">
        <v>4900</v>
      </c>
      <c r="H1127" s="2">
        <v>0.0</v>
      </c>
      <c r="J1127" s="3">
        <v>0.0</v>
      </c>
      <c r="K1127" s="2" t="s">
        <v>760</v>
      </c>
      <c r="L1127" s="2"/>
      <c r="M1127" s="2" t="s">
        <v>468</v>
      </c>
      <c r="N1127" s="2" t="s">
        <v>406</v>
      </c>
      <c r="O1127" s="3">
        <v>0.5</v>
      </c>
      <c r="Q1127" s="3">
        <v>0.0</v>
      </c>
      <c r="U1127" s="141"/>
      <c r="X1127" s="172">
        <v>46057.642782800925</v>
      </c>
      <c r="Y1127" s="172"/>
      <c r="Z1127" s="3">
        <v>46014.0</v>
      </c>
      <c r="AA1127" s="3"/>
    </row>
    <row r="1128">
      <c r="A1128" s="3">
        <v>6.814370005251E12</v>
      </c>
      <c r="B1128" s="2" t="s">
        <v>4901</v>
      </c>
      <c r="C1128" s="2" t="s">
        <v>4898</v>
      </c>
      <c r="D1128" s="169">
        <v>46014.0</v>
      </c>
      <c r="E1128" s="173" t="s">
        <v>4902</v>
      </c>
      <c r="F1128" s="2" t="s">
        <v>4903</v>
      </c>
      <c r="G1128" s="2" t="s">
        <v>4900</v>
      </c>
      <c r="H1128" s="2">
        <v>5300.0</v>
      </c>
      <c r="I1128" s="2" t="s">
        <v>4904</v>
      </c>
      <c r="J1128" s="3">
        <v>2.0</v>
      </c>
      <c r="K1128" s="2" t="s">
        <v>511</v>
      </c>
      <c r="L1128" s="2" t="s">
        <v>4905</v>
      </c>
      <c r="M1128" s="174" t="s">
        <v>409</v>
      </c>
      <c r="N1128" s="2" t="s">
        <v>462</v>
      </c>
      <c r="O1128" s="3">
        <v>0.5</v>
      </c>
      <c r="P1128" s="2" t="s">
        <v>640</v>
      </c>
      <c r="Q1128" s="3">
        <v>2475.0</v>
      </c>
      <c r="T1128" s="2" t="s">
        <v>3376</v>
      </c>
      <c r="U1128" s="3">
        <v>5300.0</v>
      </c>
      <c r="W1128" s="3">
        <v>292.2</v>
      </c>
      <c r="X1128" s="172">
        <v>46057.71539111111</v>
      </c>
      <c r="Y1128" s="172"/>
      <c r="Z1128" s="3">
        <v>46014.0</v>
      </c>
      <c r="AA1128" s="3"/>
    </row>
    <row r="1129">
      <c r="A1129" s="3">
        <v>6.814387273987E12</v>
      </c>
      <c r="B1129" s="2" t="s">
        <v>4906</v>
      </c>
      <c r="C1129" s="2" t="s">
        <v>4907</v>
      </c>
      <c r="D1129" s="169">
        <v>46014.0</v>
      </c>
      <c r="E1129" s="2">
        <v>3.350009558E9</v>
      </c>
      <c r="F1129" s="2" t="s">
        <v>4908</v>
      </c>
      <c r="G1129" s="2" t="s">
        <v>672</v>
      </c>
      <c r="H1129" s="2">
        <v>3099.0</v>
      </c>
      <c r="I1129" s="2">
        <v>2.4120050020651E13</v>
      </c>
      <c r="J1129" s="3">
        <v>2.0</v>
      </c>
      <c r="K1129" s="2" t="s">
        <v>4909</v>
      </c>
      <c r="L1129" s="2" t="s">
        <v>228</v>
      </c>
      <c r="M1129" s="170" t="s">
        <v>455</v>
      </c>
      <c r="N1129" s="2" t="s">
        <v>406</v>
      </c>
      <c r="O1129" s="3">
        <v>0.5</v>
      </c>
      <c r="P1129" s="2" t="s">
        <v>363</v>
      </c>
      <c r="Q1129" s="3">
        <v>920.0</v>
      </c>
      <c r="T1129" s="2" t="s">
        <v>4910</v>
      </c>
      <c r="U1129" s="171">
        <v>0.0</v>
      </c>
      <c r="V1129" s="172">
        <v>46042.0</v>
      </c>
      <c r="W1129" s="3">
        <v>213.44</v>
      </c>
      <c r="X1129" s="172">
        <v>46057.642782800925</v>
      </c>
      <c r="Y1129" s="172"/>
      <c r="Z1129" s="3">
        <v>46014.0</v>
      </c>
      <c r="AA1129" s="3"/>
    </row>
    <row r="1130">
      <c r="A1130" s="3">
        <v>6.814442586371E12</v>
      </c>
      <c r="B1130" s="2" t="s">
        <v>4911</v>
      </c>
      <c r="C1130" s="2" t="s">
        <v>4912</v>
      </c>
      <c r="D1130" s="169">
        <v>46014.0</v>
      </c>
      <c r="E1130" s="2">
        <v>3.335367676E9</v>
      </c>
      <c r="F1130" s="2" t="s">
        <v>4913</v>
      </c>
      <c r="G1130" s="2" t="s">
        <v>506</v>
      </c>
      <c r="H1130" s="2">
        <v>2749.0</v>
      </c>
      <c r="I1130" s="2">
        <v>2.912005002065E13</v>
      </c>
      <c r="J1130" s="3">
        <v>2.0</v>
      </c>
      <c r="L1130" s="2" t="s">
        <v>16</v>
      </c>
      <c r="M1130" s="174" t="s">
        <v>409</v>
      </c>
      <c r="N1130" s="2" t="s">
        <v>462</v>
      </c>
      <c r="O1130" s="3">
        <v>0.5</v>
      </c>
      <c r="P1130" s="2" t="s">
        <v>363</v>
      </c>
      <c r="Q1130" s="3">
        <v>980.0</v>
      </c>
      <c r="T1130" s="2" t="s">
        <v>2140</v>
      </c>
      <c r="U1130" s="171">
        <v>2749.0</v>
      </c>
      <c r="V1130" s="172">
        <v>46021.0</v>
      </c>
      <c r="W1130" s="3">
        <v>310.0</v>
      </c>
      <c r="X1130" s="172">
        <v>46017.61684027778</v>
      </c>
      <c r="Y1130" s="172"/>
      <c r="Z1130" s="3">
        <v>46014.0</v>
      </c>
      <c r="AA1130" s="3"/>
    </row>
    <row r="1131">
      <c r="A1131" s="3">
        <v>6.814516183299E12</v>
      </c>
      <c r="B1131" s="2" t="s">
        <v>4914</v>
      </c>
      <c r="C1131" s="2" t="s">
        <v>4915</v>
      </c>
      <c r="D1131" s="169">
        <v>46014.0</v>
      </c>
      <c r="E1131" s="2">
        <v>3.361000034E9</v>
      </c>
      <c r="F1131" s="2" t="s">
        <v>4916</v>
      </c>
      <c r="G1131" s="2" t="s">
        <v>855</v>
      </c>
      <c r="H1131" s="2">
        <v>2124.0</v>
      </c>
      <c r="I1131" s="2">
        <v>2.6120050020649E13</v>
      </c>
      <c r="J1131" s="3">
        <v>1.0</v>
      </c>
      <c r="K1131" s="2" t="s">
        <v>4917</v>
      </c>
      <c r="L1131" s="2" t="s">
        <v>557</v>
      </c>
      <c r="M1131" s="174" t="s">
        <v>409</v>
      </c>
      <c r="N1131" s="2" t="s">
        <v>406</v>
      </c>
      <c r="O1131" s="3">
        <v>0.5</v>
      </c>
      <c r="P1131" s="2" t="s">
        <v>363</v>
      </c>
      <c r="Q1131" s="3">
        <v>850.0</v>
      </c>
      <c r="T1131" s="2" t="s">
        <v>2140</v>
      </c>
      <c r="U1131" s="19">
        <v>2124.0</v>
      </c>
      <c r="V1131" s="172">
        <v>46021.0</v>
      </c>
      <c r="W1131" s="3">
        <v>380.0</v>
      </c>
      <c r="X1131" s="172">
        <v>46020.65225694445</v>
      </c>
      <c r="Y1131" s="172"/>
      <c r="Z1131" s="3">
        <v>46014.0</v>
      </c>
      <c r="AA1131" s="3"/>
    </row>
    <row r="1132">
      <c r="A1132" s="3">
        <v>6.814746116355E12</v>
      </c>
      <c r="B1132" s="2" t="s">
        <v>4918</v>
      </c>
      <c r="C1132" s="2" t="s">
        <v>3710</v>
      </c>
      <c r="D1132" s="169">
        <v>46014.0</v>
      </c>
      <c r="E1132" s="173" t="s">
        <v>3711</v>
      </c>
      <c r="F1132" s="2" t="s">
        <v>3712</v>
      </c>
      <c r="G1132" s="2" t="s">
        <v>672</v>
      </c>
      <c r="H1132" s="2">
        <v>3099.0</v>
      </c>
      <c r="I1132" s="2">
        <v>2.8120050020648E13</v>
      </c>
      <c r="J1132" s="3">
        <v>2.0</v>
      </c>
      <c r="K1132" s="2" t="s">
        <v>511</v>
      </c>
      <c r="L1132" s="2" t="s">
        <v>2219</v>
      </c>
      <c r="M1132" s="174" t="s">
        <v>409</v>
      </c>
      <c r="N1132" s="2" t="s">
        <v>462</v>
      </c>
      <c r="O1132" s="3">
        <v>0.5</v>
      </c>
      <c r="P1132" s="2" t="s">
        <v>73</v>
      </c>
      <c r="Q1132" s="3">
        <v>960.0</v>
      </c>
      <c r="T1132" s="2" t="s">
        <v>3833</v>
      </c>
      <c r="U1132" s="171">
        <v>3099.0</v>
      </c>
      <c r="V1132" s="172">
        <v>46024.0</v>
      </c>
      <c r="W1132" s="3">
        <v>337.4</v>
      </c>
      <c r="X1132" s="172">
        <v>46021.59398148148</v>
      </c>
      <c r="Y1132" s="172"/>
      <c r="Z1132" s="3">
        <v>46014.0</v>
      </c>
      <c r="AA1132" s="3"/>
    </row>
    <row r="1133">
      <c r="A1133" s="3">
        <v>6.814777606403E12</v>
      </c>
      <c r="B1133" s="2" t="s">
        <v>4919</v>
      </c>
      <c r="C1133" s="2" t="s">
        <v>4920</v>
      </c>
      <c r="D1133" s="169">
        <v>46014.0</v>
      </c>
      <c r="E1133" s="173" t="s">
        <v>4921</v>
      </c>
      <c r="F1133" s="2" t="s">
        <v>4922</v>
      </c>
      <c r="G1133" s="2" t="s">
        <v>1323</v>
      </c>
      <c r="H1133" s="2">
        <v>2748.0</v>
      </c>
      <c r="I1133" s="2">
        <v>2.612005002069E13</v>
      </c>
      <c r="J1133" s="3">
        <v>1.0</v>
      </c>
      <c r="K1133" s="2" t="s">
        <v>4923</v>
      </c>
      <c r="L1133" s="2" t="s">
        <v>557</v>
      </c>
      <c r="M1133" s="174" t="s">
        <v>409</v>
      </c>
      <c r="N1133" s="2" t="s">
        <v>462</v>
      </c>
      <c r="O1133" s="3">
        <v>0.5</v>
      </c>
      <c r="P1133" s="2" t="s">
        <v>363</v>
      </c>
      <c r="Q1133" s="3">
        <v>850.0</v>
      </c>
      <c r="T1133" s="2" t="s">
        <v>3833</v>
      </c>
      <c r="U1133" s="171">
        <v>2748.0</v>
      </c>
      <c r="V1133" s="172">
        <v>46024.0</v>
      </c>
      <c r="W1133" s="3">
        <v>310.02</v>
      </c>
      <c r="X1133" s="172">
        <v>46022.73150462963</v>
      </c>
      <c r="Y1133" s="172"/>
      <c r="Z1133" s="3">
        <v>46014.0</v>
      </c>
      <c r="AA1133" s="3"/>
    </row>
    <row r="1134">
      <c r="A1134" s="3">
        <v>6.814846845187E12</v>
      </c>
      <c r="B1134" s="2" t="s">
        <v>4924</v>
      </c>
      <c r="C1134" s="2" t="s">
        <v>4925</v>
      </c>
      <c r="D1134" s="169">
        <v>46014.0</v>
      </c>
      <c r="E1134" s="173" t="s">
        <v>4926</v>
      </c>
      <c r="F1134" s="2" t="s">
        <v>4927</v>
      </c>
      <c r="G1134" s="2" t="s">
        <v>4928</v>
      </c>
      <c r="H1134" s="2">
        <v>2748.0</v>
      </c>
      <c r="I1134" s="2">
        <v>2.6120050020691E13</v>
      </c>
      <c r="J1134" s="3">
        <v>1.0</v>
      </c>
      <c r="K1134" s="2" t="s">
        <v>4929</v>
      </c>
      <c r="L1134" s="2" t="s">
        <v>519</v>
      </c>
      <c r="M1134" s="174" t="s">
        <v>409</v>
      </c>
      <c r="N1134" s="2" t="s">
        <v>462</v>
      </c>
      <c r="O1134" s="3">
        <v>0.5</v>
      </c>
      <c r="P1134" s="2" t="s">
        <v>363</v>
      </c>
      <c r="Q1134" s="3">
        <v>850.0</v>
      </c>
      <c r="T1134" s="2" t="s">
        <v>2140</v>
      </c>
      <c r="U1134" s="171">
        <v>2748.0</v>
      </c>
      <c r="V1134" s="172">
        <v>46021.0</v>
      </c>
      <c r="W1134" s="3">
        <v>330.0</v>
      </c>
      <c r="X1134" s="172">
        <v>46017.816296296296</v>
      </c>
      <c r="Y1134" s="172"/>
      <c r="Z1134" s="3">
        <v>46014.0</v>
      </c>
      <c r="AA1134" s="3"/>
    </row>
    <row r="1135">
      <c r="A1135" s="3">
        <v>6.814861590787E12</v>
      </c>
      <c r="B1135" s="2" t="s">
        <v>4930</v>
      </c>
      <c r="C1135" s="2" t="s">
        <v>4170</v>
      </c>
      <c r="D1135" s="169">
        <v>46014.0</v>
      </c>
      <c r="E1135" s="173" t="s">
        <v>4931</v>
      </c>
      <c r="F1135" s="2" t="s">
        <v>4171</v>
      </c>
      <c r="G1135" s="2" t="s">
        <v>506</v>
      </c>
      <c r="H1135" s="2">
        <v>2397.0</v>
      </c>
      <c r="I1135" s="2">
        <v>2.3120050020734E13</v>
      </c>
      <c r="J1135" s="3">
        <v>1.0</v>
      </c>
      <c r="K1135" s="2" t="s">
        <v>4932</v>
      </c>
      <c r="L1135" s="2" t="s">
        <v>684</v>
      </c>
      <c r="M1135" s="170" t="s">
        <v>455</v>
      </c>
      <c r="N1135" s="2" t="s">
        <v>406</v>
      </c>
      <c r="O1135" s="3">
        <v>0.5</v>
      </c>
      <c r="P1135" s="2" t="s">
        <v>363</v>
      </c>
      <c r="Q1135" s="3">
        <v>850.0</v>
      </c>
      <c r="T1135" s="2" t="s">
        <v>3616</v>
      </c>
      <c r="U1135" s="171">
        <v>0.0</v>
      </c>
      <c r="V1135" s="172">
        <v>46028.0</v>
      </c>
      <c r="W1135" s="3">
        <v>220.11</v>
      </c>
      <c r="X1135" s="172">
        <v>46057.642782800925</v>
      </c>
      <c r="Y1135" s="172"/>
      <c r="Z1135" s="3">
        <v>46014.0</v>
      </c>
      <c r="AA1135" s="3"/>
    </row>
    <row r="1136">
      <c r="A1136" s="3">
        <v>6.814867095811E12</v>
      </c>
      <c r="B1136" s="2" t="s">
        <v>4933</v>
      </c>
      <c r="C1136" s="2" t="s">
        <v>4934</v>
      </c>
      <c r="D1136" s="169">
        <v>46014.0</v>
      </c>
      <c r="E1136" s="173" t="s">
        <v>4935</v>
      </c>
      <c r="F1136" s="2" t="s">
        <v>4936</v>
      </c>
      <c r="G1136" s="2" t="s">
        <v>2807</v>
      </c>
      <c r="H1136" s="2">
        <v>1449.0</v>
      </c>
      <c r="I1136" s="2">
        <v>2.5120050020647E13</v>
      </c>
      <c r="J1136" s="3">
        <v>1.0</v>
      </c>
      <c r="K1136" s="2" t="s">
        <v>511</v>
      </c>
      <c r="L1136" s="2" t="s">
        <v>3889</v>
      </c>
      <c r="M1136" s="174" t="s">
        <v>409</v>
      </c>
      <c r="N1136" s="2" t="s">
        <v>462</v>
      </c>
      <c r="O1136" s="3">
        <v>0.5</v>
      </c>
      <c r="P1136" s="2" t="s">
        <v>363</v>
      </c>
      <c r="Q1136" s="3">
        <v>550.0</v>
      </c>
      <c r="T1136" s="2" t="s">
        <v>2140</v>
      </c>
      <c r="U1136" s="171">
        <v>1449.0</v>
      </c>
      <c r="V1136" s="172">
        <v>46021.0</v>
      </c>
      <c r="W1136" s="3">
        <v>258.0</v>
      </c>
      <c r="X1136" s="172">
        <v>46018.83435185185</v>
      </c>
      <c r="Y1136" s="172"/>
      <c r="Z1136" s="3">
        <v>46014.0</v>
      </c>
      <c r="AA1136" s="3"/>
    </row>
    <row r="1137">
      <c r="A1137" s="3">
        <v>6.814959894787E12</v>
      </c>
      <c r="B1137" s="2" t="s">
        <v>4937</v>
      </c>
      <c r="C1137" s="2" t="s">
        <v>4938</v>
      </c>
      <c r="D1137" s="169">
        <v>46014.0</v>
      </c>
      <c r="E1137" s="173" t="s">
        <v>4939</v>
      </c>
      <c r="F1137" s="2" t="s">
        <v>2702</v>
      </c>
      <c r="G1137" s="2" t="s">
        <v>2703</v>
      </c>
      <c r="H1137" s="2">
        <v>3500.0</v>
      </c>
      <c r="I1137" s="2" t="s">
        <v>4940</v>
      </c>
      <c r="J1137" s="3">
        <v>2.0</v>
      </c>
      <c r="K1137" s="2" t="s">
        <v>4941</v>
      </c>
      <c r="L1137" s="2" t="s">
        <v>4942</v>
      </c>
      <c r="M1137" s="174" t="s">
        <v>409</v>
      </c>
      <c r="N1137" s="2" t="s">
        <v>462</v>
      </c>
      <c r="O1137" s="3">
        <v>0.5</v>
      </c>
      <c r="P1137" s="2" t="s">
        <v>640</v>
      </c>
      <c r="Q1137" s="3">
        <v>2200.0</v>
      </c>
      <c r="T1137" s="2" t="s">
        <v>3376</v>
      </c>
      <c r="U1137" s="171">
        <v>3500.0</v>
      </c>
      <c r="V1137" s="172">
        <v>46023.0</v>
      </c>
      <c r="W1137" s="3">
        <v>292.2</v>
      </c>
      <c r="X1137" s="172">
        <v>46057.715472870375</v>
      </c>
      <c r="Y1137" s="172"/>
      <c r="Z1137" s="3">
        <v>46014.0</v>
      </c>
      <c r="AA1137" s="3"/>
    </row>
    <row r="1138">
      <c r="A1138" s="3">
        <v>6.814964285699E12</v>
      </c>
      <c r="B1138" s="2" t="s">
        <v>4943</v>
      </c>
      <c r="C1138" s="2" t="s">
        <v>4944</v>
      </c>
      <c r="D1138" s="169">
        <v>46014.0</v>
      </c>
      <c r="E1138" s="2">
        <v>3.333091808E9</v>
      </c>
      <c r="F1138" s="2" t="s">
        <v>4945</v>
      </c>
      <c r="G1138" s="2" t="s">
        <v>493</v>
      </c>
      <c r="H1138" s="2">
        <v>3999.0</v>
      </c>
      <c r="I1138" s="2">
        <v>2.4120050020735E13</v>
      </c>
      <c r="J1138" s="3">
        <v>2.0</v>
      </c>
      <c r="L1138" s="2" t="s">
        <v>479</v>
      </c>
      <c r="M1138" s="174" t="s">
        <v>409</v>
      </c>
      <c r="N1138" s="2" t="s">
        <v>462</v>
      </c>
      <c r="O1138" s="3">
        <v>0.5</v>
      </c>
      <c r="P1138" s="2" t="s">
        <v>363</v>
      </c>
      <c r="Q1138" s="3">
        <v>1700.0</v>
      </c>
      <c r="T1138" s="2" t="s">
        <v>2140</v>
      </c>
      <c r="U1138" s="171">
        <v>3999.0</v>
      </c>
      <c r="V1138" s="172">
        <v>46021.0</v>
      </c>
      <c r="W1138" s="3">
        <v>387.0</v>
      </c>
      <c r="X1138" s="172">
        <v>46020.6725</v>
      </c>
      <c r="Y1138" s="172"/>
      <c r="Z1138" s="3">
        <v>46014.0</v>
      </c>
      <c r="AA1138" s="3"/>
    </row>
    <row r="1139">
      <c r="A1139" s="3">
        <v>6.814996103427E12</v>
      </c>
      <c r="B1139" s="2" t="s">
        <v>4946</v>
      </c>
      <c r="C1139" s="2" t="s">
        <v>4947</v>
      </c>
      <c r="D1139" s="169">
        <v>46014.0</v>
      </c>
      <c r="E1139" s="2">
        <v>3.005484298E9</v>
      </c>
      <c r="F1139" s="2" t="s">
        <v>4948</v>
      </c>
      <c r="G1139" s="2" t="s">
        <v>4949</v>
      </c>
      <c r="H1139" s="2">
        <v>2849.0</v>
      </c>
      <c r="I1139" s="2">
        <v>2.6120050020646E13</v>
      </c>
      <c r="J1139" s="3">
        <v>2.0</v>
      </c>
      <c r="L1139" s="2" t="s">
        <v>1920</v>
      </c>
      <c r="M1139" s="174" t="s">
        <v>409</v>
      </c>
      <c r="N1139" s="2" t="s">
        <v>462</v>
      </c>
      <c r="O1139" s="3">
        <v>0.5</v>
      </c>
      <c r="P1139" s="2" t="s">
        <v>363</v>
      </c>
      <c r="Q1139" s="3">
        <v>1050.0</v>
      </c>
      <c r="T1139" s="2" t="s">
        <v>1468</v>
      </c>
      <c r="U1139" s="171">
        <v>2849.0</v>
      </c>
      <c r="V1139" s="172">
        <v>46017.0</v>
      </c>
      <c r="W1139" s="3">
        <v>314.0</v>
      </c>
      <c r="X1139" s="172">
        <v>46015.588379629626</v>
      </c>
      <c r="Y1139" s="172"/>
      <c r="Z1139" s="3">
        <v>46014.0</v>
      </c>
      <c r="AA1139" s="3"/>
    </row>
    <row r="1140">
      <c r="A1140" s="3">
        <v>6.814997643523E12</v>
      </c>
      <c r="B1140" s="2" t="s">
        <v>4950</v>
      </c>
      <c r="C1140" s="2" t="s">
        <v>4951</v>
      </c>
      <c r="D1140" s="169">
        <v>46014.0</v>
      </c>
      <c r="E1140" s="2">
        <v>3.155534442E9</v>
      </c>
      <c r="F1140" s="2" t="s">
        <v>4952</v>
      </c>
      <c r="G1140" s="2" t="s">
        <v>749</v>
      </c>
      <c r="H1140" s="2">
        <v>0.0</v>
      </c>
      <c r="J1140" s="3">
        <v>0.0</v>
      </c>
      <c r="K1140" s="2" t="s">
        <v>4953</v>
      </c>
      <c r="L1140" s="2"/>
      <c r="M1140" s="2" t="s">
        <v>468</v>
      </c>
      <c r="N1140" s="2" t="s">
        <v>406</v>
      </c>
      <c r="O1140" s="3">
        <v>0.5</v>
      </c>
      <c r="Q1140" s="3">
        <v>0.0</v>
      </c>
      <c r="U1140" s="141"/>
      <c r="X1140" s="172">
        <v>46057.642782800925</v>
      </c>
      <c r="Y1140" s="172"/>
      <c r="Z1140" s="3">
        <v>46014.0</v>
      </c>
      <c r="AA1140" s="3"/>
    </row>
    <row r="1141">
      <c r="A1141" s="3">
        <v>6.815024021763E12</v>
      </c>
      <c r="B1141" s="2" t="s">
        <v>4954</v>
      </c>
      <c r="C1141" s="2" t="s">
        <v>4955</v>
      </c>
      <c r="D1141" s="169">
        <v>46014.0</v>
      </c>
      <c r="E1141" s="2">
        <v>3.457170121E9</v>
      </c>
      <c r="F1141" s="2" t="s">
        <v>4956</v>
      </c>
      <c r="G1141" s="2" t="s">
        <v>4957</v>
      </c>
      <c r="H1141" s="2">
        <v>2299.0</v>
      </c>
      <c r="I1141" s="2">
        <v>2.0120050020903E13</v>
      </c>
      <c r="J1141" s="3">
        <v>1.0</v>
      </c>
      <c r="K1141" s="2" t="s">
        <v>4958</v>
      </c>
      <c r="L1141" s="2" t="s">
        <v>4959</v>
      </c>
      <c r="M1141" s="174" t="s">
        <v>409</v>
      </c>
      <c r="N1141" s="2" t="s">
        <v>462</v>
      </c>
      <c r="O1141" s="3">
        <v>0.5</v>
      </c>
      <c r="P1141" s="2" t="s">
        <v>363</v>
      </c>
      <c r="Q1141" s="3">
        <v>850.0</v>
      </c>
      <c r="T1141" s="2" t="s">
        <v>3616</v>
      </c>
      <c r="U1141" s="171">
        <v>2299.0</v>
      </c>
      <c r="V1141" s="172">
        <v>46028.0</v>
      </c>
      <c r="W1141" s="3">
        <v>292.06</v>
      </c>
      <c r="X1141" s="172">
        <v>46025.63703703704</v>
      </c>
      <c r="Y1141" s="172"/>
      <c r="Z1141" s="3">
        <v>46014.0</v>
      </c>
      <c r="AA1141" s="3"/>
    </row>
    <row r="1142">
      <c r="A1142" s="3">
        <v>6.815034867971E12</v>
      </c>
      <c r="B1142" s="2" t="s">
        <v>4960</v>
      </c>
      <c r="C1142" s="2" t="s">
        <v>4961</v>
      </c>
      <c r="D1142" s="169">
        <v>46014.0</v>
      </c>
      <c r="E1142" s="2">
        <v>3.01724E9</v>
      </c>
      <c r="F1142" s="2" t="s">
        <v>4962</v>
      </c>
      <c r="G1142" s="2" t="s">
        <v>1323</v>
      </c>
      <c r="H1142" s="2">
        <v>3999.0</v>
      </c>
      <c r="I1142" s="2">
        <v>2.7120050020692E13</v>
      </c>
      <c r="J1142" s="3">
        <v>2.0</v>
      </c>
      <c r="L1142" s="2" t="s">
        <v>532</v>
      </c>
      <c r="M1142" s="174" t="s">
        <v>409</v>
      </c>
      <c r="N1142" s="2" t="s">
        <v>462</v>
      </c>
      <c r="O1142" s="3">
        <v>0.5</v>
      </c>
      <c r="P1142" s="2" t="s">
        <v>363</v>
      </c>
      <c r="Q1142" s="3">
        <v>1700.0</v>
      </c>
      <c r="T1142" s="2" t="s">
        <v>2140</v>
      </c>
      <c r="U1142" s="171">
        <v>3999.0</v>
      </c>
      <c r="V1142" s="172">
        <v>46021.0</v>
      </c>
      <c r="W1142" s="3">
        <v>380.0</v>
      </c>
      <c r="X1142" s="172">
        <v>46020.78979166667</v>
      </c>
      <c r="Y1142" s="172"/>
      <c r="Z1142" s="3">
        <v>46014.0</v>
      </c>
      <c r="AA1142" s="3"/>
    </row>
    <row r="1143">
      <c r="A1143" s="3">
        <v>6.815036309763E12</v>
      </c>
      <c r="B1143" s="2" t="s">
        <v>4963</v>
      </c>
      <c r="C1143" s="2" t="s">
        <v>4964</v>
      </c>
      <c r="D1143" s="169">
        <v>46014.0</v>
      </c>
      <c r="E1143" s="2">
        <v>3.029499023E9</v>
      </c>
      <c r="F1143" s="2" t="s">
        <v>4965</v>
      </c>
      <c r="G1143" s="2" t="s">
        <v>493</v>
      </c>
      <c r="H1143" s="2">
        <v>1449.0</v>
      </c>
      <c r="I1143" s="2">
        <v>2.6120050020645E13</v>
      </c>
      <c r="J1143" s="3">
        <v>1.0</v>
      </c>
      <c r="L1143" s="2" t="s">
        <v>4966</v>
      </c>
      <c r="M1143" s="174" t="s">
        <v>409</v>
      </c>
      <c r="N1143" s="2" t="s">
        <v>462</v>
      </c>
      <c r="O1143" s="3">
        <v>0.5</v>
      </c>
      <c r="P1143" s="2" t="s">
        <v>363</v>
      </c>
      <c r="Q1143" s="3">
        <v>550.0</v>
      </c>
      <c r="T1143" s="2" t="s">
        <v>2140</v>
      </c>
      <c r="U1143" s="171">
        <v>1449.0</v>
      </c>
      <c r="V1143" s="172">
        <v>46021.0</v>
      </c>
      <c r="W1143" s="3">
        <v>271.0</v>
      </c>
      <c r="X1143" s="172">
        <v>46017.65225694445</v>
      </c>
      <c r="Y1143" s="172"/>
      <c r="Z1143" s="3">
        <v>46014.0</v>
      </c>
      <c r="AA1143" s="3"/>
    </row>
    <row r="1144">
      <c r="A1144" s="3">
        <v>6.815048466691E12</v>
      </c>
      <c r="B1144" s="2" t="s">
        <v>4967</v>
      </c>
      <c r="C1144" s="2" t="s">
        <v>4968</v>
      </c>
      <c r="D1144" s="169">
        <v>46014.0</v>
      </c>
      <c r="E1144" s="173" t="s">
        <v>4969</v>
      </c>
      <c r="F1144" s="2" t="s">
        <v>4970</v>
      </c>
      <c r="G1144" s="2" t="s">
        <v>493</v>
      </c>
      <c r="H1144" s="2">
        <v>0.0</v>
      </c>
      <c r="I1144" s="2">
        <v>2.6120050020644E13</v>
      </c>
      <c r="J1144" s="3">
        <v>0.0</v>
      </c>
      <c r="K1144" s="2" t="s">
        <v>4971</v>
      </c>
      <c r="L1144" s="2"/>
      <c r="M1144" s="170" t="s">
        <v>455</v>
      </c>
      <c r="N1144" s="2" t="s">
        <v>406</v>
      </c>
      <c r="O1144" s="3">
        <v>0.5</v>
      </c>
      <c r="P1144" s="2" t="s">
        <v>363</v>
      </c>
      <c r="Q1144" s="3">
        <v>0.0</v>
      </c>
      <c r="T1144" s="2" t="s">
        <v>4077</v>
      </c>
      <c r="U1144" s="171">
        <v>0.0</v>
      </c>
      <c r="V1144" s="172">
        <v>46031.0</v>
      </c>
      <c r="W1144" s="3">
        <v>213.0</v>
      </c>
      <c r="X1144" s="172">
        <v>46057.642782800925</v>
      </c>
      <c r="Y1144" s="172"/>
      <c r="Z1144" s="3">
        <v>46014.0</v>
      </c>
      <c r="AA1144" s="3"/>
    </row>
    <row r="1145">
      <c r="A1145" s="3">
        <v>6.815054430467E12</v>
      </c>
      <c r="B1145" s="2" t="s">
        <v>4972</v>
      </c>
      <c r="C1145" s="2" t="s">
        <v>4973</v>
      </c>
      <c r="D1145" s="169">
        <v>46014.0</v>
      </c>
      <c r="E1145" s="173" t="s">
        <v>4974</v>
      </c>
      <c r="F1145" s="2" t="s">
        <v>4975</v>
      </c>
      <c r="G1145" s="2" t="s">
        <v>3739</v>
      </c>
      <c r="H1145" s="2">
        <v>2699.0</v>
      </c>
      <c r="I1145" s="2" t="s">
        <v>4976</v>
      </c>
      <c r="J1145" s="3">
        <v>1.0</v>
      </c>
      <c r="L1145" s="2" t="s">
        <v>2234</v>
      </c>
      <c r="M1145" s="174" t="s">
        <v>409</v>
      </c>
      <c r="N1145" s="2" t="s">
        <v>462</v>
      </c>
      <c r="O1145" s="3">
        <v>0.5</v>
      </c>
      <c r="P1145" s="2" t="s">
        <v>640</v>
      </c>
      <c r="Q1145" s="3">
        <v>1075.0</v>
      </c>
      <c r="T1145" s="2" t="s">
        <v>3376</v>
      </c>
      <c r="U1145" s="171">
        <v>2699.0</v>
      </c>
      <c r="W1145" s="3">
        <v>400.15999999999997</v>
      </c>
      <c r="X1145" s="172">
        <v>46057.715536504635</v>
      </c>
      <c r="Y1145" s="172"/>
      <c r="Z1145" s="3">
        <v>46014.0</v>
      </c>
      <c r="AA1145" s="3"/>
    </row>
    <row r="1146">
      <c r="A1146" s="3">
        <v>6.815105122563E12</v>
      </c>
      <c r="B1146" s="2" t="s">
        <v>4977</v>
      </c>
      <c r="C1146" s="2" t="s">
        <v>4978</v>
      </c>
      <c r="D1146" s="169">
        <v>46014.0</v>
      </c>
      <c r="E1146" s="2">
        <v>3.341115547E9</v>
      </c>
      <c r="F1146" s="2" t="s">
        <v>4979</v>
      </c>
      <c r="G1146" s="2" t="s">
        <v>1395</v>
      </c>
      <c r="H1146" s="2">
        <v>3099.0</v>
      </c>
      <c r="I1146" s="2">
        <v>2.8120050020705E13</v>
      </c>
      <c r="J1146" s="3">
        <v>2.0</v>
      </c>
      <c r="L1146" s="2" t="s">
        <v>275</v>
      </c>
      <c r="M1146" s="174" t="s">
        <v>409</v>
      </c>
      <c r="N1146" s="2" t="s">
        <v>462</v>
      </c>
      <c r="O1146" s="3">
        <v>0.5</v>
      </c>
      <c r="P1146" s="2" t="s">
        <v>73</v>
      </c>
      <c r="Q1146" s="3">
        <v>960.0</v>
      </c>
      <c r="T1146" s="2" t="s">
        <v>1468</v>
      </c>
      <c r="U1146" s="171">
        <v>3099.0</v>
      </c>
      <c r="V1146" s="172">
        <v>46017.0</v>
      </c>
      <c r="W1146" s="3">
        <v>337.0</v>
      </c>
      <c r="X1146" s="172">
        <v>46017.45855324074</v>
      </c>
      <c r="Y1146" s="172"/>
      <c r="Z1146" s="3">
        <v>46014.0</v>
      </c>
      <c r="AA1146" s="3"/>
    </row>
    <row r="1147">
      <c r="A1147" s="3">
        <v>6.815227740419E12</v>
      </c>
      <c r="B1147" s="2" t="s">
        <v>4980</v>
      </c>
      <c r="C1147" s="2" t="s">
        <v>4981</v>
      </c>
      <c r="D1147" s="169">
        <v>46014.0</v>
      </c>
      <c r="E1147" s="2">
        <v>3.117610881E9</v>
      </c>
      <c r="F1147" s="2" t="s">
        <v>4982</v>
      </c>
      <c r="G1147" s="2" t="s">
        <v>4983</v>
      </c>
      <c r="H1147" s="2">
        <v>3099.0</v>
      </c>
      <c r="I1147" s="2">
        <v>2.8120050020712E13</v>
      </c>
      <c r="J1147" s="3">
        <v>2.0</v>
      </c>
      <c r="K1147" s="2" t="s">
        <v>511</v>
      </c>
      <c r="L1147" s="2" t="s">
        <v>50</v>
      </c>
      <c r="M1147" s="174" t="s">
        <v>409</v>
      </c>
      <c r="N1147" s="2" t="s">
        <v>462</v>
      </c>
      <c r="O1147" s="3">
        <v>0.5</v>
      </c>
      <c r="P1147" s="2" t="s">
        <v>73</v>
      </c>
      <c r="Q1147" s="3">
        <v>920.0</v>
      </c>
      <c r="T1147" s="2" t="s">
        <v>2140</v>
      </c>
      <c r="U1147" s="171">
        <v>3099.0</v>
      </c>
      <c r="V1147" s="172">
        <v>46021.0</v>
      </c>
      <c r="W1147" s="3">
        <v>324.0</v>
      </c>
      <c r="X1147" s="172">
        <v>46020.642546296294</v>
      </c>
      <c r="Y1147" s="172"/>
      <c r="Z1147" s="3">
        <v>46014.0</v>
      </c>
      <c r="AA1147" s="3"/>
    </row>
    <row r="1148">
      <c r="A1148" s="3">
        <v>6.815335252227E12</v>
      </c>
      <c r="B1148" s="2" t="s">
        <v>4984</v>
      </c>
      <c r="C1148" s="2" t="s">
        <v>4985</v>
      </c>
      <c r="D1148" s="169">
        <v>46014.0</v>
      </c>
      <c r="E1148" s="2">
        <v>3.002244119E9</v>
      </c>
      <c r="F1148" s="2" t="s">
        <v>4986</v>
      </c>
      <c r="G1148" s="2" t="s">
        <v>493</v>
      </c>
      <c r="H1148" s="2">
        <v>3099.0</v>
      </c>
      <c r="I1148" s="2">
        <v>2.6120050020695E13</v>
      </c>
      <c r="J1148" s="3">
        <v>2.0</v>
      </c>
      <c r="L1148" s="2" t="s">
        <v>662</v>
      </c>
      <c r="M1148" s="174" t="s">
        <v>409</v>
      </c>
      <c r="N1148" s="2" t="s">
        <v>462</v>
      </c>
      <c r="O1148" s="3">
        <v>0.5</v>
      </c>
      <c r="P1148" s="2" t="s">
        <v>363</v>
      </c>
      <c r="Q1148" s="3">
        <v>960.0</v>
      </c>
      <c r="T1148" s="2" t="s">
        <v>2140</v>
      </c>
      <c r="U1148" s="171">
        <v>3099.0</v>
      </c>
      <c r="V1148" s="172">
        <v>46021.0</v>
      </c>
      <c r="W1148" s="3">
        <v>337.0</v>
      </c>
      <c r="X1148" s="172">
        <v>46018.6502199074</v>
      </c>
      <c r="Y1148" s="172"/>
      <c r="Z1148" s="3">
        <v>46014.0</v>
      </c>
      <c r="AA1148" s="3"/>
    </row>
    <row r="1149">
      <c r="A1149" s="3">
        <v>6.815336431875E12</v>
      </c>
      <c r="B1149" s="2" t="s">
        <v>4987</v>
      </c>
      <c r="C1149" s="2" t="s">
        <v>4988</v>
      </c>
      <c r="D1149" s="169">
        <v>46014.0</v>
      </c>
      <c r="E1149" s="2">
        <v>3.085959951E9</v>
      </c>
      <c r="F1149" s="2" t="s">
        <v>4989</v>
      </c>
      <c r="G1149" s="2" t="s">
        <v>2396</v>
      </c>
      <c r="H1149" s="2">
        <v>3099.0</v>
      </c>
      <c r="I1149" s="2">
        <v>2.3120050020696E13</v>
      </c>
      <c r="J1149" s="3">
        <v>2.0</v>
      </c>
      <c r="L1149" s="2" t="s">
        <v>40</v>
      </c>
      <c r="M1149" s="174" t="s">
        <v>409</v>
      </c>
      <c r="N1149" s="2" t="s">
        <v>462</v>
      </c>
      <c r="O1149" s="3">
        <v>0.5</v>
      </c>
      <c r="P1149" s="2" t="s">
        <v>363</v>
      </c>
      <c r="Q1149" s="3">
        <v>920.0</v>
      </c>
      <c r="T1149" s="2" t="s">
        <v>2140</v>
      </c>
      <c r="U1149" s="171">
        <v>3099.0</v>
      </c>
      <c r="V1149" s="172">
        <v>46021.0</v>
      </c>
      <c r="W1149" s="3">
        <v>324.0</v>
      </c>
      <c r="X1149" s="172">
        <v>46017.625196759254</v>
      </c>
      <c r="Y1149" s="172"/>
      <c r="Z1149" s="3">
        <v>46014.0</v>
      </c>
      <c r="AA1149" s="3"/>
    </row>
    <row r="1150">
      <c r="A1150" s="3">
        <v>6.815340560643E12</v>
      </c>
      <c r="B1150" s="2" t="s">
        <v>4990</v>
      </c>
      <c r="C1150" s="2" t="s">
        <v>4991</v>
      </c>
      <c r="D1150" s="169">
        <v>46014.0</v>
      </c>
      <c r="E1150" s="2">
        <v>3.3030042E9</v>
      </c>
      <c r="F1150" s="2" t="s">
        <v>4992</v>
      </c>
      <c r="G1150" s="2" t="s">
        <v>672</v>
      </c>
      <c r="H1150" s="2">
        <v>3299.0</v>
      </c>
      <c r="I1150" s="2">
        <v>2.3120050020942E13</v>
      </c>
      <c r="J1150" s="3">
        <v>1.0</v>
      </c>
      <c r="L1150" s="2" t="s">
        <v>2499</v>
      </c>
      <c r="M1150" s="174" t="s">
        <v>409</v>
      </c>
      <c r="N1150" s="2" t="s">
        <v>462</v>
      </c>
      <c r="O1150" s="3">
        <v>0.5</v>
      </c>
      <c r="P1150" s="2" t="s">
        <v>363</v>
      </c>
      <c r="Q1150" s="3">
        <v>1400.0</v>
      </c>
      <c r="T1150" s="2" t="s">
        <v>4077</v>
      </c>
      <c r="U1150" s="171">
        <v>3299.0</v>
      </c>
      <c r="V1150" s="172">
        <v>46031.0</v>
      </c>
      <c r="W1150" s="3">
        <v>345.0</v>
      </c>
      <c r="X1150" s="172">
        <v>46028.6258912037</v>
      </c>
      <c r="Y1150" s="172"/>
      <c r="Z1150" s="3">
        <v>46014.0</v>
      </c>
      <c r="AA1150" s="3"/>
    </row>
    <row r="1151">
      <c r="A1151" s="3">
        <v>6.815350423811E12</v>
      </c>
      <c r="B1151" s="2" t="s">
        <v>4993</v>
      </c>
      <c r="C1151" s="2" t="s">
        <v>4994</v>
      </c>
      <c r="D1151" s="169">
        <v>46014.0</v>
      </c>
      <c r="E1151" s="173" t="s">
        <v>4995</v>
      </c>
      <c r="F1151" s="2" t="s">
        <v>4996</v>
      </c>
      <c r="G1151" s="2" t="s">
        <v>4997</v>
      </c>
      <c r="H1151" s="2">
        <v>3299.0</v>
      </c>
      <c r="I1151" s="2">
        <v>2.7120050020716E13</v>
      </c>
      <c r="J1151" s="3">
        <v>1.0</v>
      </c>
      <c r="K1151" s="2" t="s">
        <v>4675</v>
      </c>
      <c r="L1151" s="2" t="s">
        <v>2028</v>
      </c>
      <c r="M1151" s="174" t="s">
        <v>409</v>
      </c>
      <c r="N1151" s="2" t="s">
        <v>462</v>
      </c>
      <c r="O1151" s="3">
        <v>0.5</v>
      </c>
      <c r="P1151" s="2" t="s">
        <v>363</v>
      </c>
      <c r="Q1151" s="3">
        <v>1400.0</v>
      </c>
      <c r="T1151" s="2" t="s">
        <v>2140</v>
      </c>
      <c r="U1151" s="171">
        <v>3299.0</v>
      </c>
      <c r="V1151" s="172">
        <v>46021.0</v>
      </c>
      <c r="W1151" s="3">
        <v>332.0</v>
      </c>
      <c r="X1151" s="172">
        <v>46018.46059027778</v>
      </c>
      <c r="Y1151" s="172"/>
      <c r="Z1151" s="3">
        <v>46014.0</v>
      </c>
      <c r="AA1151" s="3"/>
    </row>
    <row r="1152">
      <c r="A1152" s="3">
        <v>6.815418712323E12</v>
      </c>
      <c r="B1152" s="2" t="s">
        <v>4998</v>
      </c>
      <c r="C1152" s="2" t="s">
        <v>4999</v>
      </c>
      <c r="D1152" s="169">
        <v>46014.0</v>
      </c>
      <c r="E1152" s="2">
        <v>3.12050842E9</v>
      </c>
      <c r="F1152" s="2" t="s">
        <v>5000</v>
      </c>
      <c r="G1152" s="2" t="s">
        <v>5001</v>
      </c>
      <c r="H1152" s="2">
        <v>0.0</v>
      </c>
      <c r="I1152" s="2">
        <v>2.9120050020697E13</v>
      </c>
      <c r="J1152" s="3">
        <v>0.0</v>
      </c>
      <c r="K1152" s="2" t="s">
        <v>4816</v>
      </c>
      <c r="L1152" s="2"/>
      <c r="M1152" s="170" t="s">
        <v>455</v>
      </c>
      <c r="N1152" s="2" t="s">
        <v>406</v>
      </c>
      <c r="O1152" s="3">
        <v>0.5</v>
      </c>
      <c r="P1152" s="2" t="s">
        <v>363</v>
      </c>
      <c r="Q1152" s="3">
        <v>0.0</v>
      </c>
      <c r="T1152" s="2" t="s">
        <v>3833</v>
      </c>
      <c r="U1152" s="171">
        <v>0.0</v>
      </c>
      <c r="V1152" s="172">
        <v>46024.0</v>
      </c>
      <c r="W1152" s="3">
        <v>220.11</v>
      </c>
      <c r="X1152" s="172">
        <v>46057.642782800925</v>
      </c>
      <c r="Y1152" s="172"/>
      <c r="Z1152" s="3">
        <v>46014.0</v>
      </c>
      <c r="AA1152" s="3"/>
    </row>
    <row r="1153">
      <c r="A1153" s="3">
        <v>6.815421497603E12</v>
      </c>
      <c r="B1153" s="2" t="s">
        <v>5002</v>
      </c>
      <c r="C1153" s="2" t="s">
        <v>5003</v>
      </c>
      <c r="D1153" s="169">
        <v>46014.0</v>
      </c>
      <c r="E1153" s="2">
        <v>3.365199993E9</v>
      </c>
      <c r="F1153" s="2" t="s">
        <v>5004</v>
      </c>
      <c r="G1153" s="2" t="s">
        <v>506</v>
      </c>
      <c r="H1153" s="2">
        <v>2748.0</v>
      </c>
      <c r="I1153" s="2">
        <v>2.5120050020698E13</v>
      </c>
      <c r="J1153" s="3">
        <v>1.0</v>
      </c>
      <c r="L1153" s="2" t="s">
        <v>4375</v>
      </c>
      <c r="M1153" s="174" t="s">
        <v>409</v>
      </c>
      <c r="N1153" s="2" t="s">
        <v>462</v>
      </c>
      <c r="O1153" s="3">
        <v>0.5</v>
      </c>
      <c r="P1153" s="2" t="s">
        <v>363</v>
      </c>
      <c r="Q1153" s="3">
        <v>1100.0</v>
      </c>
      <c r="T1153" s="2" t="s">
        <v>2140</v>
      </c>
      <c r="U1153" s="171">
        <v>2748.0</v>
      </c>
      <c r="V1153" s="172">
        <v>46021.0</v>
      </c>
      <c r="W1153" s="3">
        <v>330.0</v>
      </c>
      <c r="X1153" s="172">
        <v>46017.48563657407</v>
      </c>
      <c r="Y1153" s="172"/>
      <c r="Z1153" s="3">
        <v>46014.0</v>
      </c>
      <c r="AA1153" s="3"/>
    </row>
    <row r="1154">
      <c r="A1154" s="3">
        <v>6.815524815107E12</v>
      </c>
      <c r="B1154" s="2" t="s">
        <v>5005</v>
      </c>
      <c r="C1154" s="2" t="s">
        <v>1909</v>
      </c>
      <c r="D1154" s="169">
        <v>46014.0</v>
      </c>
      <c r="E1154" s="2">
        <v>3.497691978E9</v>
      </c>
      <c r="F1154" s="2" t="s">
        <v>5006</v>
      </c>
      <c r="G1154" s="2" t="s">
        <v>688</v>
      </c>
      <c r="H1154" s="2">
        <v>3099.0</v>
      </c>
      <c r="I1154" s="2">
        <v>2.7120050020699E13</v>
      </c>
      <c r="J1154" s="3">
        <v>2.0</v>
      </c>
      <c r="L1154" s="2" t="s">
        <v>40</v>
      </c>
      <c r="M1154" s="174" t="s">
        <v>409</v>
      </c>
      <c r="N1154" s="2" t="s">
        <v>462</v>
      </c>
      <c r="O1154" s="3">
        <v>0.5</v>
      </c>
      <c r="P1154" s="2" t="s">
        <v>363</v>
      </c>
      <c r="Q1154" s="3">
        <v>920.0</v>
      </c>
      <c r="T1154" s="2" t="s">
        <v>2140</v>
      </c>
      <c r="U1154" s="171">
        <v>3099.0</v>
      </c>
      <c r="V1154" s="172">
        <v>46021.0</v>
      </c>
      <c r="W1154" s="3">
        <v>324.0</v>
      </c>
      <c r="X1154" s="172">
        <v>46018.546053240745</v>
      </c>
      <c r="Y1154" s="172"/>
      <c r="Z1154" s="3">
        <v>46014.0</v>
      </c>
      <c r="AA1154" s="3"/>
    </row>
    <row r="1155">
      <c r="A1155" s="3">
        <v>6.815587008771E12</v>
      </c>
      <c r="B1155" s="2" t="s">
        <v>5007</v>
      </c>
      <c r="C1155" s="2" t="s">
        <v>5008</v>
      </c>
      <c r="D1155" s="169">
        <v>46014.0</v>
      </c>
      <c r="E1155" s="2">
        <v>3.471554644E9</v>
      </c>
      <c r="F1155" s="2" t="s">
        <v>5009</v>
      </c>
      <c r="G1155" s="2" t="s">
        <v>787</v>
      </c>
      <c r="H1155" s="2">
        <v>1799.0</v>
      </c>
      <c r="I1155" s="2">
        <v>2.41200500207E13</v>
      </c>
      <c r="J1155" s="3">
        <v>1.0</v>
      </c>
      <c r="L1155" s="2" t="s">
        <v>2154</v>
      </c>
      <c r="M1155" s="174" t="s">
        <v>409</v>
      </c>
      <c r="N1155" s="2" t="s">
        <v>462</v>
      </c>
      <c r="O1155" s="3">
        <v>0.5</v>
      </c>
      <c r="P1155" s="2" t="s">
        <v>363</v>
      </c>
      <c r="Q1155" s="3">
        <v>490.0</v>
      </c>
      <c r="T1155" s="2" t="s">
        <v>2140</v>
      </c>
      <c r="U1155" s="171">
        <v>1799.0</v>
      </c>
      <c r="V1155" s="172">
        <v>46021.0</v>
      </c>
      <c r="W1155" s="3">
        <v>285.0</v>
      </c>
      <c r="X1155" s="172">
        <v>46018.829942129625</v>
      </c>
      <c r="Y1155" s="172"/>
      <c r="Z1155" s="3">
        <v>46014.0</v>
      </c>
      <c r="AA1155" s="3"/>
    </row>
    <row r="1156">
      <c r="A1156" s="3">
        <v>6.815624823043E12</v>
      </c>
      <c r="B1156" s="2" t="s">
        <v>5010</v>
      </c>
      <c r="C1156" s="2" t="s">
        <v>5011</v>
      </c>
      <c r="D1156" s="169">
        <v>46014.0</v>
      </c>
      <c r="E1156" s="2">
        <v>3.326050809E9</v>
      </c>
      <c r="F1156" s="2" t="s">
        <v>5012</v>
      </c>
      <c r="G1156" s="2" t="s">
        <v>3068</v>
      </c>
      <c r="H1156" s="2">
        <v>2699.0</v>
      </c>
      <c r="I1156" s="2">
        <v>2.6120050020701E13</v>
      </c>
      <c r="J1156" s="3">
        <v>1.0</v>
      </c>
      <c r="L1156" s="2" t="s">
        <v>2023</v>
      </c>
      <c r="M1156" s="174" t="s">
        <v>409</v>
      </c>
      <c r="N1156" s="2" t="s">
        <v>462</v>
      </c>
      <c r="O1156" s="3">
        <v>0.5</v>
      </c>
      <c r="P1156" s="2" t="s">
        <v>363</v>
      </c>
      <c r="Q1156" s="3">
        <v>1075.0</v>
      </c>
      <c r="T1156" s="2" t="s">
        <v>2140</v>
      </c>
      <c r="U1156" s="171">
        <v>2699.0</v>
      </c>
      <c r="V1156" s="172">
        <v>46021.0</v>
      </c>
      <c r="W1156" s="3">
        <v>328.0</v>
      </c>
      <c r="X1156" s="172">
        <v>46020.73086805556</v>
      </c>
      <c r="Y1156" s="172"/>
      <c r="Z1156" s="3">
        <v>46014.0</v>
      </c>
      <c r="AA1156" s="3"/>
    </row>
    <row r="1157">
      <c r="A1157" s="3">
        <v>6.815827296515E12</v>
      </c>
      <c r="B1157" s="2" t="s">
        <v>5013</v>
      </c>
      <c r="C1157" s="2" t="s">
        <v>5014</v>
      </c>
      <c r="D1157" s="169">
        <v>46015.0</v>
      </c>
      <c r="E1157" s="2">
        <v>3.248414868E9</v>
      </c>
      <c r="F1157" s="2" t="s">
        <v>5015</v>
      </c>
      <c r="G1157" s="2" t="s">
        <v>506</v>
      </c>
      <c r="H1157" s="2">
        <v>2849.0</v>
      </c>
      <c r="I1157" s="2">
        <v>2.0120050020702E13</v>
      </c>
      <c r="J1157" s="3">
        <v>2.0</v>
      </c>
      <c r="L1157" s="2" t="s">
        <v>4209</v>
      </c>
      <c r="M1157" s="174" t="s">
        <v>409</v>
      </c>
      <c r="N1157" s="2" t="s">
        <v>462</v>
      </c>
      <c r="O1157" s="3">
        <v>0.5</v>
      </c>
      <c r="P1157" s="2" t="s">
        <v>363</v>
      </c>
      <c r="Q1157" s="3">
        <v>920.0</v>
      </c>
      <c r="T1157" s="2" t="s">
        <v>2140</v>
      </c>
      <c r="U1157" s="171">
        <v>2849.0</v>
      </c>
      <c r="V1157" s="172">
        <v>46021.0</v>
      </c>
      <c r="W1157" s="3">
        <v>314.0</v>
      </c>
      <c r="X1157" s="172">
        <v>46017.57592592592</v>
      </c>
      <c r="Y1157" s="172"/>
      <c r="Z1157" s="3">
        <v>46015.0</v>
      </c>
      <c r="AA1157" s="3"/>
    </row>
    <row r="1158">
      <c r="A1158" s="3">
        <v>6.816156057859E12</v>
      </c>
      <c r="B1158" s="2" t="s">
        <v>5016</v>
      </c>
      <c r="C1158" s="2" t="s">
        <v>5017</v>
      </c>
      <c r="D1158" s="169">
        <v>46015.0</v>
      </c>
      <c r="E1158" s="2">
        <v>3.485504662E9</v>
      </c>
      <c r="F1158" s="2" t="s">
        <v>5018</v>
      </c>
      <c r="G1158" s="2" t="s">
        <v>366</v>
      </c>
      <c r="H1158" s="2">
        <v>0.0</v>
      </c>
      <c r="J1158" s="3">
        <v>0.0</v>
      </c>
      <c r="K1158" s="2" t="s">
        <v>571</v>
      </c>
      <c r="L1158" s="2"/>
      <c r="M1158" s="2" t="s">
        <v>468</v>
      </c>
      <c r="N1158" s="2" t="s">
        <v>406</v>
      </c>
      <c r="O1158" s="3">
        <v>0.5</v>
      </c>
      <c r="Q1158" s="3">
        <v>0.0</v>
      </c>
      <c r="U1158" s="141"/>
      <c r="X1158" s="172">
        <v>46057.642782800925</v>
      </c>
      <c r="Y1158" s="172"/>
      <c r="Z1158" s="3">
        <v>46015.0</v>
      </c>
      <c r="AA1158" s="3"/>
    </row>
    <row r="1159">
      <c r="A1159" s="3">
        <v>6.816195313923E12</v>
      </c>
      <c r="B1159" s="2" t="s">
        <v>5019</v>
      </c>
      <c r="C1159" s="2" t="s">
        <v>5020</v>
      </c>
      <c r="D1159" s="169">
        <v>46015.0</v>
      </c>
      <c r="E1159" s="2">
        <v>3.005590678E9</v>
      </c>
      <c r="F1159" s="2" t="s">
        <v>5021</v>
      </c>
      <c r="G1159" s="2" t="s">
        <v>5022</v>
      </c>
      <c r="H1159" s="2">
        <v>3999.0</v>
      </c>
      <c r="I1159" s="2">
        <v>2.9120050020736E13</v>
      </c>
      <c r="J1159" s="3">
        <v>2.0</v>
      </c>
      <c r="L1159" s="2" t="s">
        <v>479</v>
      </c>
      <c r="M1159" s="174" t="s">
        <v>409</v>
      </c>
      <c r="N1159" s="2" t="s">
        <v>462</v>
      </c>
      <c r="O1159" s="3">
        <v>0.5</v>
      </c>
      <c r="P1159" s="2" t="s">
        <v>363</v>
      </c>
      <c r="Q1159" s="3">
        <v>1700.0</v>
      </c>
      <c r="T1159" s="2" t="s">
        <v>2140</v>
      </c>
      <c r="U1159" s="171">
        <v>3999.0</v>
      </c>
      <c r="V1159" s="172">
        <v>46021.0</v>
      </c>
      <c r="W1159" s="3">
        <v>387.0</v>
      </c>
      <c r="X1159" s="172">
        <v>46019.701585648145</v>
      </c>
      <c r="Y1159" s="172"/>
      <c r="Z1159" s="3">
        <v>46015.0</v>
      </c>
      <c r="AA1159" s="3"/>
    </row>
    <row r="1160">
      <c r="A1160" s="3">
        <v>6.816241778947E12</v>
      </c>
      <c r="B1160" s="2" t="s">
        <v>5023</v>
      </c>
      <c r="C1160" s="2" t="s">
        <v>5024</v>
      </c>
      <c r="D1160" s="169">
        <v>46015.0</v>
      </c>
      <c r="E1160" s="173" t="s">
        <v>5025</v>
      </c>
      <c r="F1160" s="2" t="s">
        <v>5026</v>
      </c>
      <c r="G1160" s="2" t="s">
        <v>781</v>
      </c>
      <c r="H1160" s="2">
        <v>3418.92</v>
      </c>
      <c r="I1160" s="2">
        <v>2.7120050020737E13</v>
      </c>
      <c r="J1160" s="3">
        <v>2.0</v>
      </c>
      <c r="K1160" s="2" t="s">
        <v>5027</v>
      </c>
      <c r="L1160" s="2" t="s">
        <v>532</v>
      </c>
      <c r="M1160" s="174" t="s">
        <v>409</v>
      </c>
      <c r="N1160" s="2" t="s">
        <v>462</v>
      </c>
      <c r="O1160" s="3">
        <v>0.5</v>
      </c>
      <c r="P1160" s="2" t="s">
        <v>363</v>
      </c>
      <c r="Q1160" s="3">
        <v>1700.0</v>
      </c>
      <c r="T1160" s="2" t="s">
        <v>2140</v>
      </c>
      <c r="U1160" s="19">
        <v>3418.92</v>
      </c>
      <c r="V1160" s="172">
        <v>46021.0</v>
      </c>
      <c r="W1160" s="3">
        <v>387.0</v>
      </c>
      <c r="X1160" s="172">
        <v>46019.44532407407</v>
      </c>
      <c r="Y1160" s="172"/>
      <c r="Z1160" s="3">
        <v>46015.0</v>
      </c>
      <c r="AA1160" s="3"/>
    </row>
    <row r="1161">
      <c r="A1161" s="3">
        <v>6.816288571651E12</v>
      </c>
      <c r="B1161" s="2" t="s">
        <v>5028</v>
      </c>
      <c r="C1161" s="2" t="s">
        <v>5029</v>
      </c>
      <c r="D1161" s="169">
        <v>46015.0</v>
      </c>
      <c r="E1161" s="2">
        <v>3.314546611E9</v>
      </c>
      <c r="F1161" s="2" t="s">
        <v>5030</v>
      </c>
      <c r="G1161" s="2" t="s">
        <v>5031</v>
      </c>
      <c r="H1161" s="2">
        <v>0.0</v>
      </c>
      <c r="I1161" s="2">
        <v>2.5120050020711E13</v>
      </c>
      <c r="J1161" s="3">
        <v>0.0</v>
      </c>
      <c r="K1161" s="2" t="s">
        <v>5032</v>
      </c>
      <c r="L1161" s="2"/>
      <c r="M1161" s="170" t="s">
        <v>455</v>
      </c>
      <c r="N1161" s="2" t="s">
        <v>406</v>
      </c>
      <c r="O1161" s="3">
        <v>0.5</v>
      </c>
      <c r="P1161" s="2" t="s">
        <v>363</v>
      </c>
      <c r="Q1161" s="3">
        <v>0.0</v>
      </c>
      <c r="T1161" s="2" t="s">
        <v>3616</v>
      </c>
      <c r="U1161" s="171">
        <v>0.0</v>
      </c>
      <c r="V1161" s="172">
        <v>46028.0</v>
      </c>
      <c r="W1161" s="3">
        <v>200.1</v>
      </c>
      <c r="X1161" s="172">
        <v>46057.642782800925</v>
      </c>
      <c r="Y1161" s="172"/>
      <c r="Z1161" s="3">
        <v>46015.0</v>
      </c>
      <c r="AA1161" s="3"/>
    </row>
    <row r="1162">
      <c r="A1162" s="3">
        <v>6.816303776003E12</v>
      </c>
      <c r="B1162" s="2" t="s">
        <v>5033</v>
      </c>
      <c r="C1162" s="2" t="s">
        <v>5034</v>
      </c>
      <c r="D1162" s="169">
        <v>46015.0</v>
      </c>
      <c r="E1162" s="2">
        <v>3.00094211E9</v>
      </c>
      <c r="F1162" s="2" t="s">
        <v>5035</v>
      </c>
      <c r="G1162" s="2" t="s">
        <v>5036</v>
      </c>
      <c r="H1162" s="2">
        <v>3999.0</v>
      </c>
      <c r="I1162" s="2">
        <v>2.2120050020741E13</v>
      </c>
      <c r="J1162" s="3">
        <v>2.0</v>
      </c>
      <c r="L1162" s="2" t="s">
        <v>479</v>
      </c>
      <c r="M1162" s="174" t="s">
        <v>409</v>
      </c>
      <c r="N1162" s="2" t="s">
        <v>462</v>
      </c>
      <c r="O1162" s="3">
        <v>0.5</v>
      </c>
      <c r="P1162" s="2" t="s">
        <v>363</v>
      </c>
      <c r="Q1162" s="3">
        <v>1700.0</v>
      </c>
      <c r="T1162" s="2" t="s">
        <v>2140</v>
      </c>
      <c r="U1162" s="171">
        <v>3999.0</v>
      </c>
      <c r="V1162" s="172">
        <v>46021.0</v>
      </c>
      <c r="W1162" s="3">
        <v>380.0</v>
      </c>
      <c r="X1162" s="172">
        <v>46020.76983796296</v>
      </c>
      <c r="Y1162" s="172"/>
      <c r="Z1162" s="3">
        <v>46015.0</v>
      </c>
      <c r="AA1162" s="3"/>
    </row>
    <row r="1163">
      <c r="A1163" s="3">
        <v>6.816352993539E12</v>
      </c>
      <c r="B1163" s="2" t="s">
        <v>5037</v>
      </c>
      <c r="C1163" s="2" t="s">
        <v>5038</v>
      </c>
      <c r="D1163" s="169">
        <v>46015.0</v>
      </c>
      <c r="E1163" s="173" t="s">
        <v>5039</v>
      </c>
      <c r="F1163" s="2" t="s">
        <v>5040</v>
      </c>
      <c r="G1163" s="2" t="s">
        <v>5041</v>
      </c>
      <c r="H1163" s="2">
        <v>2849.0</v>
      </c>
      <c r="I1163" s="2">
        <v>2.8120050020706E13</v>
      </c>
      <c r="J1163" s="3">
        <v>2.0</v>
      </c>
      <c r="K1163" s="2" t="s">
        <v>1830</v>
      </c>
      <c r="L1163" s="2" t="s">
        <v>5042</v>
      </c>
      <c r="M1163" s="174" t="s">
        <v>409</v>
      </c>
      <c r="N1163" s="2" t="s">
        <v>462</v>
      </c>
      <c r="O1163" s="3">
        <v>0.5</v>
      </c>
      <c r="P1163" s="2" t="s">
        <v>73</v>
      </c>
      <c r="Q1163" s="3">
        <v>1050.0</v>
      </c>
      <c r="T1163" s="2" t="s">
        <v>2140</v>
      </c>
      <c r="U1163" s="171">
        <v>2849.0</v>
      </c>
      <c r="V1163" s="172">
        <v>46021.0</v>
      </c>
      <c r="W1163" s="3">
        <v>327.0</v>
      </c>
      <c r="X1163" s="172">
        <v>46018.61688657408</v>
      </c>
      <c r="Y1163" s="172"/>
      <c r="Z1163" s="3">
        <v>46015.0</v>
      </c>
      <c r="AA1163" s="3"/>
    </row>
    <row r="1164">
      <c r="A1164" s="3">
        <v>6.816361185539E12</v>
      </c>
      <c r="B1164" s="2" t="s">
        <v>5043</v>
      </c>
      <c r="C1164" s="2" t="s">
        <v>5044</v>
      </c>
      <c r="D1164" s="169">
        <v>46015.0</v>
      </c>
      <c r="E1164" s="173" t="s">
        <v>5045</v>
      </c>
      <c r="F1164" s="2" t="s">
        <v>5046</v>
      </c>
      <c r="G1164" s="2" t="s">
        <v>374</v>
      </c>
      <c r="H1164" s="2">
        <v>0.0</v>
      </c>
      <c r="I1164" s="2">
        <v>2.4120050020707E13</v>
      </c>
      <c r="J1164" s="3">
        <v>0.0</v>
      </c>
      <c r="K1164" s="2" t="s">
        <v>5047</v>
      </c>
      <c r="L1164" s="2"/>
      <c r="M1164" s="170" t="s">
        <v>455</v>
      </c>
      <c r="N1164" s="2" t="s">
        <v>406</v>
      </c>
      <c r="O1164" s="3">
        <v>0.5</v>
      </c>
      <c r="P1164" s="2" t="s">
        <v>363</v>
      </c>
      <c r="Q1164" s="3">
        <v>0.0</v>
      </c>
      <c r="T1164" s="2" t="s">
        <v>3833</v>
      </c>
      <c r="U1164" s="171">
        <v>0.0</v>
      </c>
      <c r="V1164" s="172">
        <v>46024.0</v>
      </c>
      <c r="W1164" s="3">
        <v>220.11</v>
      </c>
      <c r="X1164" s="172">
        <v>46057.642782800925</v>
      </c>
      <c r="Y1164" s="172"/>
      <c r="Z1164" s="3">
        <v>46015.0</v>
      </c>
      <c r="AA1164" s="3"/>
    </row>
    <row r="1165">
      <c r="A1165" s="3">
        <v>6.816370393347E12</v>
      </c>
      <c r="B1165" s="2" t="s">
        <v>5048</v>
      </c>
      <c r="C1165" s="2" t="s">
        <v>5049</v>
      </c>
      <c r="D1165" s="169">
        <v>46015.0</v>
      </c>
      <c r="E1165" s="2">
        <v>3.2742111E9</v>
      </c>
      <c r="F1165" s="2" t="s">
        <v>5050</v>
      </c>
      <c r="G1165" s="2" t="s">
        <v>5051</v>
      </c>
      <c r="H1165" s="2">
        <v>0.0</v>
      </c>
      <c r="I1165" s="2">
        <v>2.1120050020703E13</v>
      </c>
      <c r="J1165" s="3">
        <v>0.0</v>
      </c>
      <c r="K1165" s="2" t="s">
        <v>5052</v>
      </c>
      <c r="L1165" s="2"/>
      <c r="M1165" s="170" t="s">
        <v>455</v>
      </c>
      <c r="N1165" s="2" t="s">
        <v>406</v>
      </c>
      <c r="O1165" s="3">
        <v>0.5</v>
      </c>
      <c r="P1165" s="2" t="s">
        <v>73</v>
      </c>
      <c r="Q1165" s="3">
        <v>0.0</v>
      </c>
      <c r="T1165" s="2" t="s">
        <v>3833</v>
      </c>
      <c r="U1165" s="171">
        <v>0.0</v>
      </c>
      <c r="V1165" s="172">
        <v>46024.0</v>
      </c>
      <c r="W1165" s="3">
        <v>220.11</v>
      </c>
      <c r="X1165" s="172">
        <v>46057.642782800925</v>
      </c>
      <c r="Y1165" s="172"/>
      <c r="Z1165" s="3">
        <v>46015.0</v>
      </c>
      <c r="AA1165" s="3"/>
    </row>
    <row r="1166">
      <c r="A1166" s="3">
        <v>6.816404111619E12</v>
      </c>
      <c r="B1166" s="2" t="s">
        <v>5053</v>
      </c>
      <c r="C1166" s="2" t="s">
        <v>1546</v>
      </c>
      <c r="D1166" s="169">
        <v>46015.0</v>
      </c>
      <c r="E1166" s="2">
        <v>3.129108888E9</v>
      </c>
      <c r="F1166" s="2" t="s">
        <v>5054</v>
      </c>
      <c r="G1166" s="2" t="s">
        <v>4788</v>
      </c>
      <c r="H1166" s="2">
        <v>2299.0</v>
      </c>
      <c r="I1166" s="2">
        <v>2.0120050020708E13</v>
      </c>
      <c r="J1166" s="3">
        <v>1.0</v>
      </c>
      <c r="K1166" s="2" t="s">
        <v>241</v>
      </c>
      <c r="L1166" s="2" t="s">
        <v>4251</v>
      </c>
      <c r="M1166" s="174" t="s">
        <v>409</v>
      </c>
      <c r="N1166" s="2" t="s">
        <v>462</v>
      </c>
      <c r="O1166" s="3">
        <v>0.5</v>
      </c>
      <c r="P1166" s="2" t="s">
        <v>363</v>
      </c>
      <c r="Q1166" s="3">
        <v>850.0</v>
      </c>
      <c r="T1166" s="2" t="s">
        <v>3833</v>
      </c>
      <c r="U1166" s="171">
        <v>2299.0</v>
      </c>
      <c r="V1166" s="172">
        <v>46024.0</v>
      </c>
      <c r="W1166" s="3">
        <v>305.4</v>
      </c>
      <c r="X1166" s="172">
        <v>46021.712858796294</v>
      </c>
      <c r="Y1166" s="172"/>
      <c r="Z1166" s="3">
        <v>46015.0</v>
      </c>
      <c r="AA1166" s="3"/>
    </row>
    <row r="1167">
      <c r="A1167" s="3">
        <v>6.816412532995E12</v>
      </c>
      <c r="B1167" s="2" t="s">
        <v>5055</v>
      </c>
      <c r="C1167" s="2" t="s">
        <v>5056</v>
      </c>
      <c r="D1167" s="169">
        <v>46015.0</v>
      </c>
      <c r="E1167" s="2">
        <v>3.086336357E9</v>
      </c>
      <c r="F1167" s="2" t="s">
        <v>5057</v>
      </c>
      <c r="G1167" s="2" t="s">
        <v>506</v>
      </c>
      <c r="H1167" s="2">
        <v>2748.0</v>
      </c>
      <c r="I1167" s="2">
        <v>2.6120050020704E13</v>
      </c>
      <c r="J1167" s="3">
        <v>1.0</v>
      </c>
      <c r="L1167" s="2" t="s">
        <v>512</v>
      </c>
      <c r="M1167" s="174" t="s">
        <v>409</v>
      </c>
      <c r="N1167" s="2" t="s">
        <v>462</v>
      </c>
      <c r="O1167" s="3">
        <v>0.5</v>
      </c>
      <c r="P1167" s="2" t="s">
        <v>363</v>
      </c>
      <c r="Q1167" s="3">
        <v>850.0</v>
      </c>
      <c r="T1167" s="2" t="s">
        <v>2140</v>
      </c>
      <c r="U1167" s="171">
        <v>2748.0</v>
      </c>
      <c r="V1167" s="172">
        <v>46021.0</v>
      </c>
      <c r="W1167" s="3">
        <v>330.0</v>
      </c>
      <c r="X1167" s="172">
        <v>46017.694016203706</v>
      </c>
      <c r="Y1167" s="172"/>
      <c r="Z1167" s="3">
        <v>46015.0</v>
      </c>
      <c r="AA1167" s="3"/>
    </row>
    <row r="1168">
      <c r="A1168" s="3">
        <v>6.816425869571E12</v>
      </c>
      <c r="B1168" s="2" t="s">
        <v>5058</v>
      </c>
      <c r="C1168" s="2" t="s">
        <v>5059</v>
      </c>
      <c r="D1168" s="169">
        <v>46015.0</v>
      </c>
      <c r="E1168" s="2">
        <v>3.350190909E9</v>
      </c>
      <c r="F1168" s="2" t="s">
        <v>5060</v>
      </c>
      <c r="G1168" s="2" t="s">
        <v>493</v>
      </c>
      <c r="H1168" s="2">
        <v>3999.0</v>
      </c>
      <c r="I1168" s="2">
        <v>2.2120050020715E13</v>
      </c>
      <c r="J1168" s="3">
        <v>2.0</v>
      </c>
      <c r="L1168" s="2" t="s">
        <v>994</v>
      </c>
      <c r="M1168" s="174" t="s">
        <v>409</v>
      </c>
      <c r="N1168" s="2" t="s">
        <v>462</v>
      </c>
      <c r="O1168" s="3">
        <v>0.5</v>
      </c>
      <c r="P1168" s="2" t="s">
        <v>363</v>
      </c>
      <c r="Q1168" s="3">
        <v>1700.0</v>
      </c>
      <c r="T1168" s="2" t="s">
        <v>2140</v>
      </c>
      <c r="U1168" s="171">
        <v>3999.0</v>
      </c>
      <c r="V1168" s="172">
        <v>46021.0</v>
      </c>
      <c r="W1168" s="3">
        <v>387.0</v>
      </c>
      <c r="X1168" s="172">
        <v>46018.625196759254</v>
      </c>
      <c r="Y1168" s="172"/>
      <c r="Z1168" s="3">
        <v>46015.0</v>
      </c>
      <c r="AA1168" s="3"/>
    </row>
    <row r="1169">
      <c r="A1169" s="3">
        <v>6.816447365379E12</v>
      </c>
      <c r="B1169" s="2" t="s">
        <v>5061</v>
      </c>
      <c r="C1169" s="2" t="s">
        <v>5062</v>
      </c>
      <c r="D1169" s="169">
        <v>46015.0</v>
      </c>
      <c r="E1169" s="2">
        <v>3.234203072E9</v>
      </c>
      <c r="F1169" s="2" t="s">
        <v>5063</v>
      </c>
      <c r="G1169" s="2" t="s">
        <v>368</v>
      </c>
      <c r="H1169" s="2">
        <v>0.0</v>
      </c>
      <c r="I1169" s="2">
        <v>2.1120050020709E13</v>
      </c>
      <c r="J1169" s="3">
        <v>0.0</v>
      </c>
      <c r="K1169" s="2" t="s">
        <v>4735</v>
      </c>
      <c r="L1169" s="2"/>
      <c r="M1169" s="170" t="s">
        <v>455</v>
      </c>
      <c r="N1169" s="2" t="s">
        <v>406</v>
      </c>
      <c r="O1169" s="3">
        <v>0.5</v>
      </c>
      <c r="P1169" s="2" t="s">
        <v>73</v>
      </c>
      <c r="Q1169" s="3">
        <v>0.0</v>
      </c>
      <c r="T1169" s="2" t="s">
        <v>3616</v>
      </c>
      <c r="U1169" s="171">
        <v>0.0</v>
      </c>
      <c r="V1169" s="172">
        <v>46028.0</v>
      </c>
      <c r="W1169" s="3">
        <v>120.06</v>
      </c>
      <c r="X1169" s="172">
        <v>46057.6427828125</v>
      </c>
      <c r="Y1169" s="172"/>
      <c r="Z1169" s="3">
        <v>46015.0</v>
      </c>
      <c r="AA1169" s="3"/>
    </row>
    <row r="1170">
      <c r="A1170" s="3">
        <v>6.816478953731E12</v>
      </c>
      <c r="B1170" s="2" t="s">
        <v>5064</v>
      </c>
      <c r="C1170" s="2" t="s">
        <v>3714</v>
      </c>
      <c r="D1170" s="169">
        <v>46015.0</v>
      </c>
      <c r="E1170" s="2">
        <v>3.126138305E9</v>
      </c>
      <c r="F1170" s="2" t="s">
        <v>5065</v>
      </c>
      <c r="G1170" s="2" t="s">
        <v>368</v>
      </c>
      <c r="H1170" s="2">
        <v>2748.0</v>
      </c>
      <c r="I1170" s="2">
        <v>2.8120050020738E13</v>
      </c>
      <c r="J1170" s="3">
        <v>1.0</v>
      </c>
      <c r="L1170" s="2" t="s">
        <v>684</v>
      </c>
      <c r="M1170" s="174" t="s">
        <v>409</v>
      </c>
      <c r="N1170" s="2" t="s">
        <v>462</v>
      </c>
      <c r="O1170" s="3">
        <v>0.5</v>
      </c>
      <c r="P1170" s="2" t="s">
        <v>73</v>
      </c>
      <c r="Q1170" s="3">
        <v>850.0</v>
      </c>
      <c r="T1170" s="2" t="s">
        <v>2140</v>
      </c>
      <c r="U1170" s="171">
        <v>2748.0</v>
      </c>
      <c r="V1170" s="172">
        <v>46021.0</v>
      </c>
      <c r="W1170" s="3">
        <v>230.0</v>
      </c>
      <c r="X1170" s="172">
        <v>46018.56967592593</v>
      </c>
      <c r="Y1170" s="172"/>
      <c r="Z1170" s="3">
        <v>46015.0</v>
      </c>
      <c r="AA1170" s="3"/>
    </row>
    <row r="1171">
      <c r="A1171" s="3">
        <v>6.816481640707E12</v>
      </c>
      <c r="B1171" s="2" t="s">
        <v>5066</v>
      </c>
      <c r="C1171" s="2" t="s">
        <v>5067</v>
      </c>
      <c r="D1171" s="169">
        <v>46015.0</v>
      </c>
      <c r="E1171" s="2">
        <v>3.181349272E9</v>
      </c>
      <c r="F1171" s="2" t="s">
        <v>5068</v>
      </c>
      <c r="G1171" s="2" t="s">
        <v>506</v>
      </c>
      <c r="H1171" s="2">
        <v>0.0</v>
      </c>
      <c r="I1171" s="2">
        <v>2.1120050020989E13</v>
      </c>
      <c r="J1171" s="3">
        <v>0.0</v>
      </c>
      <c r="K1171" s="2" t="s">
        <v>5069</v>
      </c>
      <c r="L1171" s="2"/>
      <c r="M1171" s="170" t="s">
        <v>455</v>
      </c>
      <c r="N1171" s="2" t="s">
        <v>406</v>
      </c>
      <c r="O1171" s="3">
        <v>0.5</v>
      </c>
      <c r="P1171" s="2" t="s">
        <v>73</v>
      </c>
      <c r="Q1171" s="3">
        <v>0.0</v>
      </c>
      <c r="U1171" s="141"/>
      <c r="X1171" s="172">
        <v>46070.655668402775</v>
      </c>
      <c r="Y1171" s="172"/>
      <c r="Z1171" s="3">
        <v>46015.0</v>
      </c>
      <c r="AA1171" s="3"/>
    </row>
    <row r="1172">
      <c r="A1172" s="3">
        <v>6.816552878339E12</v>
      </c>
      <c r="B1172" s="2" t="s">
        <v>5070</v>
      </c>
      <c r="C1172" s="2" t="s">
        <v>5071</v>
      </c>
      <c r="D1172" s="169">
        <v>46015.0</v>
      </c>
      <c r="E1172" s="173" t="s">
        <v>5072</v>
      </c>
      <c r="F1172" s="2" t="s">
        <v>5073</v>
      </c>
      <c r="G1172" s="2" t="s">
        <v>817</v>
      </c>
      <c r="H1172" s="2">
        <v>2750.0</v>
      </c>
      <c r="I1172" s="2">
        <v>2.7120050020717E13</v>
      </c>
      <c r="J1172" s="3">
        <v>2.0</v>
      </c>
      <c r="K1172" s="2" t="s">
        <v>5074</v>
      </c>
      <c r="L1172" s="2" t="s">
        <v>5075</v>
      </c>
      <c r="M1172" s="174" t="s">
        <v>409</v>
      </c>
      <c r="N1172" s="2" t="s">
        <v>462</v>
      </c>
      <c r="O1172" s="3">
        <v>0.5</v>
      </c>
      <c r="P1172" s="2" t="s">
        <v>363</v>
      </c>
      <c r="Q1172" s="3">
        <v>980.0</v>
      </c>
      <c r="T1172" s="2" t="s">
        <v>2140</v>
      </c>
      <c r="U1172" s="171">
        <v>2750.0</v>
      </c>
      <c r="V1172" s="172">
        <v>46021.0</v>
      </c>
      <c r="W1172" s="3">
        <v>323.0</v>
      </c>
      <c r="X1172" s="172">
        <v>46020.75025462963</v>
      </c>
      <c r="Y1172" s="172"/>
      <c r="Z1172" s="3">
        <v>46015.0</v>
      </c>
      <c r="AA1172" s="3"/>
    </row>
    <row r="1173">
      <c r="A1173" s="3">
        <v>6.816593051907E12</v>
      </c>
      <c r="B1173" s="2" t="s">
        <v>5076</v>
      </c>
      <c r="C1173" s="2" t="s">
        <v>5077</v>
      </c>
      <c r="D1173" s="169">
        <v>46015.0</v>
      </c>
      <c r="E1173" s="173" t="s">
        <v>5078</v>
      </c>
      <c r="F1173" s="2" t="s">
        <v>5079</v>
      </c>
      <c r="G1173" s="2" t="s">
        <v>368</v>
      </c>
      <c r="H1173" s="2">
        <v>250.0</v>
      </c>
      <c r="I1173" s="2">
        <v>2.1120050020895E13</v>
      </c>
      <c r="J1173" s="3">
        <v>0.0</v>
      </c>
      <c r="K1173" s="2" t="s">
        <v>5080</v>
      </c>
      <c r="L1173" s="2"/>
      <c r="M1173" s="174" t="s">
        <v>409</v>
      </c>
      <c r="N1173" s="2" t="s">
        <v>462</v>
      </c>
      <c r="O1173" s="3">
        <v>0.5</v>
      </c>
      <c r="P1173" s="2" t="s">
        <v>73</v>
      </c>
      <c r="Q1173" s="3">
        <v>0.0</v>
      </c>
      <c r="T1173" s="2" t="s">
        <v>3833</v>
      </c>
      <c r="U1173" s="171">
        <v>250.0</v>
      </c>
      <c r="V1173" s="172">
        <v>46024.0</v>
      </c>
      <c r="W1173" s="3">
        <v>290.02</v>
      </c>
      <c r="X1173" s="172">
        <v>46023.414131944446</v>
      </c>
      <c r="Y1173" s="172"/>
      <c r="Z1173" s="3">
        <v>46015.0</v>
      </c>
      <c r="AA1173" s="3"/>
    </row>
    <row r="1174">
      <c r="A1174" s="3">
        <v>6.816713703683E12</v>
      </c>
      <c r="B1174" s="2" t="s">
        <v>5081</v>
      </c>
      <c r="C1174" s="2" t="s">
        <v>5082</v>
      </c>
      <c r="D1174" s="169">
        <v>46015.0</v>
      </c>
      <c r="E1174" s="2">
        <v>3.007365763E9</v>
      </c>
      <c r="F1174" s="2" t="s">
        <v>5083</v>
      </c>
      <c r="G1174" s="2" t="s">
        <v>541</v>
      </c>
      <c r="H1174" s="2">
        <v>3099.0</v>
      </c>
      <c r="I1174" s="2">
        <v>2.6120050020763E13</v>
      </c>
      <c r="J1174" s="3">
        <v>2.0</v>
      </c>
      <c r="L1174" s="2" t="s">
        <v>296</v>
      </c>
      <c r="M1174" s="174" t="s">
        <v>409</v>
      </c>
      <c r="N1174" s="2" t="s">
        <v>462</v>
      </c>
      <c r="O1174" s="3">
        <v>0.5</v>
      </c>
      <c r="P1174" s="2" t="s">
        <v>363</v>
      </c>
      <c r="Q1174" s="3">
        <v>920.0</v>
      </c>
      <c r="T1174" s="2" t="s">
        <v>2140</v>
      </c>
      <c r="U1174" s="171">
        <v>3099.0</v>
      </c>
      <c r="V1174" s="172">
        <v>46021.0</v>
      </c>
      <c r="W1174" s="3">
        <v>324.0</v>
      </c>
      <c r="X1174" s="172">
        <v>46020.59328703704</v>
      </c>
      <c r="Y1174" s="172"/>
      <c r="Z1174" s="3">
        <v>46015.0</v>
      </c>
      <c r="AA1174" s="3"/>
    </row>
    <row r="1175">
      <c r="A1175" s="3">
        <v>6.816795001091E12</v>
      </c>
      <c r="B1175" s="2" t="s">
        <v>5084</v>
      </c>
      <c r="C1175" s="2" t="s">
        <v>5085</v>
      </c>
      <c r="D1175" s="169">
        <v>46015.0</v>
      </c>
      <c r="E1175" s="2">
        <v>3.2096812E9</v>
      </c>
      <c r="F1175" s="2" t="s">
        <v>5086</v>
      </c>
      <c r="G1175" s="2" t="s">
        <v>5087</v>
      </c>
      <c r="H1175" s="2">
        <v>0.0</v>
      </c>
      <c r="J1175" s="3">
        <v>0.0</v>
      </c>
      <c r="K1175" s="2" t="s">
        <v>5088</v>
      </c>
      <c r="L1175" s="2"/>
      <c r="M1175" s="2" t="s">
        <v>468</v>
      </c>
      <c r="N1175" s="2" t="s">
        <v>406</v>
      </c>
      <c r="O1175" s="3">
        <v>0.5</v>
      </c>
      <c r="Q1175" s="3">
        <v>0.0</v>
      </c>
      <c r="U1175" s="141"/>
      <c r="X1175" s="172">
        <v>46057.6427828125</v>
      </c>
      <c r="Y1175" s="172"/>
      <c r="Z1175" s="3">
        <v>46015.0</v>
      </c>
      <c r="AA1175" s="3"/>
    </row>
    <row r="1176">
      <c r="A1176" s="3">
        <v>6.816813678851E12</v>
      </c>
      <c r="B1176" s="2" t="s">
        <v>5089</v>
      </c>
      <c r="C1176" s="2" t="s">
        <v>5090</v>
      </c>
      <c r="D1176" s="169">
        <v>46015.0</v>
      </c>
      <c r="E1176" s="2">
        <v>3.458227692E9</v>
      </c>
      <c r="F1176" s="2" t="s">
        <v>5091</v>
      </c>
      <c r="G1176" s="2" t="s">
        <v>493</v>
      </c>
      <c r="H1176" s="2">
        <v>0.0</v>
      </c>
      <c r="I1176" s="2">
        <v>2.5120050020762E13</v>
      </c>
      <c r="J1176" s="3">
        <v>0.0</v>
      </c>
      <c r="K1176" s="2" t="s">
        <v>5092</v>
      </c>
      <c r="L1176" s="2"/>
      <c r="M1176" s="170" t="s">
        <v>455</v>
      </c>
      <c r="N1176" s="2" t="s">
        <v>406</v>
      </c>
      <c r="O1176" s="3">
        <v>0.5</v>
      </c>
      <c r="P1176" s="2" t="s">
        <v>363</v>
      </c>
      <c r="Q1176" s="3">
        <v>0.0</v>
      </c>
      <c r="T1176" s="2" t="s">
        <v>3701</v>
      </c>
      <c r="U1176" s="171">
        <v>0.0</v>
      </c>
      <c r="V1176" s="172">
        <v>46035.0</v>
      </c>
      <c r="W1176" s="3">
        <v>213.0</v>
      </c>
      <c r="X1176" s="172">
        <v>46057.6427828125</v>
      </c>
      <c r="Y1176" s="172"/>
      <c r="Z1176" s="3">
        <v>46015.0</v>
      </c>
      <c r="AA1176" s="3"/>
    </row>
    <row r="1177">
      <c r="A1177" s="3">
        <v>6.816967983363E12</v>
      </c>
      <c r="B1177" s="2" t="s">
        <v>5093</v>
      </c>
      <c r="C1177" s="2" t="s">
        <v>5094</v>
      </c>
      <c r="D1177" s="169">
        <v>46015.0</v>
      </c>
      <c r="E1177" s="2">
        <v>3.352636109E9</v>
      </c>
      <c r="F1177" s="2" t="s">
        <v>5095</v>
      </c>
      <c r="G1177" s="2" t="s">
        <v>493</v>
      </c>
      <c r="H1177" s="2">
        <v>0.0</v>
      </c>
      <c r="I1177" s="2">
        <v>2.0120050020761E13</v>
      </c>
      <c r="J1177" s="3">
        <v>0.0</v>
      </c>
      <c r="K1177" s="2" t="s">
        <v>5096</v>
      </c>
      <c r="L1177" s="2"/>
      <c r="M1177" s="170" t="s">
        <v>455</v>
      </c>
      <c r="N1177" s="2" t="s">
        <v>406</v>
      </c>
      <c r="O1177" s="3">
        <v>0.5</v>
      </c>
      <c r="P1177" s="2" t="s">
        <v>363</v>
      </c>
      <c r="Q1177" s="3">
        <v>0.0</v>
      </c>
      <c r="T1177" s="2" t="s">
        <v>3616</v>
      </c>
      <c r="U1177" s="171">
        <v>0.0</v>
      </c>
      <c r="V1177" s="172">
        <v>46028.0</v>
      </c>
      <c r="W1177" s="3">
        <v>213.44</v>
      </c>
      <c r="X1177" s="172">
        <v>46057.6427828125</v>
      </c>
      <c r="Y1177" s="172"/>
      <c r="Z1177" s="3">
        <v>46015.0</v>
      </c>
      <c r="AA1177" s="3"/>
    </row>
    <row r="1178">
      <c r="A1178" s="3">
        <v>6.816989675779E12</v>
      </c>
      <c r="B1178" s="2" t="s">
        <v>5097</v>
      </c>
      <c r="C1178" s="2" t="s">
        <v>5098</v>
      </c>
      <c r="D1178" s="169">
        <v>46016.0</v>
      </c>
      <c r="E1178" s="2">
        <v>3.019843705E9</v>
      </c>
      <c r="F1178" s="2" t="s">
        <v>5099</v>
      </c>
      <c r="G1178" s="2" t="s">
        <v>368</v>
      </c>
      <c r="H1178" s="2">
        <v>3999.0</v>
      </c>
      <c r="I1178" s="2">
        <v>2.1120050020746E13</v>
      </c>
      <c r="J1178" s="3">
        <v>2.0</v>
      </c>
      <c r="L1178" s="2" t="s">
        <v>479</v>
      </c>
      <c r="M1178" s="174" t="s">
        <v>409</v>
      </c>
      <c r="N1178" s="2" t="s">
        <v>462</v>
      </c>
      <c r="O1178" s="3">
        <v>0.5</v>
      </c>
      <c r="P1178" s="2" t="s">
        <v>73</v>
      </c>
      <c r="Q1178" s="3">
        <v>1700.0</v>
      </c>
      <c r="T1178" s="2" t="s">
        <v>2140</v>
      </c>
      <c r="U1178" s="171">
        <v>3999.0</v>
      </c>
      <c r="V1178" s="172">
        <v>46021.0</v>
      </c>
      <c r="W1178" s="3">
        <v>280.0</v>
      </c>
      <c r="X1178" s="172">
        <v>46018.66695601852</v>
      </c>
      <c r="Y1178" s="172"/>
      <c r="Z1178" s="3">
        <v>46016.0</v>
      </c>
      <c r="AA1178" s="3"/>
    </row>
    <row r="1179">
      <c r="A1179" s="3">
        <v>6.816995180803E12</v>
      </c>
      <c r="B1179" s="2" t="s">
        <v>5100</v>
      </c>
      <c r="C1179" s="2" t="s">
        <v>5101</v>
      </c>
      <c r="D1179" s="169">
        <v>46016.0</v>
      </c>
      <c r="E1179" s="2">
        <v>3.095371337E9</v>
      </c>
      <c r="F1179" s="2" t="s">
        <v>5102</v>
      </c>
      <c r="G1179" s="2" t="s">
        <v>368</v>
      </c>
      <c r="H1179" s="2">
        <v>2749.0</v>
      </c>
      <c r="I1179" s="2">
        <v>2.512005002076E13</v>
      </c>
      <c r="J1179" s="3">
        <v>2.0</v>
      </c>
      <c r="L1179" s="2" t="s">
        <v>16</v>
      </c>
      <c r="M1179" s="174" t="s">
        <v>409</v>
      </c>
      <c r="N1179" s="2" t="s">
        <v>462</v>
      </c>
      <c r="O1179" s="3">
        <v>0.5</v>
      </c>
      <c r="P1179" s="2" t="s">
        <v>363</v>
      </c>
      <c r="Q1179" s="3">
        <v>980.0</v>
      </c>
      <c r="T1179" s="2" t="s">
        <v>2140</v>
      </c>
      <c r="U1179" s="171">
        <v>2749.0</v>
      </c>
      <c r="V1179" s="172">
        <v>46021.0</v>
      </c>
      <c r="W1179" s="3">
        <v>230.0</v>
      </c>
      <c r="X1179" s="172">
        <v>46018.59748842593</v>
      </c>
      <c r="Y1179" s="172"/>
      <c r="Z1179" s="3">
        <v>46016.0</v>
      </c>
      <c r="AA1179" s="3"/>
    </row>
    <row r="1180">
      <c r="A1180" s="3">
        <v>6.816997998851E12</v>
      </c>
      <c r="B1180" s="2" t="s">
        <v>5103</v>
      </c>
      <c r="C1180" s="2" t="s">
        <v>5104</v>
      </c>
      <c r="D1180" s="169">
        <v>46016.0</v>
      </c>
      <c r="E1180" s="2">
        <v>3.00209546E9</v>
      </c>
      <c r="F1180" s="2" t="s">
        <v>5105</v>
      </c>
      <c r="G1180" s="2" t="s">
        <v>493</v>
      </c>
      <c r="H1180" s="2">
        <v>1999.0</v>
      </c>
      <c r="I1180" s="2">
        <v>2.1120050020759E13</v>
      </c>
      <c r="J1180" s="3">
        <v>1.0</v>
      </c>
      <c r="L1180" s="2" t="s">
        <v>3744</v>
      </c>
      <c r="M1180" s="174" t="s">
        <v>409</v>
      </c>
      <c r="N1180" s="2" t="s">
        <v>462</v>
      </c>
      <c r="O1180" s="3">
        <v>0.5</v>
      </c>
      <c r="P1180" s="2" t="s">
        <v>73</v>
      </c>
      <c r="Q1180" s="3">
        <v>1100.0</v>
      </c>
      <c r="T1180" s="2" t="s">
        <v>3833</v>
      </c>
      <c r="U1180" s="171">
        <v>1999.0</v>
      </c>
      <c r="V1180" s="172">
        <v>46024.0</v>
      </c>
      <c r="W1180" s="3">
        <v>293.4</v>
      </c>
      <c r="X1180" s="172">
        <v>46021.80925925926</v>
      </c>
      <c r="Y1180" s="172"/>
      <c r="Z1180" s="3">
        <v>46016.0</v>
      </c>
      <c r="AA1180" s="3"/>
    </row>
    <row r="1181">
      <c r="A1181" s="3">
        <v>6.817045446915E12</v>
      </c>
      <c r="B1181" s="2" t="s">
        <v>5106</v>
      </c>
      <c r="C1181" s="2" t="s">
        <v>5107</v>
      </c>
      <c r="D1181" s="169">
        <v>46016.0</v>
      </c>
      <c r="E1181" s="2">
        <v>3.328888671E9</v>
      </c>
      <c r="F1181" s="2" t="s">
        <v>5108</v>
      </c>
      <c r="G1181" s="2" t="s">
        <v>527</v>
      </c>
      <c r="H1181" s="2">
        <v>3099.0</v>
      </c>
      <c r="I1181" s="2">
        <v>2.6120050020758E13</v>
      </c>
      <c r="J1181" s="3">
        <v>2.0</v>
      </c>
      <c r="L1181" s="2" t="s">
        <v>906</v>
      </c>
      <c r="M1181" s="174" t="s">
        <v>409</v>
      </c>
      <c r="N1181" s="2" t="s">
        <v>462</v>
      </c>
      <c r="O1181" s="3">
        <v>0.5</v>
      </c>
      <c r="P1181" s="2" t="s">
        <v>363</v>
      </c>
      <c r="Q1181" s="3">
        <v>920.0</v>
      </c>
      <c r="T1181" s="2" t="s">
        <v>2140</v>
      </c>
      <c r="U1181" s="171">
        <v>3099.0</v>
      </c>
      <c r="V1181" s="172">
        <v>46021.0</v>
      </c>
      <c r="W1181" s="3">
        <v>324.0</v>
      </c>
      <c r="X1181" s="172">
        <v>46020.61071759259</v>
      </c>
      <c r="Y1181" s="172"/>
      <c r="Z1181" s="3">
        <v>46016.0</v>
      </c>
      <c r="AA1181" s="3"/>
    </row>
    <row r="1182">
      <c r="A1182" s="3">
        <v>6.817110884611E12</v>
      </c>
      <c r="B1182" s="2" t="s">
        <v>5109</v>
      </c>
      <c r="C1182" s="2" t="s">
        <v>5110</v>
      </c>
      <c r="D1182" s="169">
        <v>46016.0</v>
      </c>
      <c r="E1182" s="173" t="s">
        <v>5111</v>
      </c>
      <c r="F1182" s="2" t="s">
        <v>5112</v>
      </c>
      <c r="G1182" s="2" t="s">
        <v>5113</v>
      </c>
      <c r="H1182" s="2">
        <v>0.0</v>
      </c>
      <c r="I1182" s="2">
        <v>2.1120050020757E13</v>
      </c>
      <c r="J1182" s="3">
        <v>0.0</v>
      </c>
      <c r="K1182" s="2" t="s">
        <v>4971</v>
      </c>
      <c r="L1182" s="2"/>
      <c r="M1182" s="170" t="s">
        <v>455</v>
      </c>
      <c r="N1182" s="2" t="s">
        <v>406</v>
      </c>
      <c r="O1182" s="3">
        <v>0.5</v>
      </c>
      <c r="P1182" s="2" t="s">
        <v>73</v>
      </c>
      <c r="Q1182" s="3">
        <v>0.0</v>
      </c>
      <c r="T1182" s="2" t="s">
        <v>4077</v>
      </c>
      <c r="U1182" s="171">
        <v>0.0</v>
      </c>
      <c r="V1182" s="172">
        <v>46031.0</v>
      </c>
      <c r="W1182" s="3">
        <v>213.0</v>
      </c>
      <c r="X1182" s="172">
        <v>46057.6427828125</v>
      </c>
      <c r="Y1182" s="172"/>
      <c r="Z1182" s="3">
        <v>46016.0</v>
      </c>
      <c r="AA1182" s="3"/>
    </row>
    <row r="1183">
      <c r="A1183" s="3">
        <v>6.817297891587E12</v>
      </c>
      <c r="B1183" s="2" t="s">
        <v>5114</v>
      </c>
      <c r="C1183" s="2" t="s">
        <v>5115</v>
      </c>
      <c r="D1183" s="169">
        <v>46016.0</v>
      </c>
      <c r="E1183" s="173" t="s">
        <v>5116</v>
      </c>
      <c r="F1183" s="2" t="s">
        <v>5117</v>
      </c>
      <c r="G1183" s="2" t="s">
        <v>701</v>
      </c>
      <c r="H1183" s="2">
        <v>4148.0</v>
      </c>
      <c r="I1183" s="2">
        <v>2.712005002081E13</v>
      </c>
      <c r="J1183" s="3">
        <v>1.0</v>
      </c>
      <c r="K1183" s="2" t="s">
        <v>511</v>
      </c>
      <c r="L1183" s="2" t="s">
        <v>5118</v>
      </c>
      <c r="M1183" s="174" t="s">
        <v>409</v>
      </c>
      <c r="N1183" s="2" t="s">
        <v>462</v>
      </c>
      <c r="O1183" s="3">
        <v>0.5</v>
      </c>
      <c r="P1183" s="2" t="s">
        <v>363</v>
      </c>
      <c r="Q1183" s="3">
        <v>1600.0</v>
      </c>
      <c r="T1183" s="2" t="s">
        <v>2140</v>
      </c>
      <c r="U1183" s="171">
        <v>4148.0</v>
      </c>
      <c r="V1183" s="172">
        <v>46021.0</v>
      </c>
      <c r="W1183" s="3">
        <v>386.0</v>
      </c>
      <c r="X1183" s="172">
        <v>46020.64425925926</v>
      </c>
      <c r="Y1183" s="172"/>
      <c r="Z1183" s="3">
        <v>46016.0</v>
      </c>
      <c r="AA1183" s="3"/>
    </row>
    <row r="1184">
      <c r="A1184" s="3">
        <v>6.817335935235E12</v>
      </c>
      <c r="B1184" s="2" t="s">
        <v>5119</v>
      </c>
      <c r="C1184" s="2" t="s">
        <v>4215</v>
      </c>
      <c r="D1184" s="169">
        <v>46016.0</v>
      </c>
      <c r="E1184" s="173" t="s">
        <v>4216</v>
      </c>
      <c r="F1184" s="2" t="s">
        <v>4217</v>
      </c>
      <c r="G1184" s="2" t="s">
        <v>368</v>
      </c>
      <c r="H1184" s="2">
        <v>2748.0</v>
      </c>
      <c r="I1184" s="2">
        <v>2.9120050020745E13</v>
      </c>
      <c r="J1184" s="3">
        <v>1.0</v>
      </c>
      <c r="L1184" s="2" t="s">
        <v>512</v>
      </c>
      <c r="M1184" s="174" t="s">
        <v>409</v>
      </c>
      <c r="N1184" s="2" t="s">
        <v>462</v>
      </c>
      <c r="O1184" s="3">
        <v>0.5</v>
      </c>
      <c r="P1184" s="2" t="s">
        <v>363</v>
      </c>
      <c r="Q1184" s="3">
        <v>850.0</v>
      </c>
      <c r="T1184" s="2" t="s">
        <v>2140</v>
      </c>
      <c r="U1184" s="171">
        <v>2748.0</v>
      </c>
      <c r="V1184" s="172">
        <v>46021.0</v>
      </c>
      <c r="W1184" s="3">
        <v>217.0</v>
      </c>
      <c r="X1184" s="172">
        <v>46018.501655092594</v>
      </c>
      <c r="Y1184" s="172"/>
      <c r="Z1184" s="3">
        <v>46016.0</v>
      </c>
      <c r="AA1184" s="3"/>
    </row>
    <row r="1185">
      <c r="A1185" s="3">
        <v>6.817356972291E12</v>
      </c>
      <c r="B1185" s="2" t="s">
        <v>5120</v>
      </c>
      <c r="C1185" s="2" t="s">
        <v>5121</v>
      </c>
      <c r="D1185" s="169">
        <v>46016.0</v>
      </c>
      <c r="E1185" s="2">
        <v>3.480324262E9</v>
      </c>
      <c r="F1185" s="2" t="s">
        <v>5122</v>
      </c>
      <c r="G1185" s="2" t="s">
        <v>5123</v>
      </c>
      <c r="H1185" s="2">
        <v>0.0</v>
      </c>
      <c r="J1185" s="3">
        <v>0.0</v>
      </c>
      <c r="K1185" s="2" t="s">
        <v>5124</v>
      </c>
      <c r="L1185" s="2"/>
      <c r="M1185" s="2" t="s">
        <v>468</v>
      </c>
      <c r="N1185" s="2" t="s">
        <v>406</v>
      </c>
      <c r="O1185" s="3">
        <v>0.5</v>
      </c>
      <c r="Q1185" s="3">
        <v>0.0</v>
      </c>
      <c r="U1185" s="141"/>
      <c r="X1185" s="172">
        <v>46057.6427828125</v>
      </c>
      <c r="Y1185" s="172"/>
      <c r="Z1185" s="3">
        <v>46016.0</v>
      </c>
      <c r="AA1185" s="3"/>
    </row>
    <row r="1186">
      <c r="A1186" s="3">
        <v>6.817391542531E12</v>
      </c>
      <c r="B1186" s="2" t="s">
        <v>5125</v>
      </c>
      <c r="C1186" s="2" t="s">
        <v>5126</v>
      </c>
      <c r="D1186" s="169">
        <v>46016.0</v>
      </c>
      <c r="E1186" s="2">
        <v>3.008089156E9</v>
      </c>
      <c r="F1186" s="2" t="s">
        <v>5127</v>
      </c>
      <c r="G1186" s="2" t="s">
        <v>1587</v>
      </c>
      <c r="H1186" s="2">
        <v>2699.0</v>
      </c>
      <c r="I1186" s="2">
        <v>2.9120050020809E13</v>
      </c>
      <c r="J1186" s="3">
        <v>1.0</v>
      </c>
      <c r="L1186" s="2" t="s">
        <v>5128</v>
      </c>
      <c r="M1186" s="174" t="s">
        <v>409</v>
      </c>
      <c r="N1186" s="2" t="s">
        <v>462</v>
      </c>
      <c r="O1186" s="3">
        <v>0.5</v>
      </c>
      <c r="P1186" s="2" t="s">
        <v>363</v>
      </c>
      <c r="Q1186" s="3">
        <v>1075.0</v>
      </c>
      <c r="T1186" s="2" t="s">
        <v>2140</v>
      </c>
      <c r="U1186" s="171">
        <v>2699.0</v>
      </c>
      <c r="V1186" s="172">
        <v>46021.0</v>
      </c>
      <c r="W1186" s="3">
        <v>328.0</v>
      </c>
      <c r="X1186" s="172">
        <v>46020.70732638889</v>
      </c>
      <c r="Y1186" s="172"/>
      <c r="Z1186" s="3">
        <v>46016.0</v>
      </c>
      <c r="AA1186" s="3"/>
    </row>
    <row r="1187">
      <c r="A1187" s="3">
        <v>6.817401569539E12</v>
      </c>
      <c r="B1187" s="2" t="s">
        <v>5129</v>
      </c>
      <c r="C1187" s="2" t="s">
        <v>5130</v>
      </c>
      <c r="D1187" s="169">
        <v>46016.0</v>
      </c>
      <c r="E1187" s="173" t="s">
        <v>5131</v>
      </c>
      <c r="F1187" s="2" t="s">
        <v>5132</v>
      </c>
      <c r="G1187" s="2" t="s">
        <v>368</v>
      </c>
      <c r="H1187" s="2">
        <v>0.0</v>
      </c>
      <c r="I1187" s="2">
        <v>2.2120050020808E13</v>
      </c>
      <c r="J1187" s="3">
        <v>0.0</v>
      </c>
      <c r="K1187" s="2" t="s">
        <v>5133</v>
      </c>
      <c r="L1187" s="2"/>
      <c r="M1187" s="170" t="s">
        <v>455</v>
      </c>
      <c r="N1187" s="2" t="s">
        <v>406</v>
      </c>
      <c r="O1187" s="3">
        <v>0.5</v>
      </c>
      <c r="P1187" s="2" t="s">
        <v>363</v>
      </c>
      <c r="Q1187" s="3">
        <v>0.0</v>
      </c>
      <c r="T1187" s="2" t="s">
        <v>3616</v>
      </c>
      <c r="U1187" s="171">
        <v>0.0</v>
      </c>
      <c r="V1187" s="172">
        <v>46028.0</v>
      </c>
      <c r="W1187" s="3">
        <v>120.06</v>
      </c>
      <c r="X1187" s="172">
        <v>46057.6427828125</v>
      </c>
      <c r="Y1187" s="172"/>
      <c r="Z1187" s="3">
        <v>46016.0</v>
      </c>
      <c r="AA1187" s="3"/>
    </row>
    <row r="1188">
      <c r="A1188" s="3">
        <v>6.817479000323E12</v>
      </c>
      <c r="B1188" s="2" t="s">
        <v>5134</v>
      </c>
      <c r="C1188" s="2" t="s">
        <v>5135</v>
      </c>
      <c r="D1188" s="169">
        <v>46016.0</v>
      </c>
      <c r="E1188" s="2">
        <v>3.454774593E9</v>
      </c>
      <c r="F1188" s="2" t="s">
        <v>5136</v>
      </c>
      <c r="G1188" s="2" t="s">
        <v>3356</v>
      </c>
      <c r="H1188" s="2">
        <v>2749.0</v>
      </c>
      <c r="I1188" s="2">
        <v>2.3120050020775E13</v>
      </c>
      <c r="J1188" s="3">
        <v>2.0</v>
      </c>
      <c r="L1188" s="2" t="s">
        <v>16</v>
      </c>
      <c r="M1188" s="174" t="s">
        <v>409</v>
      </c>
      <c r="N1188" s="2" t="s">
        <v>462</v>
      </c>
      <c r="O1188" s="3">
        <v>0.5</v>
      </c>
      <c r="P1188" s="2" t="s">
        <v>363</v>
      </c>
      <c r="Q1188" s="3">
        <v>980.0</v>
      </c>
      <c r="T1188" s="2" t="s">
        <v>2140</v>
      </c>
      <c r="U1188" s="171">
        <v>2749.0</v>
      </c>
      <c r="V1188" s="172">
        <v>46021.0</v>
      </c>
      <c r="W1188" s="3">
        <v>330.0</v>
      </c>
      <c r="X1188" s="172">
        <v>46020.54189814815</v>
      </c>
      <c r="Y1188" s="172"/>
      <c r="Z1188" s="3">
        <v>46016.0</v>
      </c>
      <c r="AA1188" s="3"/>
    </row>
    <row r="1189">
      <c r="A1189" s="3">
        <v>6.817515602179E12</v>
      </c>
      <c r="B1189" s="2" t="s">
        <v>5137</v>
      </c>
      <c r="C1189" s="2" t="s">
        <v>5138</v>
      </c>
      <c r="D1189" s="169">
        <v>46016.0</v>
      </c>
      <c r="E1189" s="2">
        <v>3.336738606E9</v>
      </c>
      <c r="F1189" s="2" t="s">
        <v>5139</v>
      </c>
      <c r="G1189" s="2" t="s">
        <v>3305</v>
      </c>
      <c r="H1189" s="2">
        <v>4148.0</v>
      </c>
      <c r="I1189" s="2">
        <v>2.4120050020781E13</v>
      </c>
      <c r="J1189" s="3">
        <v>1.0</v>
      </c>
      <c r="L1189" s="2" t="s">
        <v>5140</v>
      </c>
      <c r="M1189" s="174" t="s">
        <v>409</v>
      </c>
      <c r="N1189" s="2" t="s">
        <v>462</v>
      </c>
      <c r="O1189" s="3">
        <v>0.5</v>
      </c>
      <c r="P1189" s="2" t="s">
        <v>363</v>
      </c>
      <c r="Q1189" s="3">
        <v>1600.0</v>
      </c>
      <c r="T1189" s="2" t="s">
        <v>2140</v>
      </c>
      <c r="U1189" s="171">
        <v>4148.0</v>
      </c>
      <c r="V1189" s="172">
        <v>46021.0</v>
      </c>
      <c r="W1189" s="3">
        <v>386.0</v>
      </c>
      <c r="X1189" s="172">
        <v>46020.63440972222</v>
      </c>
      <c r="Y1189" s="172"/>
      <c r="Z1189" s="3">
        <v>46016.0</v>
      </c>
      <c r="AA1189" s="3"/>
    </row>
    <row r="1190">
      <c r="A1190" s="3">
        <v>6.817582514435E12</v>
      </c>
      <c r="B1190" s="2" t="s">
        <v>5141</v>
      </c>
      <c r="C1190" s="2" t="s">
        <v>5142</v>
      </c>
      <c r="D1190" s="169">
        <v>46016.0</v>
      </c>
      <c r="E1190" s="173" t="s">
        <v>5143</v>
      </c>
      <c r="F1190" s="2" t="s">
        <v>5144</v>
      </c>
      <c r="G1190" s="2" t="s">
        <v>993</v>
      </c>
      <c r="H1190" s="2">
        <v>5350.0</v>
      </c>
      <c r="I1190" s="2">
        <v>2.7120050020807E13</v>
      </c>
      <c r="J1190" s="3">
        <v>3.0</v>
      </c>
      <c r="K1190" s="2" t="s">
        <v>511</v>
      </c>
      <c r="L1190" s="2" t="s">
        <v>5145</v>
      </c>
      <c r="M1190" s="174" t="s">
        <v>409</v>
      </c>
      <c r="N1190" s="2" t="s">
        <v>462</v>
      </c>
      <c r="O1190" s="3">
        <v>0.5</v>
      </c>
      <c r="P1190" s="2" t="s">
        <v>363</v>
      </c>
      <c r="Q1190" s="3">
        <v>2320.0</v>
      </c>
      <c r="T1190" s="2" t="s">
        <v>3833</v>
      </c>
      <c r="U1190" s="171">
        <v>5350.0</v>
      </c>
      <c r="V1190" s="172">
        <v>46024.0</v>
      </c>
      <c r="W1190" s="3">
        <v>627.49</v>
      </c>
      <c r="X1190" s="172">
        <v>46021.666180555556</v>
      </c>
      <c r="Y1190" s="172"/>
      <c r="Z1190" s="3">
        <v>46016.0</v>
      </c>
      <c r="AA1190" s="3"/>
    </row>
    <row r="1191">
      <c r="A1191" s="3">
        <v>6.817598931203E12</v>
      </c>
      <c r="B1191" s="2" t="s">
        <v>5146</v>
      </c>
      <c r="C1191" s="2" t="s">
        <v>5147</v>
      </c>
      <c r="D1191" s="169">
        <v>46016.0</v>
      </c>
      <c r="E1191" s="173" t="s">
        <v>5148</v>
      </c>
      <c r="F1191" s="2" t="s">
        <v>5149</v>
      </c>
      <c r="G1191" s="2" t="s">
        <v>958</v>
      </c>
      <c r="H1191" s="2">
        <v>2749.0</v>
      </c>
      <c r="I1191" s="2">
        <v>2.5120050020783E13</v>
      </c>
      <c r="J1191" s="3">
        <v>2.0</v>
      </c>
      <c r="K1191" s="2" t="s">
        <v>511</v>
      </c>
      <c r="L1191" s="2" t="s">
        <v>926</v>
      </c>
      <c r="M1191" s="174" t="s">
        <v>409</v>
      </c>
      <c r="N1191" s="2" t="s">
        <v>462</v>
      </c>
      <c r="O1191" s="3">
        <v>0.5</v>
      </c>
      <c r="P1191" s="2" t="s">
        <v>363</v>
      </c>
      <c r="Q1191" s="3">
        <v>980.0</v>
      </c>
      <c r="T1191" s="2" t="s">
        <v>2140</v>
      </c>
      <c r="U1191" s="171">
        <v>2749.0</v>
      </c>
      <c r="V1191" s="172">
        <v>46021.0</v>
      </c>
      <c r="W1191" s="3">
        <v>310.0</v>
      </c>
      <c r="X1191" s="172">
        <v>46020.918761574074</v>
      </c>
      <c r="Y1191" s="172"/>
      <c r="Z1191" s="3">
        <v>46016.0</v>
      </c>
      <c r="AA1191" s="3"/>
    </row>
    <row r="1192">
      <c r="A1192" s="3">
        <v>6.817599389955E12</v>
      </c>
      <c r="B1192" s="2" t="s">
        <v>5150</v>
      </c>
      <c r="C1192" s="2" t="s">
        <v>5151</v>
      </c>
      <c r="D1192" s="169">
        <v>46016.0</v>
      </c>
      <c r="E1192" s="173" t="s">
        <v>5152</v>
      </c>
      <c r="F1192" s="2" t="s">
        <v>5153</v>
      </c>
      <c r="G1192" s="2" t="s">
        <v>5154</v>
      </c>
      <c r="H1192" s="2">
        <v>3999.0</v>
      </c>
      <c r="I1192" s="2">
        <v>2.7120050020806E13</v>
      </c>
      <c r="J1192" s="3">
        <v>2.0</v>
      </c>
      <c r="L1192" s="2" t="s">
        <v>994</v>
      </c>
      <c r="M1192" s="174" t="s">
        <v>409</v>
      </c>
      <c r="N1192" s="2" t="s">
        <v>462</v>
      </c>
      <c r="O1192" s="3">
        <v>0.5</v>
      </c>
      <c r="P1192" s="2" t="s">
        <v>363</v>
      </c>
      <c r="Q1192" s="3">
        <v>1700.0</v>
      </c>
      <c r="T1192" s="2" t="s">
        <v>2140</v>
      </c>
      <c r="U1192" s="171">
        <v>3999.0</v>
      </c>
      <c r="V1192" s="172">
        <v>46021.0</v>
      </c>
      <c r="W1192" s="3">
        <v>380.0</v>
      </c>
      <c r="X1192" s="172">
        <v>46020.68702546296</v>
      </c>
      <c r="Y1192" s="172"/>
      <c r="Z1192" s="3">
        <v>46016.0</v>
      </c>
      <c r="AA1192" s="3"/>
    </row>
    <row r="1193">
      <c r="A1193" s="3">
        <v>6.817600340227E12</v>
      </c>
      <c r="B1193" s="2" t="s">
        <v>5155</v>
      </c>
      <c r="C1193" s="2" t="s">
        <v>5156</v>
      </c>
      <c r="D1193" s="169">
        <v>46016.0</v>
      </c>
      <c r="E1193" s="2">
        <v>3.005955103E9</v>
      </c>
      <c r="F1193" s="2" t="s">
        <v>5157</v>
      </c>
      <c r="G1193" s="2" t="s">
        <v>506</v>
      </c>
      <c r="H1193" s="2">
        <v>2699.0</v>
      </c>
      <c r="I1193" s="2">
        <v>2.3120050020756E13</v>
      </c>
      <c r="J1193" s="3">
        <v>1.0</v>
      </c>
      <c r="L1193" s="2" t="s">
        <v>5158</v>
      </c>
      <c r="M1193" s="174" t="s">
        <v>409</v>
      </c>
      <c r="N1193" s="2" t="s">
        <v>462</v>
      </c>
      <c r="O1193" s="3">
        <v>0.5</v>
      </c>
      <c r="P1193" s="2" t="s">
        <v>363</v>
      </c>
      <c r="Q1193" s="3">
        <v>1075.0</v>
      </c>
      <c r="T1193" s="2" t="s">
        <v>2140</v>
      </c>
      <c r="U1193" s="171">
        <v>2699.0</v>
      </c>
      <c r="V1193" s="172">
        <v>46021.0</v>
      </c>
      <c r="W1193" s="3">
        <v>308.0</v>
      </c>
      <c r="X1193" s="172">
        <v>46019.66547453703</v>
      </c>
      <c r="Y1193" s="172"/>
      <c r="Z1193" s="3">
        <v>46016.0</v>
      </c>
      <c r="AA1193" s="3"/>
    </row>
    <row r="1194">
      <c r="A1194" s="3">
        <v>6.817617608963E12</v>
      </c>
      <c r="B1194" s="2" t="s">
        <v>5159</v>
      </c>
      <c r="C1194" s="2" t="s">
        <v>5160</v>
      </c>
      <c r="D1194" s="169">
        <v>46016.0</v>
      </c>
      <c r="E1194" s="2">
        <v>3.555681155E9</v>
      </c>
      <c r="F1194" s="2" t="s">
        <v>5161</v>
      </c>
      <c r="G1194" s="2" t="s">
        <v>1224</v>
      </c>
      <c r="H1194" s="2">
        <v>3299.0</v>
      </c>
      <c r="I1194" s="2">
        <v>2.5120050020776E13</v>
      </c>
      <c r="J1194" s="3">
        <v>1.0</v>
      </c>
      <c r="L1194" s="2" t="s">
        <v>2028</v>
      </c>
      <c r="M1194" s="174" t="s">
        <v>409</v>
      </c>
      <c r="N1194" s="2" t="s">
        <v>462</v>
      </c>
      <c r="O1194" s="3">
        <v>0.5</v>
      </c>
      <c r="P1194" s="2" t="s">
        <v>363</v>
      </c>
      <c r="Q1194" s="3">
        <v>1400.0</v>
      </c>
      <c r="T1194" s="2" t="s">
        <v>2140</v>
      </c>
      <c r="U1194" s="171">
        <v>3299.0</v>
      </c>
      <c r="V1194" s="172">
        <v>46021.0</v>
      </c>
      <c r="W1194" s="3">
        <v>359.0</v>
      </c>
      <c r="X1194" s="172">
        <v>46020.696122685185</v>
      </c>
      <c r="Y1194" s="172"/>
      <c r="Z1194" s="3">
        <v>46016.0</v>
      </c>
      <c r="AA1194" s="3"/>
    </row>
    <row r="1195">
      <c r="A1195" s="3">
        <v>6.817627013379E12</v>
      </c>
      <c r="B1195" s="2" t="s">
        <v>5162</v>
      </c>
      <c r="C1195" s="2" t="s">
        <v>5163</v>
      </c>
      <c r="D1195" s="169">
        <v>46016.0</v>
      </c>
      <c r="E1195" s="2">
        <v>3.131040009E9</v>
      </c>
      <c r="F1195" s="2" t="s">
        <v>5164</v>
      </c>
      <c r="G1195" s="2" t="s">
        <v>493</v>
      </c>
      <c r="H1195" s="2">
        <v>1200.0</v>
      </c>
      <c r="I1195" s="2">
        <v>2.5120050020755E13</v>
      </c>
      <c r="J1195" s="3">
        <v>1.0</v>
      </c>
      <c r="K1195" s="2" t="s">
        <v>5165</v>
      </c>
      <c r="L1195" s="2" t="s">
        <v>4808</v>
      </c>
      <c r="M1195" s="170" t="s">
        <v>455</v>
      </c>
      <c r="N1195" s="2" t="s">
        <v>406</v>
      </c>
      <c r="O1195" s="3">
        <v>0.5</v>
      </c>
      <c r="P1195" s="2" t="s">
        <v>363</v>
      </c>
      <c r="Q1195" s="3">
        <v>550.0</v>
      </c>
      <c r="T1195" s="2" t="s">
        <v>3616</v>
      </c>
      <c r="U1195" s="171">
        <v>0.0</v>
      </c>
      <c r="V1195" s="172">
        <v>46028.0</v>
      </c>
      <c r="W1195" s="3">
        <v>226.78</v>
      </c>
      <c r="X1195" s="172">
        <v>46057.6427828125</v>
      </c>
      <c r="Y1195" s="172"/>
      <c r="Z1195" s="3">
        <v>46016.0</v>
      </c>
      <c r="AA1195" s="3"/>
    </row>
    <row r="1196">
      <c r="A1196" s="3">
        <v>6.817635238147E12</v>
      </c>
      <c r="B1196" s="2" t="s">
        <v>5166</v>
      </c>
      <c r="C1196" s="2" t="s">
        <v>5167</v>
      </c>
      <c r="D1196" s="169">
        <v>46016.0</v>
      </c>
      <c r="E1196" s="2">
        <v>3.024168047E9</v>
      </c>
      <c r="F1196" s="2" t="s">
        <v>5168</v>
      </c>
      <c r="G1196" s="2" t="s">
        <v>368</v>
      </c>
      <c r="H1196" s="2">
        <v>3749.0</v>
      </c>
      <c r="I1196" s="2">
        <v>2.2120050020754E13</v>
      </c>
      <c r="J1196" s="3">
        <v>2.0</v>
      </c>
      <c r="L1196" s="2" t="s">
        <v>5169</v>
      </c>
      <c r="M1196" s="174" t="s">
        <v>409</v>
      </c>
      <c r="N1196" s="2" t="s">
        <v>462</v>
      </c>
      <c r="O1196" s="3">
        <v>0.5</v>
      </c>
      <c r="P1196" s="2" t="s">
        <v>363</v>
      </c>
      <c r="Q1196" s="3">
        <v>1950.0</v>
      </c>
      <c r="T1196" s="2" t="s">
        <v>2140</v>
      </c>
      <c r="U1196" s="171">
        <v>3749.0</v>
      </c>
      <c r="V1196" s="172">
        <v>46021.0</v>
      </c>
      <c r="W1196" s="3">
        <v>257.0</v>
      </c>
      <c r="X1196" s="172">
        <v>46018.51762731481</v>
      </c>
      <c r="Y1196" s="172"/>
      <c r="Z1196" s="3">
        <v>46016.0</v>
      </c>
      <c r="AA1196" s="3"/>
    </row>
    <row r="1197">
      <c r="A1197" s="3">
        <v>6.817659814147E12</v>
      </c>
      <c r="B1197" s="2" t="s">
        <v>5170</v>
      </c>
      <c r="C1197" s="2" t="s">
        <v>5171</v>
      </c>
      <c r="D1197" s="169">
        <v>46016.0</v>
      </c>
      <c r="E1197" s="2">
        <v>3.322489439E9</v>
      </c>
      <c r="F1197" s="2" t="s">
        <v>5172</v>
      </c>
      <c r="G1197" s="2" t="s">
        <v>493</v>
      </c>
      <c r="H1197" s="2">
        <v>2749.0</v>
      </c>
      <c r="I1197" s="2">
        <v>2.5120050020777E13</v>
      </c>
      <c r="J1197" s="3">
        <v>1.0</v>
      </c>
      <c r="L1197" s="2" t="s">
        <v>5173</v>
      </c>
      <c r="M1197" s="174" t="s">
        <v>409</v>
      </c>
      <c r="N1197" s="2" t="s">
        <v>462</v>
      </c>
      <c r="O1197" s="3">
        <v>0.5</v>
      </c>
      <c r="P1197" s="2" t="s">
        <v>363</v>
      </c>
      <c r="Q1197" s="3">
        <v>1300.0</v>
      </c>
      <c r="T1197" s="2" t="s">
        <v>2140</v>
      </c>
      <c r="U1197" s="171">
        <v>2749.0</v>
      </c>
      <c r="V1197" s="172">
        <v>46021.0</v>
      </c>
      <c r="W1197" s="3">
        <v>323.0</v>
      </c>
      <c r="X1197" s="172">
        <v>46020.5919212963</v>
      </c>
      <c r="Y1197" s="172"/>
      <c r="Z1197" s="3">
        <v>46016.0</v>
      </c>
      <c r="AA1197" s="3"/>
    </row>
    <row r="1198">
      <c r="A1198" s="3">
        <v>6.817689075971E12</v>
      </c>
      <c r="B1198" s="2" t="s">
        <v>5174</v>
      </c>
      <c r="C1198" s="2" t="s">
        <v>5175</v>
      </c>
      <c r="D1198" s="169">
        <v>46016.0</v>
      </c>
      <c r="E1198" s="2">
        <v>3.33029711E9</v>
      </c>
      <c r="F1198" s="2" t="s">
        <v>5176</v>
      </c>
      <c r="G1198" s="2" t="s">
        <v>493</v>
      </c>
      <c r="H1198" s="2">
        <v>0.0</v>
      </c>
      <c r="I1198" s="2">
        <v>2.5120050020753E13</v>
      </c>
      <c r="J1198" s="3">
        <v>0.0</v>
      </c>
      <c r="K1198" s="2" t="s">
        <v>4971</v>
      </c>
      <c r="L1198" s="2"/>
      <c r="M1198" s="170" t="s">
        <v>455</v>
      </c>
      <c r="N1198" s="2" t="s">
        <v>406</v>
      </c>
      <c r="O1198" s="3">
        <v>0.5</v>
      </c>
      <c r="P1198" s="2" t="s">
        <v>363</v>
      </c>
      <c r="Q1198" s="3">
        <v>0.0</v>
      </c>
      <c r="T1198" s="2" t="s">
        <v>4077</v>
      </c>
      <c r="U1198" s="171">
        <v>0.0</v>
      </c>
      <c r="V1198" s="172">
        <v>46031.0</v>
      </c>
      <c r="W1198" s="3">
        <v>213.0</v>
      </c>
      <c r="X1198" s="172">
        <v>46057.6427828125</v>
      </c>
      <c r="Y1198" s="172"/>
      <c r="Z1198" s="3">
        <v>46016.0</v>
      </c>
      <c r="AA1198" s="3"/>
    </row>
    <row r="1199">
      <c r="A1199" s="3">
        <v>6.817705099523E12</v>
      </c>
      <c r="B1199" s="2" t="s">
        <v>5177</v>
      </c>
      <c r="C1199" s="2" t="s">
        <v>5178</v>
      </c>
      <c r="D1199" s="169">
        <v>46016.0</v>
      </c>
      <c r="E1199" s="2">
        <v>3.143626035E9</v>
      </c>
      <c r="F1199" s="2" t="s">
        <v>5179</v>
      </c>
      <c r="G1199" s="2" t="s">
        <v>5180</v>
      </c>
      <c r="H1199" s="2">
        <v>2748.0</v>
      </c>
      <c r="I1199" s="2">
        <v>2.4120050020778E13</v>
      </c>
      <c r="J1199" s="3">
        <v>1.0</v>
      </c>
      <c r="L1199" s="2" t="s">
        <v>500</v>
      </c>
      <c r="M1199" s="174" t="s">
        <v>409</v>
      </c>
      <c r="N1199" s="2" t="s">
        <v>462</v>
      </c>
      <c r="O1199" s="3">
        <v>0.5</v>
      </c>
      <c r="P1199" s="2" t="s">
        <v>363</v>
      </c>
      <c r="Q1199" s="3">
        <v>850.0</v>
      </c>
      <c r="T1199" s="2" t="s">
        <v>2140</v>
      </c>
      <c r="U1199" s="171">
        <v>2748.0</v>
      </c>
      <c r="V1199" s="172">
        <v>46021.0</v>
      </c>
      <c r="W1199" s="3">
        <v>323.0</v>
      </c>
      <c r="X1199" s="172">
        <v>46020.62033564815</v>
      </c>
      <c r="Y1199" s="172"/>
      <c r="Z1199" s="3">
        <v>46016.0</v>
      </c>
      <c r="AA1199" s="3"/>
    </row>
    <row r="1200">
      <c r="A1200" s="3">
        <v>6.817727316227E12</v>
      </c>
      <c r="B1200" s="2" t="s">
        <v>5181</v>
      </c>
      <c r="C1200" s="2" t="s">
        <v>2895</v>
      </c>
      <c r="D1200" s="169">
        <v>46016.0</v>
      </c>
      <c r="E1200" s="2">
        <v>3.001679009E9</v>
      </c>
      <c r="F1200" s="2" t="s">
        <v>5182</v>
      </c>
      <c r="G1200" s="2" t="s">
        <v>368</v>
      </c>
      <c r="H1200" s="2">
        <v>3099.0</v>
      </c>
      <c r="I1200" s="2">
        <v>2.8120050020752E13</v>
      </c>
      <c r="J1200" s="3">
        <v>2.0</v>
      </c>
      <c r="L1200" s="2" t="s">
        <v>50</v>
      </c>
      <c r="M1200" s="174" t="s">
        <v>409</v>
      </c>
      <c r="N1200" s="2" t="s">
        <v>462</v>
      </c>
      <c r="O1200" s="3">
        <v>0.5</v>
      </c>
      <c r="P1200" s="2" t="s">
        <v>73</v>
      </c>
      <c r="Q1200" s="3">
        <v>920.0</v>
      </c>
      <c r="T1200" s="2" t="s">
        <v>2140</v>
      </c>
      <c r="U1200" s="171">
        <v>3099.0</v>
      </c>
      <c r="V1200" s="172">
        <v>46021.0</v>
      </c>
      <c r="W1200" s="3">
        <v>231.0</v>
      </c>
      <c r="X1200" s="172">
        <v>46018.543969907405</v>
      </c>
      <c r="Y1200" s="172"/>
      <c r="Z1200" s="3">
        <v>46016.0</v>
      </c>
      <c r="AA1200" s="3"/>
    </row>
    <row r="1201">
      <c r="A1201" s="3">
        <v>6.817735803139E12</v>
      </c>
      <c r="B1201" s="2" t="s">
        <v>5183</v>
      </c>
      <c r="C1201" s="2" t="s">
        <v>5184</v>
      </c>
      <c r="D1201" s="169">
        <v>46016.0</v>
      </c>
      <c r="E1201" s="2">
        <v>3.485504662E9</v>
      </c>
      <c r="F1201" s="2" t="s">
        <v>5185</v>
      </c>
      <c r="G1201" s="2" t="s">
        <v>366</v>
      </c>
      <c r="H1201" s="2">
        <v>3999.0</v>
      </c>
      <c r="I1201" s="2">
        <v>2.7120050020739E13</v>
      </c>
      <c r="J1201" s="3">
        <v>2.0</v>
      </c>
      <c r="L1201" s="2" t="s">
        <v>994</v>
      </c>
      <c r="M1201" s="174" t="s">
        <v>409</v>
      </c>
      <c r="N1201" s="2" t="s">
        <v>462</v>
      </c>
      <c r="O1201" s="3">
        <v>0.5</v>
      </c>
      <c r="P1201" s="2" t="s">
        <v>363</v>
      </c>
      <c r="Q1201" s="3">
        <v>1700.0</v>
      </c>
      <c r="T1201" s="2" t="s">
        <v>3616</v>
      </c>
      <c r="U1201" s="171">
        <v>3999.0</v>
      </c>
      <c r="V1201" s="172">
        <v>46028.0</v>
      </c>
      <c r="W1201" s="3">
        <v>380.07</v>
      </c>
      <c r="X1201" s="172">
        <v>46025.697604166664</v>
      </c>
      <c r="Y1201" s="172"/>
      <c r="Z1201" s="3">
        <v>46016.0</v>
      </c>
      <c r="AA1201" s="3"/>
    </row>
    <row r="1202">
      <c r="A1202" s="3">
        <v>6.817737998595E12</v>
      </c>
      <c r="B1202" s="2" t="s">
        <v>5186</v>
      </c>
      <c r="C1202" s="2" t="s">
        <v>5187</v>
      </c>
      <c r="D1202" s="169">
        <v>46016.0</v>
      </c>
      <c r="E1202" s="2">
        <v>3.085995439E9</v>
      </c>
      <c r="F1202" s="2" t="s">
        <v>5188</v>
      </c>
      <c r="G1202" s="2" t="s">
        <v>787</v>
      </c>
      <c r="H1202" s="2">
        <v>3099.0</v>
      </c>
      <c r="I1202" s="2">
        <v>2.4120050020751E13</v>
      </c>
      <c r="J1202" s="3">
        <v>2.0</v>
      </c>
      <c r="L1202" s="2" t="s">
        <v>1129</v>
      </c>
      <c r="M1202" s="174" t="s">
        <v>409</v>
      </c>
      <c r="N1202" s="2" t="s">
        <v>462</v>
      </c>
      <c r="O1202" s="3">
        <v>0.5</v>
      </c>
      <c r="P1202" s="2" t="s">
        <v>363</v>
      </c>
      <c r="Q1202" s="3">
        <v>960.0</v>
      </c>
      <c r="T1202" s="2" t="s">
        <v>2140</v>
      </c>
      <c r="U1202" s="171">
        <v>3099.0</v>
      </c>
      <c r="V1202" s="172">
        <v>46021.0</v>
      </c>
      <c r="W1202" s="3">
        <v>337.0</v>
      </c>
      <c r="X1202" s="172">
        <v>46020.56408564815</v>
      </c>
      <c r="Y1202" s="172"/>
      <c r="Z1202" s="3">
        <v>46016.0</v>
      </c>
      <c r="AA1202" s="3"/>
    </row>
    <row r="1203">
      <c r="A1203" s="3">
        <v>6.817744912643E12</v>
      </c>
      <c r="B1203" s="2" t="s">
        <v>5189</v>
      </c>
      <c r="C1203" s="2" t="s">
        <v>5190</v>
      </c>
      <c r="D1203" s="169">
        <v>46016.0</v>
      </c>
      <c r="E1203" s="2">
        <v>3.338947426E9</v>
      </c>
      <c r="F1203" s="2" t="s">
        <v>5191</v>
      </c>
      <c r="G1203" s="2" t="s">
        <v>541</v>
      </c>
      <c r="H1203" s="2">
        <v>3099.0</v>
      </c>
      <c r="I1203" s="2">
        <v>2.612005002075E13</v>
      </c>
      <c r="J1203" s="3">
        <v>2.0</v>
      </c>
      <c r="L1203" s="2" t="s">
        <v>228</v>
      </c>
      <c r="M1203" s="174" t="s">
        <v>409</v>
      </c>
      <c r="N1203" s="2" t="s">
        <v>462</v>
      </c>
      <c r="O1203" s="3">
        <v>0.5</v>
      </c>
      <c r="P1203" s="2" t="s">
        <v>363</v>
      </c>
      <c r="Q1203" s="3">
        <v>920.0</v>
      </c>
      <c r="T1203" s="2" t="s">
        <v>2140</v>
      </c>
      <c r="U1203" s="171">
        <v>3099.0</v>
      </c>
      <c r="V1203" s="172">
        <v>46021.0</v>
      </c>
      <c r="W1203" s="3">
        <v>324.0</v>
      </c>
      <c r="X1203" s="172">
        <v>46020.75755787037</v>
      </c>
      <c r="Y1203" s="172"/>
      <c r="Z1203" s="3">
        <v>46016.0</v>
      </c>
      <c r="AA1203" s="3"/>
    </row>
    <row r="1204">
      <c r="A1204" s="3">
        <v>6.817748418819E12</v>
      </c>
      <c r="B1204" s="2" t="s">
        <v>5192</v>
      </c>
      <c r="C1204" s="2" t="s">
        <v>5193</v>
      </c>
      <c r="D1204" s="169">
        <v>46016.0</v>
      </c>
      <c r="E1204" s="2">
        <v>3.029256195E9</v>
      </c>
      <c r="F1204" s="2" t="s">
        <v>5194</v>
      </c>
      <c r="G1204" s="2" t="s">
        <v>493</v>
      </c>
      <c r="H1204" s="2">
        <v>2749.0</v>
      </c>
      <c r="I1204" s="2">
        <v>2.4120050020782E13</v>
      </c>
      <c r="J1204" s="3">
        <v>2.0</v>
      </c>
      <c r="K1204" s="2" t="s">
        <v>511</v>
      </c>
      <c r="L1204" s="2" t="s">
        <v>16</v>
      </c>
      <c r="M1204" s="174" t="s">
        <v>409</v>
      </c>
      <c r="N1204" s="2" t="s">
        <v>462</v>
      </c>
      <c r="O1204" s="3">
        <v>0.5</v>
      </c>
      <c r="P1204" s="2" t="s">
        <v>363</v>
      </c>
      <c r="Q1204" s="3">
        <v>980.0</v>
      </c>
      <c r="T1204" s="2" t="s">
        <v>2140</v>
      </c>
      <c r="U1204" s="171">
        <v>2749.0</v>
      </c>
      <c r="V1204" s="172">
        <v>46021.0</v>
      </c>
      <c r="W1204" s="3">
        <v>323.0</v>
      </c>
      <c r="X1204" s="172">
        <v>46020.75876157408</v>
      </c>
      <c r="Y1204" s="172"/>
      <c r="Z1204" s="3">
        <v>46016.0</v>
      </c>
      <c r="AA1204" s="3"/>
    </row>
    <row r="1205">
      <c r="A1205" s="3">
        <v>6.817777647875E12</v>
      </c>
      <c r="B1205" s="2" t="s">
        <v>5195</v>
      </c>
      <c r="C1205" s="2" t="s">
        <v>5196</v>
      </c>
      <c r="D1205" s="169">
        <v>46016.0</v>
      </c>
      <c r="E1205" s="2">
        <v>3.094714471E9</v>
      </c>
      <c r="F1205" s="2" t="s">
        <v>5197</v>
      </c>
      <c r="G1205" s="2" t="s">
        <v>368</v>
      </c>
      <c r="H1205" s="2">
        <v>0.0</v>
      </c>
      <c r="I1205" s="2">
        <v>2.5120050020744E13</v>
      </c>
      <c r="J1205" s="3">
        <v>0.0</v>
      </c>
      <c r="K1205" s="2" t="s">
        <v>5198</v>
      </c>
      <c r="L1205" s="2"/>
      <c r="M1205" s="170" t="s">
        <v>455</v>
      </c>
      <c r="N1205" s="2" t="s">
        <v>406</v>
      </c>
      <c r="O1205" s="3">
        <v>0.5</v>
      </c>
      <c r="P1205" s="2" t="s">
        <v>363</v>
      </c>
      <c r="Q1205" s="3">
        <v>0.0</v>
      </c>
      <c r="T1205" s="2" t="s">
        <v>3833</v>
      </c>
      <c r="U1205" s="171">
        <v>0.0</v>
      </c>
      <c r="V1205" s="172">
        <v>46024.0</v>
      </c>
      <c r="W1205" s="3">
        <v>106.72</v>
      </c>
      <c r="X1205" s="172">
        <v>46057.6427828125</v>
      </c>
      <c r="Y1205" s="172"/>
      <c r="Z1205" s="3">
        <v>46016.0</v>
      </c>
      <c r="AA1205" s="3"/>
    </row>
    <row r="1206">
      <c r="A1206" s="3">
        <v>6.817783021827E12</v>
      </c>
      <c r="B1206" s="2" t="s">
        <v>5199</v>
      </c>
      <c r="C1206" s="2" t="s">
        <v>1876</v>
      </c>
      <c r="D1206" s="169">
        <v>46016.0</v>
      </c>
      <c r="E1206" s="2">
        <v>3.433832071E9</v>
      </c>
      <c r="F1206" s="2" t="s">
        <v>5200</v>
      </c>
      <c r="G1206" s="2" t="s">
        <v>5041</v>
      </c>
      <c r="H1206" s="2">
        <v>3099.0</v>
      </c>
      <c r="I1206" s="2">
        <v>2.4120050020764E13</v>
      </c>
      <c r="J1206" s="3">
        <v>2.0</v>
      </c>
      <c r="L1206" s="2" t="s">
        <v>906</v>
      </c>
      <c r="M1206" s="174" t="s">
        <v>409</v>
      </c>
      <c r="N1206" s="2" t="s">
        <v>462</v>
      </c>
      <c r="O1206" s="3">
        <v>0.5</v>
      </c>
      <c r="P1206" s="2" t="s">
        <v>363</v>
      </c>
      <c r="Q1206" s="3">
        <v>920.0</v>
      </c>
      <c r="T1206" s="2" t="s">
        <v>2140</v>
      </c>
      <c r="U1206" s="171">
        <v>3099.0</v>
      </c>
      <c r="V1206" s="172">
        <v>46021.0</v>
      </c>
      <c r="W1206" s="3">
        <v>337.0</v>
      </c>
      <c r="X1206" s="172">
        <v>46020.56273148148</v>
      </c>
      <c r="Y1206" s="172"/>
      <c r="Z1206" s="3">
        <v>46016.0</v>
      </c>
      <c r="AA1206" s="3"/>
    </row>
    <row r="1207">
      <c r="A1207" s="3">
        <v>6.817800683779E12</v>
      </c>
      <c r="B1207" s="2" t="s">
        <v>5201</v>
      </c>
      <c r="C1207" s="2" t="s">
        <v>5202</v>
      </c>
      <c r="D1207" s="169">
        <v>46016.0</v>
      </c>
      <c r="E1207" s="2">
        <v>3.055376017E9</v>
      </c>
      <c r="F1207" s="2" t="s">
        <v>5203</v>
      </c>
      <c r="G1207" s="2" t="s">
        <v>5204</v>
      </c>
      <c r="H1207" s="2">
        <v>0.0</v>
      </c>
      <c r="I1207" s="2">
        <v>2.2120050020747E13</v>
      </c>
      <c r="J1207" s="3">
        <v>0.0</v>
      </c>
      <c r="K1207" s="2" t="s">
        <v>5205</v>
      </c>
      <c r="L1207" s="2"/>
      <c r="M1207" s="170" t="s">
        <v>455</v>
      </c>
      <c r="N1207" s="2" t="s">
        <v>406</v>
      </c>
      <c r="O1207" s="3">
        <v>0.5</v>
      </c>
      <c r="P1207" s="2" t="s">
        <v>363</v>
      </c>
      <c r="Q1207" s="3">
        <v>0.0</v>
      </c>
      <c r="T1207" s="2" t="s">
        <v>3833</v>
      </c>
      <c r="U1207" s="171">
        <v>0.0</v>
      </c>
      <c r="V1207" s="172">
        <v>46024.0</v>
      </c>
      <c r="W1207" s="3">
        <v>200.1</v>
      </c>
      <c r="X1207" s="172">
        <v>46057.6427828125</v>
      </c>
      <c r="Y1207" s="172"/>
      <c r="Z1207" s="3">
        <v>46016.0</v>
      </c>
      <c r="AA1207" s="3"/>
    </row>
    <row r="1208">
      <c r="A1208" s="3">
        <v>6.817805172995E12</v>
      </c>
      <c r="B1208" s="2" t="s">
        <v>5206</v>
      </c>
      <c r="C1208" s="2" t="s">
        <v>5207</v>
      </c>
      <c r="D1208" s="169">
        <v>46016.0</v>
      </c>
      <c r="E1208" s="2">
        <v>3.009255505E9</v>
      </c>
      <c r="F1208" s="2" t="s">
        <v>5208</v>
      </c>
      <c r="G1208" s="2" t="s">
        <v>493</v>
      </c>
      <c r="H1208" s="2">
        <v>0.0</v>
      </c>
      <c r="I1208" s="2">
        <v>2.6120050020743E13</v>
      </c>
      <c r="J1208" s="3">
        <v>0.0</v>
      </c>
      <c r="K1208" s="2" t="s">
        <v>5209</v>
      </c>
      <c r="L1208" s="2"/>
      <c r="M1208" s="170" t="s">
        <v>455</v>
      </c>
      <c r="N1208" s="2" t="s">
        <v>406</v>
      </c>
      <c r="O1208" s="3">
        <v>0.5</v>
      </c>
      <c r="P1208" s="2" t="s">
        <v>363</v>
      </c>
      <c r="Q1208" s="3">
        <v>0.0</v>
      </c>
      <c r="T1208" s="2" t="s">
        <v>3701</v>
      </c>
      <c r="U1208" s="171">
        <v>0.0</v>
      </c>
      <c r="V1208" s="172">
        <v>46035.0</v>
      </c>
      <c r="W1208" s="3">
        <v>213.0</v>
      </c>
      <c r="X1208" s="172">
        <v>46057.6427828125</v>
      </c>
      <c r="Y1208" s="172"/>
      <c r="Z1208" s="3">
        <v>46016.0</v>
      </c>
      <c r="AA1208" s="3"/>
    </row>
    <row r="1209">
      <c r="A1209" s="3">
        <v>6.817807597827E12</v>
      </c>
      <c r="B1209" s="2" t="s">
        <v>5210</v>
      </c>
      <c r="C1209" s="2" t="s">
        <v>5211</v>
      </c>
      <c r="D1209" s="169">
        <v>46016.0</v>
      </c>
      <c r="E1209" s="2">
        <v>3.295478456E9</v>
      </c>
      <c r="F1209" s="2" t="s">
        <v>5212</v>
      </c>
      <c r="G1209" s="2" t="s">
        <v>366</v>
      </c>
      <c r="H1209" s="2">
        <v>2749.0</v>
      </c>
      <c r="I1209" s="2">
        <v>2.3120050020718E13</v>
      </c>
      <c r="J1209" s="3">
        <v>2.0</v>
      </c>
      <c r="K1209" s="2" t="s">
        <v>5213</v>
      </c>
      <c r="L1209" s="2" t="s">
        <v>35</v>
      </c>
      <c r="M1209" s="174" t="s">
        <v>409</v>
      </c>
      <c r="N1209" s="2" t="s">
        <v>462</v>
      </c>
      <c r="O1209" s="3">
        <v>0.5</v>
      </c>
      <c r="P1209" s="2" t="s">
        <v>363</v>
      </c>
      <c r="Q1209" s="3">
        <v>980.0</v>
      </c>
      <c r="T1209" s="2" t="s">
        <v>3833</v>
      </c>
      <c r="U1209" s="171">
        <v>2749.0</v>
      </c>
      <c r="V1209" s="172">
        <v>46024.0</v>
      </c>
      <c r="W1209" s="3">
        <v>310.06</v>
      </c>
      <c r="X1209" s="172">
        <v>46022.77184027778</v>
      </c>
      <c r="Y1209" s="172"/>
      <c r="Z1209" s="3">
        <v>46016.0</v>
      </c>
      <c r="AA1209" s="3"/>
    </row>
    <row r="1210">
      <c r="A1210" s="3">
        <v>6.817868284163E12</v>
      </c>
      <c r="B1210" s="2" t="s">
        <v>5214</v>
      </c>
      <c r="C1210" s="2" t="s">
        <v>5215</v>
      </c>
      <c r="D1210" s="169">
        <v>46016.0</v>
      </c>
      <c r="E1210" s="2">
        <v>3.444060074E9</v>
      </c>
      <c r="F1210" s="2" t="s">
        <v>5216</v>
      </c>
      <c r="G1210" s="2" t="s">
        <v>368</v>
      </c>
      <c r="H1210" s="2">
        <v>3999.0</v>
      </c>
      <c r="I1210" s="2">
        <v>2.612005002074E13</v>
      </c>
      <c r="J1210" s="3">
        <v>2.0</v>
      </c>
      <c r="L1210" s="2" t="s">
        <v>913</v>
      </c>
      <c r="M1210" s="174" t="s">
        <v>409</v>
      </c>
      <c r="N1210" s="2" t="s">
        <v>462</v>
      </c>
      <c r="O1210" s="3">
        <v>0.5</v>
      </c>
      <c r="P1210" s="2" t="s">
        <v>363</v>
      </c>
      <c r="Q1210" s="3">
        <v>1700.0</v>
      </c>
      <c r="T1210" s="2" t="s">
        <v>2140</v>
      </c>
      <c r="U1210" s="171">
        <v>3999.0</v>
      </c>
      <c r="V1210" s="172">
        <v>46021.0</v>
      </c>
      <c r="W1210" s="3">
        <v>280.0</v>
      </c>
      <c r="X1210" s="172">
        <v>46018.417604166665</v>
      </c>
      <c r="Y1210" s="172"/>
      <c r="Z1210" s="3">
        <v>46016.0</v>
      </c>
      <c r="AA1210" s="3"/>
    </row>
    <row r="1211">
      <c r="A1211" s="3">
        <v>6.817897054467E12</v>
      </c>
      <c r="B1211" s="2" t="s">
        <v>5217</v>
      </c>
      <c r="C1211" s="2" t="s">
        <v>2187</v>
      </c>
      <c r="D1211" s="169">
        <v>46016.0</v>
      </c>
      <c r="E1211" s="2">
        <v>3.325832144E9</v>
      </c>
      <c r="F1211" s="2" t="s">
        <v>5218</v>
      </c>
      <c r="G1211" s="2" t="s">
        <v>493</v>
      </c>
      <c r="H1211" s="2">
        <v>2749.0</v>
      </c>
      <c r="I1211" s="2">
        <v>2.0120050020748E13</v>
      </c>
      <c r="J1211" s="3">
        <v>2.0</v>
      </c>
      <c r="L1211" s="2" t="s">
        <v>35</v>
      </c>
      <c r="M1211" s="174" t="s">
        <v>409</v>
      </c>
      <c r="N1211" s="2" t="s">
        <v>462</v>
      </c>
      <c r="O1211" s="3">
        <v>0.5</v>
      </c>
      <c r="P1211" s="2" t="s">
        <v>363</v>
      </c>
      <c r="Q1211" s="3">
        <v>980.0</v>
      </c>
      <c r="T1211" s="2" t="s">
        <v>2140</v>
      </c>
      <c r="U1211" s="171">
        <v>2749.0</v>
      </c>
      <c r="V1211" s="172">
        <v>46021.0</v>
      </c>
      <c r="W1211" s="3">
        <v>323.0</v>
      </c>
      <c r="X1211" s="172">
        <v>46020.734918981485</v>
      </c>
      <c r="Y1211" s="172"/>
      <c r="Z1211" s="3">
        <v>46016.0</v>
      </c>
      <c r="AA1211" s="3"/>
    </row>
    <row r="1212">
      <c r="A1212" s="3">
        <v>6.817913176323E12</v>
      </c>
      <c r="B1212" s="2" t="s">
        <v>5219</v>
      </c>
      <c r="C1212" s="2" t="s">
        <v>5220</v>
      </c>
      <c r="D1212" s="169">
        <v>46016.0</v>
      </c>
      <c r="E1212" s="2">
        <v>3.451254547E9</v>
      </c>
      <c r="F1212" s="2" t="s">
        <v>5221</v>
      </c>
      <c r="G1212" s="2" t="s">
        <v>5222</v>
      </c>
      <c r="H1212" s="2">
        <v>0.0</v>
      </c>
      <c r="I1212" s="2">
        <v>2.5120050020779E13</v>
      </c>
      <c r="J1212" s="3">
        <v>0.0</v>
      </c>
      <c r="K1212" s="2" t="s">
        <v>5223</v>
      </c>
      <c r="L1212" s="2"/>
      <c r="M1212" s="170" t="s">
        <v>455</v>
      </c>
      <c r="N1212" s="2" t="s">
        <v>406</v>
      </c>
      <c r="O1212" s="3">
        <v>0.5</v>
      </c>
      <c r="P1212" s="2" t="s">
        <v>363</v>
      </c>
      <c r="Q1212" s="3">
        <v>0.0</v>
      </c>
      <c r="T1212" s="2" t="s">
        <v>3616</v>
      </c>
      <c r="U1212" s="171">
        <v>0.0</v>
      </c>
      <c r="V1212" s="172">
        <v>46028.0</v>
      </c>
      <c r="W1212" s="3">
        <v>200.1</v>
      </c>
      <c r="X1212" s="172">
        <v>46057.6427828125</v>
      </c>
      <c r="Y1212" s="172"/>
      <c r="Z1212" s="3">
        <v>46016.0</v>
      </c>
      <c r="AA1212" s="3"/>
    </row>
    <row r="1213">
      <c r="A1213" s="3">
        <v>6.817927528707E12</v>
      </c>
      <c r="B1213" s="2" t="s">
        <v>5224</v>
      </c>
      <c r="C1213" s="2" t="s">
        <v>5225</v>
      </c>
      <c r="D1213" s="169">
        <v>46016.0</v>
      </c>
      <c r="E1213" s="2">
        <v>3.334269658E9</v>
      </c>
      <c r="F1213" s="2" t="s">
        <v>5226</v>
      </c>
      <c r="G1213" s="2" t="s">
        <v>368</v>
      </c>
      <c r="H1213" s="2">
        <v>2748.0</v>
      </c>
      <c r="I1213" s="2">
        <v>2.2120050020726E13</v>
      </c>
      <c r="J1213" s="3">
        <v>1.0</v>
      </c>
      <c r="L1213" s="2" t="s">
        <v>500</v>
      </c>
      <c r="M1213" s="174" t="s">
        <v>409</v>
      </c>
      <c r="N1213" s="2" t="s">
        <v>462</v>
      </c>
      <c r="O1213" s="3">
        <v>0.5</v>
      </c>
      <c r="P1213" s="2" t="s">
        <v>363</v>
      </c>
      <c r="Q1213" s="3">
        <v>850.0</v>
      </c>
      <c r="T1213" s="2" t="s">
        <v>2140</v>
      </c>
      <c r="U1213" s="171">
        <v>2748.0</v>
      </c>
      <c r="V1213" s="172">
        <v>46021.0</v>
      </c>
      <c r="W1213" s="3">
        <v>217.0</v>
      </c>
      <c r="X1213" s="172">
        <v>46018.48423611111</v>
      </c>
      <c r="Y1213" s="172"/>
      <c r="Z1213" s="3">
        <v>46016.0</v>
      </c>
      <c r="AA1213" s="3"/>
    </row>
    <row r="1214">
      <c r="A1214" s="3">
        <v>6.817987199235E12</v>
      </c>
      <c r="B1214" s="2" t="s">
        <v>5227</v>
      </c>
      <c r="C1214" s="2" t="s">
        <v>5228</v>
      </c>
      <c r="D1214" s="169">
        <v>46016.0</v>
      </c>
      <c r="E1214" s="173" t="s">
        <v>5229</v>
      </c>
      <c r="F1214" s="2" t="s">
        <v>5230</v>
      </c>
      <c r="G1214" s="2" t="s">
        <v>541</v>
      </c>
      <c r="H1214" s="2">
        <v>3099.0</v>
      </c>
      <c r="I1214" s="2">
        <v>2.1120050020904E13</v>
      </c>
      <c r="J1214" s="3">
        <v>2.0</v>
      </c>
      <c r="K1214" s="2" t="s">
        <v>5231</v>
      </c>
      <c r="L1214" s="2" t="s">
        <v>40</v>
      </c>
      <c r="M1214" s="174" t="s">
        <v>409</v>
      </c>
      <c r="N1214" s="2" t="s">
        <v>462</v>
      </c>
      <c r="O1214" s="3">
        <v>0.5</v>
      </c>
      <c r="P1214" s="2" t="s">
        <v>73</v>
      </c>
      <c r="Q1214" s="3">
        <v>920.0</v>
      </c>
      <c r="T1214" s="2" t="s">
        <v>3616</v>
      </c>
      <c r="U1214" s="171">
        <v>3099.0</v>
      </c>
      <c r="V1214" s="172">
        <v>46028.0</v>
      </c>
      <c r="W1214" s="3">
        <v>314.06</v>
      </c>
      <c r="X1214" s="172">
        <v>46027.64957175926</v>
      </c>
      <c r="Y1214" s="172"/>
      <c r="Z1214" s="3">
        <v>46016.0</v>
      </c>
      <c r="AA1214" s="3"/>
    </row>
    <row r="1215">
      <c r="A1215" s="3">
        <v>6.818002895107E12</v>
      </c>
      <c r="B1215" s="2" t="s">
        <v>5232</v>
      </c>
      <c r="C1215" s="2" t="s">
        <v>5233</v>
      </c>
      <c r="D1215" s="169">
        <v>46016.0</v>
      </c>
      <c r="E1215" s="173" t="s">
        <v>5234</v>
      </c>
      <c r="F1215" s="2" t="s">
        <v>5235</v>
      </c>
      <c r="G1215" s="2" t="s">
        <v>802</v>
      </c>
      <c r="H1215" s="2">
        <v>3099.0</v>
      </c>
      <c r="I1215" s="2">
        <v>2.8120050020834E13</v>
      </c>
      <c r="J1215" s="3">
        <v>2.0</v>
      </c>
      <c r="L1215" s="2" t="s">
        <v>27</v>
      </c>
      <c r="M1215" s="174" t="s">
        <v>409</v>
      </c>
      <c r="N1215" s="2" t="s">
        <v>462</v>
      </c>
      <c r="O1215" s="3">
        <v>0.5</v>
      </c>
      <c r="P1215" s="2" t="s">
        <v>73</v>
      </c>
      <c r="Q1215" s="3">
        <v>920.0</v>
      </c>
      <c r="T1215" s="2" t="s">
        <v>4077</v>
      </c>
      <c r="U1215" s="171">
        <v>3099.0</v>
      </c>
      <c r="V1215" s="172">
        <v>46031.0</v>
      </c>
      <c r="W1215" s="3">
        <v>324.0</v>
      </c>
      <c r="X1215" s="172">
        <v>46028.91392361111</v>
      </c>
      <c r="Y1215" s="172"/>
      <c r="Z1215" s="3">
        <v>46016.0</v>
      </c>
      <c r="AA1215" s="3"/>
    </row>
    <row r="1216">
      <c r="A1216" s="3">
        <v>6.818031632643E12</v>
      </c>
      <c r="B1216" s="2" t="s">
        <v>5236</v>
      </c>
      <c r="C1216" s="2" t="s">
        <v>5237</v>
      </c>
      <c r="D1216" s="169">
        <v>46016.0</v>
      </c>
      <c r="E1216" s="2">
        <v>3.327622526E9</v>
      </c>
      <c r="F1216" s="2" t="s">
        <v>5238</v>
      </c>
      <c r="G1216" s="2" t="s">
        <v>3310</v>
      </c>
      <c r="H1216" s="2">
        <v>0.0</v>
      </c>
      <c r="I1216" s="2">
        <v>2.8120050020774E13</v>
      </c>
      <c r="J1216" s="3">
        <v>0.0</v>
      </c>
      <c r="K1216" s="2" t="s">
        <v>5239</v>
      </c>
      <c r="L1216" s="2"/>
      <c r="M1216" s="170" t="s">
        <v>455</v>
      </c>
      <c r="N1216" s="2" t="s">
        <v>406</v>
      </c>
      <c r="O1216" s="3">
        <v>0.5</v>
      </c>
      <c r="P1216" s="2" t="s">
        <v>73</v>
      </c>
      <c r="Q1216" s="3">
        <v>0.0</v>
      </c>
      <c r="T1216" s="2" t="s">
        <v>3833</v>
      </c>
      <c r="U1216" s="171">
        <v>0.0</v>
      </c>
      <c r="V1216" s="172">
        <v>46024.0</v>
      </c>
      <c r="W1216" s="3">
        <v>200.1</v>
      </c>
      <c r="X1216" s="172">
        <v>46057.6427828125</v>
      </c>
      <c r="Y1216" s="172"/>
      <c r="Z1216" s="3">
        <v>46016.0</v>
      </c>
      <c r="AA1216" s="3"/>
    </row>
    <row r="1217">
      <c r="A1217" s="3">
        <v>6.818045690115E12</v>
      </c>
      <c r="B1217" s="2" t="s">
        <v>5240</v>
      </c>
      <c r="C1217" s="2" t="s">
        <v>5241</v>
      </c>
      <c r="D1217" s="169">
        <v>46017.0</v>
      </c>
      <c r="E1217" s="2">
        <v>3.067954019E9</v>
      </c>
      <c r="F1217" s="2" t="s">
        <v>5242</v>
      </c>
      <c r="G1217" s="2" t="s">
        <v>374</v>
      </c>
      <c r="H1217" s="2">
        <v>3099.0</v>
      </c>
      <c r="I1217" s="2">
        <v>2.3120050020719E13</v>
      </c>
      <c r="J1217" s="3">
        <v>2.0</v>
      </c>
      <c r="L1217" s="2" t="s">
        <v>228</v>
      </c>
      <c r="M1217" s="174" t="s">
        <v>409</v>
      </c>
      <c r="N1217" s="2" t="s">
        <v>462</v>
      </c>
      <c r="O1217" s="3">
        <v>0.5</v>
      </c>
      <c r="P1217" s="2" t="s">
        <v>363</v>
      </c>
      <c r="Q1217" s="3">
        <v>920.0</v>
      </c>
      <c r="T1217" s="2" t="s">
        <v>3833</v>
      </c>
      <c r="U1217" s="171">
        <v>3099.0</v>
      </c>
      <c r="V1217" s="172">
        <v>46024.0</v>
      </c>
      <c r="W1217" s="3">
        <v>324.06</v>
      </c>
      <c r="X1217" s="172">
        <v>46021.54675925926</v>
      </c>
      <c r="Y1217" s="172"/>
      <c r="Z1217" s="3">
        <v>46017.0</v>
      </c>
      <c r="AA1217" s="3"/>
    </row>
    <row r="1218">
      <c r="A1218" s="3">
        <v>6.818069971203E12</v>
      </c>
      <c r="B1218" s="2" t="s">
        <v>5243</v>
      </c>
      <c r="C1218" s="2" t="s">
        <v>2555</v>
      </c>
      <c r="D1218" s="169">
        <v>46017.0</v>
      </c>
      <c r="E1218" s="2">
        <v>3.111111144E9</v>
      </c>
      <c r="F1218" s="2" t="s">
        <v>5244</v>
      </c>
      <c r="G1218" s="2" t="s">
        <v>688</v>
      </c>
      <c r="H1218" s="2">
        <v>0.0</v>
      </c>
      <c r="I1218" s="2">
        <v>2.0120050020749E13</v>
      </c>
      <c r="J1218" s="3">
        <v>0.0</v>
      </c>
      <c r="K1218" s="2" t="s">
        <v>5245</v>
      </c>
      <c r="L1218" s="2"/>
      <c r="M1218" s="170" t="s">
        <v>455</v>
      </c>
      <c r="N1218" s="2" t="s">
        <v>406</v>
      </c>
      <c r="O1218" s="3">
        <v>0.5</v>
      </c>
      <c r="P1218" s="2" t="s">
        <v>363</v>
      </c>
      <c r="Q1218" s="3">
        <v>0.0</v>
      </c>
      <c r="T1218" s="2" t="s">
        <v>3701</v>
      </c>
      <c r="U1218" s="171">
        <v>0.0</v>
      </c>
      <c r="V1218" s="172">
        <v>46035.0</v>
      </c>
      <c r="W1218" s="3">
        <v>200.0</v>
      </c>
      <c r="X1218" s="172">
        <v>46057.6427828125</v>
      </c>
      <c r="Y1218" s="172"/>
      <c r="Z1218" s="3">
        <v>46017.0</v>
      </c>
      <c r="AA1218" s="3"/>
    </row>
    <row r="1219">
      <c r="A1219" s="3">
        <v>6.818083668227E12</v>
      </c>
      <c r="B1219" s="2" t="s">
        <v>5246</v>
      </c>
      <c r="C1219" s="2" t="s">
        <v>5247</v>
      </c>
      <c r="D1219" s="169">
        <v>46017.0</v>
      </c>
      <c r="E1219" s="2">
        <v>3.207860244E9</v>
      </c>
      <c r="F1219" s="2" t="s">
        <v>5248</v>
      </c>
      <c r="G1219" s="2" t="s">
        <v>536</v>
      </c>
      <c r="H1219" s="2">
        <v>3099.0</v>
      </c>
      <c r="I1219" s="2">
        <v>2.1120050020765E13</v>
      </c>
      <c r="J1219" s="3">
        <v>2.0</v>
      </c>
      <c r="K1219" s="2" t="s">
        <v>511</v>
      </c>
      <c r="L1219" s="2" t="s">
        <v>296</v>
      </c>
      <c r="M1219" s="174" t="s">
        <v>409</v>
      </c>
      <c r="N1219" s="2" t="s">
        <v>462</v>
      </c>
      <c r="O1219" s="3">
        <v>0.5</v>
      </c>
      <c r="P1219" s="2" t="s">
        <v>73</v>
      </c>
      <c r="Q1219" s="3">
        <v>920.0</v>
      </c>
      <c r="T1219" s="2" t="s">
        <v>2140</v>
      </c>
      <c r="U1219" s="171">
        <v>3099.0</v>
      </c>
      <c r="V1219" s="172">
        <v>46021.0</v>
      </c>
      <c r="W1219" s="3">
        <v>337.0</v>
      </c>
      <c r="X1219" s="172">
        <v>46020.68423611111</v>
      </c>
      <c r="Y1219" s="172"/>
      <c r="Z1219" s="3">
        <v>46017.0</v>
      </c>
      <c r="AA1219" s="3"/>
    </row>
    <row r="1220">
      <c r="A1220" s="3">
        <v>6.818101264643E12</v>
      </c>
      <c r="B1220" s="2" t="s">
        <v>5249</v>
      </c>
      <c r="C1220" s="2" t="s">
        <v>5250</v>
      </c>
      <c r="D1220" s="169">
        <v>46017.0</v>
      </c>
      <c r="E1220" s="173" t="s">
        <v>5251</v>
      </c>
      <c r="F1220" s="2" t="s">
        <v>5252</v>
      </c>
      <c r="G1220" s="2" t="s">
        <v>5253</v>
      </c>
      <c r="H1220" s="2">
        <v>0.0</v>
      </c>
      <c r="I1220" s="2">
        <v>2.7120050020773E13</v>
      </c>
      <c r="J1220" s="3">
        <v>0.0</v>
      </c>
      <c r="K1220" s="2" t="s">
        <v>5254</v>
      </c>
      <c r="L1220" s="2"/>
      <c r="M1220" s="170" t="s">
        <v>455</v>
      </c>
      <c r="N1220" s="2" t="s">
        <v>406</v>
      </c>
      <c r="O1220" s="3">
        <v>0.5</v>
      </c>
      <c r="P1220" s="2" t="s">
        <v>363</v>
      </c>
      <c r="Q1220" s="3">
        <v>0.0</v>
      </c>
      <c r="T1220" s="2" t="s">
        <v>4077</v>
      </c>
      <c r="U1220" s="171">
        <v>0.0</v>
      </c>
      <c r="V1220" s="172">
        <v>46031.0</v>
      </c>
      <c r="W1220" s="3">
        <v>227.0</v>
      </c>
      <c r="X1220" s="172">
        <v>46057.6427828125</v>
      </c>
      <c r="Y1220" s="172"/>
      <c r="Z1220" s="3">
        <v>46017.0</v>
      </c>
      <c r="AA1220" s="3"/>
    </row>
    <row r="1221">
      <c r="A1221" s="3">
        <v>6.818118828291E12</v>
      </c>
      <c r="B1221" s="2" t="s">
        <v>5255</v>
      </c>
      <c r="C1221" s="2" t="s">
        <v>5256</v>
      </c>
      <c r="D1221" s="169">
        <v>46017.0</v>
      </c>
      <c r="E1221" s="2">
        <v>3.14380796E9</v>
      </c>
      <c r="F1221" s="2" t="s">
        <v>5257</v>
      </c>
      <c r="G1221" s="2" t="s">
        <v>5258</v>
      </c>
      <c r="H1221" s="2">
        <v>0.0</v>
      </c>
      <c r="J1221" s="3">
        <v>0.0</v>
      </c>
      <c r="K1221" s="2" t="s">
        <v>5259</v>
      </c>
      <c r="L1221" s="2"/>
      <c r="M1221" s="2" t="s">
        <v>468</v>
      </c>
      <c r="N1221" s="2" t="s">
        <v>406</v>
      </c>
      <c r="O1221" s="3">
        <v>0.5</v>
      </c>
      <c r="Q1221" s="3">
        <v>0.0</v>
      </c>
      <c r="U1221" s="141"/>
      <c r="X1221" s="172">
        <v>46057.6427828125</v>
      </c>
      <c r="Y1221" s="172"/>
      <c r="Z1221" s="3">
        <v>46017.0</v>
      </c>
      <c r="AA1221" s="3"/>
    </row>
    <row r="1222">
      <c r="A1222" s="3">
        <v>6.818138849539E12</v>
      </c>
      <c r="B1222" s="2" t="s">
        <v>5260</v>
      </c>
      <c r="C1222" s="2" t="s">
        <v>5261</v>
      </c>
      <c r="D1222" s="169">
        <v>46017.0</v>
      </c>
      <c r="E1222" s="2">
        <v>3.070033863E9</v>
      </c>
      <c r="F1222" s="2" t="s">
        <v>5262</v>
      </c>
      <c r="G1222" s="2" t="s">
        <v>5263</v>
      </c>
      <c r="H1222" s="2">
        <v>0.0</v>
      </c>
      <c r="J1222" s="3">
        <v>0.0</v>
      </c>
      <c r="K1222" s="2" t="s">
        <v>5264</v>
      </c>
      <c r="L1222" s="2"/>
      <c r="M1222" s="2" t="s">
        <v>468</v>
      </c>
      <c r="N1222" s="2" t="s">
        <v>406</v>
      </c>
      <c r="O1222" s="3">
        <v>0.5</v>
      </c>
      <c r="Q1222" s="3">
        <v>0.0</v>
      </c>
      <c r="U1222" s="141"/>
      <c r="X1222" s="172">
        <v>46057.6427828125</v>
      </c>
      <c r="Y1222" s="172"/>
      <c r="Z1222" s="3">
        <v>46017.0</v>
      </c>
      <c r="AA1222" s="3"/>
    </row>
    <row r="1223">
      <c r="A1223" s="3">
        <v>6.818167783683E12</v>
      </c>
      <c r="B1223" s="2" t="s">
        <v>5265</v>
      </c>
      <c r="C1223" s="2" t="s">
        <v>5266</v>
      </c>
      <c r="D1223" s="169">
        <v>46017.0</v>
      </c>
      <c r="E1223" s="2">
        <v>3.008829977E9</v>
      </c>
      <c r="F1223" s="2" t="s">
        <v>5267</v>
      </c>
      <c r="G1223" s="2" t="s">
        <v>626</v>
      </c>
      <c r="H1223" s="2">
        <v>2749.0</v>
      </c>
      <c r="I1223" s="2">
        <v>2.012005002072E13</v>
      </c>
      <c r="J1223" s="3">
        <v>2.0</v>
      </c>
      <c r="L1223" s="2" t="s">
        <v>926</v>
      </c>
      <c r="M1223" s="174" t="s">
        <v>409</v>
      </c>
      <c r="N1223" s="2" t="s">
        <v>462</v>
      </c>
      <c r="O1223" s="3">
        <v>0.5</v>
      </c>
      <c r="P1223" s="2" t="s">
        <v>363</v>
      </c>
      <c r="Q1223" s="3">
        <v>980.0</v>
      </c>
      <c r="T1223" s="2" t="s">
        <v>3833</v>
      </c>
      <c r="U1223" s="171">
        <v>2749.0</v>
      </c>
      <c r="V1223" s="172">
        <v>46024.0</v>
      </c>
      <c r="W1223" s="3">
        <v>330.07</v>
      </c>
      <c r="X1223" s="172">
        <v>46021.669756944444</v>
      </c>
      <c r="Y1223" s="172"/>
      <c r="Z1223" s="3">
        <v>46017.0</v>
      </c>
      <c r="AA1223" s="3"/>
    </row>
    <row r="1224">
      <c r="A1224" s="3">
        <v>6.818374877443E12</v>
      </c>
      <c r="B1224" s="2" t="s">
        <v>5268</v>
      </c>
      <c r="C1224" s="2" t="s">
        <v>5269</v>
      </c>
      <c r="D1224" s="169">
        <v>46017.0</v>
      </c>
      <c r="E1224" s="173" t="s">
        <v>5270</v>
      </c>
      <c r="F1224" s="2" t="s">
        <v>5271</v>
      </c>
      <c r="G1224" s="2" t="s">
        <v>493</v>
      </c>
      <c r="H1224" s="2">
        <v>3999.0</v>
      </c>
      <c r="I1224" s="2">
        <v>2.5120050020772E13</v>
      </c>
      <c r="J1224" s="3">
        <v>2.0</v>
      </c>
      <c r="K1224" s="2" t="s">
        <v>511</v>
      </c>
      <c r="L1224" s="2" t="s">
        <v>913</v>
      </c>
      <c r="M1224" s="174" t="s">
        <v>409</v>
      </c>
      <c r="N1224" s="2" t="s">
        <v>462</v>
      </c>
      <c r="O1224" s="3">
        <v>0.5</v>
      </c>
      <c r="P1224" s="2" t="s">
        <v>363</v>
      </c>
      <c r="Q1224" s="3">
        <v>1700.0</v>
      </c>
      <c r="T1224" s="2" t="s">
        <v>3833</v>
      </c>
      <c r="U1224" s="171">
        <v>3999.0</v>
      </c>
      <c r="V1224" s="172">
        <v>46024.0</v>
      </c>
      <c r="W1224" s="3">
        <v>386.74</v>
      </c>
      <c r="X1224" s="172">
        <v>46021.52590277778</v>
      </c>
      <c r="Y1224" s="172"/>
      <c r="Z1224" s="3">
        <v>46017.0</v>
      </c>
      <c r="AA1224" s="3"/>
    </row>
    <row r="1225">
      <c r="A1225" s="3">
        <v>6.818854895875E12</v>
      </c>
      <c r="B1225" s="2" t="s">
        <v>5272</v>
      </c>
      <c r="C1225" s="2" t="s">
        <v>5273</v>
      </c>
      <c r="D1225" s="169">
        <v>46017.0</v>
      </c>
      <c r="E1225" s="2">
        <v>3.140522659E9</v>
      </c>
      <c r="F1225" s="2" t="s">
        <v>5274</v>
      </c>
      <c r="G1225" s="2" t="s">
        <v>5275</v>
      </c>
      <c r="H1225" s="2">
        <v>0.0</v>
      </c>
      <c r="I1225" s="2">
        <v>2.2120050020771E13</v>
      </c>
      <c r="J1225" s="3">
        <v>0.0</v>
      </c>
      <c r="K1225" s="2" t="s">
        <v>5276</v>
      </c>
      <c r="L1225" s="2"/>
      <c r="M1225" s="170" t="s">
        <v>455</v>
      </c>
      <c r="N1225" s="2" t="s">
        <v>406</v>
      </c>
      <c r="O1225" s="3">
        <v>0.5</v>
      </c>
      <c r="P1225" s="2" t="s">
        <v>363</v>
      </c>
      <c r="Q1225" s="3">
        <v>0.0</v>
      </c>
      <c r="T1225" s="2" t="s">
        <v>3616</v>
      </c>
      <c r="U1225" s="171">
        <v>0.0</v>
      </c>
      <c r="V1225" s="172">
        <v>46028.0</v>
      </c>
      <c r="W1225" s="3">
        <v>220.11</v>
      </c>
      <c r="X1225" s="172">
        <v>46057.6427828125</v>
      </c>
      <c r="Y1225" s="172"/>
      <c r="Z1225" s="3">
        <v>46017.0</v>
      </c>
      <c r="AA1225" s="3"/>
    </row>
    <row r="1226">
      <c r="A1226" s="3">
        <v>6.818874982659E12</v>
      </c>
      <c r="B1226" s="2" t="s">
        <v>5277</v>
      </c>
      <c r="C1226" s="2" t="s">
        <v>5278</v>
      </c>
      <c r="D1226" s="169">
        <v>46017.0</v>
      </c>
      <c r="E1226" s="2">
        <v>3.332242948E9</v>
      </c>
      <c r="F1226" s="2" t="s">
        <v>5279</v>
      </c>
      <c r="G1226" s="2" t="s">
        <v>493</v>
      </c>
      <c r="H1226" s="2">
        <v>2749.0</v>
      </c>
      <c r="I1226" s="2">
        <v>2.2120050020721E13</v>
      </c>
      <c r="J1226" s="3">
        <v>1.0</v>
      </c>
      <c r="K1226" s="2" t="s">
        <v>1830</v>
      </c>
      <c r="L1226" s="2" t="s">
        <v>5280</v>
      </c>
      <c r="M1226" s="174" t="s">
        <v>409</v>
      </c>
      <c r="N1226" s="2" t="s">
        <v>462</v>
      </c>
      <c r="O1226" s="3">
        <v>0.5</v>
      </c>
      <c r="P1226" s="2" t="s">
        <v>363</v>
      </c>
      <c r="Q1226" s="3">
        <v>1300.0</v>
      </c>
      <c r="T1226" s="2" t="s">
        <v>2140</v>
      </c>
      <c r="U1226" s="171">
        <v>2749.0</v>
      </c>
      <c r="V1226" s="172">
        <v>46021.0</v>
      </c>
      <c r="W1226" s="3">
        <v>323.0</v>
      </c>
      <c r="X1226" s="172">
        <v>46020.67408564815</v>
      </c>
      <c r="Y1226" s="172"/>
      <c r="Z1226" s="3">
        <v>46017.0</v>
      </c>
      <c r="AA1226" s="3"/>
    </row>
    <row r="1227">
      <c r="A1227" s="3">
        <v>6.819149480195E12</v>
      </c>
      <c r="B1227" s="2" t="s">
        <v>5281</v>
      </c>
      <c r="C1227" s="2" t="s">
        <v>5282</v>
      </c>
      <c r="D1227" s="169">
        <v>46017.0</v>
      </c>
      <c r="E1227" s="2">
        <v>3.338549049E9</v>
      </c>
      <c r="F1227" s="2" t="s">
        <v>5283</v>
      </c>
      <c r="G1227" s="2" t="s">
        <v>368</v>
      </c>
      <c r="H1227" s="2">
        <v>3099.0</v>
      </c>
      <c r="I1227" s="2">
        <v>2.7120050020722E13</v>
      </c>
      <c r="J1227" s="3">
        <v>2.0</v>
      </c>
      <c r="L1227" s="2" t="s">
        <v>1129</v>
      </c>
      <c r="M1227" s="174" t="s">
        <v>409</v>
      </c>
      <c r="N1227" s="2" t="s">
        <v>462</v>
      </c>
      <c r="O1227" s="3">
        <v>0.5</v>
      </c>
      <c r="P1227" s="2" t="s">
        <v>363</v>
      </c>
      <c r="Q1227" s="3">
        <v>960.0</v>
      </c>
      <c r="T1227" s="2" t="s">
        <v>2140</v>
      </c>
      <c r="U1227" s="171">
        <v>3099.0</v>
      </c>
      <c r="V1227" s="172">
        <v>46021.0</v>
      </c>
      <c r="W1227" s="3">
        <v>231.0</v>
      </c>
      <c r="X1227" s="172">
        <v>46018.476631944446</v>
      </c>
      <c r="Y1227" s="172"/>
      <c r="Z1227" s="3">
        <v>46017.0</v>
      </c>
      <c r="AA1227" s="3"/>
    </row>
    <row r="1228">
      <c r="A1228" s="3">
        <v>6.819150463235E12</v>
      </c>
      <c r="B1228" s="2" t="s">
        <v>5284</v>
      </c>
      <c r="C1228" s="2" t="s">
        <v>3473</v>
      </c>
      <c r="D1228" s="169">
        <v>46017.0</v>
      </c>
      <c r="E1228" s="2">
        <v>3.219479906E9</v>
      </c>
      <c r="F1228" s="2" t="s">
        <v>3474</v>
      </c>
      <c r="G1228" s="2" t="s">
        <v>368</v>
      </c>
      <c r="H1228" s="2">
        <v>0.0</v>
      </c>
      <c r="I1228" s="2">
        <v>2.6120050020723E13</v>
      </c>
      <c r="J1228" s="3">
        <v>0.0</v>
      </c>
      <c r="K1228" s="2" t="s">
        <v>5285</v>
      </c>
      <c r="L1228" s="2"/>
      <c r="M1228" s="170" t="s">
        <v>455</v>
      </c>
      <c r="N1228" s="2" t="s">
        <v>406</v>
      </c>
      <c r="O1228" s="3">
        <v>0.5</v>
      </c>
      <c r="P1228" s="2" t="s">
        <v>363</v>
      </c>
      <c r="Q1228" s="3">
        <v>0.0</v>
      </c>
      <c r="T1228" s="2" t="s">
        <v>3616</v>
      </c>
      <c r="U1228" s="171">
        <v>0.0</v>
      </c>
      <c r="V1228" s="172">
        <v>46028.0</v>
      </c>
      <c r="W1228" s="3">
        <v>106.72</v>
      </c>
      <c r="X1228" s="172">
        <v>46057.6427828125</v>
      </c>
      <c r="Y1228" s="172"/>
      <c r="Z1228" s="3">
        <v>46017.0</v>
      </c>
      <c r="AA1228" s="3"/>
    </row>
    <row r="1229">
      <c r="A1229" s="3">
        <v>6.819152003331E12</v>
      </c>
      <c r="B1229" s="2" t="s">
        <v>5286</v>
      </c>
      <c r="C1229" s="2" t="s">
        <v>5287</v>
      </c>
      <c r="D1229" s="169">
        <v>46017.0</v>
      </c>
      <c r="E1229" s="2">
        <v>3.043556077E9</v>
      </c>
      <c r="F1229" s="2" t="s">
        <v>5288</v>
      </c>
      <c r="G1229" s="2" t="s">
        <v>4844</v>
      </c>
      <c r="H1229" s="2">
        <v>3099.0</v>
      </c>
      <c r="I1229" s="2">
        <v>2.9120050020766E13</v>
      </c>
      <c r="J1229" s="3">
        <v>2.0</v>
      </c>
      <c r="K1229" s="2" t="s">
        <v>511</v>
      </c>
      <c r="L1229" s="2" t="s">
        <v>228</v>
      </c>
      <c r="M1229" s="174" t="s">
        <v>409</v>
      </c>
      <c r="N1229" s="2" t="s">
        <v>462</v>
      </c>
      <c r="O1229" s="3">
        <v>0.5</v>
      </c>
      <c r="P1229" s="2" t="s">
        <v>363</v>
      </c>
      <c r="Q1229" s="3">
        <v>920.0</v>
      </c>
      <c r="T1229" s="2" t="s">
        <v>2140</v>
      </c>
      <c r="U1229" s="171">
        <v>3099.0</v>
      </c>
      <c r="V1229" s="172">
        <v>46021.0</v>
      </c>
      <c r="W1229" s="3">
        <v>351.0</v>
      </c>
      <c r="X1229" s="172">
        <v>46020.681550925925</v>
      </c>
      <c r="Y1229" s="172"/>
      <c r="Z1229" s="3">
        <v>46017.0</v>
      </c>
      <c r="AA1229" s="3"/>
    </row>
    <row r="1230">
      <c r="A1230" s="3">
        <v>6.819171991811E12</v>
      </c>
      <c r="B1230" s="2" t="s">
        <v>5289</v>
      </c>
      <c r="C1230" s="2" t="s">
        <v>5290</v>
      </c>
      <c r="D1230" s="169">
        <v>46017.0</v>
      </c>
      <c r="E1230" s="2">
        <v>3.33731707E9</v>
      </c>
      <c r="F1230" s="2" t="s">
        <v>5291</v>
      </c>
      <c r="G1230" s="2" t="s">
        <v>493</v>
      </c>
      <c r="H1230" s="2">
        <v>0.0</v>
      </c>
      <c r="I1230" s="2">
        <v>2.9120050020729E13</v>
      </c>
      <c r="J1230" s="3">
        <v>0.0</v>
      </c>
      <c r="K1230" s="2" t="s">
        <v>5292</v>
      </c>
      <c r="L1230" s="2"/>
      <c r="M1230" s="170" t="s">
        <v>455</v>
      </c>
      <c r="N1230" s="2" t="s">
        <v>406</v>
      </c>
      <c r="O1230" s="3">
        <v>0.5</v>
      </c>
      <c r="P1230" s="2" t="s">
        <v>363</v>
      </c>
      <c r="Q1230" s="3">
        <v>0.0</v>
      </c>
      <c r="T1230" s="2" t="s">
        <v>4077</v>
      </c>
      <c r="U1230" s="171">
        <v>0.0</v>
      </c>
      <c r="V1230" s="172">
        <v>46031.0</v>
      </c>
      <c r="W1230" s="3">
        <v>213.0</v>
      </c>
      <c r="X1230" s="172">
        <v>46057.6427828125</v>
      </c>
      <c r="Y1230" s="172"/>
      <c r="Z1230" s="3">
        <v>46017.0</v>
      </c>
      <c r="AA1230" s="3"/>
    </row>
    <row r="1231">
      <c r="A1231" s="3">
        <v>6.819177660675E12</v>
      </c>
      <c r="B1231" s="2" t="s">
        <v>5293</v>
      </c>
      <c r="C1231" s="2" t="s">
        <v>5294</v>
      </c>
      <c r="D1231" s="169">
        <v>46017.0</v>
      </c>
      <c r="E1231" s="2">
        <v>3.053373264E9</v>
      </c>
      <c r="F1231" s="2" t="s">
        <v>5295</v>
      </c>
      <c r="G1231" s="2" t="s">
        <v>368</v>
      </c>
      <c r="H1231" s="2">
        <v>1449.0</v>
      </c>
      <c r="I1231" s="2">
        <v>2.1120050020724E13</v>
      </c>
      <c r="J1231" s="3">
        <v>1.0</v>
      </c>
      <c r="K1231" s="2" t="s">
        <v>5296</v>
      </c>
      <c r="L1231" s="2" t="s">
        <v>5297</v>
      </c>
      <c r="M1231" s="174" t="s">
        <v>409</v>
      </c>
      <c r="N1231" s="2" t="s">
        <v>462</v>
      </c>
      <c r="O1231" s="3">
        <v>0.5</v>
      </c>
      <c r="P1231" s="2" t="s">
        <v>73</v>
      </c>
      <c r="Q1231" s="3">
        <v>550.0</v>
      </c>
      <c r="T1231" s="2" t="s">
        <v>2140</v>
      </c>
      <c r="U1231" s="171">
        <v>1449.0</v>
      </c>
      <c r="V1231" s="172">
        <v>46021.0</v>
      </c>
      <c r="W1231" s="3">
        <v>165.0</v>
      </c>
      <c r="X1231" s="172">
        <v>46018.484247685185</v>
      </c>
      <c r="Y1231" s="172"/>
      <c r="Z1231" s="3">
        <v>46017.0</v>
      </c>
      <c r="AA1231" s="3"/>
    </row>
    <row r="1232">
      <c r="A1232" s="3">
        <v>6.819228188931E12</v>
      </c>
      <c r="B1232" s="2" t="s">
        <v>5298</v>
      </c>
      <c r="C1232" s="2" t="s">
        <v>5299</v>
      </c>
      <c r="D1232" s="169">
        <v>46017.0</v>
      </c>
      <c r="E1232" s="2">
        <v>3.235549235E9</v>
      </c>
      <c r="F1232" s="2" t="s">
        <v>5300</v>
      </c>
      <c r="G1232" s="2" t="s">
        <v>993</v>
      </c>
      <c r="H1232" s="2">
        <v>0.0</v>
      </c>
      <c r="I1232" s="2">
        <v>2.1120050020727E13</v>
      </c>
      <c r="J1232" s="3">
        <v>0.0</v>
      </c>
      <c r="K1232" s="2" t="s">
        <v>4837</v>
      </c>
      <c r="L1232" s="2"/>
      <c r="M1232" s="170" t="s">
        <v>455</v>
      </c>
      <c r="N1232" s="2" t="s">
        <v>406</v>
      </c>
      <c r="O1232" s="3">
        <v>0.5</v>
      </c>
      <c r="P1232" s="2" t="s">
        <v>73</v>
      </c>
      <c r="Q1232" s="3">
        <v>0.0</v>
      </c>
      <c r="T1232" s="2" t="s">
        <v>4077</v>
      </c>
      <c r="U1232" s="171">
        <v>0.0</v>
      </c>
      <c r="V1232" s="172">
        <v>46031.0</v>
      </c>
      <c r="W1232" s="3">
        <v>220.0</v>
      </c>
      <c r="X1232" s="172">
        <v>46057.6427828125</v>
      </c>
      <c r="Y1232" s="172"/>
      <c r="Z1232" s="3">
        <v>46017.0</v>
      </c>
      <c r="AA1232" s="3"/>
    </row>
    <row r="1233">
      <c r="A1233" s="3">
        <v>6.819229663491E12</v>
      </c>
      <c r="B1233" s="2" t="s">
        <v>5301</v>
      </c>
      <c r="C1233" s="2" t="s">
        <v>5302</v>
      </c>
      <c r="D1233" s="169">
        <v>46017.0</v>
      </c>
      <c r="E1233" s="173" t="s">
        <v>5303</v>
      </c>
      <c r="F1233" s="2" t="s">
        <v>5304</v>
      </c>
      <c r="G1233" s="2" t="s">
        <v>5305</v>
      </c>
      <c r="H1233" s="2">
        <v>0.0</v>
      </c>
      <c r="J1233" s="3">
        <v>0.0</v>
      </c>
      <c r="K1233" s="2" t="s">
        <v>5088</v>
      </c>
      <c r="L1233" s="2"/>
      <c r="M1233" s="2" t="s">
        <v>468</v>
      </c>
      <c r="N1233" s="2" t="s">
        <v>406</v>
      </c>
      <c r="O1233" s="3">
        <v>0.5</v>
      </c>
      <c r="Q1233" s="3">
        <v>0.0</v>
      </c>
      <c r="U1233" s="141"/>
      <c r="X1233" s="172">
        <v>46057.6427828125</v>
      </c>
      <c r="Y1233" s="172"/>
      <c r="Z1233" s="3">
        <v>46017.0</v>
      </c>
      <c r="AA1233" s="3"/>
    </row>
    <row r="1234">
      <c r="A1234" s="3">
        <v>6.819243852035E12</v>
      </c>
      <c r="B1234" s="2" t="s">
        <v>5306</v>
      </c>
      <c r="C1234" s="2" t="s">
        <v>5307</v>
      </c>
      <c r="D1234" s="169">
        <v>46017.0</v>
      </c>
      <c r="E1234" s="2">
        <v>3.420664128E9</v>
      </c>
      <c r="F1234" s="2" t="s">
        <v>5308</v>
      </c>
      <c r="G1234" s="2" t="s">
        <v>1323</v>
      </c>
      <c r="H1234" s="2">
        <v>2847.96</v>
      </c>
      <c r="I1234" s="2">
        <v>2.6120050020728E13</v>
      </c>
      <c r="J1234" s="3">
        <v>1.0</v>
      </c>
      <c r="L1234" s="2" t="s">
        <v>519</v>
      </c>
      <c r="M1234" s="174" t="s">
        <v>409</v>
      </c>
      <c r="N1234" s="2" t="s">
        <v>462</v>
      </c>
      <c r="O1234" s="3">
        <v>0.5</v>
      </c>
      <c r="P1234" s="2" t="s">
        <v>363</v>
      </c>
      <c r="Q1234" s="3">
        <v>850.0</v>
      </c>
      <c r="T1234" s="2" t="s">
        <v>2140</v>
      </c>
      <c r="U1234" s="171">
        <v>2847.96</v>
      </c>
      <c r="V1234" s="172">
        <v>46021.0</v>
      </c>
      <c r="W1234" s="3">
        <v>314.0</v>
      </c>
      <c r="X1234" s="172">
        <v>46020.605729166666</v>
      </c>
      <c r="Y1234" s="172"/>
      <c r="Z1234" s="3">
        <v>46017.0</v>
      </c>
      <c r="AA1234" s="3"/>
    </row>
    <row r="1235">
      <c r="A1235" s="3">
        <v>6.819260956931E12</v>
      </c>
      <c r="B1235" s="2" t="s">
        <v>5309</v>
      </c>
      <c r="C1235" s="2" t="s">
        <v>5310</v>
      </c>
      <c r="D1235" s="169">
        <v>46017.0</v>
      </c>
      <c r="E1235" s="173" t="s">
        <v>5311</v>
      </c>
      <c r="F1235" s="2" t="s">
        <v>5312</v>
      </c>
      <c r="G1235" s="2" t="s">
        <v>5313</v>
      </c>
      <c r="H1235" s="2">
        <v>2695.0</v>
      </c>
      <c r="I1235" s="2">
        <v>2.4120050020725E13</v>
      </c>
      <c r="J1235" s="3">
        <v>1.0</v>
      </c>
      <c r="K1235" s="2" t="s">
        <v>1989</v>
      </c>
      <c r="L1235" s="2" t="s">
        <v>5314</v>
      </c>
      <c r="M1235" s="174" t="s">
        <v>409</v>
      </c>
      <c r="N1235" s="2" t="s">
        <v>462</v>
      </c>
      <c r="O1235" s="3">
        <v>0.5</v>
      </c>
      <c r="P1235" s="2" t="s">
        <v>363</v>
      </c>
      <c r="Q1235" s="3">
        <v>1400.0</v>
      </c>
      <c r="T1235" s="2" t="s">
        <v>2140</v>
      </c>
      <c r="U1235" s="171">
        <v>2695.0</v>
      </c>
      <c r="V1235" s="172">
        <v>46021.0</v>
      </c>
      <c r="W1235" s="3">
        <v>308.0</v>
      </c>
      <c r="X1235" s="172">
        <v>46020.69677083333</v>
      </c>
      <c r="Y1235" s="172"/>
      <c r="Z1235" s="3">
        <v>46017.0</v>
      </c>
      <c r="AA1235" s="3"/>
    </row>
    <row r="1236">
      <c r="A1236" s="3">
        <v>6.819267215619E12</v>
      </c>
      <c r="B1236" s="2" t="s">
        <v>5315</v>
      </c>
      <c r="C1236" s="2" t="s">
        <v>5316</v>
      </c>
      <c r="D1236" s="169">
        <v>46017.0</v>
      </c>
      <c r="E1236" s="173" t="s">
        <v>5317</v>
      </c>
      <c r="F1236" s="2" t="s">
        <v>5318</v>
      </c>
      <c r="G1236" s="2" t="s">
        <v>802</v>
      </c>
      <c r="H1236" s="2">
        <v>0.0</v>
      </c>
      <c r="I1236" s="2">
        <v>2.712005002077E13</v>
      </c>
      <c r="J1236" s="3">
        <v>0.0</v>
      </c>
      <c r="K1236" s="2" t="s">
        <v>5319</v>
      </c>
      <c r="L1236" s="2"/>
      <c r="M1236" s="170" t="s">
        <v>455</v>
      </c>
      <c r="N1236" s="2" t="s">
        <v>406</v>
      </c>
      <c r="O1236" s="3">
        <v>0.5</v>
      </c>
      <c r="P1236" s="2" t="s">
        <v>363</v>
      </c>
      <c r="Q1236" s="3">
        <v>0.0</v>
      </c>
      <c r="T1236" s="2" t="s">
        <v>3616</v>
      </c>
      <c r="U1236" s="171">
        <v>0.0</v>
      </c>
      <c r="V1236" s="172">
        <v>46028.0</v>
      </c>
      <c r="W1236" s="3">
        <v>220.11</v>
      </c>
      <c r="X1236" s="172">
        <v>46057.6427828125</v>
      </c>
      <c r="Y1236" s="172"/>
      <c r="Z1236" s="3">
        <v>46017.0</v>
      </c>
      <c r="AA1236" s="3"/>
    </row>
    <row r="1237">
      <c r="A1237" s="3">
        <v>6.819275211011E12</v>
      </c>
      <c r="B1237" s="2" t="s">
        <v>5320</v>
      </c>
      <c r="C1237" s="2" t="s">
        <v>5321</v>
      </c>
      <c r="D1237" s="169">
        <v>46017.0</v>
      </c>
      <c r="E1237" s="173" t="s">
        <v>5322</v>
      </c>
      <c r="F1237" s="2" t="s">
        <v>5323</v>
      </c>
      <c r="G1237" s="2" t="s">
        <v>493</v>
      </c>
      <c r="H1237" s="2">
        <v>0.0</v>
      </c>
      <c r="I1237" s="2">
        <v>2.8120050020767E13</v>
      </c>
      <c r="J1237" s="3">
        <v>0.0</v>
      </c>
      <c r="K1237" s="2" t="s">
        <v>5324</v>
      </c>
      <c r="L1237" s="2"/>
      <c r="M1237" s="170" t="s">
        <v>455</v>
      </c>
      <c r="N1237" s="2" t="s">
        <v>406</v>
      </c>
      <c r="O1237" s="3">
        <v>0.5</v>
      </c>
      <c r="P1237" s="2" t="s">
        <v>73</v>
      </c>
      <c r="Q1237" s="3">
        <v>0.0</v>
      </c>
      <c r="T1237" s="2" t="s">
        <v>4077</v>
      </c>
      <c r="U1237" s="171">
        <v>0.0</v>
      </c>
      <c r="V1237" s="172">
        <v>46031.0</v>
      </c>
      <c r="W1237" s="3">
        <v>213.0</v>
      </c>
      <c r="X1237" s="172">
        <v>46057.6427828125</v>
      </c>
      <c r="Y1237" s="172"/>
      <c r="Z1237" s="3">
        <v>46017.0</v>
      </c>
      <c r="AA1237" s="3"/>
    </row>
    <row r="1238">
      <c r="A1238" s="3">
        <v>6.819277832451E12</v>
      </c>
      <c r="B1238" s="2" t="s">
        <v>5325</v>
      </c>
      <c r="C1238" s="2" t="s">
        <v>5326</v>
      </c>
      <c r="D1238" s="169">
        <v>46017.0</v>
      </c>
      <c r="E1238" s="2">
        <v>3.000171717E9</v>
      </c>
      <c r="F1238" s="2" t="s">
        <v>5327</v>
      </c>
      <c r="G1238" s="2" t="s">
        <v>506</v>
      </c>
      <c r="H1238" s="2">
        <v>2847.96</v>
      </c>
      <c r="I1238" s="2">
        <v>2.7120050020742E13</v>
      </c>
      <c r="J1238" s="3">
        <v>1.0</v>
      </c>
      <c r="L1238" s="2" t="s">
        <v>519</v>
      </c>
      <c r="M1238" s="174" t="s">
        <v>409</v>
      </c>
      <c r="N1238" s="2" t="s">
        <v>462</v>
      </c>
      <c r="O1238" s="3">
        <v>0.5</v>
      </c>
      <c r="P1238" s="2" t="s">
        <v>363</v>
      </c>
      <c r="Q1238" s="3">
        <v>850.0</v>
      </c>
      <c r="T1238" s="2" t="s">
        <v>2140</v>
      </c>
      <c r="U1238" s="171">
        <v>2847.96</v>
      </c>
      <c r="V1238" s="172">
        <v>46021.0</v>
      </c>
      <c r="W1238" s="3">
        <v>334.0</v>
      </c>
      <c r="X1238" s="172">
        <v>46019.70851851851</v>
      </c>
      <c r="Y1238" s="172"/>
      <c r="Z1238" s="3">
        <v>46017.0</v>
      </c>
      <c r="AA1238" s="3"/>
    </row>
    <row r="1239">
      <c r="A1239" s="3">
        <v>6.819308208387E12</v>
      </c>
      <c r="B1239" s="2" t="s">
        <v>5328</v>
      </c>
      <c r="C1239" s="2" t="s">
        <v>5329</v>
      </c>
      <c r="D1239" s="169">
        <v>46017.0</v>
      </c>
      <c r="E1239" s="2">
        <v>3.369747571E9</v>
      </c>
      <c r="F1239" s="2" t="s">
        <v>5330</v>
      </c>
      <c r="G1239" s="2" t="s">
        <v>5331</v>
      </c>
      <c r="H1239" s="2">
        <v>3213.0</v>
      </c>
      <c r="I1239" s="2">
        <v>2.8120050020768E13</v>
      </c>
      <c r="J1239" s="3">
        <v>2.0</v>
      </c>
      <c r="L1239" s="2" t="s">
        <v>5332</v>
      </c>
      <c r="M1239" s="174" t="s">
        <v>409</v>
      </c>
      <c r="N1239" s="2" t="s">
        <v>462</v>
      </c>
      <c r="O1239" s="3">
        <v>0.5</v>
      </c>
      <c r="P1239" s="2" t="s">
        <v>73</v>
      </c>
      <c r="Q1239" s="3">
        <v>940.0</v>
      </c>
      <c r="T1239" s="2" t="s">
        <v>2140</v>
      </c>
      <c r="U1239" s="171">
        <v>3213.0</v>
      </c>
      <c r="V1239" s="172">
        <v>46021.0</v>
      </c>
      <c r="W1239" s="3">
        <v>342.0</v>
      </c>
      <c r="X1239" s="172">
        <v>46019.54324074074</v>
      </c>
      <c r="Y1239" s="172"/>
      <c r="Z1239" s="3">
        <v>46017.0</v>
      </c>
      <c r="AA1239" s="3"/>
    </row>
    <row r="1240">
      <c r="A1240" s="3">
        <v>6.819314434307E12</v>
      </c>
      <c r="B1240" s="2" t="s">
        <v>5333</v>
      </c>
      <c r="C1240" s="2" t="s">
        <v>5334</v>
      </c>
      <c r="D1240" s="169">
        <v>46017.0</v>
      </c>
      <c r="E1240" s="173" t="s">
        <v>5335</v>
      </c>
      <c r="F1240" s="2" t="s">
        <v>5336</v>
      </c>
      <c r="G1240" s="2" t="s">
        <v>917</v>
      </c>
      <c r="H1240" s="2">
        <v>1549.0</v>
      </c>
      <c r="I1240" s="2">
        <v>2.612005002078E13</v>
      </c>
      <c r="J1240" s="3">
        <v>1.0</v>
      </c>
      <c r="K1240" s="2" t="s">
        <v>4675</v>
      </c>
      <c r="L1240" s="2" t="s">
        <v>5337</v>
      </c>
      <c r="M1240" s="174" t="s">
        <v>409</v>
      </c>
      <c r="N1240" s="2" t="s">
        <v>462</v>
      </c>
      <c r="O1240" s="3">
        <v>0.5</v>
      </c>
      <c r="P1240" s="2" t="s">
        <v>363</v>
      </c>
      <c r="Q1240" s="3">
        <v>550.0</v>
      </c>
      <c r="T1240" s="2" t="s">
        <v>2140</v>
      </c>
      <c r="U1240" s="171">
        <v>1549.0</v>
      </c>
      <c r="V1240" s="172">
        <v>46021.0</v>
      </c>
      <c r="W1240" s="3">
        <v>275.0</v>
      </c>
      <c r="X1240" s="172">
        <v>46020.541249999995</v>
      </c>
      <c r="Y1240" s="172"/>
      <c r="Z1240" s="3">
        <v>46017.0</v>
      </c>
      <c r="AA1240" s="3"/>
    </row>
    <row r="1241">
      <c r="A1241" s="3">
        <v>6.819335602435E12</v>
      </c>
      <c r="B1241" s="2" t="s">
        <v>5338</v>
      </c>
      <c r="C1241" s="2" t="s">
        <v>5339</v>
      </c>
      <c r="D1241" s="169">
        <v>46017.0</v>
      </c>
      <c r="E1241" s="2">
        <v>3.418559063E9</v>
      </c>
      <c r="F1241" s="2" t="s">
        <v>5340</v>
      </c>
      <c r="G1241" s="2" t="s">
        <v>493</v>
      </c>
      <c r="H1241" s="2">
        <v>0.0</v>
      </c>
      <c r="I1241" s="2">
        <v>2.4120050020769E13</v>
      </c>
      <c r="J1241" s="3">
        <v>0.0</v>
      </c>
      <c r="K1241" s="2" t="s">
        <v>5341</v>
      </c>
      <c r="L1241" s="2"/>
      <c r="M1241" s="170" t="s">
        <v>455</v>
      </c>
      <c r="N1241" s="2" t="s">
        <v>406</v>
      </c>
      <c r="O1241" s="3">
        <v>0.5</v>
      </c>
      <c r="P1241" s="2" t="s">
        <v>363</v>
      </c>
      <c r="Q1241" s="3">
        <v>0.0</v>
      </c>
      <c r="T1241" s="2" t="s">
        <v>4077</v>
      </c>
      <c r="U1241" s="171">
        <v>0.0</v>
      </c>
      <c r="V1241" s="172">
        <v>46031.0</v>
      </c>
      <c r="W1241" s="3">
        <v>213.0</v>
      </c>
      <c r="X1241" s="172">
        <v>46057.6427828125</v>
      </c>
      <c r="Y1241" s="172"/>
      <c r="Z1241" s="3">
        <v>46017.0</v>
      </c>
      <c r="AA1241" s="3"/>
    </row>
    <row r="1242">
      <c r="A1242" s="3">
        <v>6.819382264067E12</v>
      </c>
      <c r="B1242" s="2" t="s">
        <v>5342</v>
      </c>
      <c r="C1242" s="2" t="s">
        <v>2809</v>
      </c>
      <c r="D1242" s="169">
        <v>46017.0</v>
      </c>
      <c r="E1242" s="2">
        <v>3.297252669E9</v>
      </c>
      <c r="F1242" s="2" t="s">
        <v>5343</v>
      </c>
      <c r="G1242" s="2" t="s">
        <v>1016</v>
      </c>
      <c r="H1242" s="2">
        <v>2901.0</v>
      </c>
      <c r="I1242" s="2">
        <v>2.5120050020805E13</v>
      </c>
      <c r="J1242" s="3">
        <v>1.0</v>
      </c>
      <c r="L1242" s="2" t="s">
        <v>500</v>
      </c>
      <c r="M1242" s="174" t="s">
        <v>409</v>
      </c>
      <c r="N1242" s="2" t="s">
        <v>462</v>
      </c>
      <c r="O1242" s="3">
        <v>0.5</v>
      </c>
      <c r="P1242" s="2" t="s">
        <v>363</v>
      </c>
      <c r="Q1242" s="3">
        <v>850.0</v>
      </c>
      <c r="T1242" s="2" t="s">
        <v>3833</v>
      </c>
      <c r="U1242" s="171">
        <v>2901.0</v>
      </c>
      <c r="V1242" s="172">
        <v>46024.0</v>
      </c>
      <c r="W1242" s="3">
        <v>336.15</v>
      </c>
      <c r="X1242" s="172">
        <v>46021.53212962963</v>
      </c>
      <c r="Y1242" s="172"/>
      <c r="Z1242" s="3">
        <v>46017.0</v>
      </c>
      <c r="AA1242" s="3"/>
    </row>
    <row r="1243">
      <c r="A1243" s="3">
        <v>6.819388719363E12</v>
      </c>
      <c r="B1243" s="2" t="s">
        <v>5344</v>
      </c>
      <c r="C1243" s="2" t="s">
        <v>5345</v>
      </c>
      <c r="D1243" s="169">
        <v>46017.0</v>
      </c>
      <c r="E1243" s="173" t="s">
        <v>5346</v>
      </c>
      <c r="F1243" s="2" t="s">
        <v>5347</v>
      </c>
      <c r="G1243" s="2" t="s">
        <v>5348</v>
      </c>
      <c r="H1243" s="2">
        <v>2277.0</v>
      </c>
      <c r="I1243" s="2">
        <v>1.73009485004E11</v>
      </c>
      <c r="J1243" s="3">
        <v>1.0</v>
      </c>
      <c r="K1243" s="2" t="s">
        <v>5349</v>
      </c>
      <c r="L1243" s="2" t="s">
        <v>5350</v>
      </c>
      <c r="M1243" s="174" t="s">
        <v>409</v>
      </c>
      <c r="N1243" s="2" t="s">
        <v>462</v>
      </c>
      <c r="O1243" s="3">
        <v>0.5</v>
      </c>
      <c r="P1243" s="2" t="s">
        <v>501</v>
      </c>
      <c r="Q1243" s="3">
        <v>650.0</v>
      </c>
      <c r="T1243" s="2" t="s">
        <v>5351</v>
      </c>
      <c r="U1243" s="171">
        <v>2277.0</v>
      </c>
      <c r="V1243" s="172">
        <v>46023.0</v>
      </c>
      <c r="W1243" s="3">
        <v>292.2</v>
      </c>
      <c r="X1243" s="172">
        <v>46057.73290488426</v>
      </c>
      <c r="Y1243" s="172"/>
      <c r="Z1243" s="3">
        <v>46017.0</v>
      </c>
      <c r="AA1243" s="3"/>
    </row>
    <row r="1244">
      <c r="A1244" s="3">
        <v>6.819399401731E12</v>
      </c>
      <c r="B1244" s="2" t="s">
        <v>5352</v>
      </c>
      <c r="C1244" s="2" t="s">
        <v>5353</v>
      </c>
      <c r="D1244" s="169">
        <v>46017.0</v>
      </c>
      <c r="E1244" s="173" t="s">
        <v>5354</v>
      </c>
      <c r="F1244" s="2" t="s">
        <v>5355</v>
      </c>
      <c r="G1244" s="2" t="s">
        <v>693</v>
      </c>
      <c r="H1244" s="2">
        <v>0.0</v>
      </c>
      <c r="J1244" s="3">
        <v>0.0</v>
      </c>
      <c r="K1244" s="2" t="s">
        <v>760</v>
      </c>
      <c r="L1244" s="2"/>
      <c r="M1244" s="2" t="s">
        <v>468</v>
      </c>
      <c r="N1244" s="2" t="s">
        <v>406</v>
      </c>
      <c r="O1244" s="3">
        <v>0.5</v>
      </c>
      <c r="Q1244" s="3">
        <v>0.0</v>
      </c>
      <c r="U1244" s="141"/>
      <c r="X1244" s="172">
        <v>46057.6427828125</v>
      </c>
      <c r="Y1244" s="172"/>
      <c r="Z1244" s="3">
        <v>46017.0</v>
      </c>
      <c r="AA1244" s="3"/>
    </row>
    <row r="1245">
      <c r="A1245" s="3">
        <v>6.819400712451E12</v>
      </c>
      <c r="B1245" s="2" t="s">
        <v>5356</v>
      </c>
      <c r="C1245" s="2" t="s">
        <v>5353</v>
      </c>
      <c r="D1245" s="169">
        <v>46017.0</v>
      </c>
      <c r="E1245" s="173" t="s">
        <v>5354</v>
      </c>
      <c r="F1245" s="2" t="s">
        <v>5357</v>
      </c>
      <c r="G1245" s="2" t="s">
        <v>693</v>
      </c>
      <c r="H1245" s="2">
        <v>3213.0</v>
      </c>
      <c r="I1245" s="2">
        <v>2.3120050020815E13</v>
      </c>
      <c r="J1245" s="3">
        <v>2.0</v>
      </c>
      <c r="L1245" s="2" t="s">
        <v>906</v>
      </c>
      <c r="M1245" s="174" t="s">
        <v>409</v>
      </c>
      <c r="N1245" s="2" t="s">
        <v>462</v>
      </c>
      <c r="O1245" s="3">
        <v>0.5</v>
      </c>
      <c r="P1245" s="2" t="s">
        <v>363</v>
      </c>
      <c r="Q1245" s="3">
        <v>920.0</v>
      </c>
      <c r="T1245" s="2" t="s">
        <v>3833</v>
      </c>
      <c r="U1245" s="171">
        <v>3213.0</v>
      </c>
      <c r="V1245" s="172">
        <v>46024.0</v>
      </c>
      <c r="W1245" s="3">
        <v>341.96</v>
      </c>
      <c r="X1245" s="172">
        <v>46021.59118055555</v>
      </c>
      <c r="Y1245" s="172"/>
      <c r="Z1245" s="3">
        <v>46017.0</v>
      </c>
      <c r="AA1245" s="3"/>
    </row>
    <row r="1246">
      <c r="A1246" s="3">
        <v>6.819403628803E12</v>
      </c>
      <c r="B1246" s="2" t="s">
        <v>5358</v>
      </c>
      <c r="C1246" s="2" t="s">
        <v>3628</v>
      </c>
      <c r="D1246" s="169">
        <v>46017.0</v>
      </c>
      <c r="E1246" s="173" t="s">
        <v>5359</v>
      </c>
      <c r="F1246" s="2" t="s">
        <v>3629</v>
      </c>
      <c r="G1246" s="2" t="s">
        <v>2396</v>
      </c>
      <c r="H1246" s="2">
        <v>2691.0</v>
      </c>
      <c r="I1246" s="2">
        <v>2.2120050020804E13</v>
      </c>
      <c r="J1246" s="3">
        <v>1.0</v>
      </c>
      <c r="L1246" s="2" t="s">
        <v>519</v>
      </c>
      <c r="M1246" s="174" t="s">
        <v>409</v>
      </c>
      <c r="N1246" s="2" t="s">
        <v>462</v>
      </c>
      <c r="O1246" s="3">
        <v>0.5</v>
      </c>
      <c r="P1246" s="2" t="s">
        <v>363</v>
      </c>
      <c r="Q1246" s="3">
        <v>850.0</v>
      </c>
      <c r="T1246" s="2" t="s">
        <v>3833</v>
      </c>
      <c r="U1246" s="171">
        <v>2691.0</v>
      </c>
      <c r="V1246" s="172">
        <v>46024.0</v>
      </c>
      <c r="W1246" s="3">
        <v>339.75</v>
      </c>
      <c r="X1246" s="172">
        <v>46021.576574074075</v>
      </c>
      <c r="Y1246" s="172"/>
      <c r="Z1246" s="3">
        <v>46017.0</v>
      </c>
      <c r="AA1246" s="3"/>
    </row>
    <row r="1247">
      <c r="A1247" s="3">
        <v>6.819421782275E12</v>
      </c>
      <c r="B1247" s="2" t="s">
        <v>5360</v>
      </c>
      <c r="C1247" s="2" t="s">
        <v>5361</v>
      </c>
      <c r="D1247" s="169">
        <v>46017.0</v>
      </c>
      <c r="E1247" s="2">
        <v>3.002025902E9</v>
      </c>
      <c r="F1247" s="2" t="s">
        <v>5362</v>
      </c>
      <c r="G1247" s="2" t="s">
        <v>493</v>
      </c>
      <c r="H1247" s="2">
        <v>2069.0</v>
      </c>
      <c r="I1247" s="2">
        <v>2.5120050020803E13</v>
      </c>
      <c r="J1247" s="3">
        <v>1.0</v>
      </c>
      <c r="L1247" s="2" t="s">
        <v>5363</v>
      </c>
      <c r="M1247" s="174" t="s">
        <v>409</v>
      </c>
      <c r="N1247" s="2" t="s">
        <v>462</v>
      </c>
      <c r="O1247" s="3">
        <v>0.5</v>
      </c>
      <c r="P1247" s="2" t="s">
        <v>363</v>
      </c>
      <c r="Q1247" s="3">
        <v>1100.0</v>
      </c>
      <c r="T1247" s="2" t="s">
        <v>3833</v>
      </c>
      <c r="U1247" s="171">
        <v>2069.0</v>
      </c>
      <c r="V1247" s="172">
        <v>46024.0</v>
      </c>
      <c r="W1247" s="3">
        <v>296.2</v>
      </c>
      <c r="X1247" s="172">
        <v>46022.60159722222</v>
      </c>
      <c r="Y1247" s="172"/>
      <c r="Z1247" s="3">
        <v>46017.0</v>
      </c>
      <c r="AA1247" s="3"/>
    </row>
    <row r="1248">
      <c r="A1248" s="3">
        <v>6.819423027459E12</v>
      </c>
      <c r="B1248" s="2" t="s">
        <v>5364</v>
      </c>
      <c r="C1248" s="2" t="s">
        <v>5365</v>
      </c>
      <c r="D1248" s="169">
        <v>46017.0</v>
      </c>
      <c r="E1248" s="2">
        <v>3.00920812E9</v>
      </c>
      <c r="F1248" s="2" t="s">
        <v>5366</v>
      </c>
      <c r="G1248" s="2" t="s">
        <v>493</v>
      </c>
      <c r="H1248" s="2">
        <v>2849.0</v>
      </c>
      <c r="I1248" s="2">
        <v>2.4120050020802E13</v>
      </c>
      <c r="J1248" s="3">
        <v>2.0</v>
      </c>
      <c r="L1248" s="2" t="s">
        <v>4209</v>
      </c>
      <c r="M1248" s="174" t="s">
        <v>409</v>
      </c>
      <c r="N1248" s="2" t="s">
        <v>462</v>
      </c>
      <c r="O1248" s="3">
        <v>0.5</v>
      </c>
      <c r="P1248" s="2" t="s">
        <v>363</v>
      </c>
      <c r="Q1248" s="3">
        <v>920.0</v>
      </c>
      <c r="T1248" s="2" t="s">
        <v>3833</v>
      </c>
      <c r="U1248" s="171">
        <v>2849.0</v>
      </c>
      <c r="V1248" s="172">
        <v>46024.0</v>
      </c>
      <c r="W1248" s="3">
        <v>327.4</v>
      </c>
      <c r="X1248" s="172">
        <v>46021.71971064815</v>
      </c>
      <c r="Y1248" s="172"/>
      <c r="Z1248" s="3">
        <v>46017.0</v>
      </c>
      <c r="AA1248" s="3"/>
    </row>
    <row r="1249">
      <c r="A1249" s="3">
        <v>6.819430596867E12</v>
      </c>
      <c r="B1249" s="2" t="s">
        <v>5367</v>
      </c>
      <c r="C1249" s="2" t="s">
        <v>5368</v>
      </c>
      <c r="D1249" s="169">
        <v>46017.0</v>
      </c>
      <c r="E1249" s="2">
        <v>3.554350764E9</v>
      </c>
      <c r="F1249" s="2" t="s">
        <v>5369</v>
      </c>
      <c r="G1249" s="2" t="s">
        <v>787</v>
      </c>
      <c r="H1249" s="2">
        <v>4303.96</v>
      </c>
      <c r="I1249" s="2">
        <v>2.6120050020801E13</v>
      </c>
      <c r="J1249" s="3">
        <v>2.0</v>
      </c>
      <c r="L1249" s="2" t="s">
        <v>5370</v>
      </c>
      <c r="M1249" s="174" t="s">
        <v>409</v>
      </c>
      <c r="N1249" s="2" t="s">
        <v>462</v>
      </c>
      <c r="O1249" s="3">
        <v>0.5</v>
      </c>
      <c r="P1249" s="2" t="s">
        <v>363</v>
      </c>
      <c r="Q1249" s="3">
        <v>1580.0</v>
      </c>
      <c r="T1249" s="2" t="s">
        <v>2140</v>
      </c>
      <c r="U1249" s="171">
        <v>4303.96</v>
      </c>
      <c r="V1249" s="172">
        <v>46021.0</v>
      </c>
      <c r="W1249" s="3">
        <v>399.0</v>
      </c>
      <c r="X1249" s="172">
        <v>46020.776817129634</v>
      </c>
      <c r="Y1249" s="172"/>
      <c r="Z1249" s="3">
        <v>46017.0</v>
      </c>
      <c r="AA1249" s="3"/>
    </row>
    <row r="1250">
      <c r="A1250" s="3">
        <v>6.819582574851E12</v>
      </c>
      <c r="B1250" s="2" t="s">
        <v>5371</v>
      </c>
      <c r="C1250" s="2" t="s">
        <v>5372</v>
      </c>
      <c r="D1250" s="169">
        <v>46017.0</v>
      </c>
      <c r="E1250" s="2">
        <v>3.425005659E9</v>
      </c>
      <c r="F1250" s="2" t="s">
        <v>5373</v>
      </c>
      <c r="G1250" s="2" t="s">
        <v>366</v>
      </c>
      <c r="H1250" s="2">
        <v>0.0</v>
      </c>
      <c r="J1250" s="3">
        <v>0.0</v>
      </c>
      <c r="K1250" s="2" t="s">
        <v>5374</v>
      </c>
      <c r="L1250" s="2"/>
      <c r="M1250" s="2" t="s">
        <v>468</v>
      </c>
      <c r="N1250" s="2" t="s">
        <v>406</v>
      </c>
      <c r="O1250" s="3">
        <v>0.5</v>
      </c>
      <c r="Q1250" s="3">
        <v>0.0</v>
      </c>
      <c r="U1250" s="141"/>
      <c r="X1250" s="172">
        <v>46057.6427828125</v>
      </c>
      <c r="Y1250" s="172"/>
      <c r="Z1250" s="3">
        <v>46017.0</v>
      </c>
      <c r="AA1250" s="3"/>
    </row>
    <row r="1251">
      <c r="A1251" s="3">
        <v>6.819587096835E12</v>
      </c>
      <c r="B1251" s="2" t="s">
        <v>5375</v>
      </c>
      <c r="C1251" s="2" t="s">
        <v>3324</v>
      </c>
      <c r="D1251" s="169">
        <v>46017.0</v>
      </c>
      <c r="E1251" s="173" t="s">
        <v>5376</v>
      </c>
      <c r="F1251" s="2" t="s">
        <v>5377</v>
      </c>
      <c r="G1251" s="2" t="s">
        <v>493</v>
      </c>
      <c r="H1251" s="2">
        <v>4149.0</v>
      </c>
      <c r="I1251" s="2">
        <v>2.6120050020814E13</v>
      </c>
      <c r="J1251" s="3">
        <v>2.0</v>
      </c>
      <c r="K1251" s="2" t="s">
        <v>511</v>
      </c>
      <c r="L1251" s="2" t="s">
        <v>994</v>
      </c>
      <c r="M1251" s="174" t="s">
        <v>409</v>
      </c>
      <c r="N1251" s="2" t="s">
        <v>462</v>
      </c>
      <c r="O1251" s="3">
        <v>0.5</v>
      </c>
      <c r="P1251" s="2" t="s">
        <v>363</v>
      </c>
      <c r="Q1251" s="3">
        <v>1700.0</v>
      </c>
      <c r="T1251" s="2" t="s">
        <v>2140</v>
      </c>
      <c r="U1251" s="171">
        <v>4149.0</v>
      </c>
      <c r="V1251" s="172">
        <v>46021.0</v>
      </c>
      <c r="W1251" s="3">
        <v>320.0</v>
      </c>
      <c r="X1251" s="172">
        <v>46021.49394675926</v>
      </c>
      <c r="Y1251" s="172"/>
      <c r="Z1251" s="3">
        <v>46017.0</v>
      </c>
      <c r="AA1251" s="3"/>
    </row>
    <row r="1252">
      <c r="A1252" s="3">
        <v>6.819673112835E12</v>
      </c>
      <c r="B1252" s="2" t="s">
        <v>5378</v>
      </c>
      <c r="C1252" s="2" t="s">
        <v>5379</v>
      </c>
      <c r="D1252" s="169">
        <v>46017.0</v>
      </c>
      <c r="E1252" s="2">
        <v>3.007677859E9</v>
      </c>
      <c r="F1252" s="2" t="s">
        <v>5380</v>
      </c>
      <c r="G1252" s="2" t="s">
        <v>4019</v>
      </c>
      <c r="H1252" s="2">
        <v>0.0</v>
      </c>
      <c r="I1252" s="2">
        <v>2.51200500208E13</v>
      </c>
      <c r="J1252" s="3">
        <v>0.0</v>
      </c>
      <c r="K1252" s="2" t="s">
        <v>5381</v>
      </c>
      <c r="L1252" s="2"/>
      <c r="M1252" s="170" t="s">
        <v>455</v>
      </c>
      <c r="N1252" s="2" t="s">
        <v>406</v>
      </c>
      <c r="O1252" s="3">
        <v>0.5</v>
      </c>
      <c r="P1252" s="2" t="s">
        <v>363</v>
      </c>
      <c r="Q1252" s="3">
        <v>0.0</v>
      </c>
      <c r="T1252" s="2" t="s">
        <v>3616</v>
      </c>
      <c r="U1252" s="171">
        <v>0.0</v>
      </c>
      <c r="V1252" s="172">
        <v>46028.0</v>
      </c>
      <c r="W1252" s="3">
        <v>220.11</v>
      </c>
      <c r="X1252" s="172">
        <v>46057.6427828125</v>
      </c>
      <c r="Y1252" s="172"/>
      <c r="Z1252" s="3">
        <v>46017.0</v>
      </c>
      <c r="AA1252" s="3"/>
    </row>
    <row r="1253">
      <c r="A1253" s="3">
        <v>6.819804283139E12</v>
      </c>
      <c r="B1253" s="2" t="s">
        <v>5382</v>
      </c>
      <c r="C1253" s="2" t="s">
        <v>5383</v>
      </c>
      <c r="D1253" s="169">
        <v>46017.0</v>
      </c>
      <c r="E1253" s="2">
        <v>3.197309165E9</v>
      </c>
      <c r="F1253" s="2" t="s">
        <v>5384</v>
      </c>
      <c r="G1253" s="2" t="s">
        <v>5385</v>
      </c>
      <c r="H1253" s="2">
        <v>4149.0</v>
      </c>
      <c r="I1253" s="2">
        <v>2.7120050020847E13</v>
      </c>
      <c r="J1253" s="3">
        <v>2.0</v>
      </c>
      <c r="L1253" s="2" t="s">
        <v>994</v>
      </c>
      <c r="M1253" s="174" t="s">
        <v>409</v>
      </c>
      <c r="N1253" s="2" t="s">
        <v>462</v>
      </c>
      <c r="O1253" s="3">
        <v>0.5</v>
      </c>
      <c r="P1253" s="2" t="s">
        <v>363</v>
      </c>
      <c r="Q1253" s="3">
        <v>1700.0</v>
      </c>
      <c r="T1253" s="2" t="s">
        <v>3833</v>
      </c>
      <c r="U1253" s="171">
        <v>4149.0</v>
      </c>
      <c r="V1253" s="172">
        <v>46024.0</v>
      </c>
      <c r="W1253" s="3">
        <v>486.12</v>
      </c>
      <c r="X1253" s="172">
        <v>46023.57383101852</v>
      </c>
      <c r="Y1253" s="172"/>
      <c r="Z1253" s="3">
        <v>46017.0</v>
      </c>
      <c r="AA1253" s="3"/>
    </row>
    <row r="1254">
      <c r="A1254" s="3">
        <v>6.819821715715E12</v>
      </c>
      <c r="B1254" s="2" t="s">
        <v>5386</v>
      </c>
      <c r="C1254" s="2" t="s">
        <v>5387</v>
      </c>
      <c r="D1254" s="169">
        <v>46017.0</v>
      </c>
      <c r="E1254" s="2">
        <v>3.00314E9</v>
      </c>
      <c r="F1254" s="2" t="s">
        <v>5388</v>
      </c>
      <c r="G1254" s="2" t="s">
        <v>493</v>
      </c>
      <c r="H1254" s="2">
        <v>2847.96</v>
      </c>
      <c r="I1254" s="2">
        <v>2.6120050020799E13</v>
      </c>
      <c r="J1254" s="3">
        <v>1.0</v>
      </c>
      <c r="L1254" s="2" t="s">
        <v>4375</v>
      </c>
      <c r="M1254" s="174" t="s">
        <v>409</v>
      </c>
      <c r="N1254" s="2" t="s">
        <v>462</v>
      </c>
      <c r="O1254" s="3">
        <v>0.5</v>
      </c>
      <c r="P1254" s="2" t="s">
        <v>363</v>
      </c>
      <c r="Q1254" s="3">
        <v>1100.0</v>
      </c>
      <c r="T1254" s="2" t="s">
        <v>3833</v>
      </c>
      <c r="U1254" s="171">
        <v>2847.96</v>
      </c>
      <c r="V1254" s="172">
        <v>46024.0</v>
      </c>
      <c r="W1254" s="3">
        <v>340.7</v>
      </c>
      <c r="X1254" s="172">
        <v>46022.54890046296</v>
      </c>
      <c r="Y1254" s="172"/>
      <c r="Z1254" s="3">
        <v>46017.0</v>
      </c>
      <c r="AA1254" s="3"/>
    </row>
    <row r="1255">
      <c r="A1255" s="3">
        <v>6.819967664387E12</v>
      </c>
      <c r="B1255" s="2" t="s">
        <v>5389</v>
      </c>
      <c r="C1255" s="2" t="s">
        <v>5390</v>
      </c>
      <c r="D1255" s="169">
        <v>46018.0</v>
      </c>
      <c r="E1255" s="173" t="s">
        <v>5391</v>
      </c>
      <c r="F1255" s="2" t="s">
        <v>5392</v>
      </c>
      <c r="G1255" s="2" t="s">
        <v>493</v>
      </c>
      <c r="H1255" s="2">
        <v>0.0</v>
      </c>
      <c r="I1255" s="2">
        <v>2.3120050020905E13</v>
      </c>
      <c r="J1255" s="3">
        <v>0.0</v>
      </c>
      <c r="K1255" s="2" t="s">
        <v>5393</v>
      </c>
      <c r="L1255" s="2"/>
      <c r="M1255" s="170" t="s">
        <v>455</v>
      </c>
      <c r="N1255" s="2" t="s">
        <v>406</v>
      </c>
      <c r="O1255" s="3">
        <v>0.5</v>
      </c>
      <c r="P1255" s="2" t="s">
        <v>363</v>
      </c>
      <c r="Q1255" s="3">
        <v>0.0</v>
      </c>
      <c r="T1255" s="2" t="s">
        <v>3674</v>
      </c>
      <c r="U1255" s="171">
        <v>0.0</v>
      </c>
      <c r="V1255" s="172">
        <v>46038.0</v>
      </c>
      <c r="W1255" s="3">
        <v>227.0</v>
      </c>
      <c r="X1255" s="172">
        <v>46057.6427828125</v>
      </c>
      <c r="Y1255" s="172"/>
      <c r="Z1255" s="3">
        <v>46018.0</v>
      </c>
      <c r="AA1255" s="3"/>
    </row>
    <row r="1256">
      <c r="A1256" s="3">
        <v>6.819986833667E12</v>
      </c>
      <c r="B1256" s="2" t="s">
        <v>5394</v>
      </c>
      <c r="C1256" s="2" t="s">
        <v>5395</v>
      </c>
      <c r="D1256" s="169">
        <v>46018.0</v>
      </c>
      <c r="E1256" s="2">
        <v>3.0267714E9</v>
      </c>
      <c r="F1256" s="2" t="s">
        <v>5396</v>
      </c>
      <c r="G1256" s="2" t="s">
        <v>5397</v>
      </c>
      <c r="H1256" s="2">
        <v>2849.0</v>
      </c>
      <c r="I1256" s="2">
        <v>2.8120050020798E13</v>
      </c>
      <c r="J1256" s="3">
        <v>2.0</v>
      </c>
      <c r="L1256" s="2" t="s">
        <v>16</v>
      </c>
      <c r="M1256" s="174" t="s">
        <v>409</v>
      </c>
      <c r="N1256" s="2" t="s">
        <v>462</v>
      </c>
      <c r="O1256" s="3">
        <v>0.5</v>
      </c>
      <c r="P1256" s="2" t="s">
        <v>73</v>
      </c>
      <c r="Q1256" s="3">
        <v>980.0</v>
      </c>
      <c r="T1256" s="2" t="s">
        <v>2140</v>
      </c>
      <c r="U1256" s="171">
        <v>2849.0</v>
      </c>
      <c r="V1256" s="172">
        <v>46021.0</v>
      </c>
      <c r="W1256" s="3">
        <v>314.0</v>
      </c>
      <c r="X1256" s="172">
        <v>46020.59534722222</v>
      </c>
      <c r="Y1256" s="172"/>
      <c r="Z1256" s="3">
        <v>46018.0</v>
      </c>
      <c r="AA1256" s="3"/>
    </row>
    <row r="1257">
      <c r="A1257" s="3">
        <v>6.819994501379E12</v>
      </c>
      <c r="B1257" s="2" t="s">
        <v>5398</v>
      </c>
      <c r="C1257" s="2" t="s">
        <v>5399</v>
      </c>
      <c r="D1257" s="169">
        <v>46018.0</v>
      </c>
      <c r="E1257" s="2">
        <v>3.068181418E9</v>
      </c>
      <c r="F1257" s="2" t="s">
        <v>5400</v>
      </c>
      <c r="G1257" s="2" t="s">
        <v>781</v>
      </c>
      <c r="H1257" s="2">
        <v>4149.0</v>
      </c>
      <c r="I1257" s="2">
        <v>2.5120050020797E13</v>
      </c>
      <c r="J1257" s="3">
        <v>2.0</v>
      </c>
      <c r="L1257" s="2" t="s">
        <v>913</v>
      </c>
      <c r="M1257" s="174" t="s">
        <v>409</v>
      </c>
      <c r="N1257" s="2" t="s">
        <v>462</v>
      </c>
      <c r="O1257" s="3">
        <v>0.5</v>
      </c>
      <c r="P1257" s="2" t="s">
        <v>363</v>
      </c>
      <c r="Q1257" s="3">
        <v>1700.0</v>
      </c>
      <c r="T1257" s="2" t="s">
        <v>3833</v>
      </c>
      <c r="U1257" s="171">
        <v>4149.0</v>
      </c>
      <c r="V1257" s="172">
        <v>46024.0</v>
      </c>
      <c r="W1257" s="3">
        <v>392.74</v>
      </c>
      <c r="X1257" s="172">
        <v>46021.61133101852</v>
      </c>
      <c r="Y1257" s="172"/>
      <c r="Z1257" s="3">
        <v>46018.0</v>
      </c>
      <c r="AA1257" s="3"/>
    </row>
    <row r="1258">
      <c r="A1258" s="3">
        <v>6.820039557379E12</v>
      </c>
      <c r="B1258" s="2" t="s">
        <v>5401</v>
      </c>
      <c r="C1258" s="2" t="s">
        <v>5402</v>
      </c>
      <c r="D1258" s="169">
        <v>46018.0</v>
      </c>
      <c r="E1258" s="2">
        <v>3.114813282E9</v>
      </c>
      <c r="F1258" s="2" t="s">
        <v>5403</v>
      </c>
      <c r="G1258" s="2" t="s">
        <v>368</v>
      </c>
      <c r="H1258" s="2">
        <v>4149.0</v>
      </c>
      <c r="I1258" s="2">
        <v>2.1120050020796E13</v>
      </c>
      <c r="J1258" s="3">
        <v>2.0</v>
      </c>
      <c r="L1258" s="2" t="s">
        <v>479</v>
      </c>
      <c r="M1258" s="174" t="s">
        <v>409</v>
      </c>
      <c r="N1258" s="2" t="s">
        <v>462</v>
      </c>
      <c r="O1258" s="3">
        <v>0.5</v>
      </c>
      <c r="P1258" s="2" t="s">
        <v>73</v>
      </c>
      <c r="Q1258" s="3">
        <v>1700.0</v>
      </c>
      <c r="T1258" s="2" t="s">
        <v>2140</v>
      </c>
      <c r="U1258" s="171">
        <v>4149.0</v>
      </c>
      <c r="V1258" s="172">
        <v>46021.0</v>
      </c>
      <c r="W1258" s="3">
        <v>286.0</v>
      </c>
      <c r="X1258" s="172">
        <v>46020.69048611111</v>
      </c>
      <c r="Y1258" s="172"/>
      <c r="Z1258" s="3">
        <v>46018.0</v>
      </c>
      <c r="AA1258" s="3"/>
    </row>
    <row r="1259">
      <c r="A1259" s="3">
        <v>6.820052992259E12</v>
      </c>
      <c r="B1259" s="2" t="s">
        <v>5404</v>
      </c>
      <c r="C1259" s="2" t="s">
        <v>5405</v>
      </c>
      <c r="D1259" s="169">
        <v>46018.0</v>
      </c>
      <c r="E1259" s="173" t="s">
        <v>5406</v>
      </c>
      <c r="F1259" s="2" t="s">
        <v>5407</v>
      </c>
      <c r="G1259" s="2" t="s">
        <v>3500</v>
      </c>
      <c r="H1259" s="2">
        <v>2901.0</v>
      </c>
      <c r="I1259" s="2">
        <v>1.73009448387E11</v>
      </c>
      <c r="J1259" s="3">
        <v>1.0</v>
      </c>
      <c r="K1259" s="2" t="s">
        <v>5408</v>
      </c>
      <c r="L1259" s="2" t="s">
        <v>500</v>
      </c>
      <c r="M1259" s="174" t="s">
        <v>409</v>
      </c>
      <c r="N1259" s="2" t="s">
        <v>462</v>
      </c>
      <c r="O1259" s="3">
        <v>0.5</v>
      </c>
      <c r="P1259" s="2" t="s">
        <v>501</v>
      </c>
      <c r="Q1259" s="3">
        <v>850.0</v>
      </c>
      <c r="T1259" s="2" t="s">
        <v>4595</v>
      </c>
      <c r="U1259" s="19">
        <v>2901.0</v>
      </c>
      <c r="V1259" s="172">
        <v>46023.0</v>
      </c>
      <c r="W1259" s="3">
        <v>292.2</v>
      </c>
      <c r="X1259" s="172">
        <v>46057.73291361111</v>
      </c>
      <c r="Y1259" s="172"/>
      <c r="Z1259" s="3">
        <v>46018.0</v>
      </c>
      <c r="AA1259" s="3"/>
    </row>
    <row r="1260">
      <c r="A1260" s="3">
        <v>6.820058104067E12</v>
      </c>
      <c r="B1260" s="2" t="s">
        <v>5409</v>
      </c>
      <c r="C1260" s="2" t="s">
        <v>5410</v>
      </c>
      <c r="D1260" s="169">
        <v>46018.0</v>
      </c>
      <c r="E1260" s="2">
        <v>3.709294671E9</v>
      </c>
      <c r="F1260" s="2" t="s">
        <v>5411</v>
      </c>
      <c r="G1260" s="2" t="s">
        <v>506</v>
      </c>
      <c r="H1260" s="2">
        <v>0.0</v>
      </c>
      <c r="I1260" s="2">
        <v>2.1120050020795E13</v>
      </c>
      <c r="J1260" s="3">
        <v>0.0</v>
      </c>
      <c r="K1260" s="2" t="s">
        <v>5412</v>
      </c>
      <c r="L1260" s="2"/>
      <c r="M1260" s="170" t="s">
        <v>455</v>
      </c>
      <c r="N1260" s="2" t="s">
        <v>406</v>
      </c>
      <c r="O1260" s="3">
        <v>0.5</v>
      </c>
      <c r="P1260" s="2" t="s">
        <v>73</v>
      </c>
      <c r="Q1260" s="3">
        <v>0.0</v>
      </c>
      <c r="T1260" s="2" t="s">
        <v>3701</v>
      </c>
      <c r="U1260" s="171">
        <v>0.0</v>
      </c>
      <c r="V1260" s="172">
        <v>46035.0</v>
      </c>
      <c r="W1260" s="3">
        <v>200.0</v>
      </c>
      <c r="X1260" s="172">
        <v>46057.6427828125</v>
      </c>
      <c r="Y1260" s="172"/>
      <c r="Z1260" s="3">
        <v>46018.0</v>
      </c>
      <c r="AA1260" s="3"/>
    </row>
    <row r="1261">
      <c r="A1261" s="3">
        <v>6.820074324227E12</v>
      </c>
      <c r="B1261" s="2" t="s">
        <v>5413</v>
      </c>
      <c r="C1261" s="2" t="s">
        <v>5414</v>
      </c>
      <c r="D1261" s="169">
        <v>46018.0</v>
      </c>
      <c r="E1261" s="173" t="s">
        <v>5415</v>
      </c>
      <c r="F1261" s="2" t="s">
        <v>5416</v>
      </c>
      <c r="G1261" s="2" t="s">
        <v>5417</v>
      </c>
      <c r="H1261" s="2">
        <v>0.0</v>
      </c>
      <c r="I1261" s="2">
        <v>2.9120050020794E13</v>
      </c>
      <c r="J1261" s="3">
        <v>0.0</v>
      </c>
      <c r="K1261" s="2" t="s">
        <v>5418</v>
      </c>
      <c r="L1261" s="2"/>
      <c r="M1261" s="170" t="s">
        <v>455</v>
      </c>
      <c r="N1261" s="2" t="s">
        <v>406</v>
      </c>
      <c r="O1261" s="3">
        <v>0.5</v>
      </c>
      <c r="P1261" s="2" t="s">
        <v>363</v>
      </c>
      <c r="Q1261" s="3">
        <v>0.0</v>
      </c>
      <c r="T1261" s="2" t="s">
        <v>3616</v>
      </c>
      <c r="U1261" s="171">
        <v>0.0</v>
      </c>
      <c r="V1261" s="172">
        <v>46028.0</v>
      </c>
      <c r="W1261" s="3">
        <v>226.78</v>
      </c>
      <c r="X1261" s="172">
        <v>46057.6427828125</v>
      </c>
      <c r="Y1261" s="172"/>
      <c r="Z1261" s="3">
        <v>46018.0</v>
      </c>
      <c r="AA1261" s="3"/>
    </row>
    <row r="1262">
      <c r="A1262" s="3">
        <v>6.820092576003E12</v>
      </c>
      <c r="B1262" s="2" t="s">
        <v>5419</v>
      </c>
      <c r="C1262" s="2" t="s">
        <v>5420</v>
      </c>
      <c r="D1262" s="169">
        <v>46018.0</v>
      </c>
      <c r="E1262" s="2">
        <v>3.105406439E9</v>
      </c>
      <c r="F1262" s="2" t="s">
        <v>5421</v>
      </c>
      <c r="G1262" s="2" t="s">
        <v>5331</v>
      </c>
      <c r="H1262" s="2">
        <v>2901.0</v>
      </c>
      <c r="I1262" s="2">
        <v>2.7120050020793E13</v>
      </c>
      <c r="J1262" s="3">
        <v>1.0</v>
      </c>
      <c r="L1262" s="2" t="s">
        <v>519</v>
      </c>
      <c r="M1262" s="174" t="s">
        <v>409</v>
      </c>
      <c r="N1262" s="2" t="s">
        <v>462</v>
      </c>
      <c r="O1262" s="3">
        <v>0.5</v>
      </c>
      <c r="P1262" s="2" t="s">
        <v>363</v>
      </c>
      <c r="Q1262" s="3">
        <v>850.0</v>
      </c>
      <c r="T1262" s="2" t="s">
        <v>2140</v>
      </c>
      <c r="U1262" s="171">
        <v>2901.0</v>
      </c>
      <c r="V1262" s="172">
        <v>46021.0</v>
      </c>
      <c r="W1262" s="3">
        <v>343.0</v>
      </c>
      <c r="X1262" s="172">
        <v>46020.488379629634</v>
      </c>
      <c r="Y1262" s="172"/>
      <c r="Z1262" s="3">
        <v>46018.0</v>
      </c>
      <c r="AA1262" s="3"/>
    </row>
    <row r="1263">
      <c r="A1263" s="3">
        <v>6.820140548355E12</v>
      </c>
      <c r="B1263" s="2" t="s">
        <v>5422</v>
      </c>
      <c r="C1263" s="2" t="s">
        <v>5423</v>
      </c>
      <c r="D1263" s="169">
        <v>46018.0</v>
      </c>
      <c r="E1263" s="2">
        <v>3.015949333E9</v>
      </c>
      <c r="F1263" s="2" t="s">
        <v>5424</v>
      </c>
      <c r="G1263" s="2" t="s">
        <v>506</v>
      </c>
      <c r="H1263" s="2">
        <v>0.0</v>
      </c>
      <c r="I1263" s="2">
        <v>2.5120050020792E13</v>
      </c>
      <c r="J1263" s="3">
        <v>0.0</v>
      </c>
      <c r="K1263" s="2" t="s">
        <v>5425</v>
      </c>
      <c r="L1263" s="2"/>
      <c r="M1263" s="170" t="s">
        <v>455</v>
      </c>
      <c r="N1263" s="2" t="s">
        <v>406</v>
      </c>
      <c r="O1263" s="3">
        <v>0.5</v>
      </c>
      <c r="P1263" s="2" t="s">
        <v>363</v>
      </c>
      <c r="Q1263" s="3">
        <v>0.0</v>
      </c>
      <c r="T1263" s="2" t="s">
        <v>3616</v>
      </c>
      <c r="U1263" s="171">
        <v>0.0</v>
      </c>
      <c r="V1263" s="172">
        <v>46028.0</v>
      </c>
      <c r="W1263" s="3">
        <v>200.1</v>
      </c>
      <c r="X1263" s="172">
        <v>46057.6427828125</v>
      </c>
      <c r="Y1263" s="172"/>
      <c r="Z1263" s="3">
        <v>46018.0</v>
      </c>
      <c r="AA1263" s="3"/>
    </row>
    <row r="1264">
      <c r="A1264" s="3">
        <v>6.820361797891E12</v>
      </c>
      <c r="B1264" s="2" t="s">
        <v>5426</v>
      </c>
      <c r="C1264" s="2" t="s">
        <v>5427</v>
      </c>
      <c r="D1264" s="169">
        <v>46018.0</v>
      </c>
      <c r="E1264" s="2">
        <v>3.321134859E9</v>
      </c>
      <c r="F1264" s="2" t="s">
        <v>5428</v>
      </c>
      <c r="G1264" s="2" t="s">
        <v>493</v>
      </c>
      <c r="H1264" s="2">
        <v>1861.0</v>
      </c>
      <c r="I1264" s="2">
        <v>2.4120050020791E13</v>
      </c>
      <c r="J1264" s="3">
        <v>1.0</v>
      </c>
      <c r="L1264" s="2" t="s">
        <v>1185</v>
      </c>
      <c r="M1264" s="174" t="s">
        <v>409</v>
      </c>
      <c r="N1264" s="2" t="s">
        <v>462</v>
      </c>
      <c r="O1264" s="3">
        <v>0.5</v>
      </c>
      <c r="P1264" s="2" t="s">
        <v>363</v>
      </c>
      <c r="Q1264" s="3">
        <v>490.0</v>
      </c>
      <c r="T1264" s="2" t="s">
        <v>2140</v>
      </c>
      <c r="U1264" s="171">
        <v>1861.0</v>
      </c>
      <c r="V1264" s="172">
        <v>46021.0</v>
      </c>
      <c r="W1264" s="3">
        <v>288.0</v>
      </c>
      <c r="X1264" s="172">
        <v>46020.630844907406</v>
      </c>
      <c r="Y1264" s="172"/>
      <c r="Z1264" s="3">
        <v>46018.0</v>
      </c>
      <c r="AA1264" s="3"/>
    </row>
    <row r="1265">
      <c r="A1265" s="3">
        <v>6.820861935875E12</v>
      </c>
      <c r="B1265" s="2" t="s">
        <v>5429</v>
      </c>
      <c r="C1265" s="2" t="s">
        <v>5430</v>
      </c>
      <c r="D1265" s="169">
        <v>46018.0</v>
      </c>
      <c r="E1265" s="2">
        <v>3.438785862E9</v>
      </c>
      <c r="F1265" s="2" t="s">
        <v>5431</v>
      </c>
      <c r="G1265" s="2" t="s">
        <v>5432</v>
      </c>
      <c r="H1265" s="2">
        <v>2901.0</v>
      </c>
      <c r="I1265" s="2">
        <v>2.112005002079E13</v>
      </c>
      <c r="J1265" s="3">
        <v>1.0</v>
      </c>
      <c r="L1265" s="2" t="s">
        <v>500</v>
      </c>
      <c r="M1265" s="174" t="s">
        <v>409</v>
      </c>
      <c r="N1265" s="2" t="s">
        <v>462</v>
      </c>
      <c r="O1265" s="3">
        <v>0.5</v>
      </c>
      <c r="P1265" s="2" t="s">
        <v>73</v>
      </c>
      <c r="Q1265" s="3">
        <v>850.0</v>
      </c>
      <c r="T1265" s="2" t="s">
        <v>2140</v>
      </c>
      <c r="U1265" s="171">
        <v>2901.0</v>
      </c>
      <c r="V1265" s="172">
        <v>46021.0</v>
      </c>
      <c r="W1265" s="3">
        <v>316.0</v>
      </c>
      <c r="X1265" s="172">
        <v>46020.545324074075</v>
      </c>
      <c r="Y1265" s="172"/>
      <c r="Z1265" s="3">
        <v>46018.0</v>
      </c>
      <c r="AA1265" s="3"/>
    </row>
    <row r="1266">
      <c r="A1266" s="3">
        <v>6.820974723331E12</v>
      </c>
      <c r="B1266" s="2" t="s">
        <v>5433</v>
      </c>
      <c r="C1266" s="2" t="s">
        <v>1336</v>
      </c>
      <c r="D1266" s="169">
        <v>46018.0</v>
      </c>
      <c r="E1266" s="173" t="s">
        <v>2923</v>
      </c>
      <c r="F1266" s="2" t="s">
        <v>1337</v>
      </c>
      <c r="G1266" s="2" t="s">
        <v>1016</v>
      </c>
      <c r="H1266" s="2">
        <v>5354.96</v>
      </c>
      <c r="I1266" s="2">
        <v>2.2120050020789E13</v>
      </c>
      <c r="J1266" s="3">
        <v>2.0</v>
      </c>
      <c r="K1266" s="2" t="s">
        <v>5434</v>
      </c>
      <c r="L1266" s="2" t="s">
        <v>5435</v>
      </c>
      <c r="M1266" s="174" t="s">
        <v>409</v>
      </c>
      <c r="N1266" s="2" t="s">
        <v>462</v>
      </c>
      <c r="O1266" s="3">
        <v>0.5</v>
      </c>
      <c r="P1266" s="2" t="s">
        <v>363</v>
      </c>
      <c r="Q1266" s="3">
        <v>2150.0</v>
      </c>
      <c r="T1266" s="2" t="s">
        <v>2140</v>
      </c>
      <c r="U1266" s="19">
        <v>5354.96</v>
      </c>
      <c r="V1266" s="172">
        <v>46021.0</v>
      </c>
      <c r="W1266" s="3">
        <v>328.0</v>
      </c>
      <c r="X1266" s="172">
        <v>46021.49256944444</v>
      </c>
      <c r="Y1266" s="172"/>
      <c r="Z1266" s="3">
        <v>46018.0</v>
      </c>
      <c r="AA1266" s="3"/>
    </row>
    <row r="1267">
      <c r="A1267" s="3">
        <v>6.821166776579E12</v>
      </c>
      <c r="B1267" s="2" t="s">
        <v>5436</v>
      </c>
      <c r="C1267" s="2" t="s">
        <v>5437</v>
      </c>
      <c r="D1267" s="169">
        <v>46018.0</v>
      </c>
      <c r="E1267" s="2">
        <v>3.554673598E9</v>
      </c>
      <c r="F1267" s="2" t="s">
        <v>5438</v>
      </c>
      <c r="G1267" s="2" t="s">
        <v>5439</v>
      </c>
      <c r="H1267" s="2">
        <v>0.0</v>
      </c>
      <c r="J1267" s="3">
        <v>0.0</v>
      </c>
      <c r="K1267" s="2" t="s">
        <v>5440</v>
      </c>
      <c r="L1267" s="2"/>
      <c r="M1267" s="2" t="s">
        <v>468</v>
      </c>
      <c r="N1267" s="2" t="s">
        <v>406</v>
      </c>
      <c r="O1267" s="3">
        <v>0.5</v>
      </c>
      <c r="Q1267" s="3">
        <v>0.0</v>
      </c>
      <c r="U1267" s="141"/>
      <c r="X1267" s="172">
        <v>46057.6427828125</v>
      </c>
      <c r="Y1267" s="172"/>
      <c r="Z1267" s="3">
        <v>46018.0</v>
      </c>
      <c r="AA1267" s="3"/>
    </row>
    <row r="1268">
      <c r="A1268" s="3">
        <v>6.821367677187E12</v>
      </c>
      <c r="B1268" s="2" t="s">
        <v>5441</v>
      </c>
      <c r="C1268" s="2" t="s">
        <v>3753</v>
      </c>
      <c r="D1268" s="169">
        <v>46018.0</v>
      </c>
      <c r="E1268" s="173" t="s">
        <v>5442</v>
      </c>
      <c r="F1268" s="2" t="s">
        <v>5443</v>
      </c>
      <c r="G1268" s="2" t="s">
        <v>2124</v>
      </c>
      <c r="H1268" s="2">
        <v>2500.0</v>
      </c>
      <c r="I1268" s="2">
        <v>2.4120050020788E13</v>
      </c>
      <c r="J1268" s="3">
        <v>2.0</v>
      </c>
      <c r="K1268" s="2" t="s">
        <v>5444</v>
      </c>
      <c r="L1268" s="2" t="s">
        <v>16</v>
      </c>
      <c r="M1268" s="174" t="s">
        <v>409</v>
      </c>
      <c r="N1268" s="2" t="s">
        <v>462</v>
      </c>
      <c r="O1268" s="3">
        <v>0.5</v>
      </c>
      <c r="P1268" s="2" t="s">
        <v>363</v>
      </c>
      <c r="Q1268" s="3">
        <v>980.0</v>
      </c>
      <c r="T1268" s="2" t="s">
        <v>3833</v>
      </c>
      <c r="U1268" s="171">
        <v>2500.0</v>
      </c>
      <c r="V1268" s="172">
        <v>46024.0</v>
      </c>
      <c r="W1268" s="3">
        <v>213.44</v>
      </c>
      <c r="X1268" s="172">
        <v>46022.57802083333</v>
      </c>
      <c r="Y1268" s="172"/>
      <c r="Z1268" s="3">
        <v>46018.0</v>
      </c>
      <c r="AA1268" s="3"/>
    </row>
    <row r="1269">
      <c r="A1269" s="3">
        <v>6.821381865731E12</v>
      </c>
      <c r="B1269" s="2" t="s">
        <v>5445</v>
      </c>
      <c r="C1269" s="2" t="s">
        <v>5446</v>
      </c>
      <c r="D1269" s="169">
        <v>46018.0</v>
      </c>
      <c r="E1269" s="2">
        <v>3.322164339E9</v>
      </c>
      <c r="F1269" s="2" t="s">
        <v>5447</v>
      </c>
      <c r="G1269" s="2" t="s">
        <v>368</v>
      </c>
      <c r="H1269" s="2">
        <v>0.0</v>
      </c>
      <c r="I1269" s="2">
        <v>2.6120050020787E13</v>
      </c>
      <c r="J1269" s="3">
        <v>0.0</v>
      </c>
      <c r="K1269" s="2" t="s">
        <v>5448</v>
      </c>
      <c r="L1269" s="2"/>
      <c r="M1269" s="170" t="s">
        <v>455</v>
      </c>
      <c r="N1269" s="2" t="s">
        <v>406</v>
      </c>
      <c r="O1269" s="3">
        <v>0.5</v>
      </c>
      <c r="P1269" s="2" t="s">
        <v>363</v>
      </c>
      <c r="Q1269" s="3">
        <v>0.0</v>
      </c>
      <c r="T1269" s="2" t="s">
        <v>3616</v>
      </c>
      <c r="U1269" s="171">
        <v>0.0</v>
      </c>
      <c r="V1269" s="172">
        <v>46028.0</v>
      </c>
      <c r="W1269" s="3">
        <v>106.72</v>
      </c>
      <c r="X1269" s="172">
        <v>46057.6427828125</v>
      </c>
      <c r="Y1269" s="172"/>
      <c r="Z1269" s="3">
        <v>46018.0</v>
      </c>
      <c r="AA1269" s="3"/>
    </row>
    <row r="1270">
      <c r="A1270" s="3">
        <v>6.821445435651E12</v>
      </c>
      <c r="B1270" s="2" t="s">
        <v>5449</v>
      </c>
      <c r="C1270" s="2" t="s">
        <v>5450</v>
      </c>
      <c r="D1270" s="169">
        <v>46018.0</v>
      </c>
      <c r="E1270" s="173" t="s">
        <v>5451</v>
      </c>
      <c r="F1270" s="2" t="s">
        <v>5452</v>
      </c>
      <c r="G1270" s="2" t="s">
        <v>5453</v>
      </c>
      <c r="H1270" s="2">
        <v>2278.0</v>
      </c>
      <c r="I1270" s="2">
        <v>2.3120050020786E13</v>
      </c>
      <c r="J1270" s="3">
        <v>1.0</v>
      </c>
      <c r="K1270" s="2" t="s">
        <v>1989</v>
      </c>
      <c r="L1270" s="2" t="s">
        <v>5454</v>
      </c>
      <c r="M1270" s="174" t="s">
        <v>409</v>
      </c>
      <c r="N1270" s="2" t="s">
        <v>462</v>
      </c>
      <c r="O1270" s="3">
        <v>0.5</v>
      </c>
      <c r="P1270" s="2" t="s">
        <v>363</v>
      </c>
      <c r="Q1270" s="3">
        <v>500.0</v>
      </c>
      <c r="T1270" s="2" t="s">
        <v>2140</v>
      </c>
      <c r="U1270" s="171">
        <v>2278.0</v>
      </c>
      <c r="V1270" s="172">
        <v>46021.0</v>
      </c>
      <c r="W1270" s="3">
        <v>200.0</v>
      </c>
      <c r="X1270" s="172">
        <v>46020.49465277778</v>
      </c>
      <c r="Y1270" s="172"/>
      <c r="Z1270" s="3">
        <v>46018.0</v>
      </c>
      <c r="AA1270" s="3"/>
    </row>
    <row r="1271">
      <c r="A1271" s="3">
        <v>6.821495865603E12</v>
      </c>
      <c r="B1271" s="2" t="s">
        <v>5455</v>
      </c>
      <c r="C1271" s="2" t="s">
        <v>5456</v>
      </c>
      <c r="D1271" s="169">
        <v>46018.0</v>
      </c>
      <c r="E1271" s="2">
        <v>3.004321227E9</v>
      </c>
      <c r="F1271" s="2" t="s">
        <v>5457</v>
      </c>
      <c r="G1271" s="2" t="s">
        <v>368</v>
      </c>
      <c r="H1271" s="2">
        <v>2797.0</v>
      </c>
      <c r="I1271" s="2">
        <v>2.7120050020785E13</v>
      </c>
      <c r="J1271" s="3">
        <v>1.0</v>
      </c>
      <c r="L1271" s="2" t="s">
        <v>5458</v>
      </c>
      <c r="M1271" s="174" t="s">
        <v>409</v>
      </c>
      <c r="N1271" s="2" t="s">
        <v>462</v>
      </c>
      <c r="O1271" s="3">
        <v>0.5</v>
      </c>
      <c r="P1271" s="2" t="s">
        <v>363</v>
      </c>
      <c r="Q1271" s="3">
        <v>1075.0</v>
      </c>
      <c r="T1271" s="2" t="s">
        <v>2140</v>
      </c>
      <c r="U1271" s="171">
        <v>2797.0</v>
      </c>
      <c r="V1271" s="172">
        <v>46021.0</v>
      </c>
      <c r="W1271" s="3">
        <v>232.0</v>
      </c>
      <c r="X1271" s="172">
        <v>46020.77315972222</v>
      </c>
      <c r="Y1271" s="172"/>
      <c r="Z1271" s="3">
        <v>46018.0</v>
      </c>
      <c r="AA1271" s="3"/>
    </row>
    <row r="1272">
      <c r="A1272" s="3">
        <v>6.821549965571E12</v>
      </c>
      <c r="B1272" s="2" t="s">
        <v>5459</v>
      </c>
      <c r="C1272" s="2" t="s">
        <v>5460</v>
      </c>
      <c r="D1272" s="169">
        <v>46018.0</v>
      </c>
      <c r="E1272" s="173" t="s">
        <v>5461</v>
      </c>
      <c r="F1272" s="2" t="s">
        <v>5462</v>
      </c>
      <c r="G1272" s="2" t="s">
        <v>5463</v>
      </c>
      <c r="H1272" s="2">
        <v>250.0</v>
      </c>
      <c r="I1272" s="2" t="s">
        <v>5464</v>
      </c>
      <c r="J1272" s="3">
        <v>0.0</v>
      </c>
      <c r="K1272" s="2" t="s">
        <v>1989</v>
      </c>
      <c r="L1272" s="2"/>
      <c r="M1272" s="170" t="s">
        <v>455</v>
      </c>
      <c r="N1272" s="2" t="s">
        <v>406</v>
      </c>
      <c r="O1272" s="3">
        <v>0.5</v>
      </c>
      <c r="P1272" s="2" t="s">
        <v>640</v>
      </c>
      <c r="Q1272" s="3">
        <v>0.0</v>
      </c>
      <c r="T1272" s="2" t="s">
        <v>4504</v>
      </c>
      <c r="U1272" s="141"/>
      <c r="W1272" s="3">
        <v>292.2</v>
      </c>
      <c r="X1272" s="172">
        <v>46057.6427828125</v>
      </c>
      <c r="Y1272" s="172"/>
      <c r="Z1272" s="3">
        <v>46018.0</v>
      </c>
      <c r="AA1272" s="3"/>
    </row>
    <row r="1273">
      <c r="A1273" s="3">
        <v>6.821574344963E12</v>
      </c>
      <c r="B1273" s="2" t="s">
        <v>5465</v>
      </c>
      <c r="C1273" s="2" t="s">
        <v>3961</v>
      </c>
      <c r="D1273" s="169">
        <v>46018.0</v>
      </c>
      <c r="E1273" s="173" t="s">
        <v>3962</v>
      </c>
      <c r="F1273" s="2" t="s">
        <v>3963</v>
      </c>
      <c r="G1273" s="2" t="s">
        <v>3964</v>
      </c>
      <c r="H1273" s="2">
        <v>1425.0</v>
      </c>
      <c r="I1273" s="2">
        <v>2.8120050020784E13</v>
      </c>
      <c r="J1273" s="3">
        <v>1.0</v>
      </c>
      <c r="K1273" s="2" t="s">
        <v>5466</v>
      </c>
      <c r="L1273" s="2" t="s">
        <v>5467</v>
      </c>
      <c r="M1273" s="174" t="s">
        <v>409</v>
      </c>
      <c r="N1273" s="2" t="s">
        <v>462</v>
      </c>
      <c r="O1273" s="3">
        <v>0.5</v>
      </c>
      <c r="P1273" s="2" t="s">
        <v>73</v>
      </c>
      <c r="Q1273" s="3">
        <v>480.0</v>
      </c>
      <c r="T1273" s="2" t="s">
        <v>2140</v>
      </c>
      <c r="U1273" s="171">
        <v>1425.0</v>
      </c>
      <c r="V1273" s="172">
        <v>46021.0</v>
      </c>
      <c r="W1273" s="3">
        <v>200.0</v>
      </c>
      <c r="X1273" s="172">
        <v>46020.56827546297</v>
      </c>
      <c r="Y1273" s="172"/>
      <c r="Z1273" s="3">
        <v>46018.0</v>
      </c>
      <c r="AA1273" s="3"/>
    </row>
    <row r="1274">
      <c r="A1274" s="3">
        <v>6.821599838467E12</v>
      </c>
      <c r="B1274" s="2" t="s">
        <v>5468</v>
      </c>
      <c r="C1274" s="2" t="s">
        <v>5469</v>
      </c>
      <c r="D1274" s="169">
        <v>46018.0</v>
      </c>
      <c r="E1274" s="2">
        <v>3.333702011E9</v>
      </c>
      <c r="F1274" s="2" t="s">
        <v>5470</v>
      </c>
      <c r="G1274" s="2" t="s">
        <v>536</v>
      </c>
      <c r="H1274" s="2">
        <v>0.0</v>
      </c>
      <c r="I1274" s="2">
        <v>2.6120050020813E13</v>
      </c>
      <c r="J1274" s="3">
        <v>0.0</v>
      </c>
      <c r="K1274" s="2" t="s">
        <v>5471</v>
      </c>
      <c r="L1274" s="2"/>
      <c r="M1274" s="170" t="s">
        <v>455</v>
      </c>
      <c r="N1274" s="2" t="s">
        <v>406</v>
      </c>
      <c r="O1274" s="3">
        <v>0.5</v>
      </c>
      <c r="P1274" s="2" t="s">
        <v>363</v>
      </c>
      <c r="Q1274" s="3">
        <v>0.0</v>
      </c>
      <c r="T1274" s="2" t="s">
        <v>4077</v>
      </c>
      <c r="U1274" s="171">
        <v>0.0</v>
      </c>
      <c r="V1274" s="172">
        <v>46031.0</v>
      </c>
      <c r="W1274" s="3">
        <v>320.0</v>
      </c>
      <c r="X1274" s="172">
        <v>46057.6427828125</v>
      </c>
      <c r="Y1274" s="172"/>
      <c r="Z1274" s="3">
        <v>46018.0</v>
      </c>
      <c r="AA1274" s="3"/>
    </row>
    <row r="1275">
      <c r="A1275" s="3">
        <v>6.821666226435E12</v>
      </c>
      <c r="B1275" s="2" t="s">
        <v>5472</v>
      </c>
      <c r="C1275" s="2" t="s">
        <v>5473</v>
      </c>
      <c r="D1275" s="169">
        <v>46018.0</v>
      </c>
      <c r="E1275" s="2">
        <v>3.455898346E9</v>
      </c>
      <c r="F1275" s="2" t="s">
        <v>5474</v>
      </c>
      <c r="G1275" s="2" t="s">
        <v>506</v>
      </c>
      <c r="H1275" s="2">
        <v>3213.0</v>
      </c>
      <c r="I1275" s="2">
        <v>2.4120050020812E13</v>
      </c>
      <c r="J1275" s="3">
        <v>2.0</v>
      </c>
      <c r="L1275" s="2" t="s">
        <v>2562</v>
      </c>
      <c r="M1275" s="174" t="s">
        <v>409</v>
      </c>
      <c r="N1275" s="2" t="s">
        <v>462</v>
      </c>
      <c r="O1275" s="3">
        <v>0.5</v>
      </c>
      <c r="P1275" s="2" t="s">
        <v>363</v>
      </c>
      <c r="Q1275" s="3">
        <v>1000.0</v>
      </c>
      <c r="T1275" s="2" t="s">
        <v>2140</v>
      </c>
      <c r="U1275" s="171">
        <v>3213.0</v>
      </c>
      <c r="V1275" s="172">
        <v>46021.0</v>
      </c>
      <c r="W1275" s="3">
        <v>329.0</v>
      </c>
      <c r="X1275" s="172">
        <v>46020.57726851852</v>
      </c>
      <c r="Y1275" s="172"/>
      <c r="Z1275" s="3">
        <v>46018.0</v>
      </c>
      <c r="AA1275" s="3"/>
    </row>
    <row r="1276">
      <c r="A1276" s="3">
        <v>6.821809062147E12</v>
      </c>
      <c r="B1276" s="2" t="s">
        <v>5475</v>
      </c>
      <c r="C1276" s="2" t="s">
        <v>5476</v>
      </c>
      <c r="D1276" s="169">
        <v>46018.0</v>
      </c>
      <c r="E1276" s="2">
        <v>9.2344960158E11</v>
      </c>
      <c r="F1276" s="2" t="s">
        <v>5477</v>
      </c>
      <c r="G1276" s="2" t="s">
        <v>493</v>
      </c>
      <c r="H1276" s="2">
        <v>2849.0</v>
      </c>
      <c r="I1276" s="2">
        <v>2.5120050020811E13</v>
      </c>
      <c r="J1276" s="3">
        <v>2.0</v>
      </c>
      <c r="L1276" s="2" t="s">
        <v>35</v>
      </c>
      <c r="M1276" s="174" t="s">
        <v>409</v>
      </c>
      <c r="N1276" s="2" t="s">
        <v>462</v>
      </c>
      <c r="O1276" s="3">
        <v>0.5</v>
      </c>
      <c r="P1276" s="2" t="s">
        <v>363</v>
      </c>
      <c r="Q1276" s="3">
        <v>980.0</v>
      </c>
      <c r="T1276" s="2" t="s">
        <v>3833</v>
      </c>
      <c r="U1276" s="171">
        <v>2849.0</v>
      </c>
      <c r="V1276" s="172">
        <v>46024.0</v>
      </c>
      <c r="W1276" s="3">
        <v>340.74</v>
      </c>
      <c r="X1276" s="172">
        <v>46021.63496527778</v>
      </c>
      <c r="Y1276" s="172"/>
      <c r="Z1276" s="3">
        <v>46018.0</v>
      </c>
      <c r="AA1276" s="3"/>
    </row>
    <row r="1277">
      <c r="A1277" s="3">
        <v>6.821886722307E12</v>
      </c>
      <c r="B1277" s="2" t="s">
        <v>5478</v>
      </c>
      <c r="C1277" s="2" t="s">
        <v>5479</v>
      </c>
      <c r="D1277" s="169">
        <v>46018.0</v>
      </c>
      <c r="E1277" s="2">
        <v>3.056015929E9</v>
      </c>
      <c r="F1277" s="2" t="s">
        <v>5480</v>
      </c>
      <c r="G1277" s="2" t="s">
        <v>688</v>
      </c>
      <c r="H1277" s="2">
        <v>2849.0</v>
      </c>
      <c r="I1277" s="2">
        <v>2.1120050020878E13</v>
      </c>
      <c r="J1277" s="3">
        <v>2.0</v>
      </c>
      <c r="L1277" s="2" t="s">
        <v>926</v>
      </c>
      <c r="M1277" s="174" t="s">
        <v>409</v>
      </c>
      <c r="N1277" s="2" t="s">
        <v>462</v>
      </c>
      <c r="O1277" s="3">
        <v>0.5</v>
      </c>
      <c r="P1277" s="2" t="s">
        <v>73</v>
      </c>
      <c r="Q1277" s="3">
        <v>980.0</v>
      </c>
      <c r="T1277" s="2" t="s">
        <v>3616</v>
      </c>
      <c r="U1277" s="171">
        <v>2849.0</v>
      </c>
      <c r="V1277" s="172">
        <v>46028.0</v>
      </c>
      <c r="W1277" s="3">
        <v>334.07</v>
      </c>
      <c r="X1277" s="172">
        <v>46024.60574074074</v>
      </c>
      <c r="Y1277" s="172"/>
      <c r="Z1277" s="3">
        <v>46018.0</v>
      </c>
      <c r="AA1277" s="3"/>
    </row>
    <row r="1278">
      <c r="A1278" s="3">
        <v>6.822033195267E12</v>
      </c>
      <c r="B1278" s="2" t="s">
        <v>5481</v>
      </c>
      <c r="C1278" s="2" t="s">
        <v>5482</v>
      </c>
      <c r="D1278" s="169">
        <v>46018.0</v>
      </c>
      <c r="E1278" s="2">
        <v>3.406590086E9</v>
      </c>
      <c r="F1278" s="2" t="s">
        <v>5483</v>
      </c>
      <c r="G1278" s="2" t="s">
        <v>368</v>
      </c>
      <c r="H1278" s="2">
        <v>3213.0</v>
      </c>
      <c r="I1278" s="2">
        <v>2.8120050020833E13</v>
      </c>
      <c r="J1278" s="3">
        <v>2.0</v>
      </c>
      <c r="L1278" s="2" t="s">
        <v>228</v>
      </c>
      <c r="M1278" s="174" t="s">
        <v>409</v>
      </c>
      <c r="N1278" s="2" t="s">
        <v>462</v>
      </c>
      <c r="O1278" s="3">
        <v>0.5</v>
      </c>
      <c r="P1278" s="2" t="s">
        <v>73</v>
      </c>
      <c r="Q1278" s="3">
        <v>920.0</v>
      </c>
      <c r="T1278" s="2" t="s">
        <v>3833</v>
      </c>
      <c r="U1278" s="171">
        <v>3213.0</v>
      </c>
      <c r="V1278" s="172">
        <v>46024.0</v>
      </c>
      <c r="W1278" s="3">
        <v>235.24</v>
      </c>
      <c r="X1278" s="172">
        <v>46022.74045138889</v>
      </c>
      <c r="Y1278" s="172"/>
      <c r="Z1278" s="3">
        <v>46018.0</v>
      </c>
      <c r="AA1278" s="3"/>
    </row>
    <row r="1279">
      <c r="A1279" s="3">
        <v>6.837239644419E12</v>
      </c>
      <c r="B1279" s="2" t="s">
        <v>5484</v>
      </c>
      <c r="C1279" s="2" t="s">
        <v>5485</v>
      </c>
      <c r="D1279" s="169">
        <v>46018.0</v>
      </c>
      <c r="E1279" s="2">
        <v>3.45856856E9</v>
      </c>
      <c r="F1279" s="2" t="s">
        <v>5486</v>
      </c>
      <c r="G1279" s="2" t="s">
        <v>506</v>
      </c>
      <c r="H1279" s="2">
        <v>2901.0</v>
      </c>
      <c r="I1279" s="2">
        <v>2.9120050020835E13</v>
      </c>
      <c r="J1279" s="3">
        <v>1.0</v>
      </c>
      <c r="L1279" s="2" t="s">
        <v>500</v>
      </c>
      <c r="M1279" s="174" t="s">
        <v>409</v>
      </c>
      <c r="N1279" s="2" t="s">
        <v>462</v>
      </c>
      <c r="O1279" s="3">
        <v>0.5</v>
      </c>
      <c r="P1279" s="2" t="s">
        <v>363</v>
      </c>
      <c r="Q1279" s="3">
        <v>850.0</v>
      </c>
      <c r="T1279" s="2" t="s">
        <v>3833</v>
      </c>
      <c r="U1279" s="171">
        <v>2901.0</v>
      </c>
      <c r="V1279" s="172">
        <v>46024.0</v>
      </c>
      <c r="W1279" s="3">
        <v>316.1</v>
      </c>
      <c r="X1279" s="172">
        <v>46022.58144675926</v>
      </c>
      <c r="Y1279" s="172"/>
      <c r="Z1279" s="3">
        <v>46018.0</v>
      </c>
      <c r="AA1279" s="3"/>
    </row>
    <row r="1280">
      <c r="A1280" s="3">
        <v>6.837332934915E12</v>
      </c>
      <c r="B1280" s="2" t="s">
        <v>5487</v>
      </c>
      <c r="C1280" s="2" t="s">
        <v>5488</v>
      </c>
      <c r="D1280" s="169">
        <v>46018.0</v>
      </c>
      <c r="E1280" s="173" t="s">
        <v>5489</v>
      </c>
      <c r="F1280" s="2" t="s">
        <v>5490</v>
      </c>
      <c r="G1280" s="2" t="s">
        <v>3500</v>
      </c>
      <c r="H1280" s="2">
        <v>2901.0</v>
      </c>
      <c r="I1280" s="2">
        <v>2.2120050020837E13</v>
      </c>
      <c r="J1280" s="3">
        <v>1.0</v>
      </c>
      <c r="L1280" s="2" t="s">
        <v>500</v>
      </c>
      <c r="M1280" s="174" t="s">
        <v>409</v>
      </c>
      <c r="N1280" s="2" t="s">
        <v>462</v>
      </c>
      <c r="O1280" s="3">
        <v>0.5</v>
      </c>
      <c r="P1280" s="2" t="s">
        <v>363</v>
      </c>
      <c r="Q1280" s="3">
        <v>850.0</v>
      </c>
      <c r="T1280" s="2" t="s">
        <v>3833</v>
      </c>
      <c r="U1280" s="171">
        <v>2901.0</v>
      </c>
      <c r="V1280" s="172">
        <v>46024.0</v>
      </c>
      <c r="W1280" s="3">
        <v>342.82</v>
      </c>
      <c r="X1280" s="172">
        <v>46022.70649305556</v>
      </c>
      <c r="Y1280" s="172"/>
      <c r="Z1280" s="3">
        <v>46018.0</v>
      </c>
      <c r="AA1280" s="3"/>
    </row>
    <row r="1281">
      <c r="A1281" s="3">
        <v>6.837518500099E12</v>
      </c>
      <c r="B1281" s="2" t="s">
        <v>5491</v>
      </c>
      <c r="C1281" s="2" t="s">
        <v>5492</v>
      </c>
      <c r="D1281" s="169">
        <v>46018.0</v>
      </c>
      <c r="E1281" s="2">
        <v>3.132100047E9</v>
      </c>
      <c r="F1281" s="2" t="s">
        <v>5493</v>
      </c>
      <c r="G1281" s="2" t="s">
        <v>5494</v>
      </c>
      <c r="H1281" s="2">
        <v>0.0</v>
      </c>
      <c r="J1281" s="3">
        <v>0.0</v>
      </c>
      <c r="K1281" s="2" t="s">
        <v>760</v>
      </c>
      <c r="L1281" s="2"/>
      <c r="M1281" s="2" t="s">
        <v>468</v>
      </c>
      <c r="N1281" s="2" t="s">
        <v>406</v>
      </c>
      <c r="O1281" s="3">
        <v>0.5</v>
      </c>
      <c r="Q1281" s="3">
        <v>0.0</v>
      </c>
      <c r="U1281" s="141"/>
      <c r="X1281" s="172">
        <v>46057.6427828125</v>
      </c>
      <c r="Y1281" s="172"/>
      <c r="Z1281" s="3">
        <v>46018.0</v>
      </c>
      <c r="AA1281" s="3"/>
    </row>
    <row r="1282">
      <c r="A1282" s="3">
        <v>6.837522202883E12</v>
      </c>
      <c r="B1282" s="2" t="s">
        <v>5495</v>
      </c>
      <c r="C1282" s="2" t="s">
        <v>5492</v>
      </c>
      <c r="D1282" s="169">
        <v>46018.0</v>
      </c>
      <c r="E1282" s="173" t="s">
        <v>5496</v>
      </c>
      <c r="F1282" s="2" t="s">
        <v>5497</v>
      </c>
      <c r="G1282" s="2" t="s">
        <v>493</v>
      </c>
      <c r="H1282" s="2">
        <v>0.0</v>
      </c>
      <c r="J1282" s="3">
        <v>0.0</v>
      </c>
      <c r="K1282" s="2" t="s">
        <v>5498</v>
      </c>
      <c r="L1282" s="2"/>
      <c r="M1282" s="2" t="s">
        <v>468</v>
      </c>
      <c r="N1282" s="2" t="s">
        <v>406</v>
      </c>
      <c r="O1282" s="3">
        <v>0.5</v>
      </c>
      <c r="Q1282" s="3">
        <v>0.0</v>
      </c>
      <c r="U1282" s="141"/>
      <c r="X1282" s="172">
        <v>46057.6427828125</v>
      </c>
      <c r="Y1282" s="172"/>
      <c r="Z1282" s="3">
        <v>46018.0</v>
      </c>
      <c r="AA1282" s="3"/>
    </row>
    <row r="1283">
      <c r="A1283" s="3">
        <v>6.837597339907E12</v>
      </c>
      <c r="B1283" s="2" t="s">
        <v>5499</v>
      </c>
      <c r="C1283" s="2" t="s">
        <v>5500</v>
      </c>
      <c r="D1283" s="169">
        <v>46018.0</v>
      </c>
      <c r="E1283" s="173" t="s">
        <v>5501</v>
      </c>
      <c r="F1283" s="2" t="s">
        <v>5502</v>
      </c>
      <c r="G1283" s="2" t="s">
        <v>693</v>
      </c>
      <c r="H1283" s="2">
        <v>6133.92</v>
      </c>
      <c r="I1283" s="2">
        <v>2.312005002087E13</v>
      </c>
      <c r="J1283" s="3">
        <v>2.0</v>
      </c>
      <c r="K1283" s="2" t="s">
        <v>241</v>
      </c>
      <c r="L1283" s="2" t="s">
        <v>5503</v>
      </c>
      <c r="M1283" s="174" t="s">
        <v>409</v>
      </c>
      <c r="N1283" s="2" t="s">
        <v>462</v>
      </c>
      <c r="O1283" s="3">
        <v>0.5</v>
      </c>
      <c r="P1283" s="2" t="s">
        <v>363</v>
      </c>
      <c r="Q1283" s="3">
        <v>3030.0</v>
      </c>
      <c r="T1283" s="2" t="s">
        <v>3616</v>
      </c>
      <c r="U1283" s="171">
        <v>6133.92</v>
      </c>
      <c r="V1283" s="172">
        <v>46028.0</v>
      </c>
      <c r="W1283" s="3">
        <v>565.52</v>
      </c>
      <c r="X1283" s="172">
        <v>46024.56756944444</v>
      </c>
      <c r="Y1283" s="172"/>
      <c r="Z1283" s="3">
        <v>46018.0</v>
      </c>
      <c r="AA1283" s="3"/>
    </row>
    <row r="1284">
      <c r="A1284" s="3">
        <v>6.837757214979E12</v>
      </c>
      <c r="B1284" s="2" t="s">
        <v>5504</v>
      </c>
      <c r="C1284" s="2" t="s">
        <v>3382</v>
      </c>
      <c r="D1284" s="169">
        <v>46019.0</v>
      </c>
      <c r="E1284" s="2">
        <v>3.054696686E9</v>
      </c>
      <c r="F1284" s="2" t="s">
        <v>5505</v>
      </c>
      <c r="G1284" s="2" t="s">
        <v>693</v>
      </c>
      <c r="H1284" s="2">
        <v>6500.0</v>
      </c>
      <c r="I1284" s="2">
        <v>2.1120050020869E13</v>
      </c>
      <c r="J1284" s="3">
        <v>4.0</v>
      </c>
      <c r="K1284" s="2" t="s">
        <v>241</v>
      </c>
      <c r="L1284" s="2" t="s">
        <v>5506</v>
      </c>
      <c r="M1284" s="174" t="s">
        <v>409</v>
      </c>
      <c r="N1284" s="2" t="s">
        <v>462</v>
      </c>
      <c r="O1284" s="3">
        <v>0.5</v>
      </c>
      <c r="P1284" s="2" t="s">
        <v>73</v>
      </c>
      <c r="Q1284" s="3">
        <v>2660.0</v>
      </c>
      <c r="T1284" s="2" t="s">
        <v>3616</v>
      </c>
      <c r="U1284" s="171">
        <v>6500.0</v>
      </c>
      <c r="V1284" s="172">
        <v>46028.0</v>
      </c>
      <c r="W1284" s="3">
        <v>673.54</v>
      </c>
      <c r="X1284" s="172">
        <v>46024.56756944444</v>
      </c>
      <c r="Y1284" s="172"/>
      <c r="Z1284" s="3">
        <v>46019.0</v>
      </c>
      <c r="AA1284" s="3"/>
    </row>
    <row r="1285">
      <c r="A1285" s="3">
        <v>6.837830582531E12</v>
      </c>
      <c r="B1285" s="2" t="s">
        <v>5507</v>
      </c>
      <c r="C1285" s="2" t="s">
        <v>5508</v>
      </c>
      <c r="D1285" s="169">
        <v>46019.0</v>
      </c>
      <c r="E1285" s="2">
        <v>3.27042E9</v>
      </c>
      <c r="F1285" s="2" t="s">
        <v>5509</v>
      </c>
      <c r="G1285" s="2" t="s">
        <v>541</v>
      </c>
      <c r="H1285" s="2">
        <v>3213.0</v>
      </c>
      <c r="I1285" s="2">
        <v>2.4120050020832E13</v>
      </c>
      <c r="J1285" s="3">
        <v>2.0</v>
      </c>
      <c r="L1285" s="2" t="s">
        <v>50</v>
      </c>
      <c r="M1285" s="174" t="s">
        <v>409</v>
      </c>
      <c r="N1285" s="2" t="s">
        <v>462</v>
      </c>
      <c r="O1285" s="3">
        <v>0.5</v>
      </c>
      <c r="P1285" s="2" t="s">
        <v>363</v>
      </c>
      <c r="Q1285" s="3">
        <v>920.0</v>
      </c>
      <c r="T1285" s="2" t="s">
        <v>3833</v>
      </c>
      <c r="U1285" s="171">
        <v>3213.0</v>
      </c>
      <c r="V1285" s="172">
        <v>46024.0</v>
      </c>
      <c r="W1285" s="3">
        <v>328.62</v>
      </c>
      <c r="X1285" s="172">
        <v>46022.72296296296</v>
      </c>
      <c r="Y1285" s="172"/>
      <c r="Z1285" s="3">
        <v>46019.0</v>
      </c>
      <c r="AA1285" s="3"/>
    </row>
    <row r="1286">
      <c r="A1286" s="3">
        <v>6.837969715459E12</v>
      </c>
      <c r="B1286" s="2" t="s">
        <v>5510</v>
      </c>
      <c r="C1286" s="2" t="s">
        <v>5511</v>
      </c>
      <c r="D1286" s="169">
        <v>46019.0</v>
      </c>
      <c r="E1286" s="173" t="s">
        <v>4360</v>
      </c>
      <c r="F1286" s="2" t="s">
        <v>5512</v>
      </c>
      <c r="G1286" s="2" t="s">
        <v>672</v>
      </c>
      <c r="H1286" s="2">
        <v>1497.0</v>
      </c>
      <c r="I1286" s="2">
        <v>2.8120050020831E13</v>
      </c>
      <c r="J1286" s="3">
        <v>1.0</v>
      </c>
      <c r="K1286" s="2" t="s">
        <v>5513</v>
      </c>
      <c r="L1286" s="2" t="s">
        <v>1324</v>
      </c>
      <c r="M1286" s="170" t="s">
        <v>455</v>
      </c>
      <c r="N1286" s="2" t="s">
        <v>406</v>
      </c>
      <c r="O1286" s="3">
        <v>0.5</v>
      </c>
      <c r="P1286" s="2" t="s">
        <v>73</v>
      </c>
      <c r="Q1286" s="3">
        <v>550.0</v>
      </c>
      <c r="T1286" s="2" t="s">
        <v>4910</v>
      </c>
      <c r="U1286" s="171">
        <v>0.0</v>
      </c>
      <c r="V1286" s="172">
        <v>46042.0</v>
      </c>
      <c r="W1286" s="3">
        <v>213.44</v>
      </c>
      <c r="X1286" s="172">
        <v>46057.6427828125</v>
      </c>
      <c r="Y1286" s="172"/>
      <c r="Z1286" s="3">
        <v>46019.0</v>
      </c>
      <c r="AA1286" s="3"/>
    </row>
    <row r="1287">
      <c r="A1287" s="3">
        <v>6.838170878211E12</v>
      </c>
      <c r="B1287" s="2" t="s">
        <v>5514</v>
      </c>
      <c r="C1287" s="2" t="s">
        <v>2197</v>
      </c>
      <c r="D1287" s="169">
        <v>46019.0</v>
      </c>
      <c r="E1287" s="173" t="s">
        <v>5515</v>
      </c>
      <c r="F1287" s="2" t="s">
        <v>5516</v>
      </c>
      <c r="G1287" s="2" t="s">
        <v>688</v>
      </c>
      <c r="H1287" s="2">
        <v>4149.0</v>
      </c>
      <c r="I1287" s="2">
        <v>2.4120050020874E13</v>
      </c>
      <c r="J1287" s="3">
        <v>2.0</v>
      </c>
      <c r="K1287" s="2" t="s">
        <v>511</v>
      </c>
      <c r="L1287" s="2" t="s">
        <v>913</v>
      </c>
      <c r="M1287" s="174" t="s">
        <v>409</v>
      </c>
      <c r="N1287" s="2" t="s">
        <v>462</v>
      </c>
      <c r="O1287" s="3">
        <v>0.5</v>
      </c>
      <c r="P1287" s="2" t="s">
        <v>363</v>
      </c>
      <c r="Q1287" s="3">
        <v>1700.0</v>
      </c>
      <c r="T1287" s="2" t="s">
        <v>3833</v>
      </c>
      <c r="U1287" s="171">
        <v>4149.0</v>
      </c>
      <c r="V1287" s="172">
        <v>46024.0</v>
      </c>
      <c r="W1287" s="3">
        <v>386.07</v>
      </c>
      <c r="X1287" s="172">
        <v>46023.684212962966</v>
      </c>
      <c r="Y1287" s="172"/>
      <c r="Z1287" s="3">
        <v>46019.0</v>
      </c>
      <c r="AA1287" s="3"/>
    </row>
    <row r="1288">
      <c r="A1288" s="3">
        <v>6.838173532419E12</v>
      </c>
      <c r="B1288" s="2" t="s">
        <v>5517</v>
      </c>
      <c r="C1288" s="2" t="s">
        <v>5518</v>
      </c>
      <c r="D1288" s="169">
        <v>46019.0</v>
      </c>
      <c r="E1288" s="2">
        <v>3.312881428E9</v>
      </c>
      <c r="F1288" s="2" t="s">
        <v>5519</v>
      </c>
      <c r="G1288" s="2" t="s">
        <v>493</v>
      </c>
      <c r="H1288" s="2">
        <v>0.0</v>
      </c>
      <c r="J1288" s="3">
        <v>0.0</v>
      </c>
      <c r="K1288" s="2" t="s">
        <v>3827</v>
      </c>
      <c r="L1288" s="2"/>
      <c r="M1288" s="2" t="s">
        <v>468</v>
      </c>
      <c r="N1288" s="2" t="s">
        <v>406</v>
      </c>
      <c r="O1288" s="3">
        <v>0.5</v>
      </c>
      <c r="Q1288" s="3">
        <v>0.0</v>
      </c>
      <c r="U1288" s="141"/>
      <c r="X1288" s="172">
        <v>46057.6427828125</v>
      </c>
      <c r="Y1288" s="172"/>
      <c r="Z1288" s="3">
        <v>46019.0</v>
      </c>
      <c r="AA1288" s="3"/>
    </row>
    <row r="1289">
      <c r="A1289" s="3">
        <v>6.838208299267E12</v>
      </c>
      <c r="B1289" s="2" t="s">
        <v>5520</v>
      </c>
      <c r="C1289" s="2" t="s">
        <v>5521</v>
      </c>
      <c r="D1289" s="169">
        <v>46019.0</v>
      </c>
      <c r="E1289" s="2">
        <v>3.007289838E9</v>
      </c>
      <c r="F1289" s="2" t="s">
        <v>5522</v>
      </c>
      <c r="G1289" s="2" t="s">
        <v>374</v>
      </c>
      <c r="H1289" s="2">
        <v>3213.0</v>
      </c>
      <c r="I1289" s="2">
        <v>2.412005002083E13</v>
      </c>
      <c r="J1289" s="3">
        <v>2.0</v>
      </c>
      <c r="L1289" s="2" t="s">
        <v>27</v>
      </c>
      <c r="M1289" s="174" t="s">
        <v>409</v>
      </c>
      <c r="N1289" s="2" t="s">
        <v>462</v>
      </c>
      <c r="O1289" s="3">
        <v>0.5</v>
      </c>
      <c r="P1289" s="2" t="s">
        <v>363</v>
      </c>
      <c r="Q1289" s="3">
        <v>920.0</v>
      </c>
      <c r="T1289" s="2" t="s">
        <v>3833</v>
      </c>
      <c r="U1289" s="171">
        <v>3213.0</v>
      </c>
      <c r="V1289" s="172">
        <v>46024.0</v>
      </c>
      <c r="W1289" s="3">
        <v>328.62</v>
      </c>
      <c r="X1289" s="172">
        <v>46022.71988425926</v>
      </c>
      <c r="Y1289" s="172"/>
      <c r="Z1289" s="3">
        <v>46019.0</v>
      </c>
      <c r="AA1289" s="3"/>
    </row>
    <row r="1290">
      <c r="A1290" s="3">
        <v>6.838389309699E12</v>
      </c>
      <c r="B1290" s="2" t="s">
        <v>5523</v>
      </c>
      <c r="C1290" s="2" t="s">
        <v>5524</v>
      </c>
      <c r="D1290" s="169">
        <v>46019.0</v>
      </c>
      <c r="E1290" s="2">
        <v>3.157869927E9</v>
      </c>
      <c r="F1290" s="2" t="s">
        <v>5525</v>
      </c>
      <c r="G1290" s="2" t="s">
        <v>1425</v>
      </c>
      <c r="H1290" s="2">
        <v>0.0</v>
      </c>
      <c r="I1290" s="2">
        <v>2.5120050020829E13</v>
      </c>
      <c r="J1290" s="3">
        <v>0.0</v>
      </c>
      <c r="K1290" s="2" t="s">
        <v>4971</v>
      </c>
      <c r="L1290" s="2"/>
      <c r="M1290" s="170" t="s">
        <v>455</v>
      </c>
      <c r="N1290" s="2" t="s">
        <v>406</v>
      </c>
      <c r="O1290" s="3">
        <v>0.5</v>
      </c>
      <c r="P1290" s="2" t="s">
        <v>363</v>
      </c>
      <c r="Q1290" s="3">
        <v>0.0</v>
      </c>
      <c r="T1290" s="2" t="s">
        <v>4077</v>
      </c>
      <c r="U1290" s="171">
        <v>0.0</v>
      </c>
      <c r="V1290" s="172">
        <v>46031.0</v>
      </c>
      <c r="W1290" s="3">
        <v>213.0</v>
      </c>
      <c r="X1290" s="172">
        <v>46057.6427828125</v>
      </c>
      <c r="Y1290" s="172"/>
      <c r="Z1290" s="3">
        <v>46019.0</v>
      </c>
      <c r="AA1290" s="3"/>
    </row>
    <row r="1291">
      <c r="A1291" s="3">
        <v>6.838575628547E12</v>
      </c>
      <c r="B1291" s="2" t="s">
        <v>5526</v>
      </c>
      <c r="C1291" s="2" t="s">
        <v>5527</v>
      </c>
      <c r="D1291" s="169">
        <v>46019.0</v>
      </c>
      <c r="E1291" s="2">
        <v>3.008486284E9</v>
      </c>
      <c r="F1291" s="2" t="s">
        <v>5528</v>
      </c>
      <c r="G1291" s="2" t="s">
        <v>850</v>
      </c>
      <c r="H1291" s="2">
        <v>0.0</v>
      </c>
      <c r="I1291" s="2">
        <v>2.9120050020828E13</v>
      </c>
      <c r="J1291" s="3">
        <v>0.0</v>
      </c>
      <c r="K1291" s="2" t="s">
        <v>5529</v>
      </c>
      <c r="L1291" s="2"/>
      <c r="M1291" s="170" t="s">
        <v>455</v>
      </c>
      <c r="N1291" s="2" t="s">
        <v>406</v>
      </c>
      <c r="O1291" s="3">
        <v>0.5</v>
      </c>
      <c r="P1291" s="2" t="s">
        <v>363</v>
      </c>
      <c r="Q1291" s="3">
        <v>0.0</v>
      </c>
      <c r="T1291" s="2" t="s">
        <v>4077</v>
      </c>
      <c r="U1291" s="171">
        <v>0.0</v>
      </c>
      <c r="V1291" s="172">
        <v>46031.0</v>
      </c>
      <c r="W1291" s="3">
        <v>200.0</v>
      </c>
      <c r="X1291" s="172">
        <v>46057.6427828125</v>
      </c>
      <c r="Y1291" s="172"/>
      <c r="Z1291" s="3">
        <v>46019.0</v>
      </c>
      <c r="AA1291" s="3"/>
    </row>
    <row r="1292">
      <c r="A1292" s="3">
        <v>6.838841704707E12</v>
      </c>
      <c r="B1292" s="2" t="s">
        <v>5530</v>
      </c>
      <c r="C1292" s="2" t="s">
        <v>5531</v>
      </c>
      <c r="D1292" s="169">
        <v>46019.0</v>
      </c>
      <c r="E1292" s="173" t="s">
        <v>5532</v>
      </c>
      <c r="F1292" s="2" t="s">
        <v>5533</v>
      </c>
      <c r="G1292" s="2" t="s">
        <v>368</v>
      </c>
      <c r="H1292" s="2">
        <v>0.0</v>
      </c>
      <c r="I1292" s="2">
        <v>2.1120050020848E13</v>
      </c>
      <c r="J1292" s="3">
        <v>0.0</v>
      </c>
      <c r="K1292" s="2" t="s">
        <v>5534</v>
      </c>
      <c r="L1292" s="2"/>
      <c r="M1292" s="170" t="s">
        <v>455</v>
      </c>
      <c r="N1292" s="2" t="s">
        <v>406</v>
      </c>
      <c r="O1292" s="3">
        <v>0.5</v>
      </c>
      <c r="P1292" s="2" t="s">
        <v>73</v>
      </c>
      <c r="Q1292" s="3">
        <v>0.0</v>
      </c>
      <c r="T1292" s="2" t="s">
        <v>4077</v>
      </c>
      <c r="U1292" s="171">
        <v>0.0</v>
      </c>
      <c r="V1292" s="172">
        <v>46031.0</v>
      </c>
      <c r="W1292" s="3">
        <v>107.0</v>
      </c>
      <c r="X1292" s="172">
        <v>46057.6427828125</v>
      </c>
      <c r="Y1292" s="172"/>
      <c r="Z1292" s="3">
        <v>46019.0</v>
      </c>
      <c r="AA1292" s="3"/>
    </row>
    <row r="1293">
      <c r="A1293" s="3">
        <v>6.838848160003E12</v>
      </c>
      <c r="B1293" s="2" t="s">
        <v>5535</v>
      </c>
      <c r="C1293" s="2" t="s">
        <v>5536</v>
      </c>
      <c r="D1293" s="169">
        <v>46019.0</v>
      </c>
      <c r="E1293" s="2">
        <v>3.130321645E9</v>
      </c>
      <c r="F1293" s="2" t="s">
        <v>5537</v>
      </c>
      <c r="G1293" s="2" t="s">
        <v>5538</v>
      </c>
      <c r="H1293" s="2">
        <v>0.0</v>
      </c>
      <c r="J1293" s="3">
        <v>0.0</v>
      </c>
      <c r="K1293" s="2" t="s">
        <v>5539</v>
      </c>
      <c r="L1293" s="2"/>
      <c r="M1293" s="2" t="s">
        <v>468</v>
      </c>
      <c r="N1293" s="2" t="s">
        <v>406</v>
      </c>
      <c r="O1293" s="3">
        <v>0.5</v>
      </c>
      <c r="Q1293" s="3">
        <v>0.0</v>
      </c>
      <c r="U1293" s="141"/>
      <c r="X1293" s="172">
        <v>46057.6427828125</v>
      </c>
      <c r="Y1293" s="172"/>
      <c r="Z1293" s="3">
        <v>46019.0</v>
      </c>
      <c r="AA1293" s="3"/>
    </row>
    <row r="1294">
      <c r="A1294" s="3">
        <v>6.838855106819E12</v>
      </c>
      <c r="B1294" s="2" t="s">
        <v>5540</v>
      </c>
      <c r="C1294" s="2" t="s">
        <v>5541</v>
      </c>
      <c r="D1294" s="169">
        <v>46019.0</v>
      </c>
      <c r="E1294" s="2">
        <v>3.173193442E9</v>
      </c>
      <c r="F1294" s="2" t="s">
        <v>5542</v>
      </c>
      <c r="G1294" s="2" t="s">
        <v>5543</v>
      </c>
      <c r="H1294" s="2">
        <v>3213.0</v>
      </c>
      <c r="I1294" s="2">
        <v>2.8120050020827E13</v>
      </c>
      <c r="J1294" s="3">
        <v>2.0</v>
      </c>
      <c r="L1294" s="2" t="s">
        <v>296</v>
      </c>
      <c r="M1294" s="174" t="s">
        <v>409</v>
      </c>
      <c r="N1294" s="2" t="s">
        <v>462</v>
      </c>
      <c r="O1294" s="3">
        <v>0.5</v>
      </c>
      <c r="P1294" s="2" t="s">
        <v>73</v>
      </c>
      <c r="Q1294" s="3">
        <v>920.0</v>
      </c>
      <c r="T1294" s="2" t="s">
        <v>3833</v>
      </c>
      <c r="U1294" s="171">
        <v>3213.0</v>
      </c>
      <c r="V1294" s="172">
        <v>46024.0</v>
      </c>
      <c r="W1294" s="3">
        <v>341.96</v>
      </c>
      <c r="X1294" s="172">
        <v>46023.712731481486</v>
      </c>
      <c r="Y1294" s="172"/>
      <c r="Z1294" s="3">
        <v>46019.0</v>
      </c>
      <c r="AA1294" s="3"/>
    </row>
    <row r="1295">
      <c r="A1295" s="3">
        <v>6.838856909059E12</v>
      </c>
      <c r="B1295" s="2" t="s">
        <v>5544</v>
      </c>
      <c r="C1295" s="2" t="s">
        <v>5536</v>
      </c>
      <c r="D1295" s="169">
        <v>46019.0</v>
      </c>
      <c r="E1295" s="173" t="s">
        <v>5545</v>
      </c>
      <c r="F1295" s="2" t="s">
        <v>5546</v>
      </c>
      <c r="G1295" s="2" t="s">
        <v>5547</v>
      </c>
      <c r="H1295" s="2">
        <v>0.0</v>
      </c>
      <c r="J1295" s="3">
        <v>0.0</v>
      </c>
      <c r="K1295" s="2" t="s">
        <v>5548</v>
      </c>
      <c r="L1295" s="2"/>
      <c r="M1295" s="2" t="s">
        <v>468</v>
      </c>
      <c r="N1295" s="2" t="s">
        <v>406</v>
      </c>
      <c r="O1295" s="3">
        <v>0.5</v>
      </c>
      <c r="Q1295" s="3">
        <v>0.0</v>
      </c>
      <c r="U1295" s="141"/>
      <c r="X1295" s="172">
        <v>46057.6427828125</v>
      </c>
      <c r="Y1295" s="172"/>
      <c r="Z1295" s="3">
        <v>46019.0</v>
      </c>
      <c r="AA1295" s="3"/>
    </row>
    <row r="1296">
      <c r="A1296" s="3">
        <v>6.838860677379E12</v>
      </c>
      <c r="B1296" s="2" t="s">
        <v>5549</v>
      </c>
      <c r="C1296" s="2" t="s">
        <v>5536</v>
      </c>
      <c r="D1296" s="169">
        <v>46019.0</v>
      </c>
      <c r="E1296" s="2">
        <v>3.130321645E9</v>
      </c>
      <c r="F1296" s="2" t="s">
        <v>5537</v>
      </c>
      <c r="G1296" s="2" t="s">
        <v>5538</v>
      </c>
      <c r="H1296" s="2">
        <v>0.0</v>
      </c>
      <c r="J1296" s="3">
        <v>0.0</v>
      </c>
      <c r="K1296" s="2" t="s">
        <v>5539</v>
      </c>
      <c r="L1296" s="2"/>
      <c r="M1296" s="2" t="s">
        <v>468</v>
      </c>
      <c r="N1296" s="2" t="s">
        <v>406</v>
      </c>
      <c r="O1296" s="3">
        <v>0.5</v>
      </c>
      <c r="Q1296" s="3">
        <v>0.0</v>
      </c>
      <c r="U1296" s="141"/>
      <c r="X1296" s="172">
        <v>46057.6427828125</v>
      </c>
      <c r="Y1296" s="172"/>
      <c r="Z1296" s="3">
        <v>46019.0</v>
      </c>
      <c r="AA1296" s="3"/>
    </row>
    <row r="1297">
      <c r="A1297" s="3">
        <v>6.839180591363E12</v>
      </c>
      <c r="B1297" s="2" t="s">
        <v>5550</v>
      </c>
      <c r="C1297" s="2" t="s">
        <v>5551</v>
      </c>
      <c r="D1297" s="169">
        <v>46019.0</v>
      </c>
      <c r="E1297" s="173" t="s">
        <v>5552</v>
      </c>
      <c r="F1297" s="2" t="s">
        <v>5553</v>
      </c>
      <c r="G1297" s="2" t="s">
        <v>506</v>
      </c>
      <c r="H1297" s="2">
        <v>6645.0</v>
      </c>
      <c r="I1297" s="2">
        <v>2.7120050020849E13</v>
      </c>
      <c r="J1297" s="3">
        <v>4.0</v>
      </c>
      <c r="K1297" s="2" t="s">
        <v>5554</v>
      </c>
      <c r="L1297" s="2" t="s">
        <v>5555</v>
      </c>
      <c r="M1297" s="174" t="s">
        <v>409</v>
      </c>
      <c r="N1297" s="2" t="s">
        <v>462</v>
      </c>
      <c r="O1297" s="3">
        <v>0.5</v>
      </c>
      <c r="P1297" s="2" t="s">
        <v>363</v>
      </c>
      <c r="Q1297" s="3">
        <v>2620.0</v>
      </c>
      <c r="T1297" s="2" t="s">
        <v>3833</v>
      </c>
      <c r="U1297" s="176">
        <v>6645.0</v>
      </c>
      <c r="V1297" s="172">
        <v>46024.0</v>
      </c>
      <c r="W1297" s="3">
        <v>592.97</v>
      </c>
      <c r="X1297" s="172">
        <v>46023.55086805555</v>
      </c>
      <c r="Y1297" s="172"/>
      <c r="Z1297" s="3">
        <v>46019.0</v>
      </c>
      <c r="AA1297" s="3"/>
    </row>
    <row r="1298">
      <c r="A1298" s="3">
        <v>6.839189733635E12</v>
      </c>
      <c r="B1298" s="2" t="s">
        <v>5556</v>
      </c>
      <c r="C1298" s="2" t="s">
        <v>5551</v>
      </c>
      <c r="D1298" s="169">
        <v>46019.0</v>
      </c>
      <c r="E1298" s="2">
        <v>3.260098988E9</v>
      </c>
      <c r="F1298" s="2" t="s">
        <v>5557</v>
      </c>
      <c r="G1298" s="2" t="s">
        <v>506</v>
      </c>
      <c r="H1298" s="2">
        <v>0.0</v>
      </c>
      <c r="J1298" s="3">
        <v>0.0</v>
      </c>
      <c r="K1298" s="2" t="s">
        <v>760</v>
      </c>
      <c r="L1298" s="2"/>
      <c r="M1298" s="2" t="s">
        <v>468</v>
      </c>
      <c r="N1298" s="2" t="s">
        <v>406</v>
      </c>
      <c r="O1298" s="3">
        <v>0.5</v>
      </c>
      <c r="Q1298" s="3">
        <v>0.0</v>
      </c>
      <c r="U1298" s="141"/>
      <c r="X1298" s="172">
        <v>46057.6427828125</v>
      </c>
      <c r="Y1298" s="172"/>
      <c r="Z1298" s="3">
        <v>46019.0</v>
      </c>
      <c r="AA1298" s="3"/>
    </row>
    <row r="1299">
      <c r="A1299" s="3">
        <v>6.839231742211E12</v>
      </c>
      <c r="B1299" s="2" t="s">
        <v>5558</v>
      </c>
      <c r="C1299" s="2" t="s">
        <v>5559</v>
      </c>
      <c r="D1299" s="169">
        <v>46019.0</v>
      </c>
      <c r="E1299" s="2">
        <v>3.214223373E9</v>
      </c>
      <c r="F1299" s="2" t="s">
        <v>5560</v>
      </c>
      <c r="G1299" s="2" t="s">
        <v>368</v>
      </c>
      <c r="H1299" s="2">
        <v>0.0</v>
      </c>
      <c r="J1299" s="3">
        <v>0.0</v>
      </c>
      <c r="K1299" s="2" t="s">
        <v>5561</v>
      </c>
      <c r="L1299" s="2"/>
      <c r="M1299" s="2" t="s">
        <v>468</v>
      </c>
      <c r="N1299" s="2" t="s">
        <v>406</v>
      </c>
      <c r="O1299" s="3">
        <v>0.5</v>
      </c>
      <c r="Q1299" s="3">
        <v>0.0</v>
      </c>
      <c r="U1299" s="141"/>
      <c r="X1299" s="172">
        <v>46057.6427828125</v>
      </c>
      <c r="Y1299" s="172"/>
      <c r="Z1299" s="3">
        <v>46019.0</v>
      </c>
      <c r="AA1299" s="3"/>
    </row>
    <row r="1300">
      <c r="A1300" s="3">
        <v>6.839241474307E12</v>
      </c>
      <c r="B1300" s="2" t="s">
        <v>5562</v>
      </c>
      <c r="C1300" s="2" t="s">
        <v>5563</v>
      </c>
      <c r="D1300" s="169">
        <v>46019.0</v>
      </c>
      <c r="E1300" s="2">
        <v>3.301321856E9</v>
      </c>
      <c r="F1300" s="2" t="s">
        <v>5564</v>
      </c>
      <c r="G1300" s="2" t="s">
        <v>506</v>
      </c>
      <c r="H1300" s="2">
        <v>2849.0</v>
      </c>
      <c r="I1300" s="2">
        <v>2.1120050020826E13</v>
      </c>
      <c r="J1300" s="3">
        <v>2.0</v>
      </c>
      <c r="L1300" s="2" t="s">
        <v>16</v>
      </c>
      <c r="M1300" s="174" t="s">
        <v>409</v>
      </c>
      <c r="N1300" s="2" t="s">
        <v>462</v>
      </c>
      <c r="O1300" s="3">
        <v>0.5</v>
      </c>
      <c r="P1300" s="2" t="s">
        <v>73</v>
      </c>
      <c r="Q1300" s="3">
        <v>980.0</v>
      </c>
      <c r="T1300" s="2" t="s">
        <v>3833</v>
      </c>
      <c r="U1300" s="171">
        <v>2849.0</v>
      </c>
      <c r="V1300" s="172">
        <v>46024.0</v>
      </c>
      <c r="W1300" s="3">
        <v>334.07</v>
      </c>
      <c r="X1300" s="172">
        <v>46022.72184027778</v>
      </c>
      <c r="Y1300" s="172"/>
      <c r="Z1300" s="3">
        <v>46019.0</v>
      </c>
      <c r="AA1300" s="3"/>
    </row>
    <row r="1301">
      <c r="A1301" s="3">
        <v>6.839296786691E12</v>
      </c>
      <c r="B1301" s="2" t="s">
        <v>5565</v>
      </c>
      <c r="C1301" s="2" t="s">
        <v>5566</v>
      </c>
      <c r="D1301" s="169">
        <v>46019.0</v>
      </c>
      <c r="E1301" s="173" t="s">
        <v>5567</v>
      </c>
      <c r="F1301" s="2" t="s">
        <v>5568</v>
      </c>
      <c r="G1301" s="2" t="s">
        <v>493</v>
      </c>
      <c r="H1301" s="2">
        <v>3213.0</v>
      </c>
      <c r="I1301" s="2">
        <v>2.2120050020844E13</v>
      </c>
      <c r="J1301" s="3">
        <v>2.0</v>
      </c>
      <c r="L1301" s="2" t="s">
        <v>906</v>
      </c>
      <c r="M1301" s="174" t="s">
        <v>409</v>
      </c>
      <c r="N1301" s="2" t="s">
        <v>462</v>
      </c>
      <c r="O1301" s="3">
        <v>0.5</v>
      </c>
      <c r="P1301" s="2" t="s">
        <v>363</v>
      </c>
      <c r="Q1301" s="3">
        <v>920.0</v>
      </c>
      <c r="T1301" s="2" t="s">
        <v>3833</v>
      </c>
      <c r="U1301" s="171">
        <v>3213.0</v>
      </c>
      <c r="V1301" s="172">
        <v>46024.0</v>
      </c>
      <c r="W1301" s="3">
        <v>341.96</v>
      </c>
      <c r="X1301" s="172">
        <v>46023.803495370375</v>
      </c>
      <c r="Y1301" s="172"/>
      <c r="Z1301" s="3">
        <v>46019.0</v>
      </c>
      <c r="AA1301" s="3"/>
    </row>
    <row r="1302">
      <c r="A1302" s="3">
        <v>6.839414620419E12</v>
      </c>
      <c r="B1302" s="2" t="s">
        <v>5569</v>
      </c>
      <c r="C1302" s="2" t="s">
        <v>5570</v>
      </c>
      <c r="D1302" s="169">
        <v>46019.0</v>
      </c>
      <c r="E1302" s="2">
        <v>3.035054613E9</v>
      </c>
      <c r="F1302" s="2" t="s">
        <v>5571</v>
      </c>
      <c r="G1302" s="2" t="s">
        <v>5572</v>
      </c>
      <c r="H1302" s="2">
        <v>2953.0</v>
      </c>
      <c r="I1302" s="2">
        <v>2.1120050020825E13</v>
      </c>
      <c r="J1302" s="3">
        <v>2.0</v>
      </c>
      <c r="L1302" s="2" t="s">
        <v>593</v>
      </c>
      <c r="M1302" s="174" t="s">
        <v>409</v>
      </c>
      <c r="N1302" s="2" t="s">
        <v>462</v>
      </c>
      <c r="O1302" s="3">
        <v>0.5</v>
      </c>
      <c r="P1302" s="2" t="s">
        <v>73</v>
      </c>
      <c r="Q1302" s="3">
        <v>1050.0</v>
      </c>
      <c r="T1302" s="2" t="s">
        <v>3833</v>
      </c>
      <c r="U1302" s="171">
        <v>2953.0</v>
      </c>
      <c r="V1302" s="172">
        <v>46024.0</v>
      </c>
      <c r="W1302" s="3">
        <v>318.22</v>
      </c>
      <c r="X1302" s="172">
        <v>46022.70311342593</v>
      </c>
      <c r="Y1302" s="172"/>
      <c r="Z1302" s="3">
        <v>46019.0</v>
      </c>
      <c r="AA1302" s="3"/>
    </row>
    <row r="1303">
      <c r="A1303" s="3">
        <v>6.839524393219E12</v>
      </c>
      <c r="B1303" s="2" t="s">
        <v>5573</v>
      </c>
      <c r="C1303" s="2" t="s">
        <v>5574</v>
      </c>
      <c r="D1303" s="169">
        <v>46019.0</v>
      </c>
      <c r="E1303" s="2">
        <v>3.018230359E9</v>
      </c>
      <c r="F1303" s="2" t="s">
        <v>5575</v>
      </c>
      <c r="G1303" s="2" t="s">
        <v>493</v>
      </c>
      <c r="H1303" s="2">
        <v>3213.0</v>
      </c>
      <c r="I1303" s="2">
        <v>2.7120050020824E13</v>
      </c>
      <c r="J1303" s="3">
        <v>2.0</v>
      </c>
      <c r="L1303" s="2" t="s">
        <v>27</v>
      </c>
      <c r="M1303" s="174" t="s">
        <v>409</v>
      </c>
      <c r="N1303" s="2" t="s">
        <v>462</v>
      </c>
      <c r="O1303" s="3">
        <v>0.5</v>
      </c>
      <c r="P1303" s="2" t="s">
        <v>363</v>
      </c>
      <c r="Q1303" s="3">
        <v>920.0</v>
      </c>
      <c r="T1303" s="2" t="s">
        <v>3833</v>
      </c>
      <c r="U1303" s="171">
        <v>3213.0</v>
      </c>
      <c r="V1303" s="172">
        <v>46024.0</v>
      </c>
      <c r="W1303" s="3">
        <v>341.96</v>
      </c>
      <c r="X1303" s="172">
        <v>46023.52730324074</v>
      </c>
      <c r="Y1303" s="172"/>
      <c r="Z1303" s="3">
        <v>46019.0</v>
      </c>
      <c r="AA1303" s="3"/>
    </row>
    <row r="1304">
      <c r="A1304" s="3">
        <v>6.839656841475E12</v>
      </c>
      <c r="B1304" s="2" t="s">
        <v>5576</v>
      </c>
      <c r="C1304" s="2" t="s">
        <v>3247</v>
      </c>
      <c r="D1304" s="169">
        <v>46019.0</v>
      </c>
      <c r="E1304" s="2">
        <v>3.218482112E9</v>
      </c>
      <c r="F1304" s="2" t="s">
        <v>5577</v>
      </c>
      <c r="G1304" s="2" t="s">
        <v>368</v>
      </c>
      <c r="H1304" s="2">
        <v>3213.0</v>
      </c>
      <c r="I1304" s="2" t="s">
        <v>5578</v>
      </c>
      <c r="J1304" s="3">
        <v>2.0</v>
      </c>
      <c r="K1304" s="2" t="s">
        <v>5579</v>
      </c>
      <c r="L1304" s="2" t="s">
        <v>906</v>
      </c>
      <c r="M1304" s="174" t="s">
        <v>409</v>
      </c>
      <c r="N1304" s="2" t="s">
        <v>462</v>
      </c>
      <c r="O1304" s="3">
        <v>0.5</v>
      </c>
      <c r="P1304" s="2" t="s">
        <v>640</v>
      </c>
      <c r="Q1304" s="3">
        <v>920.0</v>
      </c>
      <c r="T1304" s="2" t="s">
        <v>4595</v>
      </c>
      <c r="U1304" s="171">
        <v>3213.0</v>
      </c>
      <c r="V1304" s="172">
        <v>46023.0</v>
      </c>
      <c r="W1304" s="3">
        <v>170.4</v>
      </c>
      <c r="X1304" s="172">
        <v>46057.73291730324</v>
      </c>
      <c r="Y1304" s="172"/>
      <c r="Z1304" s="3">
        <v>46019.0</v>
      </c>
      <c r="AA1304" s="3"/>
    </row>
    <row r="1305">
      <c r="A1305" s="3">
        <v>6.840290050307E12</v>
      </c>
      <c r="B1305" s="2" t="s">
        <v>5580</v>
      </c>
      <c r="C1305" s="2" t="s">
        <v>5581</v>
      </c>
      <c r="D1305" s="169">
        <v>46019.0</v>
      </c>
      <c r="E1305" s="2">
        <v>3.1300852E9</v>
      </c>
      <c r="F1305" s="2" t="s">
        <v>5582</v>
      </c>
      <c r="G1305" s="2" t="s">
        <v>1133</v>
      </c>
      <c r="H1305" s="2">
        <v>249.0</v>
      </c>
      <c r="I1305" s="2">
        <v>2.6120050020836E13</v>
      </c>
      <c r="J1305" s="3">
        <v>0.0</v>
      </c>
      <c r="L1305" s="2"/>
      <c r="M1305" s="174" t="s">
        <v>409</v>
      </c>
      <c r="N1305" s="2" t="s">
        <v>462</v>
      </c>
      <c r="O1305" s="3">
        <v>0.5</v>
      </c>
      <c r="P1305" s="2" t="s">
        <v>363</v>
      </c>
      <c r="Q1305" s="3">
        <v>0.0</v>
      </c>
      <c r="T1305" s="2" t="s">
        <v>3833</v>
      </c>
      <c r="U1305" s="19">
        <v>249.0</v>
      </c>
      <c r="V1305" s="172">
        <v>46024.0</v>
      </c>
      <c r="W1305" s="3">
        <v>398.94</v>
      </c>
      <c r="X1305" s="172">
        <v>46022.64130787037</v>
      </c>
      <c r="Y1305" s="172"/>
      <c r="Z1305" s="3">
        <v>46019.0</v>
      </c>
      <c r="AA1305" s="3"/>
    </row>
    <row r="1306">
      <c r="A1306" s="3">
        <v>6.840500125955E12</v>
      </c>
      <c r="B1306" s="2" t="s">
        <v>5583</v>
      </c>
      <c r="C1306" s="2" t="s">
        <v>5584</v>
      </c>
      <c r="D1306" s="169">
        <v>46019.0</v>
      </c>
      <c r="E1306" s="2">
        <v>3.206398963E9</v>
      </c>
      <c r="F1306" s="2" t="s">
        <v>5585</v>
      </c>
      <c r="G1306" s="2" t="s">
        <v>5586</v>
      </c>
      <c r="H1306" s="2">
        <v>0.0</v>
      </c>
      <c r="I1306" s="2">
        <v>2.5120050020823E13</v>
      </c>
      <c r="J1306" s="3">
        <v>0.0</v>
      </c>
      <c r="K1306" s="2" t="s">
        <v>4837</v>
      </c>
      <c r="L1306" s="2"/>
      <c r="M1306" s="170" t="s">
        <v>455</v>
      </c>
      <c r="N1306" s="2" t="s">
        <v>406</v>
      </c>
      <c r="O1306" s="3">
        <v>0.5</v>
      </c>
      <c r="P1306" s="2" t="s">
        <v>363</v>
      </c>
      <c r="Q1306" s="3">
        <v>0.0</v>
      </c>
      <c r="T1306" s="2" t="s">
        <v>4077</v>
      </c>
      <c r="U1306" s="171">
        <v>0.0</v>
      </c>
      <c r="V1306" s="172">
        <v>46031.0</v>
      </c>
      <c r="W1306" s="3">
        <v>220.0</v>
      </c>
      <c r="X1306" s="172">
        <v>46057.6427828125</v>
      </c>
      <c r="Y1306" s="172"/>
      <c r="Z1306" s="3">
        <v>46019.0</v>
      </c>
      <c r="AA1306" s="3"/>
    </row>
    <row r="1307">
      <c r="A1307" s="3">
        <v>6.840794284291E12</v>
      </c>
      <c r="B1307" s="2" t="s">
        <v>5587</v>
      </c>
      <c r="C1307" s="2" t="s">
        <v>264</v>
      </c>
      <c r="D1307" s="169">
        <v>46020.0</v>
      </c>
      <c r="E1307" s="2">
        <v>3.018227636E9</v>
      </c>
      <c r="F1307" s="2" t="s">
        <v>5588</v>
      </c>
      <c r="G1307" s="2" t="s">
        <v>493</v>
      </c>
      <c r="H1307" s="2">
        <v>5241.0</v>
      </c>
      <c r="I1307" s="2">
        <v>2.2120050020822E13</v>
      </c>
      <c r="J1307" s="3">
        <v>3.0</v>
      </c>
      <c r="L1307" s="2" t="s">
        <v>5589</v>
      </c>
      <c r="M1307" s="174" t="s">
        <v>409</v>
      </c>
      <c r="N1307" s="2" t="s">
        <v>462</v>
      </c>
      <c r="O1307" s="3">
        <v>0.5</v>
      </c>
      <c r="P1307" s="2" t="s">
        <v>363</v>
      </c>
      <c r="Q1307" s="3">
        <v>1610.0</v>
      </c>
      <c r="T1307" s="2" t="s">
        <v>3833</v>
      </c>
      <c r="U1307" s="171">
        <v>5241.0</v>
      </c>
      <c r="V1307" s="172">
        <v>46024.0</v>
      </c>
      <c r="W1307" s="3">
        <v>436.42</v>
      </c>
      <c r="X1307" s="172">
        <v>46023.97876157408</v>
      </c>
      <c r="Y1307" s="172"/>
      <c r="Z1307" s="3">
        <v>46020.0</v>
      </c>
      <c r="AA1307" s="3"/>
    </row>
    <row r="1308">
      <c r="A1308" s="3">
        <v>6.840870895875E12</v>
      </c>
      <c r="B1308" s="2" t="s">
        <v>5590</v>
      </c>
      <c r="C1308" s="2" t="s">
        <v>5591</v>
      </c>
      <c r="D1308" s="169">
        <v>46020.0</v>
      </c>
      <c r="E1308" s="2">
        <v>3.439393116E9</v>
      </c>
      <c r="F1308" s="2" t="s">
        <v>5592</v>
      </c>
      <c r="G1308" s="2" t="s">
        <v>5593</v>
      </c>
      <c r="H1308" s="2">
        <v>2849.0</v>
      </c>
      <c r="I1308" s="2">
        <v>2.2120050020821E13</v>
      </c>
      <c r="J1308" s="3">
        <v>2.0</v>
      </c>
      <c r="L1308" s="2" t="s">
        <v>926</v>
      </c>
      <c r="M1308" s="174" t="s">
        <v>409</v>
      </c>
      <c r="N1308" s="2" t="s">
        <v>462</v>
      </c>
      <c r="O1308" s="3">
        <v>0.5</v>
      </c>
      <c r="P1308" s="2" t="s">
        <v>363</v>
      </c>
      <c r="Q1308" s="3">
        <v>980.0</v>
      </c>
      <c r="T1308" s="2" t="s">
        <v>3833</v>
      </c>
      <c r="U1308" s="171">
        <v>2849.0</v>
      </c>
      <c r="V1308" s="172">
        <v>46024.0</v>
      </c>
      <c r="W1308" s="3">
        <v>340.74</v>
      </c>
      <c r="X1308" s="172">
        <v>46023.714224537034</v>
      </c>
      <c r="Y1308" s="172"/>
      <c r="Z1308" s="3">
        <v>46020.0</v>
      </c>
      <c r="AA1308" s="3"/>
    </row>
    <row r="1309">
      <c r="A1309" s="3">
        <v>6.840930369795E12</v>
      </c>
      <c r="B1309" s="2" t="s">
        <v>5594</v>
      </c>
      <c r="C1309" s="2" t="s">
        <v>5595</v>
      </c>
      <c r="D1309" s="169">
        <v>46020.0</v>
      </c>
      <c r="E1309" s="2">
        <v>3.119303777E9</v>
      </c>
      <c r="F1309" s="2" t="s">
        <v>5596</v>
      </c>
      <c r="G1309" s="2" t="s">
        <v>366</v>
      </c>
      <c r="H1309" s="2">
        <v>4149.0</v>
      </c>
      <c r="I1309" s="2">
        <v>2.6120050020846E13</v>
      </c>
      <c r="J1309" s="3">
        <v>2.0</v>
      </c>
      <c r="L1309" s="2" t="s">
        <v>994</v>
      </c>
      <c r="M1309" s="174" t="s">
        <v>409</v>
      </c>
      <c r="N1309" s="2" t="s">
        <v>462</v>
      </c>
      <c r="O1309" s="3">
        <v>0.5</v>
      </c>
      <c r="P1309" s="2" t="s">
        <v>363</v>
      </c>
      <c r="Q1309" s="3">
        <v>1700.0</v>
      </c>
      <c r="T1309" s="2" t="s">
        <v>3833</v>
      </c>
      <c r="U1309" s="171">
        <v>4149.0</v>
      </c>
      <c r="V1309" s="172">
        <v>46024.0</v>
      </c>
      <c r="W1309" s="3">
        <v>386.07</v>
      </c>
      <c r="X1309" s="172">
        <v>46023.75659722222</v>
      </c>
      <c r="Y1309" s="172"/>
      <c r="Z1309" s="3">
        <v>46020.0</v>
      </c>
      <c r="AA1309" s="3"/>
    </row>
    <row r="1310">
      <c r="A1310" s="3">
        <v>6.841020285187E12</v>
      </c>
      <c r="B1310" s="2" t="s">
        <v>5597</v>
      </c>
      <c r="C1310" s="2" t="s">
        <v>5196</v>
      </c>
      <c r="D1310" s="169">
        <v>46020.0</v>
      </c>
      <c r="E1310" s="173" t="s">
        <v>5598</v>
      </c>
      <c r="F1310" s="2" t="s">
        <v>5197</v>
      </c>
      <c r="G1310" s="2" t="s">
        <v>368</v>
      </c>
      <c r="H1310" s="2">
        <v>2901.0</v>
      </c>
      <c r="I1310" s="2">
        <v>2.1120050020838E13</v>
      </c>
      <c r="J1310" s="3">
        <v>1.0</v>
      </c>
      <c r="K1310" s="2" t="s">
        <v>5599</v>
      </c>
      <c r="L1310" s="2" t="s">
        <v>684</v>
      </c>
      <c r="M1310" s="174" t="s">
        <v>409</v>
      </c>
      <c r="N1310" s="2" t="s">
        <v>462</v>
      </c>
      <c r="O1310" s="3">
        <v>0.5</v>
      </c>
      <c r="P1310" s="2" t="s">
        <v>73</v>
      </c>
      <c r="Q1310" s="3">
        <v>850.0</v>
      </c>
      <c r="T1310" s="2" t="s">
        <v>3833</v>
      </c>
      <c r="U1310" s="171">
        <v>2901.0</v>
      </c>
      <c r="V1310" s="172">
        <v>46024.0</v>
      </c>
      <c r="W1310" s="3">
        <v>236.1</v>
      </c>
      <c r="X1310" s="172">
        <v>46021.656493055554</v>
      </c>
      <c r="Y1310" s="172"/>
      <c r="Z1310" s="3">
        <v>46020.0</v>
      </c>
      <c r="AA1310" s="3"/>
    </row>
    <row r="1311">
      <c r="A1311" s="3">
        <v>6.841285509379E12</v>
      </c>
      <c r="B1311" s="2" t="s">
        <v>5600</v>
      </c>
      <c r="C1311" s="2" t="s">
        <v>4574</v>
      </c>
      <c r="D1311" s="169">
        <v>46020.0</v>
      </c>
      <c r="E1311" s="173" t="s">
        <v>4575</v>
      </c>
      <c r="F1311" s="2" t="s">
        <v>5601</v>
      </c>
      <c r="G1311" s="2" t="s">
        <v>5602</v>
      </c>
      <c r="H1311" s="2">
        <v>0.0</v>
      </c>
      <c r="J1311" s="3">
        <v>0.0</v>
      </c>
      <c r="K1311" s="2" t="s">
        <v>5603</v>
      </c>
      <c r="L1311" s="2"/>
      <c r="M1311" s="2" t="s">
        <v>468</v>
      </c>
      <c r="N1311" s="2" t="s">
        <v>406</v>
      </c>
      <c r="O1311" s="3">
        <v>0.5</v>
      </c>
      <c r="Q1311" s="3">
        <v>0.0</v>
      </c>
      <c r="U1311" s="141"/>
      <c r="X1311" s="172">
        <v>46057.6427828125</v>
      </c>
      <c r="Y1311" s="172"/>
      <c r="Z1311" s="3">
        <v>46020.0</v>
      </c>
      <c r="AA1311" s="3"/>
    </row>
    <row r="1312">
      <c r="A1312" s="3">
        <v>6.841325519107E12</v>
      </c>
      <c r="B1312" s="2" t="s">
        <v>5604</v>
      </c>
      <c r="C1312" s="2" t="s">
        <v>4981</v>
      </c>
      <c r="D1312" s="169">
        <v>46020.0</v>
      </c>
      <c r="E1312" s="2">
        <v>3.117610881E9</v>
      </c>
      <c r="F1312" s="2" t="s">
        <v>5605</v>
      </c>
      <c r="G1312" s="2" t="s">
        <v>5606</v>
      </c>
      <c r="H1312" s="2">
        <v>0.0</v>
      </c>
      <c r="J1312" s="3">
        <v>0.0</v>
      </c>
      <c r="K1312" s="2" t="s">
        <v>5607</v>
      </c>
      <c r="L1312" s="2"/>
      <c r="M1312" s="2" t="s">
        <v>468</v>
      </c>
      <c r="N1312" s="2" t="s">
        <v>406</v>
      </c>
      <c r="O1312" s="3">
        <v>0.5</v>
      </c>
      <c r="Q1312" s="3">
        <v>0.0</v>
      </c>
      <c r="U1312" s="141"/>
      <c r="X1312" s="172">
        <v>46057.6427828125</v>
      </c>
      <c r="Y1312" s="172"/>
      <c r="Z1312" s="3">
        <v>46020.0</v>
      </c>
      <c r="AA1312" s="3"/>
    </row>
    <row r="1313">
      <c r="A1313" s="3">
        <v>6.841330172163E12</v>
      </c>
      <c r="B1313" s="2" t="s">
        <v>5608</v>
      </c>
      <c r="C1313" s="2" t="s">
        <v>5609</v>
      </c>
      <c r="D1313" s="169">
        <v>46020.0</v>
      </c>
      <c r="E1313" s="2">
        <v>3.335666657E9</v>
      </c>
      <c r="F1313" s="2" t="s">
        <v>5610</v>
      </c>
      <c r="G1313" s="2" t="s">
        <v>506</v>
      </c>
      <c r="H1313" s="2">
        <v>0.0</v>
      </c>
      <c r="I1313" s="2">
        <v>2.412005002082E13</v>
      </c>
      <c r="J1313" s="3">
        <v>0.0</v>
      </c>
      <c r="K1313" s="2" t="s">
        <v>5611</v>
      </c>
      <c r="L1313" s="2"/>
      <c r="M1313" s="170" t="s">
        <v>455</v>
      </c>
      <c r="N1313" s="2" t="s">
        <v>406</v>
      </c>
      <c r="O1313" s="3">
        <v>0.5</v>
      </c>
      <c r="P1313" s="2" t="s">
        <v>363</v>
      </c>
      <c r="Q1313" s="3">
        <v>0.0</v>
      </c>
      <c r="T1313" s="2" t="s">
        <v>3701</v>
      </c>
      <c r="U1313" s="171">
        <v>0.0</v>
      </c>
      <c r="V1313" s="172">
        <v>46035.0</v>
      </c>
      <c r="W1313" s="3">
        <v>200.0</v>
      </c>
      <c r="X1313" s="172">
        <v>46057.6427828125</v>
      </c>
      <c r="Y1313" s="172"/>
      <c r="Z1313" s="3">
        <v>46020.0</v>
      </c>
      <c r="AA1313" s="3"/>
    </row>
    <row r="1314">
      <c r="A1314" s="3">
        <v>6.841432834307E12</v>
      </c>
      <c r="B1314" s="2" t="s">
        <v>5612</v>
      </c>
      <c r="C1314" s="2" t="s">
        <v>5613</v>
      </c>
      <c r="D1314" s="169">
        <v>46020.0</v>
      </c>
      <c r="E1314" s="2">
        <v>3.332580239E9</v>
      </c>
      <c r="F1314" s="2" t="s">
        <v>5614</v>
      </c>
      <c r="G1314" s="2" t="s">
        <v>5615</v>
      </c>
      <c r="H1314" s="2">
        <v>3213.0</v>
      </c>
      <c r="I1314" s="2">
        <v>2.5120050020819E13</v>
      </c>
      <c r="J1314" s="3">
        <v>2.0</v>
      </c>
      <c r="L1314" s="2" t="s">
        <v>3242</v>
      </c>
      <c r="M1314" s="174" t="s">
        <v>409</v>
      </c>
      <c r="N1314" s="2" t="s">
        <v>462</v>
      </c>
      <c r="O1314" s="3">
        <v>0.5</v>
      </c>
      <c r="P1314" s="2" t="s">
        <v>363</v>
      </c>
      <c r="Q1314" s="3">
        <v>1000.0</v>
      </c>
      <c r="T1314" s="2" t="s">
        <v>3833</v>
      </c>
      <c r="U1314" s="171">
        <v>3213.0</v>
      </c>
      <c r="V1314" s="172">
        <v>46024.0</v>
      </c>
      <c r="W1314" s="3">
        <v>341.96</v>
      </c>
      <c r="X1314" s="172">
        <v>46023.54947916667</v>
      </c>
      <c r="Y1314" s="172"/>
      <c r="Z1314" s="3">
        <v>46020.0</v>
      </c>
      <c r="AA1314" s="3"/>
    </row>
    <row r="1315">
      <c r="A1315" s="3">
        <v>6.841493520643E12</v>
      </c>
      <c r="B1315" s="2" t="s">
        <v>5616</v>
      </c>
      <c r="C1315" s="2" t="s">
        <v>5617</v>
      </c>
      <c r="D1315" s="169">
        <v>46020.0</v>
      </c>
      <c r="E1315" s="2">
        <v>3.113927034E9</v>
      </c>
      <c r="F1315" s="2" t="s">
        <v>5618</v>
      </c>
      <c r="G1315" s="2" t="s">
        <v>493</v>
      </c>
      <c r="H1315" s="2">
        <v>0.0</v>
      </c>
      <c r="I1315" s="2">
        <v>2.3120050020818E13</v>
      </c>
      <c r="J1315" s="3">
        <v>0.0</v>
      </c>
      <c r="K1315" s="2" t="s">
        <v>5619</v>
      </c>
      <c r="L1315" s="2"/>
      <c r="M1315" s="170" t="s">
        <v>455</v>
      </c>
      <c r="N1315" s="2" t="s">
        <v>406</v>
      </c>
      <c r="O1315" s="3">
        <v>0.5</v>
      </c>
      <c r="P1315" s="2" t="s">
        <v>363</v>
      </c>
      <c r="Q1315" s="3">
        <v>0.0</v>
      </c>
      <c r="T1315" s="2" t="s">
        <v>3701</v>
      </c>
      <c r="U1315" s="171">
        <v>0.0</v>
      </c>
      <c r="V1315" s="172">
        <v>46035.0</v>
      </c>
      <c r="W1315" s="3">
        <v>213.0</v>
      </c>
      <c r="X1315" s="172">
        <v>46057.6427828125</v>
      </c>
      <c r="Y1315" s="172"/>
      <c r="Z1315" s="3">
        <v>46020.0</v>
      </c>
      <c r="AA1315" s="3"/>
    </row>
    <row r="1316">
      <c r="A1316" s="3">
        <v>6.841499222275E12</v>
      </c>
      <c r="B1316" s="2" t="s">
        <v>5620</v>
      </c>
      <c r="C1316" s="2" t="s">
        <v>5621</v>
      </c>
      <c r="D1316" s="169">
        <v>46020.0</v>
      </c>
      <c r="E1316" s="173" t="s">
        <v>5622</v>
      </c>
      <c r="F1316" s="2" t="s">
        <v>5623</v>
      </c>
      <c r="G1316" s="2" t="s">
        <v>1087</v>
      </c>
      <c r="H1316" s="2">
        <v>2849.0</v>
      </c>
      <c r="I1316" s="2">
        <v>2.9120050020817E13</v>
      </c>
      <c r="J1316" s="3">
        <v>2.0</v>
      </c>
      <c r="K1316" s="2" t="s">
        <v>1989</v>
      </c>
      <c r="L1316" s="2" t="s">
        <v>35</v>
      </c>
      <c r="M1316" s="174" t="s">
        <v>409</v>
      </c>
      <c r="N1316" s="2" t="s">
        <v>462</v>
      </c>
      <c r="O1316" s="3">
        <v>0.5</v>
      </c>
      <c r="P1316" s="2" t="s">
        <v>363</v>
      </c>
      <c r="Q1316" s="3">
        <v>980.0</v>
      </c>
      <c r="T1316" s="2" t="s">
        <v>3833</v>
      </c>
      <c r="U1316" s="171">
        <v>2849.0</v>
      </c>
      <c r="V1316" s="172">
        <v>46024.0</v>
      </c>
      <c r="W1316" s="3">
        <v>340.74</v>
      </c>
      <c r="X1316" s="172">
        <v>46022.576574074075</v>
      </c>
      <c r="Y1316" s="172"/>
      <c r="Z1316" s="3">
        <v>46020.0</v>
      </c>
      <c r="AA1316" s="3"/>
    </row>
    <row r="1317">
      <c r="A1317" s="3">
        <v>6.841501942019E12</v>
      </c>
      <c r="B1317" s="2" t="s">
        <v>5624</v>
      </c>
      <c r="C1317" s="2" t="s">
        <v>5625</v>
      </c>
      <c r="D1317" s="169">
        <v>46020.0</v>
      </c>
      <c r="E1317" s="2">
        <v>3.133583903E9</v>
      </c>
      <c r="F1317" s="2" t="s">
        <v>5626</v>
      </c>
      <c r="G1317" s="2" t="s">
        <v>693</v>
      </c>
      <c r="H1317" s="2">
        <v>0.0</v>
      </c>
      <c r="J1317" s="3">
        <v>0.0</v>
      </c>
      <c r="K1317" s="2" t="s">
        <v>1588</v>
      </c>
      <c r="L1317" s="2"/>
      <c r="M1317" s="2" t="s">
        <v>468</v>
      </c>
      <c r="N1317" s="2" t="s">
        <v>406</v>
      </c>
      <c r="O1317" s="3">
        <v>0.5</v>
      </c>
      <c r="Q1317" s="3">
        <v>0.0</v>
      </c>
      <c r="U1317" s="141"/>
      <c r="X1317" s="172">
        <v>46057.6427828125</v>
      </c>
      <c r="Y1317" s="172"/>
      <c r="Z1317" s="3">
        <v>46020.0</v>
      </c>
      <c r="AA1317" s="3"/>
    </row>
    <row r="1318">
      <c r="A1318" s="3">
        <v>6.841503875331E12</v>
      </c>
      <c r="B1318" s="2" t="s">
        <v>5627</v>
      </c>
      <c r="C1318" s="2" t="s">
        <v>4701</v>
      </c>
      <c r="D1318" s="169">
        <v>46020.0</v>
      </c>
      <c r="E1318" s="2">
        <v>3.055910617E9</v>
      </c>
      <c r="F1318" s="2" t="s">
        <v>4703</v>
      </c>
      <c r="G1318" s="2" t="s">
        <v>368</v>
      </c>
      <c r="H1318" s="2">
        <v>0.0</v>
      </c>
      <c r="J1318" s="3">
        <v>0.0</v>
      </c>
      <c r="K1318" s="2" t="s">
        <v>5628</v>
      </c>
      <c r="L1318" s="2"/>
      <c r="M1318" s="2" t="s">
        <v>468</v>
      </c>
      <c r="N1318" s="2" t="s">
        <v>406</v>
      </c>
      <c r="O1318" s="3">
        <v>0.5</v>
      </c>
      <c r="Q1318" s="3">
        <v>0.0</v>
      </c>
      <c r="U1318" s="141"/>
      <c r="X1318" s="172">
        <v>46057.6427828125</v>
      </c>
      <c r="Y1318" s="172"/>
      <c r="Z1318" s="3">
        <v>46020.0</v>
      </c>
      <c r="AA1318" s="3"/>
    </row>
    <row r="1319">
      <c r="A1319" s="3">
        <v>6.841539428611E12</v>
      </c>
      <c r="B1319" s="2" t="s">
        <v>5629</v>
      </c>
      <c r="C1319" s="2" t="s">
        <v>5630</v>
      </c>
      <c r="D1319" s="169">
        <v>46020.0</v>
      </c>
      <c r="E1319" s="2">
        <v>3.001273172E9</v>
      </c>
      <c r="F1319" s="2" t="s">
        <v>5631</v>
      </c>
      <c r="G1319" s="2" t="s">
        <v>374</v>
      </c>
      <c r="H1319" s="2">
        <v>0.0</v>
      </c>
      <c r="I1319" s="2">
        <v>2.6120050020816E13</v>
      </c>
      <c r="J1319" s="3">
        <v>0.0</v>
      </c>
      <c r="K1319" s="2" t="s">
        <v>4716</v>
      </c>
      <c r="L1319" s="2"/>
      <c r="M1319" s="170" t="s">
        <v>455</v>
      </c>
      <c r="N1319" s="2" t="s">
        <v>406</v>
      </c>
      <c r="O1319" s="3">
        <v>0.5</v>
      </c>
      <c r="P1319" s="2" t="s">
        <v>363</v>
      </c>
      <c r="Q1319" s="3">
        <v>0.0</v>
      </c>
      <c r="T1319" s="2" t="s">
        <v>4077</v>
      </c>
      <c r="U1319" s="171">
        <v>0.0</v>
      </c>
      <c r="V1319" s="172">
        <v>46031.0</v>
      </c>
      <c r="W1319" s="3">
        <v>200.0</v>
      </c>
      <c r="X1319" s="172">
        <v>46057.6427828125</v>
      </c>
      <c r="Y1319" s="172"/>
      <c r="Z1319" s="3">
        <v>46020.0</v>
      </c>
      <c r="AA1319" s="3"/>
    </row>
    <row r="1320">
      <c r="A1320" s="3">
        <v>6.841540575491E12</v>
      </c>
      <c r="B1320" s="2" t="s">
        <v>5632</v>
      </c>
      <c r="C1320" s="2" t="s">
        <v>5633</v>
      </c>
      <c r="D1320" s="169">
        <v>46020.0</v>
      </c>
      <c r="E1320" s="173" t="s">
        <v>5634</v>
      </c>
      <c r="F1320" s="2" t="s">
        <v>5635</v>
      </c>
      <c r="G1320" s="2" t="s">
        <v>5636</v>
      </c>
      <c r="H1320" s="2">
        <v>4150.0</v>
      </c>
      <c r="I1320" s="2">
        <v>2.6120050020845E13</v>
      </c>
      <c r="J1320" s="3">
        <v>2.0</v>
      </c>
      <c r="K1320" s="2" t="s">
        <v>1989</v>
      </c>
      <c r="L1320" s="2" t="s">
        <v>994</v>
      </c>
      <c r="M1320" s="174" t="s">
        <v>409</v>
      </c>
      <c r="N1320" s="2" t="s">
        <v>462</v>
      </c>
      <c r="O1320" s="3">
        <v>0.5</v>
      </c>
      <c r="P1320" s="2" t="s">
        <v>363</v>
      </c>
      <c r="Q1320" s="3">
        <v>1700.0</v>
      </c>
      <c r="T1320" s="2" t="s">
        <v>3833</v>
      </c>
      <c r="U1320" s="171">
        <v>4150.0</v>
      </c>
      <c r="V1320" s="172">
        <v>46024.0</v>
      </c>
      <c r="W1320" s="3">
        <v>479.49</v>
      </c>
      <c r="X1320" s="172">
        <v>46022.5675462963</v>
      </c>
      <c r="Y1320" s="172"/>
      <c r="Z1320" s="3">
        <v>46020.0</v>
      </c>
      <c r="AA1320" s="3"/>
    </row>
    <row r="1321">
      <c r="A1321" s="3">
        <v>6.841561317635E12</v>
      </c>
      <c r="B1321" s="2" t="s">
        <v>5637</v>
      </c>
      <c r="C1321" s="2" t="s">
        <v>5638</v>
      </c>
      <c r="D1321" s="169">
        <v>46020.0</v>
      </c>
      <c r="E1321" s="2">
        <v>3.17824781E9</v>
      </c>
      <c r="F1321" s="2" t="s">
        <v>5639</v>
      </c>
      <c r="G1321" s="2" t="s">
        <v>5640</v>
      </c>
      <c r="H1321" s="2">
        <v>0.0</v>
      </c>
      <c r="J1321" s="3">
        <v>0.0</v>
      </c>
      <c r="K1321" s="2" t="s">
        <v>5641</v>
      </c>
      <c r="L1321" s="2"/>
      <c r="M1321" s="2" t="s">
        <v>468</v>
      </c>
      <c r="N1321" s="2" t="s">
        <v>406</v>
      </c>
      <c r="O1321" s="3">
        <v>0.5</v>
      </c>
      <c r="Q1321" s="3">
        <v>0.0</v>
      </c>
      <c r="U1321" s="141"/>
      <c r="X1321" s="172">
        <v>46057.6427828125</v>
      </c>
      <c r="Y1321" s="172"/>
      <c r="Z1321" s="3">
        <v>46020.0</v>
      </c>
      <c r="AA1321" s="3"/>
    </row>
    <row r="1322">
      <c r="A1322" s="3">
        <v>6.841577341187E12</v>
      </c>
      <c r="B1322" s="2" t="s">
        <v>5642</v>
      </c>
      <c r="C1322" s="2" t="s">
        <v>5643</v>
      </c>
      <c r="D1322" s="169">
        <v>46020.0</v>
      </c>
      <c r="E1322" s="2">
        <v>3.424889991E9</v>
      </c>
      <c r="F1322" s="2" t="s">
        <v>5644</v>
      </c>
      <c r="G1322" s="2" t="s">
        <v>5645</v>
      </c>
      <c r="H1322" s="2">
        <v>2849.0</v>
      </c>
      <c r="I1322" s="2">
        <v>2.0120050020843E13</v>
      </c>
      <c r="J1322" s="3">
        <v>2.0</v>
      </c>
      <c r="K1322" s="2" t="s">
        <v>511</v>
      </c>
      <c r="L1322" s="2" t="s">
        <v>35</v>
      </c>
      <c r="M1322" s="174" t="s">
        <v>409</v>
      </c>
      <c r="N1322" s="2" t="s">
        <v>462</v>
      </c>
      <c r="O1322" s="3">
        <v>0.5</v>
      </c>
      <c r="P1322" s="2" t="s">
        <v>363</v>
      </c>
      <c r="Q1322" s="3">
        <v>980.0</v>
      </c>
      <c r="T1322" s="2" t="s">
        <v>3833</v>
      </c>
      <c r="U1322" s="171">
        <v>2849.0</v>
      </c>
      <c r="V1322" s="172">
        <v>46024.0</v>
      </c>
      <c r="W1322" s="3">
        <v>314.06</v>
      </c>
      <c r="X1322" s="172">
        <v>46022.644004629634</v>
      </c>
      <c r="Y1322" s="172"/>
      <c r="Z1322" s="3">
        <v>46020.0</v>
      </c>
      <c r="AA1322" s="3"/>
    </row>
    <row r="1323">
      <c r="A1323" s="3">
        <v>6.841580880131E12</v>
      </c>
      <c r="B1323" s="2" t="s">
        <v>5646</v>
      </c>
      <c r="C1323" s="2" t="s">
        <v>5647</v>
      </c>
      <c r="D1323" s="169">
        <v>46020.0</v>
      </c>
      <c r="E1323" s="173" t="s">
        <v>1304</v>
      </c>
      <c r="F1323" s="2" t="s">
        <v>5648</v>
      </c>
      <c r="G1323" s="2" t="s">
        <v>802</v>
      </c>
      <c r="H1323" s="2">
        <v>0.0</v>
      </c>
      <c r="J1323" s="3">
        <v>0.0</v>
      </c>
      <c r="K1323" s="2" t="s">
        <v>1306</v>
      </c>
      <c r="L1323" s="2"/>
      <c r="M1323" s="2" t="s">
        <v>468</v>
      </c>
      <c r="N1323" s="2" t="s">
        <v>406</v>
      </c>
      <c r="O1323" s="3">
        <v>0.5</v>
      </c>
      <c r="Q1323" s="3">
        <v>0.0</v>
      </c>
      <c r="U1323" s="141"/>
      <c r="X1323" s="172">
        <v>46057.6427828125</v>
      </c>
      <c r="Y1323" s="172"/>
      <c r="Z1323" s="3">
        <v>46020.0</v>
      </c>
      <c r="AA1323" s="3"/>
    </row>
    <row r="1324">
      <c r="A1324" s="3">
        <v>6.841589170435E12</v>
      </c>
      <c r="B1324" s="2" t="s">
        <v>5649</v>
      </c>
      <c r="C1324" s="2" t="s">
        <v>5650</v>
      </c>
      <c r="D1324" s="169">
        <v>46020.0</v>
      </c>
      <c r="E1324" s="173" t="s">
        <v>5651</v>
      </c>
      <c r="F1324" s="2" t="s">
        <v>5652</v>
      </c>
      <c r="G1324" s="2" t="s">
        <v>2584</v>
      </c>
      <c r="H1324" s="2">
        <v>2849.0</v>
      </c>
      <c r="I1324" s="2">
        <v>2.1120050020842E13</v>
      </c>
      <c r="J1324" s="3">
        <v>2.0</v>
      </c>
      <c r="K1324" s="2" t="s">
        <v>511</v>
      </c>
      <c r="L1324" s="2" t="s">
        <v>35</v>
      </c>
      <c r="M1324" s="174" t="s">
        <v>409</v>
      </c>
      <c r="N1324" s="2" t="s">
        <v>462</v>
      </c>
      <c r="O1324" s="3">
        <v>0.5</v>
      </c>
      <c r="P1324" s="2" t="s">
        <v>73</v>
      </c>
      <c r="Q1324" s="3">
        <v>980.0</v>
      </c>
      <c r="T1324" s="2" t="s">
        <v>3833</v>
      </c>
      <c r="U1324" s="171">
        <v>2849.0</v>
      </c>
      <c r="V1324" s="172">
        <v>46024.0</v>
      </c>
      <c r="W1324" s="3">
        <v>327.4</v>
      </c>
      <c r="X1324" s="172">
        <v>46022.72195601852</v>
      </c>
      <c r="Y1324" s="172"/>
      <c r="Z1324" s="3">
        <v>46020.0</v>
      </c>
      <c r="AA1324" s="3"/>
    </row>
    <row r="1325">
      <c r="A1325" s="3">
        <v>6.841619644675E12</v>
      </c>
      <c r="B1325" s="2" t="s">
        <v>5653</v>
      </c>
      <c r="C1325" s="2" t="s">
        <v>5654</v>
      </c>
      <c r="D1325" s="169">
        <v>46020.0</v>
      </c>
      <c r="E1325" s="173" t="s">
        <v>5655</v>
      </c>
      <c r="F1325" s="2" t="s">
        <v>5656</v>
      </c>
      <c r="G1325" s="2" t="s">
        <v>688</v>
      </c>
      <c r="H1325" s="2">
        <v>4303.96</v>
      </c>
      <c r="I1325" s="2">
        <v>2.4120050020839E13</v>
      </c>
      <c r="J1325" s="3">
        <v>2.0</v>
      </c>
      <c r="L1325" s="2" t="s">
        <v>5657</v>
      </c>
      <c r="M1325" s="174" t="s">
        <v>409</v>
      </c>
      <c r="N1325" s="2" t="s">
        <v>462</v>
      </c>
      <c r="O1325" s="3">
        <v>0.5</v>
      </c>
      <c r="P1325" s="2" t="s">
        <v>363</v>
      </c>
      <c r="Q1325" s="3">
        <v>1580.0</v>
      </c>
      <c r="T1325" s="2" t="s">
        <v>3833</v>
      </c>
      <c r="U1325" s="171">
        <v>4303.96</v>
      </c>
      <c r="V1325" s="172">
        <v>46024.0</v>
      </c>
      <c r="W1325" s="3">
        <v>392.27</v>
      </c>
      <c r="X1325" s="172">
        <v>46022.72319444444</v>
      </c>
      <c r="Y1325" s="172"/>
      <c r="Z1325" s="3">
        <v>46020.0</v>
      </c>
      <c r="AA1325" s="3"/>
    </row>
    <row r="1326">
      <c r="A1326" s="3">
        <v>6.841623838979E12</v>
      </c>
      <c r="B1326" s="2" t="s">
        <v>5658</v>
      </c>
      <c r="C1326" s="2" t="s">
        <v>3703</v>
      </c>
      <c r="D1326" s="169">
        <v>46020.0</v>
      </c>
      <c r="E1326" s="173" t="s">
        <v>3707</v>
      </c>
      <c r="F1326" s="2" t="s">
        <v>3704</v>
      </c>
      <c r="G1326" s="2" t="s">
        <v>3705</v>
      </c>
      <c r="H1326" s="2">
        <v>0.0</v>
      </c>
      <c r="I1326" s="2">
        <v>2.312005002084E13</v>
      </c>
      <c r="J1326" s="3">
        <v>0.0</v>
      </c>
      <c r="K1326" s="2" t="s">
        <v>5659</v>
      </c>
      <c r="L1326" s="2"/>
      <c r="M1326" s="170" t="s">
        <v>455</v>
      </c>
      <c r="N1326" s="2" t="s">
        <v>406</v>
      </c>
      <c r="O1326" s="3">
        <v>0.5</v>
      </c>
      <c r="P1326" s="2" t="s">
        <v>363</v>
      </c>
      <c r="Q1326" s="3">
        <v>0.0</v>
      </c>
      <c r="T1326" s="2" t="s">
        <v>4077</v>
      </c>
      <c r="U1326" s="171">
        <v>0.0</v>
      </c>
      <c r="V1326" s="172">
        <v>46031.0</v>
      </c>
      <c r="W1326" s="3">
        <v>313.0</v>
      </c>
      <c r="X1326" s="172">
        <v>46057.64278282407</v>
      </c>
      <c r="Y1326" s="172"/>
      <c r="Z1326" s="3">
        <v>46020.0</v>
      </c>
      <c r="AA1326" s="3"/>
    </row>
    <row r="1327">
      <c r="A1327" s="3">
        <v>6.841634324739E12</v>
      </c>
      <c r="B1327" s="2" t="s">
        <v>5660</v>
      </c>
      <c r="C1327" s="2" t="s">
        <v>5661</v>
      </c>
      <c r="D1327" s="169">
        <v>46020.0</v>
      </c>
      <c r="E1327" s="173" t="s">
        <v>5662</v>
      </c>
      <c r="F1327" s="2" t="s">
        <v>5663</v>
      </c>
      <c r="G1327" s="2" t="s">
        <v>855</v>
      </c>
      <c r="H1327" s="2">
        <v>2849.0</v>
      </c>
      <c r="I1327" s="2">
        <v>2.9120050020841E13</v>
      </c>
      <c r="J1327" s="3">
        <v>2.0</v>
      </c>
      <c r="K1327" s="2" t="s">
        <v>1989</v>
      </c>
      <c r="L1327" s="2" t="s">
        <v>16</v>
      </c>
      <c r="M1327" s="174" t="s">
        <v>409</v>
      </c>
      <c r="N1327" s="2" t="s">
        <v>462</v>
      </c>
      <c r="O1327" s="3">
        <v>0.5</v>
      </c>
      <c r="P1327" s="2" t="s">
        <v>363</v>
      </c>
      <c r="Q1327" s="3">
        <v>980.0</v>
      </c>
      <c r="T1327" s="2" t="s">
        <v>3833</v>
      </c>
      <c r="U1327" s="171">
        <v>2849.0</v>
      </c>
      <c r="V1327" s="172">
        <v>46024.0</v>
      </c>
      <c r="W1327" s="3">
        <v>314.06</v>
      </c>
      <c r="X1327" s="172">
        <v>46022.577997685185</v>
      </c>
      <c r="Y1327" s="172"/>
      <c r="Z1327" s="3">
        <v>46020.0</v>
      </c>
      <c r="AA1327" s="3"/>
    </row>
    <row r="1328">
      <c r="A1328" s="3">
        <v>6.841639436547E12</v>
      </c>
      <c r="B1328" s="2" t="s">
        <v>5664</v>
      </c>
      <c r="C1328" s="2" t="s">
        <v>5665</v>
      </c>
      <c r="D1328" s="169">
        <v>46020.0</v>
      </c>
      <c r="E1328" s="2">
        <v>3.113927034E9</v>
      </c>
      <c r="F1328" s="2" t="s">
        <v>5666</v>
      </c>
      <c r="G1328" s="2" t="s">
        <v>493</v>
      </c>
      <c r="H1328" s="2">
        <v>0.0</v>
      </c>
      <c r="J1328" s="3">
        <v>0.0</v>
      </c>
      <c r="K1328" s="2" t="s">
        <v>5667</v>
      </c>
      <c r="L1328" s="2"/>
      <c r="M1328" s="2" t="s">
        <v>468</v>
      </c>
      <c r="N1328" s="2" t="s">
        <v>406</v>
      </c>
      <c r="O1328" s="3">
        <v>0.5</v>
      </c>
      <c r="Q1328" s="3">
        <v>0.0</v>
      </c>
      <c r="U1328" s="141"/>
      <c r="X1328" s="172">
        <v>46057.64278282407</v>
      </c>
      <c r="Y1328" s="172"/>
      <c r="Z1328" s="3">
        <v>46020.0</v>
      </c>
      <c r="AA1328" s="3"/>
    </row>
    <row r="1329">
      <c r="A1329" s="3">
        <v>6.841698091267E12</v>
      </c>
      <c r="B1329" s="2" t="s">
        <v>5668</v>
      </c>
      <c r="C1329" s="2" t="s">
        <v>5669</v>
      </c>
      <c r="D1329" s="169">
        <v>46020.0</v>
      </c>
      <c r="E1329" s="2">
        <v>3.213442056E9</v>
      </c>
      <c r="F1329" s="2" t="s">
        <v>5670</v>
      </c>
      <c r="G1329" s="2" t="s">
        <v>5671</v>
      </c>
      <c r="H1329" s="2">
        <v>3213.0</v>
      </c>
      <c r="I1329" s="2" t="s">
        <v>5672</v>
      </c>
      <c r="J1329" s="3">
        <v>2.0</v>
      </c>
      <c r="K1329" s="2" t="s">
        <v>5673</v>
      </c>
      <c r="L1329" s="2" t="s">
        <v>27</v>
      </c>
      <c r="M1329" s="174" t="s">
        <v>409</v>
      </c>
      <c r="N1329" s="2" t="s">
        <v>462</v>
      </c>
      <c r="O1329" s="3">
        <v>0.5</v>
      </c>
      <c r="P1329" s="2" t="s">
        <v>640</v>
      </c>
      <c r="Q1329" s="3">
        <v>920.0</v>
      </c>
      <c r="T1329" s="2" t="s">
        <v>5351</v>
      </c>
      <c r="U1329" s="171">
        <v>3213.0</v>
      </c>
      <c r="V1329" s="172">
        <v>46023.0</v>
      </c>
      <c r="W1329" s="3">
        <v>292.2</v>
      </c>
      <c r="X1329" s="172">
        <v>46057.73292123842</v>
      </c>
      <c r="Y1329" s="172"/>
      <c r="Z1329" s="3">
        <v>46020.0</v>
      </c>
      <c r="AA1329" s="3"/>
    </row>
    <row r="1330">
      <c r="A1330" s="3">
        <v>6.841702416643E12</v>
      </c>
      <c r="B1330" s="2" t="s">
        <v>5674</v>
      </c>
      <c r="C1330" s="2" t="s">
        <v>5675</v>
      </c>
      <c r="D1330" s="169">
        <v>46020.0</v>
      </c>
      <c r="E1330" s="2">
        <v>3.113414833E9</v>
      </c>
      <c r="F1330" s="2" t="s">
        <v>5676</v>
      </c>
      <c r="G1330" s="2" t="s">
        <v>5677</v>
      </c>
      <c r="H1330" s="2">
        <v>2849.0</v>
      </c>
      <c r="I1330" s="2">
        <v>2.812005002085E13</v>
      </c>
      <c r="J1330" s="3">
        <v>2.0</v>
      </c>
      <c r="L1330" s="2" t="s">
        <v>926</v>
      </c>
      <c r="M1330" s="174" t="s">
        <v>409</v>
      </c>
      <c r="N1330" s="2" t="s">
        <v>462</v>
      </c>
      <c r="O1330" s="3">
        <v>0.5</v>
      </c>
      <c r="P1330" s="2" t="s">
        <v>73</v>
      </c>
      <c r="Q1330" s="3">
        <v>980.0</v>
      </c>
      <c r="T1330" s="2" t="s">
        <v>3833</v>
      </c>
      <c r="U1330" s="171">
        <v>2849.0</v>
      </c>
      <c r="V1330" s="172">
        <v>46024.0</v>
      </c>
      <c r="W1330" s="3">
        <v>327.4</v>
      </c>
      <c r="X1330" s="172">
        <v>46023.73909722222</v>
      </c>
      <c r="Y1330" s="172"/>
      <c r="Z1330" s="3">
        <v>46020.0</v>
      </c>
      <c r="AA1330" s="3"/>
    </row>
    <row r="1331">
      <c r="A1331" s="3">
        <v>6.841713099011E12</v>
      </c>
      <c r="B1331" s="2" t="s">
        <v>5678</v>
      </c>
      <c r="C1331" s="2" t="s">
        <v>5679</v>
      </c>
      <c r="D1331" s="169">
        <v>46020.0</v>
      </c>
      <c r="E1331" s="2">
        <v>3.421219993E9</v>
      </c>
      <c r="F1331" s="2" t="s">
        <v>5680</v>
      </c>
      <c r="G1331" s="2" t="s">
        <v>493</v>
      </c>
      <c r="H1331" s="2">
        <v>3213.0</v>
      </c>
      <c r="I1331" s="2">
        <v>2.5120050020851E13</v>
      </c>
      <c r="J1331" s="3">
        <v>2.0</v>
      </c>
      <c r="L1331" s="2" t="s">
        <v>27</v>
      </c>
      <c r="M1331" s="174" t="s">
        <v>409</v>
      </c>
      <c r="N1331" s="2" t="s">
        <v>462</v>
      </c>
      <c r="O1331" s="3">
        <v>0.5</v>
      </c>
      <c r="P1331" s="2" t="s">
        <v>363</v>
      </c>
      <c r="Q1331" s="3">
        <v>920.0</v>
      </c>
      <c r="T1331" s="2" t="s">
        <v>3616</v>
      </c>
      <c r="U1331" s="171">
        <v>3213.0</v>
      </c>
      <c r="V1331" s="172">
        <v>46028.0</v>
      </c>
      <c r="W1331" s="3">
        <v>341.96</v>
      </c>
      <c r="X1331" s="172">
        <v>46027.6460300926</v>
      </c>
      <c r="Y1331" s="172"/>
      <c r="Z1331" s="3">
        <v>46020.0</v>
      </c>
      <c r="AA1331" s="3"/>
    </row>
    <row r="1332">
      <c r="A1332" s="3">
        <v>6.841718276355E12</v>
      </c>
      <c r="B1332" s="2" t="s">
        <v>5681</v>
      </c>
      <c r="C1332" s="2" t="s">
        <v>5682</v>
      </c>
      <c r="D1332" s="169">
        <v>46020.0</v>
      </c>
      <c r="E1332" s="2">
        <v>3.43197779E9</v>
      </c>
      <c r="F1332" s="2" t="s">
        <v>5683</v>
      </c>
      <c r="G1332" s="2" t="s">
        <v>366</v>
      </c>
      <c r="H1332" s="2">
        <v>4303.96</v>
      </c>
      <c r="I1332" s="2">
        <v>2.8120050020868E13</v>
      </c>
      <c r="J1332" s="3">
        <v>2.0</v>
      </c>
      <c r="L1332" s="2" t="s">
        <v>5370</v>
      </c>
      <c r="M1332" s="174" t="s">
        <v>409</v>
      </c>
      <c r="N1332" s="2" t="s">
        <v>462</v>
      </c>
      <c r="O1332" s="3">
        <v>0.5</v>
      </c>
      <c r="P1332" s="2" t="s">
        <v>73</v>
      </c>
      <c r="Q1332" s="3">
        <v>1580.0</v>
      </c>
      <c r="T1332" s="2" t="s">
        <v>3833</v>
      </c>
      <c r="U1332" s="171">
        <v>4303.96</v>
      </c>
      <c r="V1332" s="172">
        <v>46024.0</v>
      </c>
      <c r="W1332" s="3">
        <v>392.27</v>
      </c>
      <c r="X1332" s="172">
        <v>46023.63702546296</v>
      </c>
      <c r="Y1332" s="172"/>
      <c r="Z1332" s="3">
        <v>46020.0</v>
      </c>
      <c r="AA1332" s="3"/>
    </row>
    <row r="1333">
      <c r="A1333" s="3">
        <v>6.841924321539E12</v>
      </c>
      <c r="B1333" s="2" t="s">
        <v>5684</v>
      </c>
      <c r="C1333" s="2" t="s">
        <v>4162</v>
      </c>
      <c r="D1333" s="169">
        <v>46020.0</v>
      </c>
      <c r="E1333" s="173" t="s">
        <v>5685</v>
      </c>
      <c r="F1333" s="2" t="s">
        <v>5686</v>
      </c>
      <c r="G1333" s="2" t="s">
        <v>855</v>
      </c>
      <c r="H1333" s="2">
        <v>3213.0</v>
      </c>
      <c r="I1333" s="2">
        <v>2.6120050020873E13</v>
      </c>
      <c r="J1333" s="3">
        <v>2.0</v>
      </c>
      <c r="K1333" s="2" t="s">
        <v>511</v>
      </c>
      <c r="L1333" s="2" t="s">
        <v>40</v>
      </c>
      <c r="M1333" s="174" t="s">
        <v>409</v>
      </c>
      <c r="N1333" s="2" t="s">
        <v>462</v>
      </c>
      <c r="O1333" s="3">
        <v>0.5</v>
      </c>
      <c r="P1333" s="2" t="s">
        <v>363</v>
      </c>
      <c r="Q1333" s="3">
        <v>920.0</v>
      </c>
      <c r="T1333" s="2" t="s">
        <v>3833</v>
      </c>
      <c r="U1333" s="171">
        <v>3213.0</v>
      </c>
      <c r="V1333" s="172">
        <v>46024.0</v>
      </c>
      <c r="W1333" s="3">
        <v>328.62</v>
      </c>
      <c r="X1333" s="172">
        <v>46023.696111111116</v>
      </c>
      <c r="Y1333" s="172"/>
      <c r="Z1333" s="3">
        <v>46020.0</v>
      </c>
      <c r="AA1333" s="3"/>
    </row>
    <row r="1334">
      <c r="A1334" s="3">
        <v>6.841924616451E12</v>
      </c>
      <c r="B1334" s="2" t="s">
        <v>5687</v>
      </c>
      <c r="C1334" s="2" t="s">
        <v>5688</v>
      </c>
      <c r="D1334" s="169">
        <v>46020.0</v>
      </c>
      <c r="E1334" s="2">
        <v>3.44550631E9</v>
      </c>
      <c r="F1334" s="2" t="s">
        <v>5689</v>
      </c>
      <c r="G1334" s="2" t="s">
        <v>2966</v>
      </c>
      <c r="H1334" s="2">
        <v>5241.0</v>
      </c>
      <c r="I1334" s="2">
        <v>2.6120050020852E13</v>
      </c>
      <c r="J1334" s="3">
        <v>3.0</v>
      </c>
      <c r="L1334" s="2" t="s">
        <v>5690</v>
      </c>
      <c r="M1334" s="174" t="s">
        <v>409</v>
      </c>
      <c r="N1334" s="2" t="s">
        <v>462</v>
      </c>
      <c r="O1334" s="3">
        <v>0.5</v>
      </c>
      <c r="P1334" s="2" t="s">
        <v>363</v>
      </c>
      <c r="Q1334" s="3">
        <v>1610.0</v>
      </c>
      <c r="T1334" s="2" t="s">
        <v>3833</v>
      </c>
      <c r="U1334" s="171">
        <v>5241.0</v>
      </c>
      <c r="V1334" s="172">
        <v>46024.0</v>
      </c>
      <c r="W1334" s="3">
        <v>429.75</v>
      </c>
      <c r="X1334" s="172">
        <v>46023.633518518516</v>
      </c>
      <c r="Y1334" s="172"/>
      <c r="Z1334" s="3">
        <v>46020.0</v>
      </c>
      <c r="AA1334" s="3"/>
    </row>
    <row r="1335">
      <c r="A1335" s="3">
        <v>6.841942573315E12</v>
      </c>
      <c r="B1335" s="2" t="s">
        <v>5691</v>
      </c>
      <c r="C1335" s="2" t="s">
        <v>5692</v>
      </c>
      <c r="D1335" s="169">
        <v>46020.0</v>
      </c>
      <c r="E1335" s="173" t="s">
        <v>5693</v>
      </c>
      <c r="F1335" s="2" t="s">
        <v>5694</v>
      </c>
      <c r="G1335" s="2" t="s">
        <v>2543</v>
      </c>
      <c r="H1335" s="2">
        <v>3213.0</v>
      </c>
      <c r="I1335" s="2">
        <v>2.9120050020872E13</v>
      </c>
      <c r="J1335" s="3">
        <v>2.0</v>
      </c>
      <c r="K1335" s="2" t="s">
        <v>511</v>
      </c>
      <c r="L1335" s="2" t="s">
        <v>2562</v>
      </c>
      <c r="M1335" s="174" t="s">
        <v>409</v>
      </c>
      <c r="N1335" s="2" t="s">
        <v>462</v>
      </c>
      <c r="O1335" s="3">
        <v>0.5</v>
      </c>
      <c r="P1335" s="2" t="s">
        <v>363</v>
      </c>
      <c r="Q1335" s="3">
        <v>1000.0</v>
      </c>
      <c r="T1335" s="2" t="s">
        <v>3833</v>
      </c>
      <c r="U1335" s="171">
        <v>3213.0</v>
      </c>
      <c r="V1335" s="172">
        <v>46024.0</v>
      </c>
      <c r="W1335" s="3">
        <v>328.62</v>
      </c>
      <c r="X1335" s="172">
        <v>46023.6815162037</v>
      </c>
      <c r="Y1335" s="172"/>
      <c r="Z1335" s="3">
        <v>46020.0</v>
      </c>
      <c r="AA1335" s="3"/>
    </row>
    <row r="1336">
      <c r="A1336" s="3">
        <v>6.841956073731E12</v>
      </c>
      <c r="B1336" s="2" t="s">
        <v>5695</v>
      </c>
      <c r="C1336" s="2" t="s">
        <v>5696</v>
      </c>
      <c r="D1336" s="169">
        <v>46020.0</v>
      </c>
      <c r="E1336" s="2">
        <v>3.455438851E9</v>
      </c>
      <c r="F1336" s="2" t="s">
        <v>5697</v>
      </c>
      <c r="G1336" s="2" t="s">
        <v>368</v>
      </c>
      <c r="H1336" s="2">
        <v>1549.0</v>
      </c>
      <c r="I1336" s="2">
        <v>2.2120050020853E13</v>
      </c>
      <c r="J1336" s="3">
        <v>1.0</v>
      </c>
      <c r="K1336" s="2" t="s">
        <v>511</v>
      </c>
      <c r="L1336" s="2" t="s">
        <v>5698</v>
      </c>
      <c r="M1336" s="174" t="s">
        <v>409</v>
      </c>
      <c r="N1336" s="2" t="s">
        <v>462</v>
      </c>
      <c r="O1336" s="3">
        <v>0.5</v>
      </c>
      <c r="P1336" s="2" t="s">
        <v>363</v>
      </c>
      <c r="Q1336" s="3">
        <v>550.0</v>
      </c>
      <c r="T1336" s="2" t="s">
        <v>3833</v>
      </c>
      <c r="U1336" s="171">
        <v>1549.0</v>
      </c>
      <c r="V1336" s="172">
        <v>46024.0</v>
      </c>
      <c r="W1336" s="3">
        <v>168.68</v>
      </c>
      <c r="X1336" s="172">
        <v>46022.65310185185</v>
      </c>
      <c r="Y1336" s="172"/>
      <c r="Z1336" s="3">
        <v>46020.0</v>
      </c>
      <c r="AA1336" s="3"/>
    </row>
    <row r="1337">
      <c r="A1337" s="3">
        <v>6.841978880259E12</v>
      </c>
      <c r="B1337" s="2" t="s">
        <v>5699</v>
      </c>
      <c r="C1337" s="2" t="s">
        <v>5700</v>
      </c>
      <c r="D1337" s="169">
        <v>46020.0</v>
      </c>
      <c r="E1337" s="2">
        <v>3.464105068E9</v>
      </c>
      <c r="F1337" s="2" t="s">
        <v>5701</v>
      </c>
      <c r="G1337" s="2" t="s">
        <v>5702</v>
      </c>
      <c r="H1337" s="2">
        <v>3213.0</v>
      </c>
      <c r="I1337" s="2">
        <v>2.5120050020854E13</v>
      </c>
      <c r="J1337" s="3">
        <v>2.0</v>
      </c>
      <c r="L1337" s="2" t="s">
        <v>228</v>
      </c>
      <c r="M1337" s="174" t="s">
        <v>409</v>
      </c>
      <c r="N1337" s="2" t="s">
        <v>462</v>
      </c>
      <c r="O1337" s="3">
        <v>0.5</v>
      </c>
      <c r="P1337" s="2" t="s">
        <v>363</v>
      </c>
      <c r="Q1337" s="3">
        <v>920.0</v>
      </c>
      <c r="T1337" s="2" t="s">
        <v>3616</v>
      </c>
      <c r="U1337" s="171">
        <v>3213.0</v>
      </c>
      <c r="V1337" s="172">
        <v>46028.0</v>
      </c>
      <c r="W1337" s="3">
        <v>328.62</v>
      </c>
      <c r="X1337" s="172">
        <v>46027.59253472222</v>
      </c>
      <c r="Y1337" s="172"/>
      <c r="Z1337" s="3">
        <v>46020.0</v>
      </c>
      <c r="AA1337" s="3"/>
    </row>
    <row r="1338">
      <c r="A1338" s="3">
        <v>6.842085441795E12</v>
      </c>
      <c r="B1338" s="2" t="s">
        <v>5703</v>
      </c>
      <c r="C1338" s="2" t="s">
        <v>5704</v>
      </c>
      <c r="D1338" s="169">
        <v>46020.0</v>
      </c>
      <c r="E1338" s="2">
        <v>3.332867007E9</v>
      </c>
      <c r="F1338" s="2" t="s">
        <v>5705</v>
      </c>
      <c r="G1338" s="2" t="s">
        <v>5706</v>
      </c>
      <c r="H1338" s="2">
        <v>2953.0</v>
      </c>
      <c r="I1338" s="2">
        <v>2.4120050020855E13</v>
      </c>
      <c r="J1338" s="3">
        <v>2.0</v>
      </c>
      <c r="L1338" s="2" t="s">
        <v>1920</v>
      </c>
      <c r="M1338" s="174" t="s">
        <v>409</v>
      </c>
      <c r="N1338" s="2" t="s">
        <v>462</v>
      </c>
      <c r="O1338" s="3">
        <v>0.5</v>
      </c>
      <c r="P1338" s="2" t="s">
        <v>363</v>
      </c>
      <c r="Q1338" s="3">
        <v>1050.0</v>
      </c>
      <c r="T1338" s="2" t="s">
        <v>3833</v>
      </c>
      <c r="U1338" s="171">
        <v>2953.0</v>
      </c>
      <c r="V1338" s="172">
        <v>46024.0</v>
      </c>
      <c r="W1338" s="3">
        <v>318.22</v>
      </c>
      <c r="X1338" s="172">
        <v>46023.66269675926</v>
      </c>
      <c r="Y1338" s="172"/>
      <c r="Z1338" s="3">
        <v>46020.0</v>
      </c>
      <c r="AA1338" s="3"/>
    </row>
    <row r="1339">
      <c r="A1339" s="3">
        <v>6.842098778371E12</v>
      </c>
      <c r="B1339" s="2" t="s">
        <v>5707</v>
      </c>
      <c r="C1339" s="2" t="s">
        <v>5708</v>
      </c>
      <c r="D1339" s="169">
        <v>46020.0</v>
      </c>
      <c r="E1339" s="2">
        <v>3.342103909E9</v>
      </c>
      <c r="F1339" s="2" t="s">
        <v>5709</v>
      </c>
      <c r="G1339" s="2" t="s">
        <v>536</v>
      </c>
      <c r="H1339" s="2">
        <v>2849.0</v>
      </c>
      <c r="I1339" s="2">
        <v>2.7120050020871E13</v>
      </c>
      <c r="J1339" s="3">
        <v>1.0</v>
      </c>
      <c r="K1339" s="2" t="s">
        <v>4713</v>
      </c>
      <c r="L1339" s="2" t="s">
        <v>3137</v>
      </c>
      <c r="M1339" s="174" t="s">
        <v>409</v>
      </c>
      <c r="N1339" s="2" t="s">
        <v>462</v>
      </c>
      <c r="O1339" s="3">
        <v>0.5</v>
      </c>
      <c r="P1339" s="2" t="s">
        <v>363</v>
      </c>
      <c r="Q1339" s="3">
        <v>1300.0</v>
      </c>
      <c r="T1339" s="2" t="s">
        <v>3616</v>
      </c>
      <c r="U1339" s="171">
        <v>2849.0</v>
      </c>
      <c r="V1339" s="172">
        <v>46028.0</v>
      </c>
      <c r="W1339" s="3">
        <v>327.4</v>
      </c>
      <c r="X1339" s="172">
        <v>46024.72189814815</v>
      </c>
      <c r="Y1339" s="172"/>
      <c r="Z1339" s="3">
        <v>46020.0</v>
      </c>
      <c r="AA1339" s="3"/>
    </row>
    <row r="1340">
      <c r="A1340" s="3">
        <v>6.842116112643E12</v>
      </c>
      <c r="B1340" s="2" t="s">
        <v>5710</v>
      </c>
      <c r="C1340" s="2" t="s">
        <v>5711</v>
      </c>
      <c r="D1340" s="169">
        <v>46021.0</v>
      </c>
      <c r="E1340" s="173" t="s">
        <v>5712</v>
      </c>
      <c r="F1340" s="2" t="s">
        <v>5713</v>
      </c>
      <c r="G1340" s="2" t="s">
        <v>368</v>
      </c>
      <c r="H1340" s="2">
        <v>4938.96</v>
      </c>
      <c r="I1340" s="2">
        <v>2.2120050020875E13</v>
      </c>
      <c r="J1340" s="3">
        <v>3.0</v>
      </c>
      <c r="K1340" s="2" t="s">
        <v>511</v>
      </c>
      <c r="L1340" s="2" t="s">
        <v>5714</v>
      </c>
      <c r="M1340" s="174" t="s">
        <v>409</v>
      </c>
      <c r="N1340" s="2" t="s">
        <v>462</v>
      </c>
      <c r="O1340" s="3">
        <v>0.5</v>
      </c>
      <c r="P1340" s="2" t="s">
        <v>363</v>
      </c>
      <c r="Q1340" s="3">
        <v>1620.0</v>
      </c>
      <c r="T1340" s="2" t="s">
        <v>3833</v>
      </c>
      <c r="U1340" s="171">
        <v>4938.96</v>
      </c>
      <c r="V1340" s="172">
        <v>46024.0</v>
      </c>
      <c r="W1340" s="3">
        <v>304.28</v>
      </c>
      <c r="X1340" s="172">
        <v>46022.75104166666</v>
      </c>
      <c r="Y1340" s="172"/>
      <c r="Z1340" s="3">
        <v>46021.0</v>
      </c>
      <c r="AA1340" s="3"/>
    </row>
    <row r="1341">
      <c r="A1341" s="3">
        <v>6.842116243715E12</v>
      </c>
      <c r="B1341" s="2" t="s">
        <v>5715</v>
      </c>
      <c r="C1341" s="2" t="s">
        <v>4920</v>
      </c>
      <c r="D1341" s="169">
        <v>46021.0</v>
      </c>
      <c r="E1341" s="2">
        <v>3.406599219E9</v>
      </c>
      <c r="F1341" s="2" t="s">
        <v>5716</v>
      </c>
      <c r="G1341" s="2" t="s">
        <v>5717</v>
      </c>
      <c r="H1341" s="2">
        <v>2849.0</v>
      </c>
      <c r="I1341" s="2">
        <v>1.73009484811E11</v>
      </c>
      <c r="J1341" s="3">
        <v>2.0</v>
      </c>
      <c r="K1341" s="2" t="s">
        <v>499</v>
      </c>
      <c r="L1341" s="2" t="s">
        <v>16</v>
      </c>
      <c r="M1341" s="170" t="s">
        <v>455</v>
      </c>
      <c r="N1341" s="2" t="s">
        <v>406</v>
      </c>
      <c r="O1341" s="3">
        <v>0.5</v>
      </c>
      <c r="P1341" s="2" t="s">
        <v>501</v>
      </c>
      <c r="Q1341" s="3">
        <v>980.0</v>
      </c>
      <c r="U1341" s="141"/>
      <c r="W1341" s="3">
        <v>292.2</v>
      </c>
      <c r="X1341" s="172">
        <v>46057.64278282407</v>
      </c>
      <c r="Y1341" s="172"/>
      <c r="Z1341" s="3">
        <v>46021.0</v>
      </c>
      <c r="AA1341" s="3"/>
    </row>
    <row r="1342">
      <c r="A1342" s="3">
        <v>6.842167787779E12</v>
      </c>
      <c r="B1342" s="2" t="s">
        <v>5718</v>
      </c>
      <c r="C1342" s="2" t="s">
        <v>5719</v>
      </c>
      <c r="D1342" s="169">
        <v>46021.0</v>
      </c>
      <c r="E1342" s="2">
        <v>3.353493385E9</v>
      </c>
      <c r="F1342" s="2" t="s">
        <v>5720</v>
      </c>
      <c r="G1342" s="2" t="s">
        <v>493</v>
      </c>
      <c r="H1342" s="2">
        <v>0.0</v>
      </c>
      <c r="I1342" s="2">
        <v>2.2120050020856E13</v>
      </c>
      <c r="J1342" s="3">
        <v>0.0</v>
      </c>
      <c r="K1342" s="2" t="s">
        <v>5721</v>
      </c>
      <c r="L1342" s="2"/>
      <c r="M1342" s="170" t="s">
        <v>455</v>
      </c>
      <c r="N1342" s="2" t="s">
        <v>406</v>
      </c>
      <c r="O1342" s="3">
        <v>0.5</v>
      </c>
      <c r="P1342" s="2" t="s">
        <v>363</v>
      </c>
      <c r="Q1342" s="3">
        <v>0.0</v>
      </c>
      <c r="T1342" s="2" t="s">
        <v>3701</v>
      </c>
      <c r="U1342" s="171">
        <v>0.0</v>
      </c>
      <c r="V1342" s="172">
        <v>46035.0</v>
      </c>
      <c r="W1342" s="3">
        <v>213.0</v>
      </c>
      <c r="X1342" s="172">
        <v>46057.64278282407</v>
      </c>
      <c r="Y1342" s="172"/>
      <c r="Z1342" s="3">
        <v>46021.0</v>
      </c>
      <c r="AA1342" s="3"/>
    </row>
    <row r="1343">
      <c r="A1343" s="3">
        <v>6.842178011395E12</v>
      </c>
      <c r="B1343" s="2" t="s">
        <v>5722</v>
      </c>
      <c r="C1343" s="2" t="s">
        <v>5723</v>
      </c>
      <c r="D1343" s="169">
        <v>46021.0</v>
      </c>
      <c r="E1343" s="2">
        <v>3.13177664E9</v>
      </c>
      <c r="F1343" s="2" t="s">
        <v>5724</v>
      </c>
      <c r="G1343" s="2" t="s">
        <v>672</v>
      </c>
      <c r="H1343" s="2">
        <v>249.0</v>
      </c>
      <c r="I1343" s="2">
        <v>2.9120050020867E13</v>
      </c>
      <c r="J1343" s="3">
        <v>0.0</v>
      </c>
      <c r="K1343" s="2" t="s">
        <v>5725</v>
      </c>
      <c r="L1343" s="2"/>
      <c r="M1343" s="170" t="s">
        <v>455</v>
      </c>
      <c r="N1343" s="2" t="s">
        <v>406</v>
      </c>
      <c r="O1343" s="3">
        <v>0.5</v>
      </c>
      <c r="P1343" s="2" t="s">
        <v>363</v>
      </c>
      <c r="Q1343" s="3">
        <v>0.0</v>
      </c>
      <c r="T1343" s="2" t="s">
        <v>4910</v>
      </c>
      <c r="U1343" s="171">
        <v>0.0</v>
      </c>
      <c r="V1343" s="172">
        <v>46042.0</v>
      </c>
      <c r="W1343" s="3">
        <v>320.16</v>
      </c>
      <c r="X1343" s="172">
        <v>46057.64278282407</v>
      </c>
      <c r="Y1343" s="172"/>
      <c r="Z1343" s="3">
        <v>46021.0</v>
      </c>
      <c r="AA1343" s="3"/>
    </row>
    <row r="1344">
      <c r="A1344" s="3">
        <v>6.842195312899E12</v>
      </c>
      <c r="B1344" s="2" t="s">
        <v>5726</v>
      </c>
      <c r="C1344" s="2" t="s">
        <v>5727</v>
      </c>
      <c r="D1344" s="169">
        <v>46021.0</v>
      </c>
      <c r="E1344" s="2">
        <v>3.057387594E9</v>
      </c>
      <c r="F1344" s="2" t="s">
        <v>5728</v>
      </c>
      <c r="G1344" s="2" t="s">
        <v>368</v>
      </c>
      <c r="H1344" s="2">
        <v>0.0</v>
      </c>
      <c r="I1344" s="2">
        <v>2.1120050020866E13</v>
      </c>
      <c r="J1344" s="3">
        <v>0.0</v>
      </c>
      <c r="K1344" s="2" t="s">
        <v>5729</v>
      </c>
      <c r="L1344" s="2"/>
      <c r="M1344" s="170" t="s">
        <v>455</v>
      </c>
      <c r="N1344" s="2" t="s">
        <v>406</v>
      </c>
      <c r="O1344" s="3">
        <v>0.5</v>
      </c>
      <c r="P1344" s="2" t="s">
        <v>73</v>
      </c>
      <c r="Q1344" s="3">
        <v>0.0</v>
      </c>
      <c r="T1344" s="2" t="s">
        <v>4077</v>
      </c>
      <c r="U1344" s="171">
        <v>0.0</v>
      </c>
      <c r="V1344" s="172">
        <v>46031.0</v>
      </c>
      <c r="W1344" s="3">
        <v>120.0</v>
      </c>
      <c r="X1344" s="172">
        <v>46057.64278282407</v>
      </c>
      <c r="Y1344" s="172"/>
      <c r="Z1344" s="3">
        <v>46021.0</v>
      </c>
      <c r="AA1344" s="3"/>
    </row>
    <row r="1345">
      <c r="A1345" s="3">
        <v>6.842298007811E12</v>
      </c>
      <c r="B1345" s="2" t="s">
        <v>5730</v>
      </c>
      <c r="C1345" s="2" t="s">
        <v>5731</v>
      </c>
      <c r="D1345" s="169">
        <v>46021.0</v>
      </c>
      <c r="E1345" s="2">
        <v>3.004718572E9</v>
      </c>
      <c r="F1345" s="2" t="s">
        <v>5732</v>
      </c>
      <c r="G1345" s="2" t="s">
        <v>368</v>
      </c>
      <c r="H1345" s="2">
        <v>2953.0</v>
      </c>
      <c r="I1345" s="2">
        <v>2.7120050020857E13</v>
      </c>
      <c r="J1345" s="3">
        <v>2.0</v>
      </c>
      <c r="L1345" s="2" t="s">
        <v>593</v>
      </c>
      <c r="M1345" s="174" t="s">
        <v>409</v>
      </c>
      <c r="N1345" s="2" t="s">
        <v>462</v>
      </c>
      <c r="O1345" s="3">
        <v>0.5</v>
      </c>
      <c r="P1345" s="2" t="s">
        <v>363</v>
      </c>
      <c r="Q1345" s="3">
        <v>1050.0</v>
      </c>
      <c r="T1345" s="2" t="s">
        <v>3833</v>
      </c>
      <c r="U1345" s="171">
        <v>2953.0</v>
      </c>
      <c r="V1345" s="172">
        <v>46024.0</v>
      </c>
      <c r="W1345" s="3">
        <v>224.84</v>
      </c>
      <c r="X1345" s="172">
        <v>46022.63354166667</v>
      </c>
      <c r="Y1345" s="172"/>
      <c r="Z1345" s="3">
        <v>46021.0</v>
      </c>
      <c r="AA1345" s="3"/>
    </row>
    <row r="1346">
      <c r="A1346" s="3">
        <v>6.842331431171E12</v>
      </c>
      <c r="B1346" s="2" t="s">
        <v>5733</v>
      </c>
      <c r="C1346" s="2" t="s">
        <v>5734</v>
      </c>
      <c r="D1346" s="169">
        <v>46021.0</v>
      </c>
      <c r="E1346" s="2">
        <v>3.234821851E9</v>
      </c>
      <c r="F1346" s="2" t="s">
        <v>5735</v>
      </c>
      <c r="G1346" s="2" t="s">
        <v>368</v>
      </c>
      <c r="H1346" s="2">
        <v>2901.0</v>
      </c>
      <c r="I1346" s="2">
        <v>2.8120050020865E13</v>
      </c>
      <c r="J1346" s="3">
        <v>1.0</v>
      </c>
      <c r="L1346" s="2" t="s">
        <v>500</v>
      </c>
      <c r="M1346" s="174" t="s">
        <v>409</v>
      </c>
      <c r="N1346" s="2" t="s">
        <v>462</v>
      </c>
      <c r="O1346" s="3">
        <v>0.5</v>
      </c>
      <c r="P1346" s="2" t="s">
        <v>73</v>
      </c>
      <c r="Q1346" s="3">
        <v>850.0</v>
      </c>
      <c r="T1346" s="2" t="s">
        <v>3833</v>
      </c>
      <c r="U1346" s="171">
        <v>2901.0</v>
      </c>
      <c r="V1346" s="172">
        <v>46024.0</v>
      </c>
      <c r="W1346" s="3">
        <v>222.76</v>
      </c>
      <c r="X1346" s="172">
        <v>46022.596030092594</v>
      </c>
      <c r="Y1346" s="172"/>
      <c r="Z1346" s="3">
        <v>46021.0</v>
      </c>
      <c r="AA1346" s="3"/>
    </row>
    <row r="1347">
      <c r="A1347" s="3">
        <v>6.842355712259E12</v>
      </c>
      <c r="B1347" s="2" t="s">
        <v>5736</v>
      </c>
      <c r="C1347" s="2" t="s">
        <v>5737</v>
      </c>
      <c r="D1347" s="169">
        <v>46021.0</v>
      </c>
      <c r="E1347" s="2">
        <v>3.333079852E9</v>
      </c>
      <c r="F1347" s="2" t="s">
        <v>5738</v>
      </c>
      <c r="G1347" s="2" t="s">
        <v>493</v>
      </c>
      <c r="H1347" s="2">
        <v>3317.0</v>
      </c>
      <c r="I1347" s="2">
        <v>2.0120050020858E13</v>
      </c>
      <c r="J1347" s="3">
        <v>2.0</v>
      </c>
      <c r="L1347" s="2" t="s">
        <v>5739</v>
      </c>
      <c r="M1347" s="174" t="s">
        <v>409</v>
      </c>
      <c r="N1347" s="2" t="s">
        <v>462</v>
      </c>
      <c r="O1347" s="3">
        <v>0.5</v>
      </c>
      <c r="P1347" s="2" t="s">
        <v>363</v>
      </c>
      <c r="Q1347" s="3">
        <v>1650.0</v>
      </c>
      <c r="T1347" s="2" t="s">
        <v>3616</v>
      </c>
      <c r="U1347" s="171">
        <v>3317.0</v>
      </c>
      <c r="V1347" s="172">
        <v>46028.0</v>
      </c>
      <c r="W1347" s="3">
        <v>346.12</v>
      </c>
      <c r="X1347" s="172">
        <v>46024.79886574074</v>
      </c>
      <c r="Y1347" s="172"/>
      <c r="Z1347" s="3">
        <v>46021.0</v>
      </c>
      <c r="AA1347" s="3"/>
    </row>
    <row r="1348">
      <c r="A1348" s="3">
        <v>6.842656162051E12</v>
      </c>
      <c r="B1348" s="2" t="s">
        <v>5740</v>
      </c>
      <c r="C1348" s="2" t="s">
        <v>5741</v>
      </c>
      <c r="D1348" s="169">
        <v>46021.0</v>
      </c>
      <c r="E1348" s="2">
        <v>3.555561305E9</v>
      </c>
      <c r="F1348" s="2" t="s">
        <v>5742</v>
      </c>
      <c r="G1348" s="2" t="s">
        <v>506</v>
      </c>
      <c r="H1348" s="2">
        <v>0.0</v>
      </c>
      <c r="I1348" s="2">
        <v>2.0120050020859E13</v>
      </c>
      <c r="J1348" s="3">
        <v>0.0</v>
      </c>
      <c r="K1348" s="2" t="s">
        <v>5743</v>
      </c>
      <c r="L1348" s="2"/>
      <c r="M1348" s="170" t="s">
        <v>455</v>
      </c>
      <c r="N1348" s="2" t="s">
        <v>406</v>
      </c>
      <c r="O1348" s="3">
        <v>0.5</v>
      </c>
      <c r="P1348" s="2" t="s">
        <v>363</v>
      </c>
      <c r="Q1348" s="3">
        <v>0.0</v>
      </c>
      <c r="T1348" s="2" t="s">
        <v>3701</v>
      </c>
      <c r="U1348" s="171">
        <v>0.0</v>
      </c>
      <c r="V1348" s="172">
        <v>46035.0</v>
      </c>
      <c r="W1348" s="3">
        <v>200.0</v>
      </c>
      <c r="X1348" s="172">
        <v>46057.64278282407</v>
      </c>
      <c r="Y1348" s="172"/>
      <c r="Z1348" s="3">
        <v>46021.0</v>
      </c>
      <c r="AA1348" s="3"/>
    </row>
    <row r="1349">
      <c r="A1349" s="3">
        <v>6.842661044483E12</v>
      </c>
      <c r="B1349" s="2" t="s">
        <v>5744</v>
      </c>
      <c r="C1349" s="2" t="s">
        <v>2468</v>
      </c>
      <c r="D1349" s="169">
        <v>46021.0</v>
      </c>
      <c r="E1349" s="2">
        <v>3.187809346E9</v>
      </c>
      <c r="F1349" s="2" t="s">
        <v>2469</v>
      </c>
      <c r="G1349" s="2" t="s">
        <v>2470</v>
      </c>
      <c r="H1349" s="2">
        <v>3213.0</v>
      </c>
      <c r="I1349" s="2">
        <v>2.212005002086E13</v>
      </c>
      <c r="J1349" s="3">
        <v>1.0</v>
      </c>
      <c r="L1349" s="2" t="s">
        <v>4200</v>
      </c>
      <c r="M1349" s="174" t="s">
        <v>409</v>
      </c>
      <c r="N1349" s="2" t="s">
        <v>462</v>
      </c>
      <c r="O1349" s="3">
        <v>0.5</v>
      </c>
      <c r="P1349" s="2" t="s">
        <v>363</v>
      </c>
      <c r="Q1349" s="3">
        <v>1300.0</v>
      </c>
      <c r="T1349" s="2" t="s">
        <v>3616</v>
      </c>
      <c r="U1349" s="171">
        <v>3213.0</v>
      </c>
      <c r="V1349" s="172">
        <v>46028.0</v>
      </c>
      <c r="W1349" s="3">
        <v>341.96</v>
      </c>
      <c r="X1349" s="172">
        <v>46024.7217824074</v>
      </c>
      <c r="Y1349" s="172"/>
      <c r="Z1349" s="3">
        <v>46021.0</v>
      </c>
      <c r="AA1349" s="3"/>
    </row>
    <row r="1350">
      <c r="A1350" s="3">
        <v>6.842672677123E12</v>
      </c>
      <c r="B1350" s="2" t="s">
        <v>5745</v>
      </c>
      <c r="C1350" s="2" t="s">
        <v>5746</v>
      </c>
      <c r="D1350" s="169">
        <v>46021.0</v>
      </c>
      <c r="E1350" s="2">
        <v>3.335826431E9</v>
      </c>
      <c r="F1350" s="2" t="s">
        <v>5747</v>
      </c>
      <c r="G1350" s="2" t="s">
        <v>5748</v>
      </c>
      <c r="H1350" s="2">
        <v>4149.0</v>
      </c>
      <c r="I1350" s="2" t="s">
        <v>5749</v>
      </c>
      <c r="J1350" s="3">
        <v>2.0</v>
      </c>
      <c r="K1350" s="2" t="s">
        <v>5750</v>
      </c>
      <c r="L1350" s="2" t="s">
        <v>479</v>
      </c>
      <c r="M1350" s="174" t="s">
        <v>409</v>
      </c>
      <c r="N1350" s="2" t="s">
        <v>462</v>
      </c>
      <c r="O1350" s="3">
        <v>0.5</v>
      </c>
      <c r="P1350" s="2" t="s">
        <v>640</v>
      </c>
      <c r="Q1350" s="3">
        <v>1700.0</v>
      </c>
      <c r="T1350" s="2" t="s">
        <v>5751</v>
      </c>
      <c r="U1350" s="171">
        <v>4149.0</v>
      </c>
      <c r="V1350" s="172">
        <v>46023.0</v>
      </c>
      <c r="W1350" s="3">
        <v>498.74</v>
      </c>
      <c r="X1350" s="172">
        <v>46057.73292565972</v>
      </c>
      <c r="Y1350" s="172"/>
      <c r="Z1350" s="3">
        <v>46021.0</v>
      </c>
      <c r="AA1350" s="3"/>
    </row>
    <row r="1351">
      <c r="A1351" s="3">
        <v>6.842677264643E12</v>
      </c>
      <c r="B1351" s="2" t="s">
        <v>5752</v>
      </c>
      <c r="C1351" s="2" t="s">
        <v>581</v>
      </c>
      <c r="D1351" s="169">
        <v>46021.0</v>
      </c>
      <c r="E1351" s="2">
        <v>3.408700249E9</v>
      </c>
      <c r="F1351" s="2" t="s">
        <v>5753</v>
      </c>
      <c r="G1351" s="2" t="s">
        <v>493</v>
      </c>
      <c r="H1351" s="2">
        <v>0.0</v>
      </c>
      <c r="J1351" s="3">
        <v>0.0</v>
      </c>
      <c r="K1351" s="2" t="s">
        <v>5754</v>
      </c>
      <c r="L1351" s="2"/>
      <c r="M1351" s="2" t="s">
        <v>468</v>
      </c>
      <c r="N1351" s="2" t="s">
        <v>406</v>
      </c>
      <c r="O1351" s="3">
        <v>0.5</v>
      </c>
      <c r="Q1351" s="3">
        <v>0.0</v>
      </c>
      <c r="U1351" s="141"/>
      <c r="X1351" s="172">
        <v>46057.64278282407</v>
      </c>
      <c r="Y1351" s="172"/>
      <c r="Z1351" s="3">
        <v>46021.0</v>
      </c>
      <c r="AA1351" s="3"/>
    </row>
    <row r="1352">
      <c r="A1352" s="3">
        <v>6.842748600579E12</v>
      </c>
      <c r="B1352" s="2" t="s">
        <v>5755</v>
      </c>
      <c r="C1352" s="2" t="s">
        <v>581</v>
      </c>
      <c r="D1352" s="169">
        <v>46021.0</v>
      </c>
      <c r="E1352" s="173" t="s">
        <v>5756</v>
      </c>
      <c r="F1352" s="2" t="s">
        <v>5753</v>
      </c>
      <c r="G1352" s="2" t="s">
        <v>493</v>
      </c>
      <c r="H1352" s="2">
        <v>2589.0</v>
      </c>
      <c r="I1352" s="2" t="s">
        <v>5757</v>
      </c>
      <c r="J1352" s="3">
        <v>1.0</v>
      </c>
      <c r="K1352" s="2" t="s">
        <v>5758</v>
      </c>
      <c r="L1352" s="2" t="s">
        <v>1289</v>
      </c>
      <c r="M1352" s="174" t="s">
        <v>409</v>
      </c>
      <c r="N1352" s="2" t="s">
        <v>462</v>
      </c>
      <c r="O1352" s="3">
        <v>0.5</v>
      </c>
      <c r="P1352" s="2" t="s">
        <v>640</v>
      </c>
      <c r="Q1352" s="3">
        <v>850.0</v>
      </c>
      <c r="T1352" s="2" t="s">
        <v>4595</v>
      </c>
      <c r="U1352" s="171">
        <v>2589.0</v>
      </c>
      <c r="V1352" s="172">
        <v>46023.0</v>
      </c>
      <c r="W1352" s="3">
        <v>263.2</v>
      </c>
      <c r="X1352" s="172">
        <v>46057.73292958333</v>
      </c>
      <c r="Y1352" s="172"/>
      <c r="Z1352" s="3">
        <v>46021.0</v>
      </c>
      <c r="AA1352" s="3"/>
    </row>
    <row r="1353">
      <c r="A1353" s="3">
        <v>6.842864304387E12</v>
      </c>
      <c r="B1353" s="2" t="s">
        <v>5759</v>
      </c>
      <c r="C1353" s="2" t="s">
        <v>5760</v>
      </c>
      <c r="D1353" s="169">
        <v>46021.0</v>
      </c>
      <c r="E1353" s="173" t="s">
        <v>5761</v>
      </c>
      <c r="F1353" s="2" t="s">
        <v>5762</v>
      </c>
      <c r="G1353" s="2" t="s">
        <v>5763</v>
      </c>
      <c r="H1353" s="2">
        <v>4149.0</v>
      </c>
      <c r="I1353" s="2">
        <v>2.0120050020864E13</v>
      </c>
      <c r="J1353" s="3">
        <v>2.0</v>
      </c>
      <c r="K1353" s="2" t="s">
        <v>1989</v>
      </c>
      <c r="L1353" s="2" t="s">
        <v>913</v>
      </c>
      <c r="M1353" s="174" t="s">
        <v>409</v>
      </c>
      <c r="N1353" s="2" t="s">
        <v>462</v>
      </c>
      <c r="O1353" s="3">
        <v>0.5</v>
      </c>
      <c r="P1353" s="2" t="s">
        <v>363</v>
      </c>
      <c r="Q1353" s="3">
        <v>1700.0</v>
      </c>
      <c r="T1353" s="2" t="s">
        <v>3833</v>
      </c>
      <c r="U1353" s="171">
        <v>4149.0</v>
      </c>
      <c r="V1353" s="172">
        <v>46024.0</v>
      </c>
      <c r="W1353" s="3">
        <v>479.45</v>
      </c>
      <c r="X1353" s="172">
        <v>46023.51063657408</v>
      </c>
      <c r="Y1353" s="172"/>
      <c r="Z1353" s="3">
        <v>46021.0</v>
      </c>
      <c r="AA1353" s="3"/>
    </row>
    <row r="1354">
      <c r="A1354" s="3">
        <v>6.842879967491E12</v>
      </c>
      <c r="B1354" s="2" t="s">
        <v>5764</v>
      </c>
      <c r="C1354" s="2" t="s">
        <v>5765</v>
      </c>
      <c r="D1354" s="169">
        <v>46021.0</v>
      </c>
      <c r="E1354" s="2">
        <v>3.222002703E9</v>
      </c>
      <c r="F1354" s="2" t="s">
        <v>5766</v>
      </c>
      <c r="G1354" s="2" t="s">
        <v>493</v>
      </c>
      <c r="H1354" s="2">
        <v>2901.0</v>
      </c>
      <c r="I1354" s="2">
        <v>2.8120050020863E13</v>
      </c>
      <c r="J1354" s="3">
        <v>1.0</v>
      </c>
      <c r="L1354" s="2" t="s">
        <v>500</v>
      </c>
      <c r="M1354" s="174" t="s">
        <v>409</v>
      </c>
      <c r="N1354" s="2" t="s">
        <v>462</v>
      </c>
      <c r="O1354" s="3">
        <v>0.5</v>
      </c>
      <c r="P1354" s="2" t="s">
        <v>73</v>
      </c>
      <c r="Q1354" s="3">
        <v>850.0</v>
      </c>
      <c r="T1354" s="2" t="s">
        <v>3616</v>
      </c>
      <c r="U1354" s="171">
        <v>2901.0</v>
      </c>
      <c r="V1354" s="172">
        <v>46028.0</v>
      </c>
      <c r="W1354" s="3">
        <v>329.48</v>
      </c>
      <c r="X1354" s="172">
        <v>46024.54601851852</v>
      </c>
      <c r="Y1354" s="172"/>
      <c r="Z1354" s="3">
        <v>46021.0</v>
      </c>
      <c r="AA1354" s="3"/>
    </row>
    <row r="1355">
      <c r="A1355" s="3">
        <v>6.842883113219E12</v>
      </c>
      <c r="B1355" s="2" t="s">
        <v>5767</v>
      </c>
      <c r="C1355" s="2" t="s">
        <v>4640</v>
      </c>
      <c r="D1355" s="169">
        <v>46021.0</v>
      </c>
      <c r="E1355" s="173" t="s">
        <v>5768</v>
      </c>
      <c r="F1355" s="2" t="s">
        <v>5769</v>
      </c>
      <c r="G1355" s="2" t="s">
        <v>541</v>
      </c>
      <c r="H1355" s="2">
        <v>1950.0</v>
      </c>
      <c r="I1355" s="2">
        <v>2.3120050020862E13</v>
      </c>
      <c r="J1355" s="3">
        <v>1.0</v>
      </c>
      <c r="K1355" s="2" t="s">
        <v>5770</v>
      </c>
      <c r="L1355" s="2" t="s">
        <v>684</v>
      </c>
      <c r="M1355" s="174" t="s">
        <v>409</v>
      </c>
      <c r="N1355" s="2" t="s">
        <v>462</v>
      </c>
      <c r="O1355" s="3">
        <v>0.5</v>
      </c>
      <c r="P1355" s="2" t="s">
        <v>363</v>
      </c>
      <c r="Q1355" s="3">
        <v>850.0</v>
      </c>
      <c r="T1355" s="2" t="s">
        <v>3616</v>
      </c>
      <c r="U1355" s="171">
        <v>1950.0</v>
      </c>
      <c r="V1355" s="172">
        <v>46028.0</v>
      </c>
      <c r="W1355" s="3">
        <v>200.1</v>
      </c>
      <c r="X1355" s="172">
        <v>46024.81545138889</v>
      </c>
      <c r="Y1355" s="172"/>
      <c r="Z1355" s="3">
        <v>46021.0</v>
      </c>
      <c r="AA1355" s="3"/>
    </row>
    <row r="1356">
      <c r="A1356" s="3">
        <v>6.842896843011E12</v>
      </c>
      <c r="B1356" s="2" t="s">
        <v>5771</v>
      </c>
      <c r="C1356" s="2" t="s">
        <v>5772</v>
      </c>
      <c r="D1356" s="169">
        <v>46021.0</v>
      </c>
      <c r="E1356" s="173" t="s">
        <v>5773</v>
      </c>
      <c r="F1356" s="2" t="s">
        <v>5774</v>
      </c>
      <c r="G1356" s="2" t="s">
        <v>1087</v>
      </c>
      <c r="H1356" s="2">
        <v>4649.0</v>
      </c>
      <c r="I1356" s="2">
        <v>2.9120050020861E13</v>
      </c>
      <c r="J1356" s="3">
        <v>4.0</v>
      </c>
      <c r="K1356" s="2" t="s">
        <v>1989</v>
      </c>
      <c r="L1356" s="2" t="s">
        <v>5775</v>
      </c>
      <c r="M1356" s="174" t="s">
        <v>409</v>
      </c>
      <c r="N1356" s="2" t="s">
        <v>462</v>
      </c>
      <c r="O1356" s="3">
        <v>0.5</v>
      </c>
      <c r="P1356" s="2" t="s">
        <v>363</v>
      </c>
      <c r="Q1356" s="3">
        <v>1945.0</v>
      </c>
      <c r="T1356" s="2" t="s">
        <v>3833</v>
      </c>
      <c r="U1356" s="171">
        <v>4649.0</v>
      </c>
      <c r="V1356" s="172">
        <v>46024.0</v>
      </c>
      <c r="W1356" s="3">
        <v>412.74</v>
      </c>
      <c r="X1356" s="172">
        <v>46023.64050925926</v>
      </c>
      <c r="Y1356" s="172"/>
      <c r="Z1356" s="3">
        <v>46021.0</v>
      </c>
      <c r="AA1356" s="3"/>
    </row>
    <row r="1357">
      <c r="A1357" s="3">
        <v>6.842945110275E12</v>
      </c>
      <c r="B1357" s="2" t="s">
        <v>5776</v>
      </c>
      <c r="C1357" s="2" t="s">
        <v>5777</v>
      </c>
      <c r="D1357" s="169">
        <v>46021.0</v>
      </c>
      <c r="E1357" s="2">
        <v>3.092141232E9</v>
      </c>
      <c r="F1357" s="2" t="s">
        <v>5778</v>
      </c>
      <c r="G1357" s="2" t="s">
        <v>493</v>
      </c>
      <c r="H1357" s="2">
        <v>0.0</v>
      </c>
      <c r="I1357" s="2">
        <v>2.4120050020876E13</v>
      </c>
      <c r="J1357" s="3">
        <v>0.0</v>
      </c>
      <c r="K1357" s="2" t="s">
        <v>5209</v>
      </c>
      <c r="L1357" s="2"/>
      <c r="M1357" s="170" t="s">
        <v>455</v>
      </c>
      <c r="N1357" s="2" t="s">
        <v>406</v>
      </c>
      <c r="O1357" s="3">
        <v>0.5</v>
      </c>
      <c r="P1357" s="2" t="s">
        <v>363</v>
      </c>
      <c r="Q1357" s="3">
        <v>0.0</v>
      </c>
      <c r="T1357" s="2" t="s">
        <v>3701</v>
      </c>
      <c r="U1357" s="171">
        <v>0.0</v>
      </c>
      <c r="V1357" s="172">
        <v>46035.0</v>
      </c>
      <c r="W1357" s="3">
        <v>213.0</v>
      </c>
      <c r="X1357" s="172">
        <v>46057.64278282407</v>
      </c>
      <c r="Y1357" s="172"/>
      <c r="Z1357" s="3">
        <v>46021.0</v>
      </c>
      <c r="AA1357" s="3"/>
    </row>
    <row r="1358">
      <c r="A1358" s="3">
        <v>6.843002519811E12</v>
      </c>
      <c r="B1358" s="2" t="s">
        <v>5779</v>
      </c>
      <c r="C1358" s="2" t="s">
        <v>5780</v>
      </c>
      <c r="D1358" s="169">
        <v>46021.0</v>
      </c>
      <c r="E1358" s="173" t="s">
        <v>5781</v>
      </c>
      <c r="F1358" s="2" t="s">
        <v>5782</v>
      </c>
      <c r="G1358" s="2" t="s">
        <v>3888</v>
      </c>
      <c r="H1358" s="2">
        <v>2381.0</v>
      </c>
      <c r="I1358" s="2">
        <v>2.212005002089E13</v>
      </c>
      <c r="J1358" s="3">
        <v>1.0</v>
      </c>
      <c r="K1358" s="2" t="s">
        <v>1284</v>
      </c>
      <c r="L1358" s="2" t="s">
        <v>4959</v>
      </c>
      <c r="M1358" s="174" t="s">
        <v>409</v>
      </c>
      <c r="N1358" s="2" t="s">
        <v>462</v>
      </c>
      <c r="O1358" s="3">
        <v>0.5</v>
      </c>
      <c r="P1358" s="2" t="s">
        <v>363</v>
      </c>
      <c r="Q1358" s="3">
        <v>850.0</v>
      </c>
      <c r="T1358" s="2" t="s">
        <v>3616</v>
      </c>
      <c r="U1358" s="171">
        <v>2381.0</v>
      </c>
      <c r="V1358" s="172">
        <v>46028.0</v>
      </c>
      <c r="W1358" s="3">
        <v>295.34</v>
      </c>
      <c r="X1358" s="172">
        <v>46025.561377314814</v>
      </c>
      <c r="Y1358" s="172"/>
      <c r="Z1358" s="3">
        <v>46021.0</v>
      </c>
      <c r="AA1358" s="3"/>
    </row>
    <row r="1359">
      <c r="A1359" s="3">
        <v>6.843057832195E12</v>
      </c>
      <c r="B1359" s="2" t="s">
        <v>5783</v>
      </c>
      <c r="C1359" s="2" t="s">
        <v>5784</v>
      </c>
      <c r="D1359" s="169">
        <v>46021.0</v>
      </c>
      <c r="E1359" s="173" t="s">
        <v>5785</v>
      </c>
      <c r="F1359" s="2" t="s">
        <v>5786</v>
      </c>
      <c r="G1359" s="2" t="s">
        <v>672</v>
      </c>
      <c r="H1359" s="2">
        <v>4149.0</v>
      </c>
      <c r="I1359" s="2">
        <v>2.3120050020889E13</v>
      </c>
      <c r="J1359" s="3">
        <v>2.0</v>
      </c>
      <c r="K1359" s="2" t="s">
        <v>5787</v>
      </c>
      <c r="L1359" s="2" t="s">
        <v>479</v>
      </c>
      <c r="M1359" s="170" t="s">
        <v>455</v>
      </c>
      <c r="N1359" s="2" t="s">
        <v>406</v>
      </c>
      <c r="O1359" s="3">
        <v>0.5</v>
      </c>
      <c r="P1359" s="2" t="s">
        <v>363</v>
      </c>
      <c r="Q1359" s="3">
        <v>1700.0</v>
      </c>
      <c r="T1359" s="2" t="s">
        <v>3674</v>
      </c>
      <c r="U1359" s="171">
        <v>0.0</v>
      </c>
      <c r="V1359" s="172">
        <v>46038.0</v>
      </c>
      <c r="W1359" s="3">
        <v>227.0</v>
      </c>
      <c r="X1359" s="172">
        <v>46057.64278282407</v>
      </c>
      <c r="Y1359" s="172"/>
      <c r="Z1359" s="3">
        <v>46021.0</v>
      </c>
      <c r="AA1359" s="3"/>
    </row>
    <row r="1360">
      <c r="A1360" s="3">
        <v>6.843209875715E12</v>
      </c>
      <c r="B1360" s="2" t="s">
        <v>5788</v>
      </c>
      <c r="C1360" s="2" t="s">
        <v>5789</v>
      </c>
      <c r="D1360" s="169">
        <v>46021.0</v>
      </c>
      <c r="E1360" s="173" t="s">
        <v>5790</v>
      </c>
      <c r="F1360" s="2" t="s">
        <v>5789</v>
      </c>
      <c r="G1360" s="2" t="s">
        <v>5791</v>
      </c>
      <c r="H1360" s="2">
        <v>2500.0</v>
      </c>
      <c r="I1360" s="2" t="s">
        <v>5792</v>
      </c>
      <c r="J1360" s="3">
        <v>1.0</v>
      </c>
      <c r="K1360" s="2" t="s">
        <v>5793</v>
      </c>
      <c r="L1360" s="2" t="s">
        <v>5794</v>
      </c>
      <c r="M1360" s="174" t="s">
        <v>409</v>
      </c>
      <c r="N1360" s="2" t="s">
        <v>462</v>
      </c>
      <c r="O1360" s="3">
        <v>0.5</v>
      </c>
      <c r="P1360" s="2"/>
      <c r="Q1360" s="3">
        <v>1300.0</v>
      </c>
      <c r="U1360" s="19">
        <v>2500.0</v>
      </c>
      <c r="X1360" s="172">
        <v>46059.31650114583</v>
      </c>
      <c r="Y1360" s="172"/>
      <c r="Z1360" s="3">
        <v>46021.0</v>
      </c>
      <c r="AA1360" s="3"/>
    </row>
    <row r="1361">
      <c r="A1361" s="3">
        <v>6.843286880515E12</v>
      </c>
      <c r="B1361" s="2" t="s">
        <v>5795</v>
      </c>
      <c r="C1361" s="2" t="s">
        <v>5796</v>
      </c>
      <c r="D1361" s="169">
        <v>46021.0</v>
      </c>
      <c r="E1361" s="2">
        <v>3.328080804E9</v>
      </c>
      <c r="F1361" s="2" t="s">
        <v>5797</v>
      </c>
      <c r="G1361" s="2" t="s">
        <v>672</v>
      </c>
      <c r="H1361" s="2">
        <v>4149.0</v>
      </c>
      <c r="I1361" s="2">
        <v>2.1120050020891E13</v>
      </c>
      <c r="J1361" s="3">
        <v>2.0</v>
      </c>
      <c r="L1361" s="2" t="s">
        <v>994</v>
      </c>
      <c r="M1361" s="174" t="s">
        <v>409</v>
      </c>
      <c r="N1361" s="2" t="s">
        <v>462</v>
      </c>
      <c r="O1361" s="3">
        <v>0.5</v>
      </c>
      <c r="P1361" s="2" t="s">
        <v>73</v>
      </c>
      <c r="Q1361" s="3">
        <v>1700.0</v>
      </c>
      <c r="T1361" s="2" t="s">
        <v>4077</v>
      </c>
      <c r="U1361" s="171">
        <v>4149.0</v>
      </c>
      <c r="V1361" s="172">
        <v>46031.0</v>
      </c>
      <c r="W1361" s="3">
        <v>393.0</v>
      </c>
      <c r="X1361" s="172">
        <v>46029.61615740741</v>
      </c>
      <c r="Y1361" s="172"/>
      <c r="Z1361" s="3">
        <v>46021.0</v>
      </c>
      <c r="AA1361" s="3"/>
    </row>
    <row r="1362">
      <c r="A1362" s="3">
        <v>6.843291435267E12</v>
      </c>
      <c r="B1362" s="2" t="s">
        <v>5798</v>
      </c>
      <c r="C1362" s="2" t="s">
        <v>2263</v>
      </c>
      <c r="D1362" s="169">
        <v>46021.0</v>
      </c>
      <c r="E1362" s="2">
        <v>3.335140469E9</v>
      </c>
      <c r="F1362" s="2" t="s">
        <v>2264</v>
      </c>
      <c r="G1362" s="2" t="s">
        <v>506</v>
      </c>
      <c r="H1362" s="2">
        <v>4303.96</v>
      </c>
      <c r="I1362" s="2">
        <v>2.1120050020897E13</v>
      </c>
      <c r="J1362" s="3">
        <v>2.0</v>
      </c>
      <c r="L1362" s="2" t="s">
        <v>5657</v>
      </c>
      <c r="M1362" s="174" t="s">
        <v>409</v>
      </c>
      <c r="N1362" s="2" t="s">
        <v>462</v>
      </c>
      <c r="O1362" s="3">
        <v>0.5</v>
      </c>
      <c r="P1362" s="2" t="s">
        <v>73</v>
      </c>
      <c r="Q1362" s="3">
        <v>1580.0</v>
      </c>
      <c r="T1362" s="2" t="s">
        <v>3616</v>
      </c>
      <c r="U1362" s="171">
        <v>4303.96</v>
      </c>
      <c r="V1362" s="172">
        <v>46028.0</v>
      </c>
      <c r="W1362" s="3">
        <v>392.27</v>
      </c>
      <c r="X1362" s="172">
        <v>46024.50920138889</v>
      </c>
      <c r="Y1362" s="172"/>
      <c r="Z1362" s="3">
        <v>46021.0</v>
      </c>
      <c r="AA1362" s="3"/>
    </row>
    <row r="1363">
      <c r="A1363" s="3">
        <v>6.843335049475E12</v>
      </c>
      <c r="B1363" s="2" t="s">
        <v>5799</v>
      </c>
      <c r="C1363" s="2" t="s">
        <v>5800</v>
      </c>
      <c r="D1363" s="169">
        <v>46021.0</v>
      </c>
      <c r="E1363" s="2">
        <v>3.207530266E9</v>
      </c>
      <c r="F1363" s="2" t="s">
        <v>5801</v>
      </c>
      <c r="G1363" s="2" t="s">
        <v>368</v>
      </c>
      <c r="H1363" s="2">
        <v>1497.0</v>
      </c>
      <c r="I1363" s="2">
        <v>2.8120050020894E13</v>
      </c>
      <c r="J1363" s="3">
        <v>1.0</v>
      </c>
      <c r="L1363" s="2" t="s">
        <v>5802</v>
      </c>
      <c r="M1363" s="174" t="s">
        <v>409</v>
      </c>
      <c r="N1363" s="2" t="s">
        <v>462</v>
      </c>
      <c r="O1363" s="3">
        <v>0.5</v>
      </c>
      <c r="P1363" s="2" t="s">
        <v>73</v>
      </c>
      <c r="Q1363" s="3">
        <v>550.0</v>
      </c>
      <c r="T1363" s="2" t="s">
        <v>3616</v>
      </c>
      <c r="U1363" s="171">
        <v>1497.0</v>
      </c>
      <c r="V1363" s="172">
        <v>46028.0</v>
      </c>
      <c r="W1363" s="3">
        <v>166.6</v>
      </c>
      <c r="X1363" s="172">
        <v>46024.54115740741</v>
      </c>
      <c r="Y1363" s="172"/>
      <c r="Z1363" s="3">
        <v>46021.0</v>
      </c>
      <c r="AA1363" s="3"/>
    </row>
    <row r="1364">
      <c r="A1364" s="3">
        <v>6.843347304707E12</v>
      </c>
      <c r="B1364" s="2" t="s">
        <v>5803</v>
      </c>
      <c r="C1364" s="2" t="s">
        <v>5804</v>
      </c>
      <c r="D1364" s="169">
        <v>46021.0</v>
      </c>
      <c r="E1364" s="2">
        <v>3.554200015E9</v>
      </c>
      <c r="F1364" s="2" t="s">
        <v>5805</v>
      </c>
      <c r="G1364" s="2" t="s">
        <v>1224</v>
      </c>
      <c r="H1364" s="2">
        <v>0.0</v>
      </c>
      <c r="I1364" s="2">
        <v>2.3120050020892E13</v>
      </c>
      <c r="J1364" s="3">
        <v>0.0</v>
      </c>
      <c r="K1364" s="2" t="s">
        <v>5806</v>
      </c>
      <c r="L1364" s="2"/>
      <c r="M1364" s="170" t="s">
        <v>455</v>
      </c>
      <c r="N1364" s="2" t="s">
        <v>406</v>
      </c>
      <c r="O1364" s="3">
        <v>0.5</v>
      </c>
      <c r="P1364" s="2" t="s">
        <v>363</v>
      </c>
      <c r="Q1364" s="3">
        <v>0.0</v>
      </c>
      <c r="T1364" s="2" t="s">
        <v>3674</v>
      </c>
      <c r="U1364" s="171">
        <v>0.0</v>
      </c>
      <c r="V1364" s="172">
        <v>46038.0</v>
      </c>
      <c r="W1364" s="3">
        <v>213.0</v>
      </c>
      <c r="X1364" s="172">
        <v>46057.64278282407</v>
      </c>
      <c r="Y1364" s="172"/>
      <c r="Z1364" s="3">
        <v>46021.0</v>
      </c>
      <c r="AA1364" s="3"/>
    </row>
    <row r="1365">
      <c r="A1365" s="3">
        <v>6.843519893763E12</v>
      </c>
      <c r="B1365" s="2" t="s">
        <v>5807</v>
      </c>
      <c r="C1365" s="2" t="s">
        <v>5808</v>
      </c>
      <c r="D1365" s="169">
        <v>46021.0</v>
      </c>
      <c r="E1365" s="2">
        <v>3.054572392E9</v>
      </c>
      <c r="F1365" s="2" t="s">
        <v>5809</v>
      </c>
      <c r="G1365" s="2" t="s">
        <v>368</v>
      </c>
      <c r="H1365" s="2">
        <v>5668.0</v>
      </c>
      <c r="I1365" s="2">
        <v>2.8120050020893E13</v>
      </c>
      <c r="J1365" s="3">
        <v>4.0</v>
      </c>
      <c r="K1365" s="2" t="s">
        <v>511</v>
      </c>
      <c r="L1365" s="2" t="s">
        <v>5810</v>
      </c>
      <c r="M1365" s="174" t="s">
        <v>409</v>
      </c>
      <c r="N1365" s="2" t="s">
        <v>462</v>
      </c>
      <c r="O1365" s="3">
        <v>0.5</v>
      </c>
      <c r="P1365" s="2" t="s">
        <v>73</v>
      </c>
      <c r="Q1365" s="3">
        <v>1970.0</v>
      </c>
      <c r="T1365" s="2" t="s">
        <v>3833</v>
      </c>
      <c r="U1365" s="171">
        <v>5668.0</v>
      </c>
      <c r="V1365" s="172">
        <v>46024.0</v>
      </c>
      <c r="W1365" s="3">
        <v>346.78</v>
      </c>
      <c r="X1365" s="172">
        <v>46023.58917824074</v>
      </c>
      <c r="Y1365" s="172"/>
      <c r="Z1365" s="3">
        <v>46021.0</v>
      </c>
      <c r="AA1365" s="3"/>
    </row>
    <row r="1366">
      <c r="A1366" s="3">
        <v>6.843649589507E12</v>
      </c>
      <c r="B1366" s="2" t="s">
        <v>5811</v>
      </c>
      <c r="C1366" s="2" t="s">
        <v>5812</v>
      </c>
      <c r="D1366" s="169">
        <v>46022.0</v>
      </c>
      <c r="E1366" s="2">
        <v>3.022258183E9</v>
      </c>
      <c r="F1366" s="2" t="s">
        <v>5813</v>
      </c>
      <c r="G1366" s="2" t="s">
        <v>493</v>
      </c>
      <c r="H1366" s="2">
        <v>4149.0</v>
      </c>
      <c r="I1366" s="2">
        <v>2.4120050020888E13</v>
      </c>
      <c r="J1366" s="3">
        <v>2.0</v>
      </c>
      <c r="L1366" s="2" t="s">
        <v>994</v>
      </c>
      <c r="M1366" s="174" t="s">
        <v>409</v>
      </c>
      <c r="N1366" s="2" t="s">
        <v>462</v>
      </c>
      <c r="O1366" s="3">
        <v>0.5</v>
      </c>
      <c r="P1366" s="2" t="s">
        <v>363</v>
      </c>
      <c r="Q1366" s="3">
        <v>1700.0</v>
      </c>
      <c r="T1366" s="2" t="s">
        <v>4077</v>
      </c>
      <c r="U1366" s="171">
        <v>4149.0</v>
      </c>
      <c r="V1366" s="172">
        <v>46031.0</v>
      </c>
      <c r="W1366" s="3">
        <v>393.0</v>
      </c>
      <c r="X1366" s="172">
        <v>46029.628020833334</v>
      </c>
      <c r="Y1366" s="172"/>
      <c r="Z1366" s="3">
        <v>46022.0</v>
      </c>
      <c r="AA1366" s="3"/>
    </row>
    <row r="1367">
      <c r="A1367" s="3">
        <v>6.843708473603E12</v>
      </c>
      <c r="B1367" s="2" t="s">
        <v>5814</v>
      </c>
      <c r="C1367" s="2" t="s">
        <v>5815</v>
      </c>
      <c r="D1367" s="169">
        <v>46022.0</v>
      </c>
      <c r="E1367" s="2">
        <v>3.003280381E9</v>
      </c>
      <c r="F1367" s="2" t="s">
        <v>5816</v>
      </c>
      <c r="G1367" s="2" t="s">
        <v>2124</v>
      </c>
      <c r="H1367" s="2">
        <v>2849.0</v>
      </c>
      <c r="I1367" s="2">
        <v>2.5120050020879E13</v>
      </c>
      <c r="J1367" s="3">
        <v>2.0</v>
      </c>
      <c r="L1367" s="2" t="s">
        <v>926</v>
      </c>
      <c r="M1367" s="174" t="s">
        <v>409</v>
      </c>
      <c r="N1367" s="2" t="s">
        <v>462</v>
      </c>
      <c r="O1367" s="3">
        <v>0.5</v>
      </c>
      <c r="P1367" s="2" t="s">
        <v>363</v>
      </c>
      <c r="Q1367" s="3">
        <v>980.0</v>
      </c>
      <c r="T1367" s="2" t="s">
        <v>3616</v>
      </c>
      <c r="U1367" s="171">
        <v>2849.0</v>
      </c>
      <c r="V1367" s="172">
        <v>46028.0</v>
      </c>
      <c r="W1367" s="3">
        <v>327.4</v>
      </c>
      <c r="X1367" s="172">
        <v>46025.74118055556</v>
      </c>
      <c r="Y1367" s="172"/>
      <c r="Z1367" s="3">
        <v>46022.0</v>
      </c>
      <c r="AA1367" s="3"/>
    </row>
    <row r="1368">
      <c r="A1368" s="3">
        <v>6.843717058819E12</v>
      </c>
      <c r="B1368" s="2" t="s">
        <v>5817</v>
      </c>
      <c r="C1368" s="2" t="s">
        <v>5818</v>
      </c>
      <c r="D1368" s="169">
        <v>46022.0</v>
      </c>
      <c r="E1368" s="173" t="s">
        <v>5819</v>
      </c>
      <c r="F1368" s="2" t="s">
        <v>5820</v>
      </c>
      <c r="G1368" s="2" t="s">
        <v>5821</v>
      </c>
      <c r="H1368" s="2">
        <v>0.0</v>
      </c>
      <c r="J1368" s="3">
        <v>0.0</v>
      </c>
      <c r="K1368" s="2" t="s">
        <v>5822</v>
      </c>
      <c r="L1368" s="2"/>
      <c r="M1368" s="2" t="s">
        <v>468</v>
      </c>
      <c r="N1368" s="2" t="s">
        <v>406</v>
      </c>
      <c r="O1368" s="3">
        <v>0.5</v>
      </c>
      <c r="Q1368" s="3">
        <v>0.0</v>
      </c>
      <c r="U1368" s="141"/>
      <c r="X1368" s="172">
        <v>46057.64278282407</v>
      </c>
      <c r="Y1368" s="172"/>
      <c r="Z1368" s="3">
        <v>46022.0</v>
      </c>
      <c r="AA1368" s="3"/>
    </row>
    <row r="1369">
      <c r="A1369" s="3">
        <v>6.843798585603E12</v>
      </c>
      <c r="B1369" s="2" t="s">
        <v>5823</v>
      </c>
      <c r="C1369" s="2" t="s">
        <v>2369</v>
      </c>
      <c r="D1369" s="169">
        <v>46022.0</v>
      </c>
      <c r="E1369" s="2">
        <v>3.191019394E9</v>
      </c>
      <c r="F1369" s="2" t="s">
        <v>2370</v>
      </c>
      <c r="G1369" s="2" t="s">
        <v>368</v>
      </c>
      <c r="H1369" s="2">
        <v>0.0</v>
      </c>
      <c r="J1369" s="3">
        <v>0.0</v>
      </c>
      <c r="K1369" s="2" t="s">
        <v>537</v>
      </c>
      <c r="L1369" s="2"/>
      <c r="M1369" s="2" t="s">
        <v>468</v>
      </c>
      <c r="N1369" s="2" t="s">
        <v>406</v>
      </c>
      <c r="O1369" s="3">
        <v>0.5</v>
      </c>
      <c r="Q1369" s="3">
        <v>0.0</v>
      </c>
      <c r="U1369" s="141"/>
      <c r="X1369" s="172">
        <v>46057.64278282407</v>
      </c>
      <c r="Y1369" s="172"/>
      <c r="Z1369" s="3">
        <v>46022.0</v>
      </c>
      <c r="AA1369" s="3"/>
    </row>
    <row r="1370">
      <c r="A1370" s="3">
        <v>6.844069249283E12</v>
      </c>
      <c r="B1370" s="2" t="s">
        <v>5824</v>
      </c>
      <c r="C1370" s="2" t="s">
        <v>5825</v>
      </c>
      <c r="D1370" s="169">
        <v>46022.0</v>
      </c>
      <c r="E1370" s="2">
        <v>3.701030867E9</v>
      </c>
      <c r="F1370" s="2" t="s">
        <v>5826</v>
      </c>
      <c r="G1370" s="2" t="s">
        <v>493</v>
      </c>
      <c r="H1370" s="2">
        <v>3213.0</v>
      </c>
      <c r="I1370" s="2">
        <v>2.012005002088E13</v>
      </c>
      <c r="J1370" s="3">
        <v>2.0</v>
      </c>
      <c r="L1370" s="2" t="s">
        <v>1129</v>
      </c>
      <c r="M1370" s="174" t="s">
        <v>409</v>
      </c>
      <c r="N1370" s="2" t="s">
        <v>462</v>
      </c>
      <c r="O1370" s="3">
        <v>0.5</v>
      </c>
      <c r="P1370" s="2" t="s">
        <v>363</v>
      </c>
      <c r="Q1370" s="3">
        <v>960.0</v>
      </c>
      <c r="T1370" s="2" t="s">
        <v>3616</v>
      </c>
      <c r="U1370" s="171">
        <v>3213.0</v>
      </c>
      <c r="V1370" s="172">
        <v>46028.0</v>
      </c>
      <c r="W1370" s="3">
        <v>341.96</v>
      </c>
      <c r="X1370" s="172">
        <v>46025.727638888886</v>
      </c>
      <c r="Y1370" s="172"/>
      <c r="Z1370" s="3">
        <v>46022.0</v>
      </c>
      <c r="AA1370" s="3"/>
    </row>
    <row r="1371">
      <c r="A1371" s="3">
        <v>6.844135604483E12</v>
      </c>
      <c r="B1371" s="2" t="s">
        <v>5827</v>
      </c>
      <c r="C1371" s="2" t="s">
        <v>5828</v>
      </c>
      <c r="D1371" s="169">
        <v>46022.0</v>
      </c>
      <c r="E1371" s="2">
        <v>3.012333345E9</v>
      </c>
      <c r="F1371" s="2" t="s">
        <v>5829</v>
      </c>
      <c r="G1371" s="2" t="s">
        <v>541</v>
      </c>
      <c r="H1371" s="2">
        <v>2277.0</v>
      </c>
      <c r="I1371" s="2">
        <v>2.3120050020881E13</v>
      </c>
      <c r="J1371" s="3">
        <v>1.0</v>
      </c>
      <c r="L1371" s="2" t="s">
        <v>5830</v>
      </c>
      <c r="M1371" s="174" t="s">
        <v>409</v>
      </c>
      <c r="N1371" s="2" t="s">
        <v>462</v>
      </c>
      <c r="O1371" s="3">
        <v>0.5</v>
      </c>
      <c r="P1371" s="2" t="s">
        <v>363</v>
      </c>
      <c r="Q1371" s="3">
        <v>460.0</v>
      </c>
      <c r="T1371" s="2" t="s">
        <v>3616</v>
      </c>
      <c r="U1371" s="171">
        <v>2277.0</v>
      </c>
      <c r="V1371" s="172">
        <v>46028.0</v>
      </c>
      <c r="W1371" s="3">
        <v>291.18</v>
      </c>
      <c r="X1371" s="172">
        <v>46024.57591435185</v>
      </c>
      <c r="Y1371" s="172"/>
      <c r="Z1371" s="3">
        <v>46022.0</v>
      </c>
      <c r="AA1371" s="3"/>
    </row>
    <row r="1372">
      <c r="A1372" s="3">
        <v>6.844252225795E12</v>
      </c>
      <c r="B1372" s="2" t="s">
        <v>5831</v>
      </c>
      <c r="C1372" s="2" t="s">
        <v>5832</v>
      </c>
      <c r="D1372" s="169">
        <v>46022.0</v>
      </c>
      <c r="E1372" s="173" t="s">
        <v>5833</v>
      </c>
      <c r="F1372" s="2" t="s">
        <v>5834</v>
      </c>
      <c r="G1372" s="2" t="s">
        <v>366</v>
      </c>
      <c r="H1372" s="2">
        <v>5564.0</v>
      </c>
      <c r="I1372" s="2">
        <v>2.0120050020882E13</v>
      </c>
      <c r="J1372" s="3">
        <v>3.0</v>
      </c>
      <c r="L1372" s="2" t="s">
        <v>5835</v>
      </c>
      <c r="M1372" s="174" t="s">
        <v>409</v>
      </c>
      <c r="N1372" s="2" t="s">
        <v>462</v>
      </c>
      <c r="O1372" s="3">
        <v>0.5</v>
      </c>
      <c r="P1372" s="2" t="s">
        <v>363</v>
      </c>
      <c r="Q1372" s="3">
        <v>2850.0</v>
      </c>
      <c r="T1372" s="2" t="s">
        <v>3616</v>
      </c>
      <c r="U1372" s="171">
        <v>5564.0</v>
      </c>
      <c r="V1372" s="172">
        <v>46028.0</v>
      </c>
      <c r="W1372" s="3">
        <v>442.67</v>
      </c>
      <c r="X1372" s="172">
        <v>46025.712743055556</v>
      </c>
      <c r="Y1372" s="172"/>
      <c r="Z1372" s="3">
        <v>46022.0</v>
      </c>
      <c r="AA1372" s="3"/>
    </row>
    <row r="1373">
      <c r="A1373" s="3">
        <v>6.844326674691E12</v>
      </c>
      <c r="B1373" s="2" t="s">
        <v>5836</v>
      </c>
      <c r="C1373" s="2" t="s">
        <v>5837</v>
      </c>
      <c r="D1373" s="169">
        <v>46022.0</v>
      </c>
      <c r="E1373" s="2">
        <v>3.346636384E9</v>
      </c>
      <c r="F1373" s="2" t="s">
        <v>5838</v>
      </c>
      <c r="G1373" s="2" t="s">
        <v>368</v>
      </c>
      <c r="H1373" s="2">
        <v>2953.0</v>
      </c>
      <c r="I1373" s="2">
        <v>2.6120050020883E13</v>
      </c>
      <c r="J1373" s="3">
        <v>2.0</v>
      </c>
      <c r="L1373" s="2" t="s">
        <v>5839</v>
      </c>
      <c r="M1373" s="174" t="s">
        <v>409</v>
      </c>
      <c r="N1373" s="2" t="s">
        <v>462</v>
      </c>
      <c r="O1373" s="3">
        <v>0.5</v>
      </c>
      <c r="P1373" s="2" t="s">
        <v>363</v>
      </c>
      <c r="Q1373" s="3">
        <v>1050.0</v>
      </c>
      <c r="T1373" s="2" t="s">
        <v>3833</v>
      </c>
      <c r="U1373" s="171">
        <v>2953.0</v>
      </c>
      <c r="V1373" s="172">
        <v>46024.0</v>
      </c>
      <c r="W1373" s="3">
        <v>224.84</v>
      </c>
      <c r="X1373" s="172">
        <v>46023.66480324074</v>
      </c>
      <c r="Y1373" s="172"/>
      <c r="Z1373" s="3">
        <v>46022.0</v>
      </c>
      <c r="AA1373" s="3"/>
    </row>
    <row r="1374">
      <c r="A1374" s="3">
        <v>6.844372615427E12</v>
      </c>
      <c r="B1374" s="2" t="s">
        <v>5840</v>
      </c>
      <c r="C1374" s="2" t="s">
        <v>5841</v>
      </c>
      <c r="D1374" s="169">
        <v>46022.0</v>
      </c>
      <c r="E1374" s="2">
        <v>3.229879903E9</v>
      </c>
      <c r="F1374" s="2" t="s">
        <v>5842</v>
      </c>
      <c r="G1374" s="2" t="s">
        <v>1016</v>
      </c>
      <c r="H1374" s="2">
        <v>0.0</v>
      </c>
      <c r="J1374" s="3">
        <v>0.0</v>
      </c>
      <c r="K1374" s="173" t="s">
        <v>5843</v>
      </c>
      <c r="L1374" s="2"/>
      <c r="M1374" s="2" t="s">
        <v>468</v>
      </c>
      <c r="N1374" s="2" t="s">
        <v>406</v>
      </c>
      <c r="O1374" s="3">
        <v>0.5</v>
      </c>
      <c r="Q1374" s="3">
        <v>0.0</v>
      </c>
      <c r="U1374" s="141"/>
      <c r="X1374" s="172">
        <v>46057.64278282407</v>
      </c>
      <c r="Y1374" s="172"/>
      <c r="Z1374" s="3">
        <v>46022.0</v>
      </c>
      <c r="AA1374" s="3"/>
    </row>
    <row r="1375">
      <c r="A1375" s="3">
        <v>6.844378448131E12</v>
      </c>
      <c r="B1375" s="2" t="s">
        <v>5844</v>
      </c>
      <c r="C1375" s="2" t="s">
        <v>5845</v>
      </c>
      <c r="D1375" s="169">
        <v>46022.0</v>
      </c>
      <c r="E1375" s="173" t="s">
        <v>5846</v>
      </c>
      <c r="F1375" s="2" t="s">
        <v>5847</v>
      </c>
      <c r="G1375" s="2" t="s">
        <v>781</v>
      </c>
      <c r="H1375" s="2">
        <v>0.0</v>
      </c>
      <c r="I1375" s="2">
        <v>2.4120050020887E13</v>
      </c>
      <c r="J1375" s="3">
        <v>0.0</v>
      </c>
      <c r="K1375" s="2" t="s">
        <v>5848</v>
      </c>
      <c r="L1375" s="2"/>
      <c r="M1375" s="170" t="s">
        <v>455</v>
      </c>
      <c r="N1375" s="2" t="s">
        <v>406</v>
      </c>
      <c r="O1375" s="3">
        <v>0.5</v>
      </c>
      <c r="P1375" s="2" t="s">
        <v>363</v>
      </c>
      <c r="Q1375" s="3">
        <v>0.0</v>
      </c>
      <c r="T1375" s="2" t="s">
        <v>3701</v>
      </c>
      <c r="U1375" s="171">
        <v>0.0</v>
      </c>
      <c r="V1375" s="172">
        <v>46035.0</v>
      </c>
      <c r="W1375" s="3">
        <v>227.0</v>
      </c>
      <c r="X1375" s="172">
        <v>46057.64278282407</v>
      </c>
      <c r="Y1375" s="172"/>
      <c r="Z1375" s="3">
        <v>46022.0</v>
      </c>
      <c r="AA1375" s="3"/>
    </row>
    <row r="1376">
      <c r="A1376" s="3">
        <v>6.844388212995E12</v>
      </c>
      <c r="B1376" s="2" t="s">
        <v>5849</v>
      </c>
      <c r="C1376" s="2" t="s">
        <v>5850</v>
      </c>
      <c r="D1376" s="169">
        <v>46022.0</v>
      </c>
      <c r="E1376" s="2">
        <v>3.13301717E9</v>
      </c>
      <c r="F1376" s="2" t="s">
        <v>5851</v>
      </c>
      <c r="G1376" s="2" t="s">
        <v>493</v>
      </c>
      <c r="H1376" s="2">
        <v>3213.0</v>
      </c>
      <c r="I1376" s="2">
        <v>2.3120050020884E13</v>
      </c>
      <c r="J1376" s="3">
        <v>2.0</v>
      </c>
      <c r="L1376" s="2" t="s">
        <v>296</v>
      </c>
      <c r="M1376" s="174" t="s">
        <v>409</v>
      </c>
      <c r="N1376" s="2" t="s">
        <v>462</v>
      </c>
      <c r="O1376" s="3">
        <v>0.5</v>
      </c>
      <c r="P1376" s="2" t="s">
        <v>363</v>
      </c>
      <c r="Q1376" s="3">
        <v>920.0</v>
      </c>
      <c r="T1376" s="2" t="s">
        <v>3616</v>
      </c>
      <c r="U1376" s="171">
        <v>3213.0</v>
      </c>
      <c r="V1376" s="172">
        <v>46028.0</v>
      </c>
      <c r="W1376" s="3">
        <v>341.96</v>
      </c>
      <c r="X1376" s="172">
        <v>46024.69657407407</v>
      </c>
      <c r="Y1376" s="172"/>
      <c r="Z1376" s="3">
        <v>46022.0</v>
      </c>
      <c r="AA1376" s="3"/>
    </row>
    <row r="1377">
      <c r="A1377" s="3">
        <v>6.844392046851E12</v>
      </c>
      <c r="B1377" s="2" t="s">
        <v>5852</v>
      </c>
      <c r="C1377" s="2" t="s">
        <v>5853</v>
      </c>
      <c r="D1377" s="169">
        <v>46022.0</v>
      </c>
      <c r="E1377" s="173" t="s">
        <v>5854</v>
      </c>
      <c r="F1377" s="2" t="s">
        <v>5855</v>
      </c>
      <c r="G1377" s="2" t="s">
        <v>5856</v>
      </c>
      <c r="H1377" s="2">
        <v>0.0</v>
      </c>
      <c r="I1377" s="2">
        <v>2.3120050020885E13</v>
      </c>
      <c r="J1377" s="3">
        <v>0.0</v>
      </c>
      <c r="K1377" s="2" t="s">
        <v>5857</v>
      </c>
      <c r="L1377" s="2"/>
      <c r="M1377" s="170" t="s">
        <v>455</v>
      </c>
      <c r="N1377" s="2" t="s">
        <v>406</v>
      </c>
      <c r="O1377" s="3">
        <v>0.5</v>
      </c>
      <c r="P1377" s="2" t="s">
        <v>363</v>
      </c>
      <c r="Q1377" s="3">
        <v>0.0</v>
      </c>
      <c r="T1377" s="2" t="s">
        <v>4077</v>
      </c>
      <c r="U1377" s="171">
        <v>0.0</v>
      </c>
      <c r="V1377" s="172">
        <v>46031.0</v>
      </c>
      <c r="W1377" s="3">
        <v>200.0</v>
      </c>
      <c r="X1377" s="172">
        <v>46057.64278282407</v>
      </c>
      <c r="Y1377" s="172"/>
      <c r="Z1377" s="3">
        <v>46022.0</v>
      </c>
      <c r="AA1377" s="3"/>
    </row>
    <row r="1378">
      <c r="A1378" s="3">
        <v>6.844396372227E12</v>
      </c>
      <c r="B1378" s="2" t="s">
        <v>5858</v>
      </c>
      <c r="C1378" s="2" t="s">
        <v>5859</v>
      </c>
      <c r="D1378" s="169">
        <v>46022.0</v>
      </c>
      <c r="E1378" s="173" t="s">
        <v>5860</v>
      </c>
      <c r="F1378" s="2" t="s">
        <v>5861</v>
      </c>
      <c r="G1378" s="2" t="s">
        <v>5862</v>
      </c>
      <c r="H1378" s="2">
        <v>0.0</v>
      </c>
      <c r="I1378" s="2">
        <v>2.3120050020886E13</v>
      </c>
      <c r="J1378" s="3">
        <v>0.0</v>
      </c>
      <c r="K1378" s="2" t="s">
        <v>5863</v>
      </c>
      <c r="L1378" s="2"/>
      <c r="M1378" s="170" t="s">
        <v>455</v>
      </c>
      <c r="N1378" s="2" t="s">
        <v>406</v>
      </c>
      <c r="O1378" s="3">
        <v>0.5</v>
      </c>
      <c r="P1378" s="2" t="s">
        <v>363</v>
      </c>
      <c r="Q1378" s="3">
        <v>0.0</v>
      </c>
      <c r="T1378" s="2" t="s">
        <v>3701</v>
      </c>
      <c r="U1378" s="171">
        <v>0.0</v>
      </c>
      <c r="V1378" s="172">
        <v>46035.0</v>
      </c>
      <c r="W1378" s="3">
        <v>213.0</v>
      </c>
      <c r="X1378" s="172">
        <v>46057.64278282407</v>
      </c>
      <c r="Y1378" s="172"/>
      <c r="Z1378" s="3">
        <v>46022.0</v>
      </c>
      <c r="AA1378" s="3"/>
    </row>
    <row r="1379">
      <c r="A1379" s="3">
        <v>6.844418752771E12</v>
      </c>
      <c r="B1379" s="2" t="s">
        <v>5864</v>
      </c>
      <c r="C1379" s="2" t="s">
        <v>5865</v>
      </c>
      <c r="D1379" s="169">
        <v>46022.0</v>
      </c>
      <c r="E1379" s="2">
        <v>3.026766171E9</v>
      </c>
      <c r="F1379" s="2" t="s">
        <v>5866</v>
      </c>
      <c r="G1379" s="2" t="s">
        <v>958</v>
      </c>
      <c r="H1379" s="2">
        <v>4149.0</v>
      </c>
      <c r="I1379" s="2">
        <v>2.6120050020896E13</v>
      </c>
      <c r="J1379" s="3">
        <v>2.0</v>
      </c>
      <c r="L1379" s="2" t="s">
        <v>913</v>
      </c>
      <c r="M1379" s="174" t="s">
        <v>409</v>
      </c>
      <c r="N1379" s="2" t="s">
        <v>462</v>
      </c>
      <c r="O1379" s="3">
        <v>0.5</v>
      </c>
      <c r="P1379" s="2" t="s">
        <v>363</v>
      </c>
      <c r="Q1379" s="3">
        <v>1700.0</v>
      </c>
      <c r="T1379" s="2" t="s">
        <v>3616</v>
      </c>
      <c r="U1379" s="171">
        <v>4149.0</v>
      </c>
      <c r="V1379" s="172">
        <v>46028.0</v>
      </c>
      <c r="W1379" s="3">
        <v>386.07</v>
      </c>
      <c r="X1379" s="172">
        <v>46024.648981481485</v>
      </c>
      <c r="Y1379" s="172"/>
      <c r="Z1379" s="3">
        <v>46022.0</v>
      </c>
      <c r="AA1379" s="3"/>
    </row>
    <row r="1380">
      <c r="A1380" s="3">
        <v>6.844421898499E12</v>
      </c>
      <c r="B1380" s="2" t="s">
        <v>5867</v>
      </c>
      <c r="C1380" s="2" t="s">
        <v>5868</v>
      </c>
      <c r="D1380" s="169">
        <v>46022.0</v>
      </c>
      <c r="E1380" s="2">
        <v>3.142437655E9</v>
      </c>
      <c r="F1380" s="2" t="s">
        <v>5869</v>
      </c>
      <c r="G1380" s="2" t="s">
        <v>368</v>
      </c>
      <c r="H1380" s="2">
        <v>2901.0</v>
      </c>
      <c r="I1380" s="2">
        <v>2.7120050020898E13</v>
      </c>
      <c r="J1380" s="3">
        <v>1.0</v>
      </c>
      <c r="L1380" s="2" t="s">
        <v>519</v>
      </c>
      <c r="M1380" s="174" t="s">
        <v>409</v>
      </c>
      <c r="N1380" s="2" t="s">
        <v>462</v>
      </c>
      <c r="O1380" s="3">
        <v>0.5</v>
      </c>
      <c r="P1380" s="2" t="s">
        <v>363</v>
      </c>
      <c r="Q1380" s="3">
        <v>850.0</v>
      </c>
      <c r="T1380" s="2" t="s">
        <v>3833</v>
      </c>
      <c r="U1380" s="171">
        <v>2901.0</v>
      </c>
      <c r="V1380" s="172">
        <v>46024.0</v>
      </c>
      <c r="W1380" s="3">
        <v>222.76</v>
      </c>
      <c r="X1380" s="172">
        <v>46023.494675925926</v>
      </c>
      <c r="Y1380" s="172"/>
      <c r="Z1380" s="3">
        <v>46022.0</v>
      </c>
      <c r="AA1380" s="3"/>
    </row>
    <row r="1381">
      <c r="A1381" s="3">
        <v>6.844447064323E12</v>
      </c>
      <c r="B1381" s="2" t="s">
        <v>5870</v>
      </c>
      <c r="C1381" s="2" t="s">
        <v>4061</v>
      </c>
      <c r="D1381" s="169">
        <v>46022.0</v>
      </c>
      <c r="E1381" s="173" t="s">
        <v>5871</v>
      </c>
      <c r="F1381" s="2" t="s">
        <v>4062</v>
      </c>
      <c r="G1381" s="2" t="s">
        <v>366</v>
      </c>
      <c r="H1381" s="2">
        <v>249.0</v>
      </c>
      <c r="I1381" s="2" t="s">
        <v>5872</v>
      </c>
      <c r="J1381" s="3">
        <v>0.0</v>
      </c>
      <c r="K1381" s="2" t="s">
        <v>5873</v>
      </c>
      <c r="L1381" s="2"/>
      <c r="M1381" s="170" t="s">
        <v>455</v>
      </c>
      <c r="N1381" s="2" t="s">
        <v>462</v>
      </c>
      <c r="O1381" s="3">
        <v>0.5</v>
      </c>
      <c r="P1381" s="2" t="s">
        <v>640</v>
      </c>
      <c r="Q1381" s="3">
        <v>0.0</v>
      </c>
      <c r="T1381" s="2" t="s">
        <v>5874</v>
      </c>
      <c r="U1381" s="171">
        <v>1799.0</v>
      </c>
      <c r="V1381" s="172">
        <v>46023.0</v>
      </c>
      <c r="W1381" s="3">
        <v>260.94</v>
      </c>
      <c r="X1381" s="172">
        <v>46057.73294111111</v>
      </c>
      <c r="Y1381" s="172"/>
      <c r="Z1381" s="3">
        <v>46022.0</v>
      </c>
      <c r="AA1381" s="3"/>
    </row>
    <row r="1382">
      <c r="A1382" s="3">
        <v>6.844461154563E12</v>
      </c>
      <c r="B1382" s="2" t="s">
        <v>5875</v>
      </c>
      <c r="C1382" s="2" t="s">
        <v>5876</v>
      </c>
      <c r="D1382" s="169">
        <v>46022.0</v>
      </c>
      <c r="E1382" s="173" t="s">
        <v>5877</v>
      </c>
      <c r="F1382" s="2" t="s">
        <v>5878</v>
      </c>
      <c r="G1382" s="2" t="s">
        <v>5879</v>
      </c>
      <c r="H1382" s="2">
        <v>2901.0</v>
      </c>
      <c r="I1382" s="2">
        <v>2.712005002093E13</v>
      </c>
      <c r="J1382" s="3">
        <v>1.0</v>
      </c>
      <c r="K1382" s="2" t="s">
        <v>5880</v>
      </c>
      <c r="L1382" s="2" t="s">
        <v>519</v>
      </c>
      <c r="M1382" s="174" t="s">
        <v>409</v>
      </c>
      <c r="N1382" s="2" t="s">
        <v>462</v>
      </c>
      <c r="O1382" s="3">
        <v>0.5</v>
      </c>
      <c r="P1382" s="2" t="s">
        <v>363</v>
      </c>
      <c r="Q1382" s="3">
        <v>850.0</v>
      </c>
      <c r="T1382" s="2" t="s">
        <v>3616</v>
      </c>
      <c r="U1382" s="171">
        <v>2901.0</v>
      </c>
      <c r="V1382" s="172">
        <v>46028.0</v>
      </c>
      <c r="W1382" s="3">
        <v>316.14</v>
      </c>
      <c r="X1382" s="172">
        <v>46025.78351851852</v>
      </c>
      <c r="Y1382" s="172"/>
      <c r="Z1382" s="3">
        <v>46022.0</v>
      </c>
      <c r="AA1382" s="3"/>
    </row>
    <row r="1383">
      <c r="A1383" s="3">
        <v>6.844540616963E12</v>
      </c>
      <c r="B1383" s="2" t="s">
        <v>5881</v>
      </c>
      <c r="C1383" s="2" t="s">
        <v>5882</v>
      </c>
      <c r="D1383" s="169">
        <v>46022.0</v>
      </c>
      <c r="E1383" s="2">
        <v>3.703511455E9</v>
      </c>
      <c r="F1383" s="2" t="s">
        <v>5883</v>
      </c>
      <c r="G1383" s="2" t="s">
        <v>3305</v>
      </c>
      <c r="H1383" s="2">
        <v>0.0</v>
      </c>
      <c r="I1383" s="2">
        <v>2.8120050020941E13</v>
      </c>
      <c r="J1383" s="3">
        <v>0.0</v>
      </c>
      <c r="K1383" s="2" t="s">
        <v>5884</v>
      </c>
      <c r="L1383" s="2"/>
      <c r="M1383" s="170" t="s">
        <v>455</v>
      </c>
      <c r="N1383" s="2" t="s">
        <v>406</v>
      </c>
      <c r="O1383" s="3">
        <v>0.5</v>
      </c>
      <c r="P1383" s="2" t="s">
        <v>73</v>
      </c>
      <c r="Q1383" s="3">
        <v>0.0</v>
      </c>
      <c r="T1383" s="2" t="s">
        <v>4077</v>
      </c>
      <c r="U1383" s="171">
        <v>0.0</v>
      </c>
      <c r="V1383" s="172">
        <v>46031.0</v>
      </c>
      <c r="W1383" s="3">
        <v>200.0</v>
      </c>
      <c r="X1383" s="172">
        <v>46057.64278282407</v>
      </c>
      <c r="Y1383" s="172"/>
      <c r="Z1383" s="3">
        <v>46022.0</v>
      </c>
      <c r="AA1383" s="3"/>
    </row>
    <row r="1384">
      <c r="A1384" s="3">
        <v>6.844728541443E12</v>
      </c>
      <c r="B1384" s="2" t="s">
        <v>5885</v>
      </c>
      <c r="C1384" s="2" t="s">
        <v>4766</v>
      </c>
      <c r="D1384" s="169">
        <v>46022.0</v>
      </c>
      <c r="E1384" s="2">
        <v>3.23697233E9</v>
      </c>
      <c r="F1384" s="2" t="s">
        <v>5886</v>
      </c>
      <c r="G1384" s="2" t="s">
        <v>368</v>
      </c>
      <c r="H1384" s="2">
        <v>5304.0</v>
      </c>
      <c r="I1384" s="2">
        <v>2.0120050020921E13</v>
      </c>
      <c r="J1384" s="3">
        <v>2.0</v>
      </c>
      <c r="L1384" s="2" t="s">
        <v>5887</v>
      </c>
      <c r="M1384" s="174" t="s">
        <v>409</v>
      </c>
      <c r="N1384" s="2" t="s">
        <v>462</v>
      </c>
      <c r="O1384" s="3">
        <v>0.5</v>
      </c>
      <c r="P1384" s="2" t="s">
        <v>363</v>
      </c>
      <c r="Q1384" s="3">
        <v>2250.0</v>
      </c>
      <c r="T1384" s="2" t="s">
        <v>3616</v>
      </c>
      <c r="U1384" s="171">
        <v>5304.0</v>
      </c>
      <c r="V1384" s="172">
        <v>46028.0</v>
      </c>
      <c r="W1384" s="3">
        <v>332.22</v>
      </c>
      <c r="X1384" s="172">
        <v>46024.60298611112</v>
      </c>
      <c r="Y1384" s="172"/>
      <c r="Z1384" s="3">
        <v>46022.0</v>
      </c>
      <c r="AA1384" s="3"/>
    </row>
    <row r="1385">
      <c r="A1385" s="3">
        <v>6.844736241923E12</v>
      </c>
      <c r="B1385" s="2" t="s">
        <v>5888</v>
      </c>
      <c r="C1385" s="2" t="s">
        <v>1876</v>
      </c>
      <c r="D1385" s="169">
        <v>46022.0</v>
      </c>
      <c r="E1385" s="2">
        <v>3.028020962E9</v>
      </c>
      <c r="F1385" s="2" t="s">
        <v>5889</v>
      </c>
      <c r="G1385" s="2" t="s">
        <v>506</v>
      </c>
      <c r="H1385" s="2">
        <v>0.0</v>
      </c>
      <c r="J1385" s="3">
        <v>0.0</v>
      </c>
      <c r="K1385" s="2" t="s">
        <v>5890</v>
      </c>
      <c r="L1385" s="2"/>
      <c r="M1385" s="2" t="s">
        <v>468</v>
      </c>
      <c r="N1385" s="2" t="s">
        <v>406</v>
      </c>
      <c r="O1385" s="3">
        <v>0.5</v>
      </c>
      <c r="Q1385" s="3">
        <v>0.0</v>
      </c>
      <c r="U1385" s="141"/>
      <c r="X1385" s="172">
        <v>46057.64278282407</v>
      </c>
      <c r="Y1385" s="172"/>
      <c r="Z1385" s="3">
        <v>46022.0</v>
      </c>
      <c r="AA1385" s="3"/>
    </row>
    <row r="1386">
      <c r="A1386" s="3">
        <v>6.844741976323E12</v>
      </c>
      <c r="B1386" s="2" t="s">
        <v>5891</v>
      </c>
      <c r="C1386" s="2" t="s">
        <v>4739</v>
      </c>
      <c r="D1386" s="169">
        <v>46022.0</v>
      </c>
      <c r="E1386" s="2">
        <v>3.002257395E9</v>
      </c>
      <c r="F1386" s="2" t="s">
        <v>5892</v>
      </c>
      <c r="G1386" s="2" t="s">
        <v>493</v>
      </c>
      <c r="H1386" s="2">
        <v>3213.0</v>
      </c>
      <c r="I1386" s="2">
        <v>2.212005002092E13</v>
      </c>
      <c r="J1386" s="3">
        <v>2.0</v>
      </c>
      <c r="L1386" s="2" t="s">
        <v>40</v>
      </c>
      <c r="M1386" s="174" t="s">
        <v>409</v>
      </c>
      <c r="N1386" s="2" t="s">
        <v>462</v>
      </c>
      <c r="O1386" s="3">
        <v>0.5</v>
      </c>
      <c r="P1386" s="2" t="s">
        <v>363</v>
      </c>
      <c r="Q1386" s="3">
        <v>920.0</v>
      </c>
      <c r="T1386" s="2" t="s">
        <v>3616</v>
      </c>
      <c r="U1386" s="171">
        <v>3213.0</v>
      </c>
      <c r="V1386" s="172">
        <v>46028.0</v>
      </c>
      <c r="W1386" s="3">
        <v>341.96</v>
      </c>
      <c r="X1386" s="172">
        <v>46027.650254629625</v>
      </c>
      <c r="Y1386" s="172"/>
      <c r="Z1386" s="3">
        <v>46022.0</v>
      </c>
      <c r="AA1386" s="3"/>
    </row>
    <row r="1387">
      <c r="A1387" s="3">
        <v>6.844742631683E12</v>
      </c>
      <c r="B1387" s="2" t="s">
        <v>5893</v>
      </c>
      <c r="C1387" s="2" t="s">
        <v>5894</v>
      </c>
      <c r="D1387" s="169">
        <v>46022.0</v>
      </c>
      <c r="E1387" s="2">
        <v>3.163466181E9</v>
      </c>
      <c r="F1387" s="2" t="s">
        <v>5895</v>
      </c>
      <c r="G1387" s="2" t="s">
        <v>536</v>
      </c>
      <c r="H1387" s="2">
        <v>4149.0</v>
      </c>
      <c r="I1387" s="2">
        <v>2.6120050020924E13</v>
      </c>
      <c r="J1387" s="3">
        <v>2.0</v>
      </c>
      <c r="K1387" s="2" t="s">
        <v>5896</v>
      </c>
      <c r="L1387" s="2" t="s">
        <v>913</v>
      </c>
      <c r="M1387" s="170" t="s">
        <v>455</v>
      </c>
      <c r="N1387" s="2" t="s">
        <v>406</v>
      </c>
      <c r="O1387" s="3">
        <v>0.5</v>
      </c>
      <c r="P1387" s="2" t="s">
        <v>363</v>
      </c>
      <c r="Q1387" s="3">
        <v>1700.0</v>
      </c>
      <c r="T1387" s="2" t="s">
        <v>4910</v>
      </c>
      <c r="U1387" s="171">
        <v>0.0</v>
      </c>
      <c r="V1387" s="172">
        <v>46042.0</v>
      </c>
      <c r="W1387" s="3">
        <v>226.78</v>
      </c>
      <c r="X1387" s="172">
        <v>46057.64278282407</v>
      </c>
      <c r="Y1387" s="172"/>
      <c r="Z1387" s="3">
        <v>46022.0</v>
      </c>
      <c r="AA1387" s="3"/>
    </row>
    <row r="1388">
      <c r="A1388" s="3">
        <v>6.844747120899E12</v>
      </c>
      <c r="B1388" s="2" t="s">
        <v>5897</v>
      </c>
      <c r="C1388" s="2" t="s">
        <v>1876</v>
      </c>
      <c r="D1388" s="169">
        <v>46022.0</v>
      </c>
      <c r="E1388" s="2">
        <v>3.028020962E9</v>
      </c>
      <c r="F1388" s="2" t="s">
        <v>5889</v>
      </c>
      <c r="G1388" s="2" t="s">
        <v>506</v>
      </c>
      <c r="H1388" s="2">
        <v>0.0</v>
      </c>
      <c r="J1388" s="3">
        <v>0.0</v>
      </c>
      <c r="K1388" s="2" t="s">
        <v>5890</v>
      </c>
      <c r="L1388" s="2"/>
      <c r="M1388" s="2" t="s">
        <v>468</v>
      </c>
      <c r="N1388" s="2" t="s">
        <v>406</v>
      </c>
      <c r="O1388" s="3">
        <v>0.5</v>
      </c>
      <c r="Q1388" s="3">
        <v>0.0</v>
      </c>
      <c r="U1388" s="141"/>
      <c r="X1388" s="172">
        <v>46057.64278282407</v>
      </c>
      <c r="Y1388" s="172"/>
      <c r="Z1388" s="3">
        <v>46022.0</v>
      </c>
      <c r="AA1388" s="3"/>
    </row>
    <row r="1389">
      <c r="A1389" s="3">
        <v>6.844770976003E12</v>
      </c>
      <c r="B1389" s="2" t="s">
        <v>5898</v>
      </c>
      <c r="C1389" s="2" t="s">
        <v>2788</v>
      </c>
      <c r="D1389" s="169">
        <v>46022.0</v>
      </c>
      <c r="E1389" s="2">
        <v>3.142177301E9</v>
      </c>
      <c r="F1389" s="2" t="s">
        <v>5899</v>
      </c>
      <c r="G1389" s="2" t="s">
        <v>5900</v>
      </c>
      <c r="H1389" s="2">
        <v>0.0</v>
      </c>
      <c r="I1389" s="2">
        <v>2.4120050020925E13</v>
      </c>
      <c r="J1389" s="3">
        <v>0.0</v>
      </c>
      <c r="K1389" s="2" t="s">
        <v>5901</v>
      </c>
      <c r="L1389" s="2"/>
      <c r="M1389" s="170" t="s">
        <v>455</v>
      </c>
      <c r="N1389" s="2" t="s">
        <v>406</v>
      </c>
      <c r="O1389" s="3">
        <v>0.5</v>
      </c>
      <c r="P1389" s="2" t="s">
        <v>363</v>
      </c>
      <c r="Q1389" s="3">
        <v>0.0</v>
      </c>
      <c r="T1389" s="2" t="s">
        <v>3674</v>
      </c>
      <c r="U1389" s="171">
        <v>0.0</v>
      </c>
      <c r="V1389" s="172">
        <v>46038.0</v>
      </c>
      <c r="W1389" s="3">
        <v>213.0</v>
      </c>
      <c r="X1389" s="172">
        <v>46057.64278282407</v>
      </c>
      <c r="Y1389" s="172"/>
      <c r="Z1389" s="3">
        <v>46022.0</v>
      </c>
      <c r="AA1389" s="3"/>
    </row>
    <row r="1390">
      <c r="A1390" s="3">
        <v>6.844855976195E12</v>
      </c>
      <c r="B1390" s="2" t="s">
        <v>5902</v>
      </c>
      <c r="C1390" s="2" t="s">
        <v>5903</v>
      </c>
      <c r="D1390" s="169">
        <v>46022.0</v>
      </c>
      <c r="E1390" s="173" t="s">
        <v>5904</v>
      </c>
      <c r="F1390" s="2" t="s">
        <v>5905</v>
      </c>
      <c r="G1390" s="2" t="s">
        <v>958</v>
      </c>
      <c r="H1390" s="2">
        <v>3213.0</v>
      </c>
      <c r="I1390" s="2">
        <v>2.7120050020926E13</v>
      </c>
      <c r="J1390" s="3">
        <v>2.0</v>
      </c>
      <c r="L1390" s="2" t="s">
        <v>40</v>
      </c>
      <c r="M1390" s="174" t="s">
        <v>409</v>
      </c>
      <c r="N1390" s="2" t="s">
        <v>462</v>
      </c>
      <c r="O1390" s="3">
        <v>0.5</v>
      </c>
      <c r="P1390" s="2" t="s">
        <v>363</v>
      </c>
      <c r="Q1390" s="3">
        <v>920.0</v>
      </c>
      <c r="T1390" s="2" t="s">
        <v>3616</v>
      </c>
      <c r="U1390" s="171">
        <v>3213.0</v>
      </c>
      <c r="V1390" s="172">
        <v>46028.0</v>
      </c>
      <c r="W1390" s="3">
        <v>328.62</v>
      </c>
      <c r="X1390" s="172">
        <v>46025.6294212963</v>
      </c>
      <c r="Y1390" s="172"/>
      <c r="Z1390" s="3">
        <v>46022.0</v>
      </c>
      <c r="AA1390" s="3"/>
    </row>
    <row r="1391">
      <c r="A1391" s="3">
        <v>6.844866199811E12</v>
      </c>
      <c r="B1391" s="2" t="s">
        <v>5906</v>
      </c>
      <c r="C1391" s="2" t="s">
        <v>5907</v>
      </c>
      <c r="D1391" s="169">
        <v>46022.0</v>
      </c>
      <c r="E1391" s="2">
        <v>3.429650543E9</v>
      </c>
      <c r="F1391" s="2" t="s">
        <v>5908</v>
      </c>
      <c r="G1391" s="2" t="s">
        <v>4425</v>
      </c>
      <c r="H1391" s="2">
        <v>3213.0</v>
      </c>
      <c r="I1391" s="2">
        <v>2.8120050020928E13</v>
      </c>
      <c r="J1391" s="3">
        <v>2.0</v>
      </c>
      <c r="L1391" s="2" t="s">
        <v>275</v>
      </c>
      <c r="M1391" s="174" t="s">
        <v>409</v>
      </c>
      <c r="N1391" s="2" t="s">
        <v>462</v>
      </c>
      <c r="O1391" s="3">
        <v>0.5</v>
      </c>
      <c r="P1391" s="2" t="s">
        <v>73</v>
      </c>
      <c r="Q1391" s="3">
        <v>960.0</v>
      </c>
      <c r="T1391" s="2" t="s">
        <v>3616</v>
      </c>
      <c r="U1391" s="171">
        <v>3213.0</v>
      </c>
      <c r="V1391" s="172">
        <v>46028.0</v>
      </c>
      <c r="W1391" s="3">
        <v>341.96</v>
      </c>
      <c r="X1391" s="172">
        <v>46027.66917824074</v>
      </c>
      <c r="Y1391" s="172"/>
      <c r="Z1391" s="3">
        <v>46022.0</v>
      </c>
      <c r="AA1391" s="3"/>
    </row>
    <row r="1392">
      <c r="A1392" s="3">
        <v>6.844871835907E12</v>
      </c>
      <c r="B1392" s="2" t="s">
        <v>5909</v>
      </c>
      <c r="C1392" s="2" t="s">
        <v>4133</v>
      </c>
      <c r="D1392" s="169">
        <v>46022.0</v>
      </c>
      <c r="E1392" s="2">
        <v>3.073756151E9</v>
      </c>
      <c r="F1392" s="2" t="s">
        <v>4134</v>
      </c>
      <c r="G1392" s="2" t="s">
        <v>4135</v>
      </c>
      <c r="H1392" s="2">
        <v>249.0</v>
      </c>
      <c r="I1392" s="2">
        <v>2.8120050021214E13</v>
      </c>
      <c r="J1392" s="3">
        <v>0.0</v>
      </c>
      <c r="K1392" s="2" t="s">
        <v>5910</v>
      </c>
      <c r="L1392" s="2"/>
      <c r="M1392" s="170" t="s">
        <v>455</v>
      </c>
      <c r="N1392" s="2" t="s">
        <v>406</v>
      </c>
      <c r="O1392" s="3">
        <v>0.5</v>
      </c>
      <c r="P1392" s="2" t="s">
        <v>73</v>
      </c>
      <c r="Q1392" s="3">
        <v>0.0</v>
      </c>
      <c r="U1392" s="141"/>
      <c r="W1392" s="3">
        <v>227.0</v>
      </c>
      <c r="X1392" s="172">
        <v>46057.64278282407</v>
      </c>
      <c r="Y1392" s="172"/>
      <c r="Z1392" s="3">
        <v>46022.0</v>
      </c>
      <c r="AA1392" s="3"/>
    </row>
    <row r="1393">
      <c r="A1393" s="3">
        <v>6.844974956803E12</v>
      </c>
      <c r="B1393" s="2" t="s">
        <v>5911</v>
      </c>
      <c r="C1393" s="2" t="s">
        <v>5912</v>
      </c>
      <c r="D1393" s="169">
        <v>46023.0</v>
      </c>
      <c r="E1393" s="173" t="s">
        <v>5913</v>
      </c>
      <c r="F1393" s="2" t="s">
        <v>5914</v>
      </c>
      <c r="G1393" s="2" t="s">
        <v>5915</v>
      </c>
      <c r="H1393" s="2">
        <v>2849.0</v>
      </c>
      <c r="I1393" s="2">
        <v>2.1120050020919E13</v>
      </c>
      <c r="J1393" s="3">
        <v>2.0</v>
      </c>
      <c r="K1393" s="2" t="s">
        <v>511</v>
      </c>
      <c r="L1393" s="2" t="s">
        <v>5916</v>
      </c>
      <c r="M1393" s="174" t="s">
        <v>409</v>
      </c>
      <c r="N1393" s="2" t="s">
        <v>462</v>
      </c>
      <c r="O1393" s="3">
        <v>0.5</v>
      </c>
      <c r="P1393" s="2" t="s">
        <v>73</v>
      </c>
      <c r="Q1393" s="3">
        <v>960.0</v>
      </c>
      <c r="T1393" s="2" t="s">
        <v>3616</v>
      </c>
      <c r="U1393" s="171">
        <v>2849.0</v>
      </c>
      <c r="V1393" s="172">
        <v>46028.0</v>
      </c>
      <c r="W1393" s="3">
        <v>314.06</v>
      </c>
      <c r="X1393" s="172">
        <v>46025.73422453704</v>
      </c>
      <c r="Y1393" s="172"/>
      <c r="Z1393" s="3">
        <v>46023.0</v>
      </c>
      <c r="AA1393" s="3"/>
    </row>
    <row r="1394">
      <c r="A1394" s="3">
        <v>6.844981346563E12</v>
      </c>
      <c r="B1394" s="2" t="s">
        <v>5917</v>
      </c>
      <c r="C1394" s="2" t="s">
        <v>5918</v>
      </c>
      <c r="D1394" s="169">
        <v>46023.0</v>
      </c>
      <c r="E1394" s="173" t="s">
        <v>4902</v>
      </c>
      <c r="F1394" s="2" t="s">
        <v>5919</v>
      </c>
      <c r="G1394" s="2" t="s">
        <v>4900</v>
      </c>
      <c r="H1394" s="2">
        <v>3213.0</v>
      </c>
      <c r="I1394" s="2">
        <v>2.412005002094E13</v>
      </c>
      <c r="J1394" s="3">
        <v>2.0</v>
      </c>
      <c r="K1394" s="2" t="s">
        <v>511</v>
      </c>
      <c r="L1394" s="2" t="s">
        <v>228</v>
      </c>
      <c r="M1394" s="174" t="s">
        <v>409</v>
      </c>
      <c r="N1394" s="2" t="s">
        <v>462</v>
      </c>
      <c r="O1394" s="3">
        <v>0.5</v>
      </c>
      <c r="P1394" s="2" t="s">
        <v>363</v>
      </c>
      <c r="Q1394" s="3">
        <v>920.0</v>
      </c>
      <c r="T1394" s="2" t="s">
        <v>3616</v>
      </c>
      <c r="U1394" s="171">
        <v>3213.0</v>
      </c>
      <c r="V1394" s="172">
        <v>46028.0</v>
      </c>
      <c r="W1394" s="3">
        <v>200.1</v>
      </c>
      <c r="X1394" s="172">
        <v>46027.57864583333</v>
      </c>
      <c r="Y1394" s="172"/>
      <c r="Z1394" s="3">
        <v>46023.0</v>
      </c>
      <c r="AA1394" s="3"/>
    </row>
    <row r="1395">
      <c r="A1395" s="3">
        <v>6.845069918467E12</v>
      </c>
      <c r="B1395" s="2" t="s">
        <v>5920</v>
      </c>
      <c r="C1395" s="2" t="s">
        <v>5921</v>
      </c>
      <c r="D1395" s="169">
        <v>46023.0</v>
      </c>
      <c r="E1395" s="2">
        <v>3.333944452E9</v>
      </c>
      <c r="F1395" s="2" t="s">
        <v>5922</v>
      </c>
      <c r="G1395" s="2" t="s">
        <v>945</v>
      </c>
      <c r="H1395" s="2">
        <v>1861.0</v>
      </c>
      <c r="I1395" s="2">
        <v>2.0120050020918E13</v>
      </c>
      <c r="J1395" s="3">
        <v>1.0</v>
      </c>
      <c r="K1395" s="2" t="s">
        <v>5923</v>
      </c>
      <c r="L1395" s="2" t="s">
        <v>4482</v>
      </c>
      <c r="M1395" s="170" t="s">
        <v>455</v>
      </c>
      <c r="N1395" s="2" t="s">
        <v>406</v>
      </c>
      <c r="O1395" s="3">
        <v>0.5</v>
      </c>
      <c r="P1395" s="2" t="s">
        <v>363</v>
      </c>
      <c r="Q1395" s="3">
        <v>490.0</v>
      </c>
      <c r="T1395" s="2" t="s">
        <v>3674</v>
      </c>
      <c r="U1395" s="171">
        <v>0.0</v>
      </c>
      <c r="V1395" s="172">
        <v>46038.0</v>
      </c>
      <c r="W1395" s="3">
        <v>213.0</v>
      </c>
      <c r="X1395" s="172">
        <v>46057.64278282407</v>
      </c>
      <c r="Y1395" s="172"/>
      <c r="Z1395" s="3">
        <v>46023.0</v>
      </c>
      <c r="AA1395" s="3"/>
    </row>
    <row r="1396">
      <c r="A1396" s="3">
        <v>6.845141352707E12</v>
      </c>
      <c r="B1396" s="2" t="s">
        <v>5924</v>
      </c>
      <c r="C1396" s="2" t="s">
        <v>5925</v>
      </c>
      <c r="D1396" s="169">
        <v>46023.0</v>
      </c>
      <c r="E1396" s="2">
        <v>3.332098181E9</v>
      </c>
      <c r="F1396" s="2" t="s">
        <v>5926</v>
      </c>
      <c r="G1396" s="2" t="s">
        <v>366</v>
      </c>
      <c r="H1396" s="2">
        <v>2797.0</v>
      </c>
      <c r="I1396" s="2">
        <v>2.5120050020917E13</v>
      </c>
      <c r="J1396" s="3">
        <v>1.0</v>
      </c>
      <c r="L1396" s="2" t="s">
        <v>5458</v>
      </c>
      <c r="M1396" s="174" t="s">
        <v>409</v>
      </c>
      <c r="N1396" s="2" t="s">
        <v>462</v>
      </c>
      <c r="O1396" s="3">
        <v>0.5</v>
      </c>
      <c r="P1396" s="2" t="s">
        <v>363</v>
      </c>
      <c r="Q1396" s="3">
        <v>1075.0</v>
      </c>
      <c r="T1396" s="2" t="s">
        <v>3616</v>
      </c>
      <c r="U1396" s="171">
        <v>2797.0</v>
      </c>
      <c r="V1396" s="172">
        <v>46028.0</v>
      </c>
      <c r="W1396" s="3">
        <v>331.99</v>
      </c>
      <c r="X1396" s="172">
        <v>46025.534270833334</v>
      </c>
      <c r="Y1396" s="172"/>
      <c r="Z1396" s="3">
        <v>46023.0</v>
      </c>
      <c r="AA1396" s="3"/>
    </row>
    <row r="1397">
      <c r="A1397" s="3">
        <v>6.845156851971E12</v>
      </c>
      <c r="B1397" s="2" t="s">
        <v>5927</v>
      </c>
      <c r="C1397" s="2" t="s">
        <v>5383</v>
      </c>
      <c r="D1397" s="169">
        <v>46023.0</v>
      </c>
      <c r="E1397" s="2">
        <v>3.215389833E9</v>
      </c>
      <c r="F1397" s="2" t="s">
        <v>5928</v>
      </c>
      <c r="G1397" s="2" t="s">
        <v>368</v>
      </c>
      <c r="H1397" s="2">
        <v>0.0</v>
      </c>
      <c r="I1397" s="2">
        <v>2.1120050020916E13</v>
      </c>
      <c r="J1397" s="3">
        <v>0.0</v>
      </c>
      <c r="K1397" s="2" t="s">
        <v>5929</v>
      </c>
      <c r="L1397" s="2"/>
      <c r="M1397" s="170" t="s">
        <v>455</v>
      </c>
      <c r="N1397" s="2" t="s">
        <v>406</v>
      </c>
      <c r="O1397" s="3">
        <v>0.5</v>
      </c>
      <c r="P1397" s="2" t="s">
        <v>73</v>
      </c>
      <c r="Q1397" s="3">
        <v>0.0</v>
      </c>
      <c r="T1397" s="2" t="s">
        <v>3701</v>
      </c>
      <c r="U1397" s="171">
        <v>0.0</v>
      </c>
      <c r="V1397" s="172">
        <v>46035.0</v>
      </c>
      <c r="W1397" s="3">
        <v>107.0</v>
      </c>
      <c r="X1397" s="172">
        <v>46057.64278282407</v>
      </c>
      <c r="Y1397" s="172"/>
      <c r="Z1397" s="3">
        <v>46023.0</v>
      </c>
      <c r="AA1397" s="3"/>
    </row>
    <row r="1398">
      <c r="A1398" s="3">
        <v>6.845391896835E12</v>
      </c>
      <c r="B1398" s="2" t="s">
        <v>5930</v>
      </c>
      <c r="C1398" s="2" t="s">
        <v>5931</v>
      </c>
      <c r="D1398" s="169">
        <v>46023.0</v>
      </c>
      <c r="E1398" s="173" t="s">
        <v>5932</v>
      </c>
      <c r="F1398" s="2" t="s">
        <v>5933</v>
      </c>
      <c r="G1398" s="2" t="s">
        <v>1044</v>
      </c>
      <c r="H1398" s="2">
        <v>5519.64</v>
      </c>
      <c r="I1398" s="2">
        <v>2.1120050020906E13</v>
      </c>
      <c r="J1398" s="3">
        <v>4.0</v>
      </c>
      <c r="K1398" s="2" t="s">
        <v>5934</v>
      </c>
      <c r="L1398" s="2" t="s">
        <v>5935</v>
      </c>
      <c r="M1398" s="170" t="s">
        <v>455</v>
      </c>
      <c r="N1398" s="2" t="s">
        <v>406</v>
      </c>
      <c r="O1398" s="3">
        <v>0.5</v>
      </c>
      <c r="P1398" s="2" t="s">
        <v>73</v>
      </c>
      <c r="Q1398" s="3">
        <v>1955.0</v>
      </c>
      <c r="T1398" s="2" t="s">
        <v>3674</v>
      </c>
      <c r="U1398" s="171">
        <v>0.0</v>
      </c>
      <c r="V1398" s="172">
        <v>46038.0</v>
      </c>
      <c r="W1398" s="3">
        <v>220.0</v>
      </c>
      <c r="X1398" s="172">
        <v>46057.64278282407</v>
      </c>
      <c r="Y1398" s="172"/>
      <c r="Z1398" s="3">
        <v>46023.0</v>
      </c>
      <c r="AA1398" s="3"/>
    </row>
    <row r="1399">
      <c r="A1399" s="3">
        <v>6.845401760003E12</v>
      </c>
      <c r="B1399" s="2" t="s">
        <v>5936</v>
      </c>
      <c r="C1399" s="2" t="s">
        <v>5937</v>
      </c>
      <c r="D1399" s="169">
        <v>46023.0</v>
      </c>
      <c r="E1399" s="2">
        <v>3.024948588E9</v>
      </c>
      <c r="F1399" s="2" t="s">
        <v>5938</v>
      </c>
      <c r="G1399" s="2" t="s">
        <v>898</v>
      </c>
      <c r="H1399" s="2">
        <v>0.0</v>
      </c>
      <c r="I1399" s="2">
        <v>2.5120050020923E13</v>
      </c>
      <c r="J1399" s="3">
        <v>0.0</v>
      </c>
      <c r="K1399" s="2" t="s">
        <v>4716</v>
      </c>
      <c r="L1399" s="2"/>
      <c r="M1399" s="170" t="s">
        <v>455</v>
      </c>
      <c r="N1399" s="2" t="s">
        <v>406</v>
      </c>
      <c r="O1399" s="3">
        <v>0.5</v>
      </c>
      <c r="P1399" s="2" t="s">
        <v>363</v>
      </c>
      <c r="Q1399" s="3">
        <v>0.0</v>
      </c>
      <c r="T1399" s="2" t="s">
        <v>4077</v>
      </c>
      <c r="U1399" s="171">
        <v>0.0</v>
      </c>
      <c r="V1399" s="172">
        <v>46031.0</v>
      </c>
      <c r="W1399" s="3">
        <v>200.0</v>
      </c>
      <c r="X1399" s="172">
        <v>46057.64278282407</v>
      </c>
      <c r="Y1399" s="172"/>
      <c r="Z1399" s="3">
        <v>46023.0</v>
      </c>
      <c r="AA1399" s="3"/>
    </row>
    <row r="1400">
      <c r="A1400" s="3">
        <v>6.845450649859E12</v>
      </c>
      <c r="B1400" s="2" t="s">
        <v>5939</v>
      </c>
      <c r="C1400" s="2" t="s">
        <v>5940</v>
      </c>
      <c r="D1400" s="169">
        <v>46023.0</v>
      </c>
      <c r="E1400" s="2">
        <v>3.003657365E9</v>
      </c>
      <c r="F1400" s="2" t="s">
        <v>5941</v>
      </c>
      <c r="G1400" s="2" t="s">
        <v>1434</v>
      </c>
      <c r="H1400" s="2">
        <v>1861.0</v>
      </c>
      <c r="I1400" s="2" t="s">
        <v>5942</v>
      </c>
      <c r="J1400" s="3">
        <v>1.0</v>
      </c>
      <c r="K1400" s="2" t="s">
        <v>5943</v>
      </c>
      <c r="L1400" s="2" t="s">
        <v>3222</v>
      </c>
      <c r="M1400" s="174" t="s">
        <v>409</v>
      </c>
      <c r="N1400" s="2" t="s">
        <v>462</v>
      </c>
      <c r="O1400" s="3">
        <v>0.5</v>
      </c>
      <c r="P1400" s="2" t="s">
        <v>640</v>
      </c>
      <c r="Q1400" s="3">
        <v>490.0</v>
      </c>
      <c r="T1400" s="2" t="s">
        <v>5751</v>
      </c>
      <c r="U1400" s="171">
        <v>1861.0</v>
      </c>
      <c r="V1400" s="172">
        <v>46023.0</v>
      </c>
      <c r="W1400" s="3">
        <v>289.94</v>
      </c>
      <c r="X1400" s="172">
        <v>46057.73294530093</v>
      </c>
      <c r="Y1400" s="172"/>
      <c r="Z1400" s="3">
        <v>46023.0</v>
      </c>
      <c r="AA1400" s="3"/>
    </row>
    <row r="1401">
      <c r="A1401" s="3">
        <v>6.845470867715E12</v>
      </c>
      <c r="B1401" s="2" t="s">
        <v>5944</v>
      </c>
      <c r="C1401" s="2" t="s">
        <v>5945</v>
      </c>
      <c r="D1401" s="169">
        <v>46023.0</v>
      </c>
      <c r="E1401" s="2">
        <v>3.149767706E9</v>
      </c>
      <c r="F1401" s="2" t="s">
        <v>5946</v>
      </c>
      <c r="G1401" s="2" t="s">
        <v>4788</v>
      </c>
      <c r="H1401" s="2">
        <v>0.0</v>
      </c>
      <c r="I1401" s="2">
        <v>2.3120050020915E13</v>
      </c>
      <c r="J1401" s="3">
        <v>0.0</v>
      </c>
      <c r="K1401" s="2" t="s">
        <v>5947</v>
      </c>
      <c r="L1401" s="2"/>
      <c r="M1401" s="170" t="s">
        <v>455</v>
      </c>
      <c r="N1401" s="2" t="s">
        <v>406</v>
      </c>
      <c r="O1401" s="3">
        <v>0.5</v>
      </c>
      <c r="P1401" s="2" t="s">
        <v>363</v>
      </c>
      <c r="Q1401" s="3">
        <v>0.0</v>
      </c>
      <c r="T1401" s="2" t="s">
        <v>3701</v>
      </c>
      <c r="U1401" s="171">
        <v>0.0</v>
      </c>
      <c r="V1401" s="172">
        <v>46035.0</v>
      </c>
      <c r="W1401" s="3">
        <v>213.0</v>
      </c>
      <c r="X1401" s="172">
        <v>46057.64278282407</v>
      </c>
      <c r="Y1401" s="172"/>
      <c r="Z1401" s="3">
        <v>46023.0</v>
      </c>
      <c r="AA1401" s="3"/>
    </row>
    <row r="1402">
      <c r="A1402" s="3">
        <v>6.845506748675E12</v>
      </c>
      <c r="B1402" s="2" t="s">
        <v>5948</v>
      </c>
      <c r="C1402" s="2" t="s">
        <v>5949</v>
      </c>
      <c r="D1402" s="169">
        <v>46023.0</v>
      </c>
      <c r="E1402" s="2">
        <v>3.243954085E9</v>
      </c>
      <c r="F1402" s="2" t="s">
        <v>5950</v>
      </c>
      <c r="G1402" s="2" t="s">
        <v>493</v>
      </c>
      <c r="H1402" s="2">
        <v>3213.0</v>
      </c>
      <c r="I1402" s="2">
        <v>2.4120050020914E13</v>
      </c>
      <c r="J1402" s="3">
        <v>2.0</v>
      </c>
      <c r="K1402" s="2" t="s">
        <v>5951</v>
      </c>
      <c r="L1402" s="2" t="s">
        <v>3242</v>
      </c>
      <c r="M1402" s="170" t="s">
        <v>455</v>
      </c>
      <c r="N1402" s="2" t="s">
        <v>406</v>
      </c>
      <c r="O1402" s="3">
        <v>0.5</v>
      </c>
      <c r="P1402" s="2" t="s">
        <v>363</v>
      </c>
      <c r="Q1402" s="3">
        <v>1000.0</v>
      </c>
      <c r="T1402" s="2" t="s">
        <v>4910</v>
      </c>
      <c r="U1402" s="171">
        <v>0.0</v>
      </c>
      <c r="V1402" s="172">
        <v>46042.0</v>
      </c>
      <c r="W1402" s="3">
        <v>213.44</v>
      </c>
      <c r="X1402" s="172">
        <v>46057.64278282407</v>
      </c>
      <c r="Y1402" s="172"/>
      <c r="Z1402" s="3">
        <v>46023.0</v>
      </c>
      <c r="AA1402" s="3"/>
    </row>
    <row r="1403">
      <c r="A1403" s="3">
        <v>6.845528703235E12</v>
      </c>
      <c r="B1403" s="2" t="s">
        <v>5952</v>
      </c>
      <c r="C1403" s="2" t="s">
        <v>5953</v>
      </c>
      <c r="D1403" s="169">
        <v>46023.0</v>
      </c>
      <c r="E1403" s="2">
        <v>3.021283283E9</v>
      </c>
      <c r="F1403" s="2" t="s">
        <v>5954</v>
      </c>
      <c r="G1403" s="2" t="s">
        <v>3396</v>
      </c>
      <c r="H1403" s="2">
        <v>2849.0</v>
      </c>
      <c r="I1403" s="2">
        <v>2.9120050020913E13</v>
      </c>
      <c r="J1403" s="3">
        <v>2.0</v>
      </c>
      <c r="L1403" s="2" t="s">
        <v>1446</v>
      </c>
      <c r="M1403" s="174" t="s">
        <v>409</v>
      </c>
      <c r="N1403" s="2" t="s">
        <v>462</v>
      </c>
      <c r="O1403" s="3">
        <v>0.5</v>
      </c>
      <c r="P1403" s="2" t="s">
        <v>363</v>
      </c>
      <c r="Q1403" s="3">
        <v>920.0</v>
      </c>
      <c r="T1403" s="2" t="s">
        <v>3616</v>
      </c>
      <c r="U1403" s="171">
        <v>2849.0</v>
      </c>
      <c r="V1403" s="172">
        <v>46028.0</v>
      </c>
      <c r="W1403" s="3">
        <v>314.06</v>
      </c>
      <c r="X1403" s="172">
        <v>46025.61965277778</v>
      </c>
      <c r="Y1403" s="172"/>
      <c r="Z1403" s="3">
        <v>46023.0</v>
      </c>
      <c r="AA1403" s="3"/>
    </row>
    <row r="1404">
      <c r="A1404" s="3">
        <v>6.845536108803E12</v>
      </c>
      <c r="B1404" s="2" t="s">
        <v>5955</v>
      </c>
      <c r="C1404" s="2" t="s">
        <v>5956</v>
      </c>
      <c r="D1404" s="169">
        <v>46023.0</v>
      </c>
      <c r="E1404" s="2">
        <v>3.136991275E9</v>
      </c>
      <c r="F1404" s="2" t="s">
        <v>5957</v>
      </c>
      <c r="G1404" s="2" t="s">
        <v>2807</v>
      </c>
      <c r="H1404" s="2">
        <v>2849.0</v>
      </c>
      <c r="I1404" s="2">
        <v>2.7120050020912E13</v>
      </c>
      <c r="J1404" s="3">
        <v>2.0</v>
      </c>
      <c r="L1404" s="2" t="s">
        <v>35</v>
      </c>
      <c r="M1404" s="174" t="s">
        <v>409</v>
      </c>
      <c r="N1404" s="2" t="s">
        <v>462</v>
      </c>
      <c r="O1404" s="3">
        <v>0.5</v>
      </c>
      <c r="P1404" s="2" t="s">
        <v>363</v>
      </c>
      <c r="Q1404" s="3">
        <v>980.0</v>
      </c>
      <c r="T1404" s="2" t="s">
        <v>3616</v>
      </c>
      <c r="U1404" s="171">
        <v>2849.0</v>
      </c>
      <c r="V1404" s="172">
        <v>46028.0</v>
      </c>
      <c r="W1404" s="3">
        <v>314.06</v>
      </c>
      <c r="X1404" s="172">
        <v>46025.58423611111</v>
      </c>
      <c r="Y1404" s="172"/>
      <c r="Z1404" s="3">
        <v>46023.0</v>
      </c>
      <c r="AA1404" s="3"/>
    </row>
    <row r="1405">
      <c r="A1405" s="3">
        <v>6.845539025155E12</v>
      </c>
      <c r="B1405" s="2" t="s">
        <v>5958</v>
      </c>
      <c r="C1405" s="2" t="s">
        <v>5959</v>
      </c>
      <c r="D1405" s="169">
        <v>46023.0</v>
      </c>
      <c r="E1405" s="173" t="s">
        <v>5960</v>
      </c>
      <c r="F1405" s="2" t="s">
        <v>5961</v>
      </c>
      <c r="G1405" s="2" t="s">
        <v>781</v>
      </c>
      <c r="H1405" s="2">
        <v>4099.0</v>
      </c>
      <c r="I1405" s="2">
        <v>2.8120050020922E13</v>
      </c>
      <c r="J1405" s="3">
        <v>1.0</v>
      </c>
      <c r="K1405" s="2" t="s">
        <v>5962</v>
      </c>
      <c r="L1405" s="2" t="s">
        <v>4410</v>
      </c>
      <c r="M1405" s="174" t="s">
        <v>409</v>
      </c>
      <c r="N1405" s="2" t="s">
        <v>462</v>
      </c>
      <c r="O1405" s="3">
        <v>0.5</v>
      </c>
      <c r="P1405" s="2" t="s">
        <v>73</v>
      </c>
      <c r="Q1405" s="3">
        <v>1600.0</v>
      </c>
      <c r="T1405" s="2" t="s">
        <v>3616</v>
      </c>
      <c r="U1405" s="171">
        <v>4099.0</v>
      </c>
      <c r="V1405" s="172">
        <v>46028.0</v>
      </c>
      <c r="W1405" s="3">
        <v>390.74</v>
      </c>
      <c r="X1405" s="172">
        <v>46025.58421296296</v>
      </c>
      <c r="Y1405" s="172"/>
      <c r="Z1405" s="3">
        <v>46023.0</v>
      </c>
      <c r="AA1405" s="3"/>
    </row>
    <row r="1406">
      <c r="A1406" s="3">
        <v>6.845542826243E12</v>
      </c>
      <c r="B1406" s="2" t="s">
        <v>5963</v>
      </c>
      <c r="C1406" s="2" t="s">
        <v>5765</v>
      </c>
      <c r="D1406" s="169">
        <v>46023.0</v>
      </c>
      <c r="E1406" s="173" t="s">
        <v>5964</v>
      </c>
      <c r="F1406" s="2" t="s">
        <v>5965</v>
      </c>
      <c r="G1406" s="2" t="s">
        <v>493</v>
      </c>
      <c r="H1406" s="2">
        <v>0.0</v>
      </c>
      <c r="J1406" s="3">
        <v>0.0</v>
      </c>
      <c r="K1406" s="2" t="s">
        <v>5966</v>
      </c>
      <c r="L1406" s="2"/>
      <c r="M1406" s="2" t="s">
        <v>468</v>
      </c>
      <c r="N1406" s="2" t="s">
        <v>406</v>
      </c>
      <c r="O1406" s="3">
        <v>0.5</v>
      </c>
      <c r="Q1406" s="3">
        <v>0.0</v>
      </c>
      <c r="U1406" s="141"/>
      <c r="X1406" s="172">
        <v>46057.64278282407</v>
      </c>
      <c r="Y1406" s="172"/>
      <c r="Z1406" s="3">
        <v>46023.0</v>
      </c>
      <c r="AA1406" s="3"/>
    </row>
    <row r="1407">
      <c r="A1407" s="3">
        <v>6.845545283843E12</v>
      </c>
      <c r="B1407" s="2" t="s">
        <v>5967</v>
      </c>
      <c r="C1407" s="2" t="s">
        <v>5142</v>
      </c>
      <c r="D1407" s="169">
        <v>46023.0</v>
      </c>
      <c r="E1407" s="173" t="s">
        <v>5143</v>
      </c>
      <c r="F1407" s="2" t="s">
        <v>5144</v>
      </c>
      <c r="G1407" s="2" t="s">
        <v>993</v>
      </c>
      <c r="H1407" s="2">
        <v>2500.0</v>
      </c>
      <c r="I1407" s="2">
        <v>2.2120050020902E13</v>
      </c>
      <c r="J1407" s="3">
        <v>1.0</v>
      </c>
      <c r="K1407" s="2" t="s">
        <v>5968</v>
      </c>
      <c r="L1407" s="2" t="s">
        <v>4463</v>
      </c>
      <c r="M1407" s="174" t="s">
        <v>409</v>
      </c>
      <c r="N1407" s="2" t="s">
        <v>462</v>
      </c>
      <c r="O1407" s="3">
        <v>0.5</v>
      </c>
      <c r="P1407" s="2" t="s">
        <v>363</v>
      </c>
      <c r="Q1407" s="3">
        <v>1300.0</v>
      </c>
      <c r="T1407" s="2" t="s">
        <v>3616</v>
      </c>
      <c r="U1407" s="171">
        <v>2500.0</v>
      </c>
      <c r="V1407" s="172">
        <v>46028.0</v>
      </c>
      <c r="W1407" s="3">
        <v>220.11</v>
      </c>
      <c r="X1407" s="172">
        <v>46025.66429398148</v>
      </c>
      <c r="Y1407" s="172"/>
      <c r="Z1407" s="3">
        <v>46023.0</v>
      </c>
      <c r="AA1407" s="3"/>
    </row>
    <row r="1408">
      <c r="A1408" s="3">
        <v>6.845554426115E12</v>
      </c>
      <c r="B1408" s="2" t="s">
        <v>5969</v>
      </c>
      <c r="C1408" s="2" t="s">
        <v>5970</v>
      </c>
      <c r="D1408" s="169">
        <v>46023.0</v>
      </c>
      <c r="E1408" s="173" t="s">
        <v>5971</v>
      </c>
      <c r="F1408" s="2" t="s">
        <v>5972</v>
      </c>
      <c r="G1408" s="2" t="s">
        <v>5973</v>
      </c>
      <c r="H1408" s="2">
        <v>0.0</v>
      </c>
      <c r="I1408" s="2">
        <v>2.0120050020911E13</v>
      </c>
      <c r="J1408" s="3">
        <v>0.0</v>
      </c>
      <c r="K1408" s="2" t="s">
        <v>5974</v>
      </c>
      <c r="L1408" s="2"/>
      <c r="M1408" s="170" t="s">
        <v>455</v>
      </c>
      <c r="N1408" s="2" t="s">
        <v>406</v>
      </c>
      <c r="O1408" s="3">
        <v>0.5</v>
      </c>
      <c r="P1408" s="2" t="s">
        <v>363</v>
      </c>
      <c r="Q1408" s="3">
        <v>0.0</v>
      </c>
      <c r="T1408" s="2" t="s">
        <v>3701</v>
      </c>
      <c r="U1408" s="171">
        <v>0.0</v>
      </c>
      <c r="V1408" s="172">
        <v>46035.0</v>
      </c>
      <c r="W1408" s="3">
        <v>213.0</v>
      </c>
      <c r="X1408" s="172">
        <v>46057.64278282407</v>
      </c>
      <c r="Y1408" s="172"/>
      <c r="Z1408" s="3">
        <v>46023.0</v>
      </c>
      <c r="AA1408" s="3"/>
    </row>
    <row r="1409">
      <c r="A1409" s="3">
        <v>6.845555114243E12</v>
      </c>
      <c r="B1409" s="2" t="s">
        <v>5975</v>
      </c>
      <c r="C1409" s="2" t="s">
        <v>5976</v>
      </c>
      <c r="D1409" s="169">
        <v>46023.0</v>
      </c>
      <c r="E1409" s="2">
        <v>3.323529946E9</v>
      </c>
      <c r="F1409" s="2" t="s">
        <v>5977</v>
      </c>
      <c r="G1409" s="2" t="s">
        <v>493</v>
      </c>
      <c r="H1409" s="2">
        <v>3213.0</v>
      </c>
      <c r="I1409" s="2">
        <v>2.712005002091E13</v>
      </c>
      <c r="J1409" s="3">
        <v>2.0</v>
      </c>
      <c r="L1409" s="2" t="s">
        <v>50</v>
      </c>
      <c r="M1409" s="174" t="s">
        <v>409</v>
      </c>
      <c r="N1409" s="2" t="s">
        <v>462</v>
      </c>
      <c r="O1409" s="3">
        <v>0.5</v>
      </c>
      <c r="P1409" s="2" t="s">
        <v>363</v>
      </c>
      <c r="Q1409" s="3">
        <v>920.0</v>
      </c>
      <c r="T1409" s="2" t="s">
        <v>3616</v>
      </c>
      <c r="U1409" s="171">
        <v>3213.0</v>
      </c>
      <c r="V1409" s="172">
        <v>46028.0</v>
      </c>
      <c r="W1409" s="3">
        <v>341.96</v>
      </c>
      <c r="X1409" s="172">
        <v>46027.6566087963</v>
      </c>
      <c r="Y1409" s="172"/>
      <c r="Z1409" s="3">
        <v>46023.0</v>
      </c>
      <c r="AA1409" s="3"/>
    </row>
    <row r="1410">
      <c r="A1410" s="3">
        <v>6.845584212227E12</v>
      </c>
      <c r="B1410" s="2" t="s">
        <v>5978</v>
      </c>
      <c r="C1410" s="2" t="s">
        <v>1317</v>
      </c>
      <c r="D1410" s="169">
        <v>46023.0</v>
      </c>
      <c r="E1410" s="2">
        <v>3.185348844E9</v>
      </c>
      <c r="F1410" s="2" t="s">
        <v>5979</v>
      </c>
      <c r="G1410" s="2" t="s">
        <v>3725</v>
      </c>
      <c r="H1410" s="2">
        <v>2953.0</v>
      </c>
      <c r="I1410" s="2">
        <v>2.0120050020909E13</v>
      </c>
      <c r="J1410" s="3">
        <v>2.0</v>
      </c>
      <c r="L1410" s="2" t="s">
        <v>1920</v>
      </c>
      <c r="M1410" s="174" t="s">
        <v>409</v>
      </c>
      <c r="N1410" s="2" t="s">
        <v>462</v>
      </c>
      <c r="O1410" s="3">
        <v>0.5</v>
      </c>
      <c r="P1410" s="2" t="s">
        <v>363</v>
      </c>
      <c r="Q1410" s="3">
        <v>1050.0</v>
      </c>
      <c r="T1410" s="2" t="s">
        <v>3616</v>
      </c>
      <c r="U1410" s="171">
        <v>2953.0</v>
      </c>
      <c r="V1410" s="172">
        <v>46028.0</v>
      </c>
      <c r="W1410" s="3">
        <v>338.23</v>
      </c>
      <c r="X1410" s="172">
        <v>46025.6037037037</v>
      </c>
      <c r="Y1410" s="172"/>
      <c r="Z1410" s="3">
        <v>46023.0</v>
      </c>
      <c r="AA1410" s="3"/>
    </row>
    <row r="1411">
      <c r="A1411" s="3">
        <v>6.845595320579E12</v>
      </c>
      <c r="B1411" s="2" t="s">
        <v>5980</v>
      </c>
      <c r="C1411" s="2" t="s">
        <v>5981</v>
      </c>
      <c r="D1411" s="169">
        <v>46023.0</v>
      </c>
      <c r="E1411" s="173" t="s">
        <v>5982</v>
      </c>
      <c r="F1411" s="2" t="s">
        <v>5983</v>
      </c>
      <c r="G1411" s="2" t="s">
        <v>817</v>
      </c>
      <c r="H1411" s="2">
        <v>2849.0</v>
      </c>
      <c r="I1411" s="2">
        <v>2.3120050020908E13</v>
      </c>
      <c r="J1411" s="3">
        <v>2.0</v>
      </c>
      <c r="L1411" s="2" t="s">
        <v>4209</v>
      </c>
      <c r="M1411" s="174" t="s">
        <v>409</v>
      </c>
      <c r="N1411" s="2" t="s">
        <v>462</v>
      </c>
      <c r="O1411" s="3">
        <v>0.5</v>
      </c>
      <c r="P1411" s="2" t="s">
        <v>363</v>
      </c>
      <c r="Q1411" s="3">
        <v>920.0</v>
      </c>
      <c r="T1411" s="2" t="s">
        <v>3616</v>
      </c>
      <c r="U1411" s="171">
        <v>2849.0</v>
      </c>
      <c r="V1411" s="172">
        <v>46028.0</v>
      </c>
      <c r="W1411" s="3">
        <v>327.4</v>
      </c>
      <c r="X1411" s="172">
        <v>46027.71070601852</v>
      </c>
      <c r="Y1411" s="172"/>
      <c r="Z1411" s="3">
        <v>46023.0</v>
      </c>
      <c r="AA1411" s="3"/>
    </row>
    <row r="1412">
      <c r="A1412" s="3">
        <v>6.845605871875E12</v>
      </c>
      <c r="B1412" s="2" t="s">
        <v>5984</v>
      </c>
      <c r="C1412" s="2" t="s">
        <v>5985</v>
      </c>
      <c r="D1412" s="169">
        <v>46023.0</v>
      </c>
      <c r="E1412" s="2">
        <v>3.700916573E9</v>
      </c>
      <c r="F1412" s="2" t="s">
        <v>5986</v>
      </c>
      <c r="G1412" s="2" t="s">
        <v>5987</v>
      </c>
      <c r="H1412" s="2">
        <v>0.0</v>
      </c>
      <c r="J1412" s="3">
        <v>0.0</v>
      </c>
      <c r="K1412" s="2" t="s">
        <v>571</v>
      </c>
      <c r="L1412" s="2"/>
      <c r="M1412" s="2" t="s">
        <v>468</v>
      </c>
      <c r="N1412" s="2" t="s">
        <v>406</v>
      </c>
      <c r="O1412" s="3">
        <v>0.5</v>
      </c>
      <c r="Q1412" s="3">
        <v>0.0</v>
      </c>
      <c r="U1412" s="141"/>
      <c r="X1412" s="172">
        <v>46057.64278282407</v>
      </c>
      <c r="Y1412" s="172"/>
      <c r="Z1412" s="3">
        <v>46023.0</v>
      </c>
      <c r="AA1412" s="3"/>
    </row>
    <row r="1413">
      <c r="A1413" s="3">
        <v>6.845607215363E12</v>
      </c>
      <c r="B1413" s="2" t="s">
        <v>5988</v>
      </c>
      <c r="C1413" s="2" t="s">
        <v>5985</v>
      </c>
      <c r="D1413" s="169">
        <v>46023.0</v>
      </c>
      <c r="E1413" s="173" t="s">
        <v>5989</v>
      </c>
      <c r="F1413" s="2" t="s">
        <v>5990</v>
      </c>
      <c r="G1413" s="2" t="s">
        <v>366</v>
      </c>
      <c r="H1413" s="2">
        <v>5512.0</v>
      </c>
      <c r="I1413" s="2">
        <v>2.7120050020957E13</v>
      </c>
      <c r="J1413" s="3">
        <v>2.0</v>
      </c>
      <c r="K1413" s="2" t="s">
        <v>4713</v>
      </c>
      <c r="L1413" s="2" t="s">
        <v>5991</v>
      </c>
      <c r="M1413" s="174" t="s">
        <v>409</v>
      </c>
      <c r="N1413" s="2" t="s">
        <v>462</v>
      </c>
      <c r="O1413" s="3">
        <v>0.5</v>
      </c>
      <c r="P1413" s="2" t="s">
        <v>363</v>
      </c>
      <c r="Q1413" s="3">
        <v>2250.0</v>
      </c>
      <c r="T1413" s="2" t="s">
        <v>4077</v>
      </c>
      <c r="U1413" s="171">
        <v>5512.0</v>
      </c>
      <c r="V1413" s="172">
        <v>46031.0</v>
      </c>
      <c r="W1413" s="3">
        <v>557.0</v>
      </c>
      <c r="X1413" s="172">
        <v>46028.71907407408</v>
      </c>
      <c r="Y1413" s="172"/>
      <c r="Z1413" s="3">
        <v>46023.0</v>
      </c>
      <c r="AA1413" s="3"/>
    </row>
    <row r="1414">
      <c r="A1414" s="3">
        <v>6.845626810627E12</v>
      </c>
      <c r="B1414" s="2" t="s">
        <v>5992</v>
      </c>
      <c r="C1414" s="2" t="s">
        <v>5993</v>
      </c>
      <c r="D1414" s="169">
        <v>46023.0</v>
      </c>
      <c r="E1414" s="2">
        <v>3.135189353E9</v>
      </c>
      <c r="F1414" s="2" t="s">
        <v>5994</v>
      </c>
      <c r="G1414" s="2" t="s">
        <v>366</v>
      </c>
      <c r="H1414" s="2">
        <v>0.0</v>
      </c>
      <c r="I1414" s="2">
        <v>2.2120050020907E13</v>
      </c>
      <c r="J1414" s="3">
        <v>0.0</v>
      </c>
      <c r="K1414" s="2" t="s">
        <v>5995</v>
      </c>
      <c r="L1414" s="2"/>
      <c r="M1414" s="170" t="s">
        <v>455</v>
      </c>
      <c r="N1414" s="2" t="s">
        <v>406</v>
      </c>
      <c r="O1414" s="3">
        <v>0.5</v>
      </c>
      <c r="P1414" s="2" t="s">
        <v>363</v>
      </c>
      <c r="Q1414" s="3">
        <v>0.0</v>
      </c>
      <c r="T1414" s="2" t="s">
        <v>3674</v>
      </c>
      <c r="U1414" s="171">
        <v>0.0</v>
      </c>
      <c r="V1414" s="172">
        <v>46038.0</v>
      </c>
      <c r="W1414" s="3">
        <v>220.0</v>
      </c>
      <c r="X1414" s="172">
        <v>46057.64278282407</v>
      </c>
      <c r="Y1414" s="172"/>
      <c r="Z1414" s="3">
        <v>46023.0</v>
      </c>
      <c r="AA1414" s="3"/>
    </row>
    <row r="1415">
      <c r="A1415" s="3">
        <v>6.845645553923E12</v>
      </c>
      <c r="B1415" s="2" t="s">
        <v>5996</v>
      </c>
      <c r="C1415" s="2" t="s">
        <v>2956</v>
      </c>
      <c r="D1415" s="169">
        <v>46023.0</v>
      </c>
      <c r="E1415" s="173" t="s">
        <v>2957</v>
      </c>
      <c r="F1415" s="2" t="s">
        <v>2958</v>
      </c>
      <c r="G1415" s="2" t="s">
        <v>368</v>
      </c>
      <c r="H1415" s="2">
        <v>0.0</v>
      </c>
      <c r="I1415" s="2">
        <v>2.7120050020927E13</v>
      </c>
      <c r="J1415" s="3">
        <v>0.0</v>
      </c>
      <c r="K1415" s="2" t="s">
        <v>5997</v>
      </c>
      <c r="L1415" s="2"/>
      <c r="M1415" s="170" t="s">
        <v>455</v>
      </c>
      <c r="N1415" s="2" t="s">
        <v>406</v>
      </c>
      <c r="O1415" s="3">
        <v>0.5</v>
      </c>
      <c r="P1415" s="2" t="s">
        <v>363</v>
      </c>
      <c r="Q1415" s="3">
        <v>0.0</v>
      </c>
      <c r="T1415" s="2" t="s">
        <v>3701</v>
      </c>
      <c r="U1415" s="171">
        <v>0.0</v>
      </c>
      <c r="V1415" s="172">
        <v>46035.0</v>
      </c>
      <c r="W1415" s="3">
        <v>120.0</v>
      </c>
      <c r="X1415" s="172">
        <v>46057.64278282407</v>
      </c>
      <c r="Y1415" s="172"/>
      <c r="Z1415" s="3">
        <v>46023.0</v>
      </c>
      <c r="AA1415" s="3"/>
    </row>
    <row r="1416">
      <c r="A1416" s="3">
        <v>6.845654892803E12</v>
      </c>
      <c r="B1416" s="2" t="s">
        <v>5998</v>
      </c>
      <c r="C1416" s="2" t="s">
        <v>5999</v>
      </c>
      <c r="D1416" s="169">
        <v>46023.0</v>
      </c>
      <c r="E1416" s="2">
        <v>3.073676792E9</v>
      </c>
      <c r="F1416" s="2" t="s">
        <v>6000</v>
      </c>
      <c r="G1416" s="2" t="s">
        <v>945</v>
      </c>
      <c r="H1416" s="2">
        <v>3473.0</v>
      </c>
      <c r="I1416" s="2">
        <v>2.3120050020939E13</v>
      </c>
      <c r="J1416" s="3">
        <v>2.0</v>
      </c>
      <c r="L1416" s="2" t="s">
        <v>6001</v>
      </c>
      <c r="M1416" s="174" t="s">
        <v>409</v>
      </c>
      <c r="N1416" s="2" t="s">
        <v>462</v>
      </c>
      <c r="O1416" s="3">
        <v>0.5</v>
      </c>
      <c r="P1416" s="2" t="s">
        <v>363</v>
      </c>
      <c r="Q1416" s="3">
        <v>980.0</v>
      </c>
      <c r="T1416" s="2" t="s">
        <v>4077</v>
      </c>
      <c r="U1416" s="171">
        <v>3473.0</v>
      </c>
      <c r="V1416" s="172">
        <v>46031.0</v>
      </c>
      <c r="W1416" s="3">
        <v>352.0</v>
      </c>
      <c r="X1416" s="172">
        <v>46028.65650462963</v>
      </c>
      <c r="Y1416" s="172"/>
      <c r="Z1416" s="3">
        <v>46023.0</v>
      </c>
      <c r="AA1416" s="3"/>
    </row>
    <row r="1417">
      <c r="A1417" s="3">
        <v>6.845654925571E12</v>
      </c>
      <c r="B1417" s="2" t="s">
        <v>6002</v>
      </c>
      <c r="C1417" s="2" t="s">
        <v>1317</v>
      </c>
      <c r="D1417" s="169">
        <v>46023.0</v>
      </c>
      <c r="E1417" s="2">
        <v>3.353726103E9</v>
      </c>
      <c r="F1417" s="2" t="s">
        <v>6003</v>
      </c>
      <c r="G1417" s="2" t="s">
        <v>493</v>
      </c>
      <c r="H1417" s="2">
        <v>2953.0</v>
      </c>
      <c r="I1417" s="2">
        <v>2.2120050020938E13</v>
      </c>
      <c r="J1417" s="3">
        <v>2.0</v>
      </c>
      <c r="L1417" s="2" t="s">
        <v>1920</v>
      </c>
      <c r="M1417" s="174" t="s">
        <v>409</v>
      </c>
      <c r="N1417" s="2" t="s">
        <v>462</v>
      </c>
      <c r="O1417" s="3">
        <v>0.5</v>
      </c>
      <c r="P1417" s="2" t="s">
        <v>363</v>
      </c>
      <c r="Q1417" s="3">
        <v>1050.0</v>
      </c>
      <c r="T1417" s="2" t="s">
        <v>4077</v>
      </c>
      <c r="U1417" s="171">
        <v>2953.0</v>
      </c>
      <c r="V1417" s="172">
        <v>46031.0</v>
      </c>
      <c r="W1417" s="3">
        <v>332.0</v>
      </c>
      <c r="X1417" s="172">
        <v>46028.843460648146</v>
      </c>
      <c r="Y1417" s="172"/>
      <c r="Z1417" s="3">
        <v>46023.0</v>
      </c>
      <c r="AA1417" s="3"/>
    </row>
    <row r="1418">
      <c r="A1418" s="3">
        <v>6.845657645315E12</v>
      </c>
      <c r="B1418" s="2" t="s">
        <v>6004</v>
      </c>
      <c r="C1418" s="2" t="s">
        <v>6005</v>
      </c>
      <c r="D1418" s="169">
        <v>46023.0</v>
      </c>
      <c r="E1418" s="2">
        <v>3.009246939E9</v>
      </c>
      <c r="F1418" s="2" t="s">
        <v>6006</v>
      </c>
      <c r="G1418" s="2" t="s">
        <v>6007</v>
      </c>
      <c r="H1418" s="2">
        <v>3213.0</v>
      </c>
      <c r="I1418" s="2">
        <v>2.0120050020937E13</v>
      </c>
      <c r="J1418" s="3">
        <v>2.0</v>
      </c>
      <c r="L1418" s="2" t="s">
        <v>50</v>
      </c>
      <c r="M1418" s="174" t="s">
        <v>409</v>
      </c>
      <c r="N1418" s="2" t="s">
        <v>462</v>
      </c>
      <c r="O1418" s="3">
        <v>0.5</v>
      </c>
      <c r="P1418" s="2" t="s">
        <v>363</v>
      </c>
      <c r="Q1418" s="3">
        <v>920.0</v>
      </c>
      <c r="T1418" s="2" t="s">
        <v>4077</v>
      </c>
      <c r="U1418" s="171">
        <v>3213.0</v>
      </c>
      <c r="V1418" s="172">
        <v>46031.0</v>
      </c>
      <c r="W1418" s="3">
        <v>342.0</v>
      </c>
      <c r="X1418" s="172">
        <v>46028.52310185185</v>
      </c>
      <c r="Y1418" s="172"/>
      <c r="Z1418" s="3">
        <v>46023.0</v>
      </c>
      <c r="AA1418" s="3"/>
    </row>
    <row r="1419">
      <c r="A1419" s="3">
        <v>6.845657809155E12</v>
      </c>
      <c r="B1419" s="2" t="s">
        <v>6008</v>
      </c>
      <c r="C1419" s="2" t="s">
        <v>5269</v>
      </c>
      <c r="D1419" s="169">
        <v>46023.0</v>
      </c>
      <c r="E1419" s="173" t="s">
        <v>5270</v>
      </c>
      <c r="F1419" s="2" t="s">
        <v>6009</v>
      </c>
      <c r="G1419" s="2" t="s">
        <v>493</v>
      </c>
      <c r="H1419" s="2">
        <v>1875.0</v>
      </c>
      <c r="I1419" s="2">
        <v>2.1120050020932E13</v>
      </c>
      <c r="J1419" s="3">
        <v>1.0</v>
      </c>
      <c r="K1419" s="2" t="s">
        <v>6010</v>
      </c>
      <c r="L1419" s="2" t="s">
        <v>512</v>
      </c>
      <c r="M1419" s="174" t="s">
        <v>409</v>
      </c>
      <c r="N1419" s="2" t="s">
        <v>462</v>
      </c>
      <c r="O1419" s="3">
        <v>0.5</v>
      </c>
      <c r="P1419" s="2" t="s">
        <v>73</v>
      </c>
      <c r="Q1419" s="3">
        <v>850.0</v>
      </c>
      <c r="T1419" s="2" t="s">
        <v>3616</v>
      </c>
      <c r="U1419" s="171">
        <v>1875.0</v>
      </c>
      <c r="V1419" s="172">
        <v>46028.0</v>
      </c>
      <c r="W1419" s="3">
        <v>226.78</v>
      </c>
      <c r="X1419" s="172">
        <v>46027.69392361111</v>
      </c>
      <c r="Y1419" s="172"/>
      <c r="Z1419" s="3">
        <v>46023.0</v>
      </c>
      <c r="AA1419" s="3"/>
    </row>
    <row r="1420">
      <c r="A1420" s="3">
        <v>6.845659840771E12</v>
      </c>
      <c r="B1420" s="2" t="s">
        <v>6011</v>
      </c>
      <c r="C1420" s="2" t="s">
        <v>6012</v>
      </c>
      <c r="D1420" s="169">
        <v>46023.0</v>
      </c>
      <c r="E1420" s="173" t="s">
        <v>6013</v>
      </c>
      <c r="F1420" s="2" t="s">
        <v>6014</v>
      </c>
      <c r="G1420" s="2" t="s">
        <v>817</v>
      </c>
      <c r="H1420" s="2">
        <v>2800.0</v>
      </c>
      <c r="I1420" s="2">
        <v>2.9120050020931E13</v>
      </c>
      <c r="J1420" s="3">
        <v>1.0</v>
      </c>
      <c r="K1420" s="2" t="s">
        <v>1989</v>
      </c>
      <c r="L1420" s="2" t="s">
        <v>500</v>
      </c>
      <c r="M1420" s="174" t="s">
        <v>409</v>
      </c>
      <c r="N1420" s="2" t="s">
        <v>462</v>
      </c>
      <c r="O1420" s="3">
        <v>0.5</v>
      </c>
      <c r="P1420" s="2" t="s">
        <v>363</v>
      </c>
      <c r="Q1420" s="3">
        <v>850.0</v>
      </c>
      <c r="T1420" s="2" t="s">
        <v>4077</v>
      </c>
      <c r="U1420" s="171">
        <v>2800.0</v>
      </c>
      <c r="V1420" s="172">
        <v>46031.0</v>
      </c>
      <c r="W1420" s="3">
        <v>325.0</v>
      </c>
      <c r="X1420" s="172">
        <v>46028.602268518516</v>
      </c>
      <c r="Y1420" s="172"/>
      <c r="Z1420" s="3">
        <v>46023.0</v>
      </c>
      <c r="AA1420" s="3"/>
    </row>
    <row r="1421">
      <c r="A1421" s="3">
        <v>6.845675962627E12</v>
      </c>
      <c r="B1421" s="2" t="s">
        <v>6015</v>
      </c>
      <c r="C1421" s="2" t="s">
        <v>264</v>
      </c>
      <c r="D1421" s="169">
        <v>46023.0</v>
      </c>
      <c r="E1421" s="2">
        <v>3.424177438E9</v>
      </c>
      <c r="F1421" s="2" t="s">
        <v>6016</v>
      </c>
      <c r="G1421" s="2" t="s">
        <v>6017</v>
      </c>
      <c r="H1421" s="2">
        <v>2901.0</v>
      </c>
      <c r="I1421" s="2">
        <v>2.7120050020933E13</v>
      </c>
      <c r="J1421" s="3">
        <v>1.0</v>
      </c>
      <c r="L1421" s="2" t="s">
        <v>512</v>
      </c>
      <c r="M1421" s="174" t="s">
        <v>409</v>
      </c>
      <c r="N1421" s="2" t="s">
        <v>462</v>
      </c>
      <c r="O1421" s="3">
        <v>0.5</v>
      </c>
      <c r="P1421" s="2" t="s">
        <v>363</v>
      </c>
      <c r="Q1421" s="3">
        <v>850.0</v>
      </c>
      <c r="T1421" s="2" t="s">
        <v>3616</v>
      </c>
      <c r="U1421" s="171">
        <v>2901.0</v>
      </c>
      <c r="V1421" s="172">
        <v>46028.0</v>
      </c>
      <c r="W1421" s="3">
        <v>336.15</v>
      </c>
      <c r="X1421" s="172">
        <v>46025.577303240745</v>
      </c>
      <c r="Y1421" s="172"/>
      <c r="Z1421" s="3">
        <v>46023.0</v>
      </c>
      <c r="AA1421" s="3"/>
    </row>
    <row r="1422">
      <c r="A1422" s="3">
        <v>6.845681664259E12</v>
      </c>
      <c r="B1422" s="2" t="s">
        <v>6018</v>
      </c>
      <c r="C1422" s="2" t="s">
        <v>6019</v>
      </c>
      <c r="D1422" s="169">
        <v>46023.0</v>
      </c>
      <c r="E1422" s="2">
        <v>3.465018853E9</v>
      </c>
      <c r="F1422" s="2" t="s">
        <v>6020</v>
      </c>
      <c r="G1422" s="2" t="s">
        <v>484</v>
      </c>
      <c r="H1422" s="2">
        <v>0.0</v>
      </c>
      <c r="I1422" s="2">
        <v>2.5120050020934E13</v>
      </c>
      <c r="J1422" s="3">
        <v>0.0</v>
      </c>
      <c r="K1422" s="2" t="s">
        <v>6021</v>
      </c>
      <c r="L1422" s="2"/>
      <c r="M1422" s="170" t="s">
        <v>455</v>
      </c>
      <c r="N1422" s="2" t="s">
        <v>406</v>
      </c>
      <c r="O1422" s="3">
        <v>0.5</v>
      </c>
      <c r="P1422" s="2" t="s">
        <v>363</v>
      </c>
      <c r="Q1422" s="3">
        <v>0.0</v>
      </c>
      <c r="T1422" s="2" t="s">
        <v>3701</v>
      </c>
      <c r="U1422" s="171">
        <v>0.0</v>
      </c>
      <c r="V1422" s="172">
        <v>46035.0</v>
      </c>
      <c r="W1422" s="3">
        <v>227.0</v>
      </c>
      <c r="X1422" s="172">
        <v>46057.64278282407</v>
      </c>
      <c r="Y1422" s="172"/>
      <c r="Z1422" s="3">
        <v>46023.0</v>
      </c>
      <c r="AA1422" s="3"/>
    </row>
    <row r="1423">
      <c r="A1423" s="3">
        <v>6.845702996227E12</v>
      </c>
      <c r="B1423" s="2" t="s">
        <v>6022</v>
      </c>
      <c r="C1423" s="2" t="s">
        <v>6023</v>
      </c>
      <c r="D1423" s="169">
        <v>46023.0</v>
      </c>
      <c r="E1423" s="2">
        <v>3.340309051E9</v>
      </c>
      <c r="F1423" s="2" t="s">
        <v>6024</v>
      </c>
      <c r="G1423" s="2" t="s">
        <v>493</v>
      </c>
      <c r="H1423" s="2">
        <v>3213.0</v>
      </c>
      <c r="I1423" s="2">
        <v>2.4120050020936E13</v>
      </c>
      <c r="J1423" s="3">
        <v>2.0</v>
      </c>
      <c r="L1423" s="2" t="s">
        <v>1116</v>
      </c>
      <c r="M1423" s="174" t="s">
        <v>409</v>
      </c>
      <c r="N1423" s="2" t="s">
        <v>462</v>
      </c>
      <c r="O1423" s="3">
        <v>0.5</v>
      </c>
      <c r="P1423" s="2" t="s">
        <v>363</v>
      </c>
      <c r="Q1423" s="3">
        <v>960.0</v>
      </c>
      <c r="T1423" s="2" t="s">
        <v>3616</v>
      </c>
      <c r="U1423" s="171">
        <v>3213.0</v>
      </c>
      <c r="V1423" s="172">
        <v>46028.0</v>
      </c>
      <c r="W1423" s="3">
        <v>341.96</v>
      </c>
      <c r="X1423" s="172">
        <v>46027.58076388889</v>
      </c>
      <c r="Y1423" s="172"/>
      <c r="Z1423" s="3">
        <v>46023.0</v>
      </c>
      <c r="AA1423" s="3"/>
    </row>
    <row r="1424">
      <c r="A1424" s="3">
        <v>6.845735436547E12</v>
      </c>
      <c r="B1424" s="2" t="s">
        <v>6025</v>
      </c>
      <c r="C1424" s="2" t="s">
        <v>6026</v>
      </c>
      <c r="D1424" s="169">
        <v>46023.0</v>
      </c>
      <c r="E1424" s="2">
        <v>3.4076378E9</v>
      </c>
      <c r="F1424" s="2" t="s">
        <v>6027</v>
      </c>
      <c r="G1424" s="2" t="s">
        <v>6028</v>
      </c>
      <c r="H1424" s="2">
        <v>0.0</v>
      </c>
      <c r="J1424" s="3">
        <v>0.0</v>
      </c>
      <c r="K1424" s="2" t="s">
        <v>571</v>
      </c>
      <c r="L1424" s="2"/>
      <c r="M1424" s="2" t="s">
        <v>468</v>
      </c>
      <c r="N1424" s="2" t="s">
        <v>406</v>
      </c>
      <c r="O1424" s="3">
        <v>0.5</v>
      </c>
      <c r="Q1424" s="3">
        <v>0.0</v>
      </c>
      <c r="U1424" s="141"/>
      <c r="X1424" s="172">
        <v>46057.64278282407</v>
      </c>
      <c r="Y1424" s="172"/>
      <c r="Z1424" s="3">
        <v>46023.0</v>
      </c>
      <c r="AA1424" s="3"/>
    </row>
    <row r="1425">
      <c r="A1425" s="3">
        <v>6.845741170947E12</v>
      </c>
      <c r="B1425" s="2" t="s">
        <v>6029</v>
      </c>
      <c r="C1425" s="2" t="s">
        <v>6026</v>
      </c>
      <c r="D1425" s="169">
        <v>46023.0</v>
      </c>
      <c r="E1425" s="173" t="s">
        <v>6030</v>
      </c>
      <c r="F1425" s="2" t="s">
        <v>6031</v>
      </c>
      <c r="G1425" s="2" t="s">
        <v>5348</v>
      </c>
      <c r="H1425" s="2">
        <v>2901.0</v>
      </c>
      <c r="I1425" s="2">
        <v>2.4120050020956E13</v>
      </c>
      <c r="J1425" s="3">
        <v>1.0</v>
      </c>
      <c r="K1425" s="2" t="s">
        <v>511</v>
      </c>
      <c r="L1425" s="2" t="s">
        <v>512</v>
      </c>
      <c r="M1425" s="174" t="s">
        <v>409</v>
      </c>
      <c r="N1425" s="2" t="s">
        <v>462</v>
      </c>
      <c r="O1425" s="3">
        <v>0.5</v>
      </c>
      <c r="P1425" s="2" t="s">
        <v>363</v>
      </c>
      <c r="Q1425" s="3">
        <v>850.0</v>
      </c>
      <c r="T1425" s="2" t="s">
        <v>3616</v>
      </c>
      <c r="U1425" s="171">
        <v>2901.0</v>
      </c>
      <c r="V1425" s="172">
        <v>46028.0</v>
      </c>
      <c r="W1425" s="3">
        <v>336.15</v>
      </c>
      <c r="X1425" s="172">
        <v>46025.56203703704</v>
      </c>
      <c r="Y1425" s="172"/>
      <c r="Z1425" s="3">
        <v>46023.0</v>
      </c>
      <c r="AA1425" s="3"/>
    </row>
    <row r="1426">
      <c r="A1426" s="3">
        <v>6.845787570435E12</v>
      </c>
      <c r="B1426" s="2" t="s">
        <v>6032</v>
      </c>
      <c r="C1426" s="2" t="s">
        <v>6033</v>
      </c>
      <c r="D1426" s="169">
        <v>46023.0</v>
      </c>
      <c r="E1426" s="2">
        <v>3.12602888E9</v>
      </c>
      <c r="F1426" s="2" t="s">
        <v>6034</v>
      </c>
      <c r="G1426" s="2" t="s">
        <v>461</v>
      </c>
      <c r="H1426" s="2">
        <v>3213.0</v>
      </c>
      <c r="I1426" s="2">
        <v>2.6120050020935E13</v>
      </c>
      <c r="J1426" s="3">
        <v>2.0</v>
      </c>
      <c r="L1426" s="2" t="s">
        <v>1143</v>
      </c>
      <c r="M1426" s="174" t="s">
        <v>409</v>
      </c>
      <c r="N1426" s="2" t="s">
        <v>462</v>
      </c>
      <c r="O1426" s="3">
        <v>0.5</v>
      </c>
      <c r="P1426" s="2" t="s">
        <v>363</v>
      </c>
      <c r="Q1426" s="3">
        <v>960.0</v>
      </c>
      <c r="T1426" s="2" t="s">
        <v>3616</v>
      </c>
      <c r="U1426" s="171">
        <v>3213.0</v>
      </c>
      <c r="V1426" s="172">
        <v>46028.0</v>
      </c>
      <c r="W1426" s="3">
        <v>328.62</v>
      </c>
      <c r="X1426" s="172">
        <v>46027.72310185185</v>
      </c>
      <c r="Y1426" s="172"/>
      <c r="Z1426" s="3">
        <v>46023.0</v>
      </c>
      <c r="AA1426" s="3"/>
    </row>
    <row r="1427">
      <c r="A1427" s="3">
        <v>6.845918839043E12</v>
      </c>
      <c r="B1427" s="2" t="s">
        <v>6035</v>
      </c>
      <c r="C1427" s="2" t="s">
        <v>4215</v>
      </c>
      <c r="D1427" s="169">
        <v>46023.0</v>
      </c>
      <c r="E1427" s="173" t="s">
        <v>4216</v>
      </c>
      <c r="F1427" s="2" t="s">
        <v>6036</v>
      </c>
      <c r="G1427" s="2" t="s">
        <v>368</v>
      </c>
      <c r="H1427" s="2">
        <v>2901.0</v>
      </c>
      <c r="I1427" s="2">
        <v>2.6120050020955E13</v>
      </c>
      <c r="J1427" s="3">
        <v>1.0</v>
      </c>
      <c r="L1427" s="2" t="s">
        <v>500</v>
      </c>
      <c r="M1427" s="174" t="s">
        <v>409</v>
      </c>
      <c r="N1427" s="2" t="s">
        <v>462</v>
      </c>
      <c r="O1427" s="3">
        <v>0.5</v>
      </c>
      <c r="P1427" s="2" t="s">
        <v>363</v>
      </c>
      <c r="Q1427" s="3">
        <v>850.0</v>
      </c>
      <c r="T1427" s="2" t="s">
        <v>3616</v>
      </c>
      <c r="U1427" s="171">
        <v>2901.0</v>
      </c>
      <c r="V1427" s="172">
        <v>46028.0</v>
      </c>
      <c r="W1427" s="3">
        <v>236.1</v>
      </c>
      <c r="X1427" s="172">
        <v>46025.556435185186</v>
      </c>
      <c r="Y1427" s="172"/>
      <c r="Z1427" s="3">
        <v>46023.0</v>
      </c>
      <c r="AA1427" s="3"/>
    </row>
    <row r="1428">
      <c r="A1428" s="3">
        <v>6.845934764291E12</v>
      </c>
      <c r="B1428" s="2" t="s">
        <v>6037</v>
      </c>
      <c r="C1428" s="2" t="s">
        <v>6038</v>
      </c>
      <c r="D1428" s="169">
        <v>46023.0</v>
      </c>
      <c r="E1428" s="2">
        <v>3.139382826E9</v>
      </c>
      <c r="F1428" s="2" t="s">
        <v>6039</v>
      </c>
      <c r="G1428" s="2" t="s">
        <v>1012</v>
      </c>
      <c r="H1428" s="2">
        <v>2901.0</v>
      </c>
      <c r="I1428" s="2">
        <v>2.4120050020963E13</v>
      </c>
      <c r="J1428" s="3">
        <v>1.0</v>
      </c>
      <c r="K1428" s="2" t="s">
        <v>511</v>
      </c>
      <c r="L1428" s="2" t="s">
        <v>500</v>
      </c>
      <c r="M1428" s="174" t="s">
        <v>409</v>
      </c>
      <c r="N1428" s="2" t="s">
        <v>462</v>
      </c>
      <c r="O1428" s="3">
        <v>0.5</v>
      </c>
      <c r="P1428" s="2" t="s">
        <v>363</v>
      </c>
      <c r="Q1428" s="3">
        <v>850.0</v>
      </c>
      <c r="T1428" s="2" t="s">
        <v>3616</v>
      </c>
      <c r="U1428" s="171">
        <v>2901.0</v>
      </c>
      <c r="V1428" s="172">
        <v>46028.0</v>
      </c>
      <c r="W1428" s="3">
        <v>329.48</v>
      </c>
      <c r="X1428" s="172">
        <v>46026.58560185185</v>
      </c>
      <c r="Y1428" s="172"/>
      <c r="Z1428" s="3">
        <v>46023.0</v>
      </c>
      <c r="AA1428" s="3"/>
    </row>
    <row r="1429">
      <c r="A1429" s="3">
        <v>6.845937713411E12</v>
      </c>
      <c r="B1429" s="2" t="s">
        <v>6040</v>
      </c>
      <c r="C1429" s="2" t="s">
        <v>6041</v>
      </c>
      <c r="D1429" s="169">
        <v>46023.0</v>
      </c>
      <c r="E1429" s="173" t="s">
        <v>6042</v>
      </c>
      <c r="F1429" s="2" t="s">
        <v>6043</v>
      </c>
      <c r="G1429" s="2" t="s">
        <v>1376</v>
      </c>
      <c r="H1429" s="2">
        <v>0.0</v>
      </c>
      <c r="I1429" s="2">
        <v>2.4120050020962E13</v>
      </c>
      <c r="J1429" s="3">
        <v>0.0</v>
      </c>
      <c r="K1429" s="2" t="s">
        <v>6044</v>
      </c>
      <c r="L1429" s="2"/>
      <c r="M1429" s="170" t="s">
        <v>455</v>
      </c>
      <c r="N1429" s="2" t="s">
        <v>406</v>
      </c>
      <c r="O1429" s="3">
        <v>0.5</v>
      </c>
      <c r="P1429" s="2" t="s">
        <v>363</v>
      </c>
      <c r="Q1429" s="3">
        <v>0.0</v>
      </c>
      <c r="T1429" s="2" t="s">
        <v>3701</v>
      </c>
      <c r="U1429" s="171">
        <v>0.0</v>
      </c>
      <c r="V1429" s="172">
        <v>46035.0</v>
      </c>
      <c r="W1429" s="3">
        <v>200.0</v>
      </c>
      <c r="X1429" s="172">
        <v>46057.64278282407</v>
      </c>
      <c r="Y1429" s="172"/>
      <c r="Z1429" s="3">
        <v>46023.0</v>
      </c>
      <c r="AA1429" s="3"/>
    </row>
    <row r="1430">
      <c r="A1430" s="3">
        <v>6.845941383427E12</v>
      </c>
      <c r="B1430" s="2" t="s">
        <v>6045</v>
      </c>
      <c r="C1430" s="2" t="s">
        <v>6046</v>
      </c>
      <c r="D1430" s="169">
        <v>46023.0</v>
      </c>
      <c r="E1430" s="2">
        <v>3.00167752E9</v>
      </c>
      <c r="F1430" s="2" t="s">
        <v>6047</v>
      </c>
      <c r="G1430" s="2" t="s">
        <v>6048</v>
      </c>
      <c r="H1430" s="2">
        <v>4149.0</v>
      </c>
      <c r="I1430" s="2">
        <v>2.8120050020959E13</v>
      </c>
      <c r="J1430" s="3">
        <v>2.0</v>
      </c>
      <c r="K1430" s="2" t="s">
        <v>511</v>
      </c>
      <c r="L1430" s="2" t="s">
        <v>994</v>
      </c>
      <c r="M1430" s="174" t="s">
        <v>409</v>
      </c>
      <c r="N1430" s="2" t="s">
        <v>462</v>
      </c>
      <c r="O1430" s="3">
        <v>0.5</v>
      </c>
      <c r="P1430" s="2" t="s">
        <v>73</v>
      </c>
      <c r="Q1430" s="3">
        <v>1700.0</v>
      </c>
      <c r="T1430" s="2" t="s">
        <v>4077</v>
      </c>
      <c r="U1430" s="171">
        <v>4149.0</v>
      </c>
      <c r="V1430" s="172">
        <v>46031.0</v>
      </c>
      <c r="W1430" s="3">
        <v>479.0</v>
      </c>
      <c r="X1430" s="172">
        <v>46029.784270833334</v>
      </c>
      <c r="Y1430" s="172"/>
      <c r="Z1430" s="3">
        <v>46023.0</v>
      </c>
      <c r="AA1430" s="3"/>
    </row>
    <row r="1431">
      <c r="A1431" s="3">
        <v>6.845999022339E12</v>
      </c>
      <c r="B1431" s="2" t="s">
        <v>6049</v>
      </c>
      <c r="C1431" s="2" t="s">
        <v>6050</v>
      </c>
      <c r="D1431" s="169">
        <v>46023.0</v>
      </c>
      <c r="E1431" s="2">
        <v>3.418762028E9</v>
      </c>
      <c r="F1431" s="2" t="s">
        <v>6051</v>
      </c>
      <c r="G1431" s="2" t="s">
        <v>6052</v>
      </c>
      <c r="H1431" s="2">
        <v>0.0</v>
      </c>
      <c r="I1431" s="2">
        <v>2.0120050020958E13</v>
      </c>
      <c r="J1431" s="3">
        <v>0.0</v>
      </c>
      <c r="K1431" s="2" t="s">
        <v>6053</v>
      </c>
      <c r="L1431" s="2"/>
      <c r="M1431" s="170" t="s">
        <v>455</v>
      </c>
      <c r="N1431" s="2" t="s">
        <v>406</v>
      </c>
      <c r="O1431" s="3">
        <v>0.5</v>
      </c>
      <c r="P1431" s="2" t="s">
        <v>363</v>
      </c>
      <c r="Q1431" s="3">
        <v>0.0</v>
      </c>
      <c r="T1431" s="2" t="s">
        <v>3701</v>
      </c>
      <c r="U1431" s="171">
        <v>0.0</v>
      </c>
      <c r="V1431" s="172">
        <v>46035.0</v>
      </c>
      <c r="W1431" s="3">
        <v>213.0</v>
      </c>
      <c r="X1431" s="172">
        <v>46057.64278282407</v>
      </c>
      <c r="Y1431" s="172"/>
      <c r="Z1431" s="3">
        <v>46023.0</v>
      </c>
      <c r="AA1431" s="3"/>
    </row>
    <row r="1432">
      <c r="A1432" s="3">
        <v>6.846079369475E12</v>
      </c>
      <c r="B1432" s="2" t="s">
        <v>6054</v>
      </c>
      <c r="C1432" s="2" t="s">
        <v>6055</v>
      </c>
      <c r="D1432" s="169">
        <v>46023.0</v>
      </c>
      <c r="E1432" s="2">
        <v>3.410200605E9</v>
      </c>
      <c r="F1432" s="2" t="s">
        <v>6056</v>
      </c>
      <c r="G1432" s="2" t="s">
        <v>506</v>
      </c>
      <c r="H1432" s="2">
        <v>2901.0</v>
      </c>
      <c r="I1432" s="2">
        <v>2.8120050020954E13</v>
      </c>
      <c r="J1432" s="3">
        <v>1.0</v>
      </c>
      <c r="L1432" s="2" t="s">
        <v>512</v>
      </c>
      <c r="M1432" s="174" t="s">
        <v>409</v>
      </c>
      <c r="N1432" s="2" t="s">
        <v>462</v>
      </c>
      <c r="O1432" s="3">
        <v>0.5</v>
      </c>
      <c r="P1432" s="2" t="s">
        <v>73</v>
      </c>
      <c r="Q1432" s="3">
        <v>850.0</v>
      </c>
      <c r="T1432" s="2" t="s">
        <v>3616</v>
      </c>
      <c r="U1432" s="171">
        <v>2901.0</v>
      </c>
      <c r="V1432" s="172">
        <v>46028.0</v>
      </c>
      <c r="W1432" s="3">
        <v>316.14</v>
      </c>
      <c r="X1432" s="172">
        <v>46027.67462962963</v>
      </c>
      <c r="Y1432" s="172"/>
      <c r="Z1432" s="3">
        <v>46023.0</v>
      </c>
      <c r="AA1432" s="3"/>
    </row>
    <row r="1433">
      <c r="A1433" s="3">
        <v>6.846126653699E12</v>
      </c>
      <c r="B1433" s="2" t="s">
        <v>6057</v>
      </c>
      <c r="C1433" s="2" t="s">
        <v>6058</v>
      </c>
      <c r="D1433" s="169">
        <v>46023.0</v>
      </c>
      <c r="E1433" s="2">
        <v>3.454114747E9</v>
      </c>
      <c r="F1433" s="2" t="s">
        <v>6059</v>
      </c>
      <c r="G1433" s="2" t="s">
        <v>3356</v>
      </c>
      <c r="H1433" s="2">
        <v>5874.96</v>
      </c>
      <c r="I1433" s="2">
        <v>2.512005002096E13</v>
      </c>
      <c r="J1433" s="3">
        <v>3.0</v>
      </c>
      <c r="K1433" s="2" t="s">
        <v>511</v>
      </c>
      <c r="L1433" s="2" t="s">
        <v>6060</v>
      </c>
      <c r="M1433" s="174" t="s">
        <v>409</v>
      </c>
      <c r="N1433" s="2" t="s">
        <v>462</v>
      </c>
      <c r="O1433" s="3">
        <v>0.5</v>
      </c>
      <c r="P1433" s="2" t="s">
        <v>363</v>
      </c>
      <c r="Q1433" s="3">
        <v>2430.0</v>
      </c>
      <c r="T1433" s="2" t="s">
        <v>3616</v>
      </c>
      <c r="U1433" s="171">
        <v>5874.96</v>
      </c>
      <c r="V1433" s="172">
        <v>46028.0</v>
      </c>
      <c r="W1433" s="3">
        <v>548.49</v>
      </c>
      <c r="X1433" s="172">
        <v>46027.71635416667</v>
      </c>
      <c r="Y1433" s="172"/>
      <c r="Z1433" s="3">
        <v>46023.0</v>
      </c>
      <c r="AA1433" s="3"/>
    </row>
    <row r="1434">
      <c r="A1434" s="3">
        <v>6.846140219651E12</v>
      </c>
      <c r="B1434" s="2" t="s">
        <v>6061</v>
      </c>
      <c r="C1434" s="2" t="s">
        <v>6062</v>
      </c>
      <c r="D1434" s="169">
        <v>46023.0</v>
      </c>
      <c r="E1434" s="173" t="s">
        <v>6063</v>
      </c>
      <c r="F1434" s="2" t="s">
        <v>6064</v>
      </c>
      <c r="G1434" s="2" t="s">
        <v>4900</v>
      </c>
      <c r="H1434" s="2">
        <v>2901.0</v>
      </c>
      <c r="I1434" s="2">
        <v>2.7120050020961E13</v>
      </c>
      <c r="J1434" s="3">
        <v>1.0</v>
      </c>
      <c r="K1434" s="2" t="s">
        <v>241</v>
      </c>
      <c r="L1434" s="2" t="s">
        <v>519</v>
      </c>
      <c r="M1434" s="174" t="s">
        <v>409</v>
      </c>
      <c r="N1434" s="2" t="s">
        <v>462</v>
      </c>
      <c r="O1434" s="3">
        <v>0.5</v>
      </c>
      <c r="P1434" s="2" t="s">
        <v>363</v>
      </c>
      <c r="Q1434" s="3">
        <v>850.0</v>
      </c>
      <c r="T1434" s="2" t="s">
        <v>3616</v>
      </c>
      <c r="U1434" s="171">
        <v>2901.0</v>
      </c>
      <c r="V1434" s="172">
        <v>46028.0</v>
      </c>
      <c r="W1434" s="3">
        <v>336.15</v>
      </c>
      <c r="X1434" s="172">
        <v>46027.702997685185</v>
      </c>
      <c r="Y1434" s="172"/>
      <c r="Z1434" s="3">
        <v>46023.0</v>
      </c>
      <c r="AA1434" s="3"/>
    </row>
    <row r="1435">
      <c r="A1435" s="3">
        <v>6.846278107395E12</v>
      </c>
      <c r="B1435" s="2" t="s">
        <v>6065</v>
      </c>
      <c r="C1435" s="2" t="s">
        <v>6066</v>
      </c>
      <c r="D1435" s="169">
        <v>46024.0</v>
      </c>
      <c r="E1435" s="173" t="s">
        <v>6067</v>
      </c>
      <c r="F1435" s="2" t="s">
        <v>6068</v>
      </c>
      <c r="G1435" s="2" t="s">
        <v>6069</v>
      </c>
      <c r="H1435" s="2">
        <v>3213.0</v>
      </c>
      <c r="I1435" s="2">
        <v>2.0120050021002E13</v>
      </c>
      <c r="J1435" s="3">
        <v>2.0</v>
      </c>
      <c r="K1435" s="2" t="s">
        <v>511</v>
      </c>
      <c r="L1435" s="2" t="s">
        <v>27</v>
      </c>
      <c r="M1435" s="174" t="s">
        <v>409</v>
      </c>
      <c r="N1435" s="2" t="s">
        <v>462</v>
      </c>
      <c r="O1435" s="3">
        <v>0.5</v>
      </c>
      <c r="P1435" s="2" t="s">
        <v>363</v>
      </c>
      <c r="Q1435" s="3">
        <v>920.0</v>
      </c>
      <c r="T1435" s="2" t="s">
        <v>3616</v>
      </c>
      <c r="U1435" s="171">
        <v>3213.0</v>
      </c>
      <c r="V1435" s="172">
        <v>46028.0</v>
      </c>
      <c r="W1435" s="3">
        <v>341.96</v>
      </c>
      <c r="X1435" s="172">
        <v>46027.542592592596</v>
      </c>
      <c r="Y1435" s="172"/>
      <c r="Z1435" s="3">
        <v>46024.0</v>
      </c>
      <c r="AA1435" s="3"/>
    </row>
    <row r="1436">
      <c r="A1436" s="3">
        <v>6.846290952451E12</v>
      </c>
      <c r="B1436" s="2" t="s">
        <v>6070</v>
      </c>
      <c r="C1436" s="2" t="s">
        <v>6071</v>
      </c>
      <c r="D1436" s="169">
        <v>46024.0</v>
      </c>
      <c r="E1436" s="2">
        <v>3.008259995E9</v>
      </c>
      <c r="F1436" s="2" t="s">
        <v>6072</v>
      </c>
      <c r="G1436" s="2" t="s">
        <v>493</v>
      </c>
      <c r="H1436" s="2">
        <v>0.0</v>
      </c>
      <c r="I1436" s="2">
        <v>2.2120050020953E13</v>
      </c>
      <c r="J1436" s="3">
        <v>0.0</v>
      </c>
      <c r="K1436" s="2" t="s">
        <v>5901</v>
      </c>
      <c r="L1436" s="2"/>
      <c r="M1436" s="170" t="s">
        <v>455</v>
      </c>
      <c r="N1436" s="2" t="s">
        <v>406</v>
      </c>
      <c r="O1436" s="3">
        <v>0.5</v>
      </c>
      <c r="P1436" s="2" t="s">
        <v>363</v>
      </c>
      <c r="Q1436" s="3">
        <v>0.0</v>
      </c>
      <c r="T1436" s="2" t="s">
        <v>3674</v>
      </c>
      <c r="U1436" s="171">
        <v>0.0</v>
      </c>
      <c r="V1436" s="172">
        <v>46038.0</v>
      </c>
      <c r="W1436" s="3">
        <v>213.0</v>
      </c>
      <c r="X1436" s="172">
        <v>46057.64278282407</v>
      </c>
      <c r="Y1436" s="172"/>
      <c r="Z1436" s="3">
        <v>46024.0</v>
      </c>
      <c r="AA1436" s="3"/>
    </row>
    <row r="1437">
      <c r="A1437" s="3">
        <v>6.846513512707E12</v>
      </c>
      <c r="B1437" s="2" t="s">
        <v>6073</v>
      </c>
      <c r="C1437" s="2" t="s">
        <v>6074</v>
      </c>
      <c r="D1437" s="169">
        <v>46024.0</v>
      </c>
      <c r="E1437" s="2">
        <v>3.234019796E9</v>
      </c>
      <c r="F1437" s="2" t="s">
        <v>6075</v>
      </c>
      <c r="G1437" s="2" t="s">
        <v>368</v>
      </c>
      <c r="H1437" s="2">
        <v>4149.0</v>
      </c>
      <c r="I1437" s="2">
        <v>2.0120050020952E13</v>
      </c>
      <c r="J1437" s="3">
        <v>2.0</v>
      </c>
      <c r="L1437" s="2" t="s">
        <v>479</v>
      </c>
      <c r="M1437" s="174" t="s">
        <v>409</v>
      </c>
      <c r="N1437" s="2" t="s">
        <v>462</v>
      </c>
      <c r="O1437" s="3">
        <v>0.5</v>
      </c>
      <c r="P1437" s="2" t="s">
        <v>363</v>
      </c>
      <c r="Q1437" s="3">
        <v>1700.0</v>
      </c>
      <c r="T1437" s="2" t="s">
        <v>3616</v>
      </c>
      <c r="U1437" s="171">
        <v>4149.0</v>
      </c>
      <c r="V1437" s="172">
        <v>46028.0</v>
      </c>
      <c r="W1437" s="3">
        <v>286.02</v>
      </c>
      <c r="X1437" s="172">
        <v>46025.66280092593</v>
      </c>
      <c r="Y1437" s="172"/>
      <c r="Z1437" s="3">
        <v>46024.0</v>
      </c>
      <c r="AA1437" s="3"/>
    </row>
    <row r="1438">
      <c r="A1438" s="3">
        <v>6.846545953027E12</v>
      </c>
      <c r="B1438" s="2" t="s">
        <v>6076</v>
      </c>
      <c r="C1438" s="2" t="s">
        <v>6077</v>
      </c>
      <c r="D1438" s="169">
        <v>46024.0</v>
      </c>
      <c r="E1438" s="173" t="s">
        <v>1591</v>
      </c>
      <c r="F1438" s="2" t="s">
        <v>6078</v>
      </c>
      <c r="G1438" s="2" t="s">
        <v>368</v>
      </c>
      <c r="H1438" s="2">
        <v>2901.0</v>
      </c>
      <c r="I1438" s="2">
        <v>2.3120050020951E13</v>
      </c>
      <c r="J1438" s="3">
        <v>1.0</v>
      </c>
      <c r="K1438" s="2" t="s">
        <v>241</v>
      </c>
      <c r="L1438" s="2" t="s">
        <v>512</v>
      </c>
      <c r="M1438" s="174" t="s">
        <v>409</v>
      </c>
      <c r="N1438" s="2" t="s">
        <v>462</v>
      </c>
      <c r="O1438" s="3">
        <v>0.5</v>
      </c>
      <c r="P1438" s="2" t="s">
        <v>363</v>
      </c>
      <c r="Q1438" s="3">
        <v>850.0</v>
      </c>
      <c r="T1438" s="2" t="s">
        <v>3616</v>
      </c>
      <c r="U1438" s="171">
        <v>2901.0</v>
      </c>
      <c r="V1438" s="172">
        <v>46028.0</v>
      </c>
      <c r="W1438" s="3">
        <v>236.1</v>
      </c>
      <c r="X1438" s="172">
        <v>46025.67590277777</v>
      </c>
      <c r="Y1438" s="172"/>
      <c r="Z1438" s="3">
        <v>46024.0</v>
      </c>
      <c r="AA1438" s="3"/>
    </row>
    <row r="1439">
      <c r="A1439" s="3">
        <v>6.846618042627E12</v>
      </c>
      <c r="B1439" s="2" t="s">
        <v>6079</v>
      </c>
      <c r="C1439" s="2" t="s">
        <v>6080</v>
      </c>
      <c r="D1439" s="169">
        <v>46024.0</v>
      </c>
      <c r="E1439" s="2">
        <v>3.079648223E9</v>
      </c>
      <c r="F1439" s="2" t="s">
        <v>6081</v>
      </c>
      <c r="G1439" s="2" t="s">
        <v>368</v>
      </c>
      <c r="H1439" s="2">
        <v>4149.0</v>
      </c>
      <c r="I1439" s="2">
        <v>2.112005002095E13</v>
      </c>
      <c r="J1439" s="3">
        <v>2.0</v>
      </c>
      <c r="L1439" s="2" t="s">
        <v>994</v>
      </c>
      <c r="M1439" s="174" t="s">
        <v>409</v>
      </c>
      <c r="N1439" s="2" t="s">
        <v>462</v>
      </c>
      <c r="O1439" s="3">
        <v>0.5</v>
      </c>
      <c r="P1439" s="2" t="s">
        <v>73</v>
      </c>
      <c r="Q1439" s="3">
        <v>1700.0</v>
      </c>
      <c r="T1439" s="2" t="s">
        <v>3616</v>
      </c>
      <c r="U1439" s="171">
        <v>4149.0</v>
      </c>
      <c r="V1439" s="172">
        <v>46028.0</v>
      </c>
      <c r="W1439" s="3">
        <v>286.02</v>
      </c>
      <c r="X1439" s="172">
        <v>46025.58490740741</v>
      </c>
      <c r="Y1439" s="172"/>
      <c r="Z1439" s="3">
        <v>46024.0</v>
      </c>
      <c r="AA1439" s="3"/>
    </row>
    <row r="1440">
      <c r="A1440" s="3">
        <v>6.846638784771E12</v>
      </c>
      <c r="B1440" s="2" t="s">
        <v>6082</v>
      </c>
      <c r="C1440" s="2" t="s">
        <v>6083</v>
      </c>
      <c r="D1440" s="169">
        <v>46024.0</v>
      </c>
      <c r="E1440" s="2">
        <v>3.205734425E9</v>
      </c>
      <c r="F1440" s="2" t="s">
        <v>6084</v>
      </c>
      <c r="G1440" s="2" t="s">
        <v>368</v>
      </c>
      <c r="H1440" s="2">
        <v>249.0</v>
      </c>
      <c r="I1440" s="2">
        <v>2.6120050020949E13</v>
      </c>
      <c r="J1440" s="3">
        <v>0.0</v>
      </c>
      <c r="K1440" s="2" t="s">
        <v>6085</v>
      </c>
      <c r="L1440" s="2"/>
      <c r="M1440" s="170" t="s">
        <v>455</v>
      </c>
      <c r="N1440" s="2" t="s">
        <v>462</v>
      </c>
      <c r="O1440" s="3">
        <v>0.5</v>
      </c>
      <c r="P1440" s="2" t="s">
        <v>363</v>
      </c>
      <c r="Q1440" s="3">
        <v>0.0</v>
      </c>
      <c r="T1440" s="2" t="s">
        <v>3616</v>
      </c>
      <c r="U1440" s="171">
        <v>249.0</v>
      </c>
      <c r="V1440" s="172">
        <v>46028.0</v>
      </c>
      <c r="W1440" s="3">
        <v>286.02</v>
      </c>
      <c r="X1440" s="172">
        <v>46025.57246527778</v>
      </c>
      <c r="Y1440" s="172"/>
      <c r="Z1440" s="3">
        <v>46024.0</v>
      </c>
      <c r="AA1440" s="3"/>
    </row>
    <row r="1441">
      <c r="A1441" s="3">
        <v>6.846714052867E12</v>
      </c>
      <c r="B1441" s="2" t="s">
        <v>6086</v>
      </c>
      <c r="C1441" s="2" t="s">
        <v>6087</v>
      </c>
      <c r="D1441" s="169">
        <v>46024.0</v>
      </c>
      <c r="E1441" s="2">
        <v>3.107187194E9</v>
      </c>
      <c r="F1441" s="2" t="s">
        <v>6088</v>
      </c>
      <c r="G1441" s="2" t="s">
        <v>993</v>
      </c>
      <c r="H1441" s="2">
        <v>0.0</v>
      </c>
      <c r="J1441" s="3">
        <v>0.0</v>
      </c>
      <c r="K1441" s="2" t="s">
        <v>6089</v>
      </c>
      <c r="L1441" s="2"/>
      <c r="M1441" s="2" t="s">
        <v>468</v>
      </c>
      <c r="N1441" s="2" t="s">
        <v>406</v>
      </c>
      <c r="O1441" s="3">
        <v>0.5</v>
      </c>
      <c r="Q1441" s="3">
        <v>0.0</v>
      </c>
      <c r="U1441" s="141"/>
      <c r="X1441" s="172">
        <v>46057.64278282407</v>
      </c>
      <c r="Y1441" s="172"/>
      <c r="Z1441" s="3">
        <v>46024.0</v>
      </c>
      <c r="AA1441" s="3"/>
    </row>
    <row r="1442">
      <c r="A1442" s="3">
        <v>6.846771921155E12</v>
      </c>
      <c r="B1442" s="2" t="s">
        <v>6090</v>
      </c>
      <c r="C1442" s="2" t="s">
        <v>6091</v>
      </c>
      <c r="D1442" s="169">
        <v>46024.0</v>
      </c>
      <c r="E1442" s="2">
        <v>3.338959517E9</v>
      </c>
      <c r="F1442" s="2" t="s">
        <v>6092</v>
      </c>
      <c r="G1442" s="2" t="s">
        <v>506</v>
      </c>
      <c r="H1442" s="2">
        <v>4355.96</v>
      </c>
      <c r="I1442" s="2">
        <v>2.5120050020947E13</v>
      </c>
      <c r="J1442" s="3">
        <v>2.0</v>
      </c>
      <c r="L1442" s="2" t="s">
        <v>6093</v>
      </c>
      <c r="M1442" s="174" t="s">
        <v>409</v>
      </c>
      <c r="N1442" s="2" t="s">
        <v>462</v>
      </c>
      <c r="O1442" s="3">
        <v>0.5</v>
      </c>
      <c r="P1442" s="2" t="s">
        <v>363</v>
      </c>
      <c r="Q1442" s="3">
        <v>1580.0</v>
      </c>
      <c r="T1442" s="2" t="s">
        <v>3616</v>
      </c>
      <c r="U1442" s="171">
        <v>4355.96</v>
      </c>
      <c r="V1442" s="172">
        <v>46028.0</v>
      </c>
      <c r="W1442" s="3">
        <v>394.35</v>
      </c>
      <c r="X1442" s="172">
        <v>46026.51615740741</v>
      </c>
      <c r="Y1442" s="172"/>
      <c r="Z1442" s="3">
        <v>46024.0</v>
      </c>
      <c r="AA1442" s="3"/>
    </row>
    <row r="1443">
      <c r="A1443" s="3">
        <v>6.846827659523E12</v>
      </c>
      <c r="B1443" s="2" t="s">
        <v>6094</v>
      </c>
      <c r="C1443" s="2" t="s">
        <v>6095</v>
      </c>
      <c r="D1443" s="169">
        <v>46024.0</v>
      </c>
      <c r="E1443" s="2">
        <v>3.068166061E9</v>
      </c>
      <c r="F1443" s="2" t="s">
        <v>6096</v>
      </c>
      <c r="G1443" s="2" t="s">
        <v>3148</v>
      </c>
      <c r="H1443" s="2">
        <v>0.0</v>
      </c>
      <c r="I1443" s="2">
        <v>2.1120050020948E13</v>
      </c>
      <c r="J1443" s="3">
        <v>0.0</v>
      </c>
      <c r="K1443" s="2" t="s">
        <v>6097</v>
      </c>
      <c r="L1443" s="2"/>
      <c r="M1443" s="170" t="s">
        <v>455</v>
      </c>
      <c r="N1443" s="2" t="s">
        <v>406</v>
      </c>
      <c r="O1443" s="3">
        <v>0.5</v>
      </c>
      <c r="P1443" s="2" t="s">
        <v>73</v>
      </c>
      <c r="Q1443" s="3">
        <v>0.0</v>
      </c>
      <c r="T1443" s="2" t="s">
        <v>3674</v>
      </c>
      <c r="U1443" s="171">
        <v>0.0</v>
      </c>
      <c r="V1443" s="172">
        <v>46038.0</v>
      </c>
      <c r="W1443" s="3">
        <v>313.0</v>
      </c>
      <c r="X1443" s="172">
        <v>46057.64278282407</v>
      </c>
      <c r="Y1443" s="172"/>
      <c r="Z1443" s="3">
        <v>46024.0</v>
      </c>
      <c r="AA1443" s="3"/>
    </row>
    <row r="1444">
      <c r="A1444" s="3">
        <v>6.846848532739E12</v>
      </c>
      <c r="B1444" s="2" t="s">
        <v>6098</v>
      </c>
      <c r="C1444" s="2" t="s">
        <v>6099</v>
      </c>
      <c r="D1444" s="169">
        <v>46024.0</v>
      </c>
      <c r="E1444" s="2">
        <v>3.132258E9</v>
      </c>
      <c r="F1444" s="2" t="s">
        <v>6100</v>
      </c>
      <c r="G1444" s="2" t="s">
        <v>817</v>
      </c>
      <c r="H1444" s="2">
        <v>2953.0</v>
      </c>
      <c r="I1444" s="2">
        <v>2.3120050020946E13</v>
      </c>
      <c r="J1444" s="3">
        <v>2.0</v>
      </c>
      <c r="L1444" s="2" t="s">
        <v>593</v>
      </c>
      <c r="M1444" s="174" t="s">
        <v>409</v>
      </c>
      <c r="N1444" s="2" t="s">
        <v>462</v>
      </c>
      <c r="O1444" s="3">
        <v>0.5</v>
      </c>
      <c r="P1444" s="2" t="s">
        <v>363</v>
      </c>
      <c r="Q1444" s="3">
        <v>1050.0</v>
      </c>
      <c r="T1444" s="2" t="s">
        <v>3616</v>
      </c>
      <c r="U1444" s="171">
        <v>2953.0</v>
      </c>
      <c r="V1444" s="172">
        <v>46028.0</v>
      </c>
      <c r="W1444" s="3">
        <v>331.56</v>
      </c>
      <c r="X1444" s="172">
        <v>46027.59533564815</v>
      </c>
      <c r="Y1444" s="172"/>
      <c r="Z1444" s="3">
        <v>46024.0</v>
      </c>
      <c r="AA1444" s="3"/>
    </row>
    <row r="1445">
      <c r="A1445" s="3">
        <v>6.846850466051E12</v>
      </c>
      <c r="B1445" s="2" t="s">
        <v>6101</v>
      </c>
      <c r="C1445" s="2" t="s">
        <v>6102</v>
      </c>
      <c r="D1445" s="169">
        <v>46024.0</v>
      </c>
      <c r="E1445" s="2">
        <v>3.107503681E9</v>
      </c>
      <c r="F1445" s="2" t="s">
        <v>6103</v>
      </c>
      <c r="G1445" s="2" t="s">
        <v>6104</v>
      </c>
      <c r="H1445" s="2">
        <v>0.0</v>
      </c>
      <c r="J1445" s="3">
        <v>0.0</v>
      </c>
      <c r="K1445" s="2" t="s">
        <v>6105</v>
      </c>
      <c r="L1445" s="2"/>
      <c r="M1445" s="2" t="s">
        <v>468</v>
      </c>
      <c r="N1445" s="2" t="s">
        <v>406</v>
      </c>
      <c r="O1445" s="3">
        <v>0.5</v>
      </c>
      <c r="Q1445" s="3">
        <v>0.0</v>
      </c>
      <c r="U1445" s="141"/>
      <c r="X1445" s="172">
        <v>46057.64278282407</v>
      </c>
      <c r="Y1445" s="172"/>
      <c r="Z1445" s="3">
        <v>46024.0</v>
      </c>
      <c r="AA1445" s="3"/>
    </row>
    <row r="1446">
      <c r="A1446" s="3">
        <v>6.846923604227E12</v>
      </c>
      <c r="B1446" s="2" t="s">
        <v>6106</v>
      </c>
      <c r="C1446" s="2" t="s">
        <v>6107</v>
      </c>
      <c r="D1446" s="169">
        <v>46024.0</v>
      </c>
      <c r="E1446" s="173" t="s">
        <v>6108</v>
      </c>
      <c r="F1446" s="2" t="s">
        <v>6109</v>
      </c>
      <c r="G1446" s="2" t="s">
        <v>6110</v>
      </c>
      <c r="H1446" s="2">
        <v>3250.0</v>
      </c>
      <c r="I1446" s="2">
        <v>2.2120050020988E13</v>
      </c>
      <c r="J1446" s="3">
        <v>3.0</v>
      </c>
      <c r="K1446" s="2" t="s">
        <v>1989</v>
      </c>
      <c r="L1446" s="2" t="s">
        <v>6111</v>
      </c>
      <c r="M1446" s="174" t="s">
        <v>409</v>
      </c>
      <c r="N1446" s="2" t="s">
        <v>462</v>
      </c>
      <c r="O1446" s="3">
        <v>0.5</v>
      </c>
      <c r="P1446" s="2" t="s">
        <v>363</v>
      </c>
      <c r="Q1446" s="3">
        <v>1465.0</v>
      </c>
      <c r="T1446" s="2" t="s">
        <v>3616</v>
      </c>
      <c r="U1446" s="171">
        <v>3250.0</v>
      </c>
      <c r="V1446" s="172">
        <v>46028.0</v>
      </c>
      <c r="W1446" s="3">
        <v>356.78</v>
      </c>
      <c r="X1446" s="172">
        <v>46027.65305555555</v>
      </c>
      <c r="Y1446" s="172"/>
      <c r="Z1446" s="3">
        <v>46024.0</v>
      </c>
      <c r="AA1446" s="3"/>
    </row>
    <row r="1447">
      <c r="A1447" s="3">
        <v>6.846964498691E12</v>
      </c>
      <c r="B1447" s="2" t="s">
        <v>6112</v>
      </c>
      <c r="C1447" s="2" t="s">
        <v>6113</v>
      </c>
      <c r="D1447" s="169">
        <v>46024.0</v>
      </c>
      <c r="E1447" s="173" t="s">
        <v>6114</v>
      </c>
      <c r="F1447" s="2" t="s">
        <v>6115</v>
      </c>
      <c r="G1447" s="2" t="s">
        <v>6116</v>
      </c>
      <c r="H1447" s="2">
        <v>0.0</v>
      </c>
      <c r="I1447" s="2">
        <v>2.2120050020987E13</v>
      </c>
      <c r="J1447" s="3">
        <v>0.0</v>
      </c>
      <c r="K1447" s="2" t="s">
        <v>6117</v>
      </c>
      <c r="L1447" s="2"/>
      <c r="M1447" s="170" t="s">
        <v>455</v>
      </c>
      <c r="N1447" s="2" t="s">
        <v>406</v>
      </c>
      <c r="O1447" s="3">
        <v>0.5</v>
      </c>
      <c r="P1447" s="2" t="s">
        <v>363</v>
      </c>
      <c r="Q1447" s="3">
        <v>0.0</v>
      </c>
      <c r="T1447" s="2" t="s">
        <v>3701</v>
      </c>
      <c r="U1447" s="171">
        <v>0.0</v>
      </c>
      <c r="V1447" s="172">
        <v>46035.0</v>
      </c>
      <c r="W1447" s="3">
        <v>200.0</v>
      </c>
      <c r="X1447" s="172">
        <v>46057.64278282407</v>
      </c>
      <c r="Y1447" s="172"/>
      <c r="Z1447" s="3">
        <v>46024.0</v>
      </c>
      <c r="AA1447" s="3"/>
    </row>
    <row r="1448">
      <c r="A1448" s="3">
        <v>6.846967677187E12</v>
      </c>
      <c r="B1448" s="2" t="s">
        <v>6118</v>
      </c>
      <c r="C1448" s="2" t="s">
        <v>6119</v>
      </c>
      <c r="D1448" s="169">
        <v>46024.0</v>
      </c>
      <c r="E1448" s="173" t="s">
        <v>6120</v>
      </c>
      <c r="F1448" s="2" t="s">
        <v>6121</v>
      </c>
      <c r="G1448" s="2" t="s">
        <v>4362</v>
      </c>
      <c r="H1448" s="2">
        <v>250.0</v>
      </c>
      <c r="I1448" s="2">
        <v>2.5120050020986E13</v>
      </c>
      <c r="J1448" s="3">
        <v>0.0</v>
      </c>
      <c r="K1448" s="2" t="s">
        <v>6122</v>
      </c>
      <c r="L1448" s="2"/>
      <c r="M1448" s="170" t="s">
        <v>455</v>
      </c>
      <c r="N1448" s="2" t="s">
        <v>406</v>
      </c>
      <c r="O1448" s="3">
        <v>0.5</v>
      </c>
      <c r="P1448" s="2" t="s">
        <v>363</v>
      </c>
      <c r="Q1448" s="3">
        <v>0.0</v>
      </c>
      <c r="T1448" s="2" t="s">
        <v>6123</v>
      </c>
      <c r="U1448" s="171">
        <v>0.0</v>
      </c>
      <c r="V1448" s="172">
        <v>46049.0</v>
      </c>
      <c r="W1448" s="3">
        <v>213.0</v>
      </c>
      <c r="X1448" s="172">
        <v>46057.64278282407</v>
      </c>
      <c r="Y1448" s="172"/>
      <c r="Z1448" s="3">
        <v>46024.0</v>
      </c>
      <c r="AA1448" s="3"/>
    </row>
    <row r="1449">
      <c r="A1449" s="3">
        <v>6.847005851907E12</v>
      </c>
      <c r="B1449" s="2" t="s">
        <v>6124</v>
      </c>
      <c r="C1449" s="2" t="s">
        <v>6125</v>
      </c>
      <c r="D1449" s="169">
        <v>46024.0</v>
      </c>
      <c r="E1449" s="173" t="s">
        <v>6126</v>
      </c>
      <c r="F1449" s="2" t="s">
        <v>6127</v>
      </c>
      <c r="G1449" s="2" t="s">
        <v>940</v>
      </c>
      <c r="H1449" s="2">
        <v>2901.0</v>
      </c>
      <c r="I1449" s="2">
        <v>2.9120050021001E13</v>
      </c>
      <c r="J1449" s="3">
        <v>1.0</v>
      </c>
      <c r="K1449" s="2" t="s">
        <v>6128</v>
      </c>
      <c r="L1449" s="2" t="s">
        <v>512</v>
      </c>
      <c r="M1449" s="174" t="s">
        <v>409</v>
      </c>
      <c r="N1449" s="2" t="s">
        <v>462</v>
      </c>
      <c r="O1449" s="3">
        <v>0.5</v>
      </c>
      <c r="P1449" s="2"/>
      <c r="Q1449" s="3">
        <v>850.0</v>
      </c>
      <c r="U1449" s="171">
        <v>2901.0</v>
      </c>
      <c r="W1449" s="3">
        <v>335.04</v>
      </c>
      <c r="X1449" s="172">
        <v>46028.76216435185</v>
      </c>
      <c r="Y1449" s="172"/>
      <c r="Z1449" s="3">
        <v>46024.0</v>
      </c>
      <c r="AA1449" s="3"/>
    </row>
    <row r="1450">
      <c r="A1450" s="3">
        <v>6.847073616131E12</v>
      </c>
      <c r="B1450" s="2" t="s">
        <v>6129</v>
      </c>
      <c r="C1450" s="2" t="s">
        <v>6130</v>
      </c>
      <c r="D1450" s="169">
        <v>46024.0</v>
      </c>
      <c r="E1450" s="2">
        <v>3.132222133E9</v>
      </c>
      <c r="F1450" s="2" t="s">
        <v>6131</v>
      </c>
      <c r="G1450" s="2" t="s">
        <v>855</v>
      </c>
      <c r="H1450" s="2">
        <v>4149.0</v>
      </c>
      <c r="I1450" s="2">
        <v>2.9120050020985E13</v>
      </c>
      <c r="J1450" s="3">
        <v>2.0</v>
      </c>
      <c r="L1450" s="2" t="s">
        <v>994</v>
      </c>
      <c r="M1450" s="174" t="s">
        <v>409</v>
      </c>
      <c r="N1450" s="2" t="s">
        <v>462</v>
      </c>
      <c r="O1450" s="3">
        <v>0.5</v>
      </c>
      <c r="P1450" s="2" t="s">
        <v>363</v>
      </c>
      <c r="Q1450" s="3">
        <v>1700.0</v>
      </c>
      <c r="T1450" s="2" t="s">
        <v>3616</v>
      </c>
      <c r="U1450" s="171">
        <v>4149.0</v>
      </c>
      <c r="V1450" s="172">
        <v>46028.0</v>
      </c>
      <c r="W1450" s="3">
        <v>386.07</v>
      </c>
      <c r="X1450" s="172">
        <v>46027.60711805556</v>
      </c>
      <c r="Y1450" s="172"/>
      <c r="Z1450" s="3">
        <v>46024.0</v>
      </c>
      <c r="AA1450" s="3"/>
    </row>
    <row r="1451">
      <c r="A1451" s="3">
        <v>6.847101305091E12</v>
      </c>
      <c r="B1451" s="2" t="s">
        <v>6132</v>
      </c>
      <c r="C1451" s="2" t="s">
        <v>6133</v>
      </c>
      <c r="D1451" s="169">
        <v>46024.0</v>
      </c>
      <c r="E1451" s="2">
        <v>3.332385444E9</v>
      </c>
      <c r="F1451" s="2" t="s">
        <v>6134</v>
      </c>
      <c r="G1451" s="2" t="s">
        <v>493</v>
      </c>
      <c r="H1451" s="2">
        <v>3213.0</v>
      </c>
      <c r="I1451" s="2">
        <v>2.1120050020984E13</v>
      </c>
      <c r="J1451" s="3">
        <v>2.0</v>
      </c>
      <c r="L1451" s="2" t="s">
        <v>1242</v>
      </c>
      <c r="M1451" s="174" t="s">
        <v>409</v>
      </c>
      <c r="N1451" s="2" t="s">
        <v>462</v>
      </c>
      <c r="O1451" s="3">
        <v>0.5</v>
      </c>
      <c r="P1451" s="2" t="s">
        <v>73</v>
      </c>
      <c r="Q1451" s="3">
        <v>1000.0</v>
      </c>
      <c r="T1451" s="2" t="s">
        <v>4077</v>
      </c>
      <c r="U1451" s="171">
        <v>3213.0</v>
      </c>
      <c r="V1451" s="172">
        <v>46031.0</v>
      </c>
      <c r="W1451" s="3">
        <v>342.0</v>
      </c>
      <c r="X1451" s="172">
        <v>46028.59813657407</v>
      </c>
      <c r="Y1451" s="172"/>
      <c r="Z1451" s="3">
        <v>46024.0</v>
      </c>
      <c r="AA1451" s="3"/>
    </row>
    <row r="1452">
      <c r="A1452" s="3">
        <v>6.847172837635E12</v>
      </c>
      <c r="B1452" s="2" t="s">
        <v>6135</v>
      </c>
      <c r="C1452" s="2" t="s">
        <v>6136</v>
      </c>
      <c r="D1452" s="169">
        <v>46024.0</v>
      </c>
      <c r="E1452" s="2">
        <v>3.001591504E9</v>
      </c>
      <c r="F1452" s="2" t="s">
        <v>6137</v>
      </c>
      <c r="G1452" s="2" t="s">
        <v>541</v>
      </c>
      <c r="H1452" s="2">
        <v>0.0</v>
      </c>
      <c r="I1452" s="2">
        <v>2.4120050020983E13</v>
      </c>
      <c r="J1452" s="3">
        <v>0.0</v>
      </c>
      <c r="K1452" s="2" t="s">
        <v>5245</v>
      </c>
      <c r="L1452" s="2"/>
      <c r="M1452" s="170" t="s">
        <v>455</v>
      </c>
      <c r="N1452" s="2" t="s">
        <v>406</v>
      </c>
      <c r="O1452" s="3">
        <v>0.5</v>
      </c>
      <c r="P1452" s="2" t="s">
        <v>363</v>
      </c>
      <c r="Q1452" s="3">
        <v>0.0</v>
      </c>
      <c r="T1452" s="2" t="s">
        <v>3701</v>
      </c>
      <c r="U1452" s="171">
        <v>0.0</v>
      </c>
      <c r="V1452" s="172">
        <v>46035.0</v>
      </c>
      <c r="W1452" s="3">
        <v>200.0</v>
      </c>
      <c r="X1452" s="172">
        <v>46057.64278282407</v>
      </c>
      <c r="Y1452" s="172"/>
      <c r="Z1452" s="3">
        <v>46024.0</v>
      </c>
      <c r="AA1452" s="3"/>
    </row>
    <row r="1453">
      <c r="A1453" s="3">
        <v>6.847214977283E12</v>
      </c>
      <c r="B1453" s="2" t="s">
        <v>6138</v>
      </c>
      <c r="C1453" s="2" t="s">
        <v>6139</v>
      </c>
      <c r="D1453" s="169">
        <v>46024.0</v>
      </c>
      <c r="E1453" s="2">
        <v>3.111331273E9</v>
      </c>
      <c r="F1453" s="2" t="s">
        <v>6140</v>
      </c>
      <c r="G1453" s="2" t="s">
        <v>6141</v>
      </c>
      <c r="H1453" s="2">
        <v>5616.0</v>
      </c>
      <c r="I1453" s="2">
        <v>1.73009650344E11</v>
      </c>
      <c r="J1453" s="3">
        <v>3.0</v>
      </c>
      <c r="K1453" s="2" t="s">
        <v>6142</v>
      </c>
      <c r="L1453" s="2" t="s">
        <v>6143</v>
      </c>
      <c r="M1453" s="174" t="s">
        <v>409</v>
      </c>
      <c r="N1453" s="2" t="s">
        <v>462</v>
      </c>
      <c r="O1453" s="3">
        <v>0.5</v>
      </c>
      <c r="P1453" s="2" t="s">
        <v>501</v>
      </c>
      <c r="Q1453" s="3">
        <v>1770.0</v>
      </c>
      <c r="T1453" s="2" t="s">
        <v>5751</v>
      </c>
      <c r="U1453" s="171">
        <v>5616.0</v>
      </c>
      <c r="V1453" s="172">
        <v>46023.0</v>
      </c>
      <c r="W1453" s="3">
        <v>289.94</v>
      </c>
      <c r="X1453" s="172">
        <v>46057.732952604165</v>
      </c>
      <c r="Y1453" s="172"/>
      <c r="Z1453" s="3">
        <v>46024.0</v>
      </c>
      <c r="AA1453" s="3"/>
    </row>
    <row r="1454">
      <c r="A1454" s="3">
        <v>6.849757348099E12</v>
      </c>
      <c r="B1454" s="2" t="s">
        <v>6144</v>
      </c>
      <c r="C1454" s="2" t="s">
        <v>6145</v>
      </c>
      <c r="D1454" s="169">
        <v>46024.0</v>
      </c>
      <c r="E1454" s="173" t="s">
        <v>6146</v>
      </c>
      <c r="F1454" s="2" t="s">
        <v>6147</v>
      </c>
      <c r="G1454" s="2" t="s">
        <v>493</v>
      </c>
      <c r="H1454" s="2">
        <v>0.0</v>
      </c>
      <c r="J1454" s="3">
        <v>0.0</v>
      </c>
      <c r="K1454" s="2" t="s">
        <v>6148</v>
      </c>
      <c r="L1454" s="2"/>
      <c r="M1454" s="2" t="s">
        <v>468</v>
      </c>
      <c r="N1454" s="2" t="s">
        <v>406</v>
      </c>
      <c r="O1454" s="3">
        <v>0.5</v>
      </c>
      <c r="Q1454" s="3">
        <v>0.0</v>
      </c>
      <c r="U1454" s="141"/>
      <c r="X1454" s="172">
        <v>46057.64278282407</v>
      </c>
      <c r="Y1454" s="172"/>
      <c r="Z1454" s="3">
        <v>46024.0</v>
      </c>
      <c r="AA1454" s="3"/>
    </row>
    <row r="1455">
      <c r="A1455" s="3">
        <v>6.849760198915E12</v>
      </c>
      <c r="B1455" s="2" t="s">
        <v>6149</v>
      </c>
      <c r="C1455" s="2" t="s">
        <v>6150</v>
      </c>
      <c r="D1455" s="169">
        <v>46024.0</v>
      </c>
      <c r="E1455" s="2">
        <v>3.335392522E9</v>
      </c>
      <c r="F1455" s="2" t="s">
        <v>6151</v>
      </c>
      <c r="G1455" s="2" t="s">
        <v>506</v>
      </c>
      <c r="H1455" s="2">
        <v>0.0</v>
      </c>
      <c r="I1455" s="2">
        <v>2.0120050020999E13</v>
      </c>
      <c r="J1455" s="3">
        <v>0.0</v>
      </c>
      <c r="K1455" s="2" t="s">
        <v>6152</v>
      </c>
      <c r="L1455" s="2"/>
      <c r="M1455" s="170" t="s">
        <v>455</v>
      </c>
      <c r="N1455" s="2" t="s">
        <v>406</v>
      </c>
      <c r="O1455" s="3">
        <v>0.5</v>
      </c>
      <c r="P1455" s="2" t="s">
        <v>363</v>
      </c>
      <c r="Q1455" s="3">
        <v>0.0</v>
      </c>
      <c r="T1455" s="2" t="s">
        <v>3674</v>
      </c>
      <c r="U1455" s="171">
        <v>0.0</v>
      </c>
      <c r="V1455" s="172">
        <v>46038.0</v>
      </c>
      <c r="W1455" s="3">
        <v>200.0</v>
      </c>
      <c r="X1455" s="172">
        <v>46057.64278282407</v>
      </c>
      <c r="Y1455" s="172"/>
      <c r="Z1455" s="3">
        <v>46024.0</v>
      </c>
      <c r="AA1455" s="3"/>
    </row>
    <row r="1456">
      <c r="A1456" s="3">
        <v>6.849764655363E12</v>
      </c>
      <c r="B1456" s="2" t="s">
        <v>6153</v>
      </c>
      <c r="C1456" s="2" t="s">
        <v>6145</v>
      </c>
      <c r="D1456" s="169">
        <v>46024.0</v>
      </c>
      <c r="E1456" s="173" t="s">
        <v>6146</v>
      </c>
      <c r="F1456" s="2" t="s">
        <v>6147</v>
      </c>
      <c r="G1456" s="2" t="s">
        <v>493</v>
      </c>
      <c r="H1456" s="2">
        <v>4149.0</v>
      </c>
      <c r="I1456" s="2">
        <v>2.6120050020998E13</v>
      </c>
      <c r="J1456" s="3">
        <v>2.0</v>
      </c>
      <c r="K1456" s="2" t="s">
        <v>6154</v>
      </c>
      <c r="L1456" s="2" t="s">
        <v>479</v>
      </c>
      <c r="M1456" s="170" t="s">
        <v>455</v>
      </c>
      <c r="N1456" s="2" t="s">
        <v>406</v>
      </c>
      <c r="O1456" s="3">
        <v>0.5</v>
      </c>
      <c r="P1456" s="2" t="s">
        <v>363</v>
      </c>
      <c r="Q1456" s="3">
        <v>1700.0</v>
      </c>
      <c r="T1456" s="2" t="s">
        <v>4910</v>
      </c>
      <c r="U1456" s="171">
        <v>0.0</v>
      </c>
      <c r="V1456" s="172">
        <v>46042.0</v>
      </c>
      <c r="W1456" s="3">
        <v>226.78</v>
      </c>
      <c r="X1456" s="172">
        <v>46057.64278282407</v>
      </c>
      <c r="Y1456" s="172"/>
      <c r="Z1456" s="3">
        <v>46024.0</v>
      </c>
      <c r="AA1456" s="3"/>
    </row>
    <row r="1457">
      <c r="A1457" s="3">
        <v>6.849806434563E12</v>
      </c>
      <c r="B1457" s="2" t="s">
        <v>6155</v>
      </c>
      <c r="C1457" s="2" t="s">
        <v>5708</v>
      </c>
      <c r="D1457" s="169">
        <v>46024.0</v>
      </c>
      <c r="E1457" s="173" t="s">
        <v>6156</v>
      </c>
      <c r="F1457" s="2" t="s">
        <v>5709</v>
      </c>
      <c r="G1457" s="2" t="s">
        <v>536</v>
      </c>
      <c r="H1457" s="2">
        <v>1861.0</v>
      </c>
      <c r="I1457" s="2">
        <v>2.9120050020991E13</v>
      </c>
      <c r="J1457" s="3">
        <v>1.0</v>
      </c>
      <c r="L1457" s="2" t="s">
        <v>2154</v>
      </c>
      <c r="M1457" s="174" t="s">
        <v>409</v>
      </c>
      <c r="N1457" s="2" t="s">
        <v>462</v>
      </c>
      <c r="O1457" s="3">
        <v>0.5</v>
      </c>
      <c r="P1457" s="2" t="s">
        <v>363</v>
      </c>
      <c r="Q1457" s="3">
        <v>490.0</v>
      </c>
      <c r="T1457" s="2" t="s">
        <v>4077</v>
      </c>
      <c r="U1457" s="171">
        <v>1861.0</v>
      </c>
      <c r="V1457" s="172">
        <v>46031.0</v>
      </c>
      <c r="W1457" s="3">
        <v>288.0</v>
      </c>
      <c r="X1457" s="172">
        <v>46028.639189814814</v>
      </c>
      <c r="Y1457" s="172"/>
      <c r="Z1457" s="3">
        <v>46024.0</v>
      </c>
      <c r="AA1457" s="3"/>
    </row>
    <row r="1458">
      <c r="A1458" s="3">
        <v>6.849821049091E12</v>
      </c>
      <c r="B1458" s="2" t="s">
        <v>6157</v>
      </c>
      <c r="C1458" s="2" t="s">
        <v>6158</v>
      </c>
      <c r="D1458" s="169">
        <v>46024.0</v>
      </c>
      <c r="E1458" s="173" t="s">
        <v>6159</v>
      </c>
      <c r="F1458" s="2" t="s">
        <v>6160</v>
      </c>
      <c r="G1458" s="2" t="s">
        <v>368</v>
      </c>
      <c r="H1458" s="2">
        <v>12324.0</v>
      </c>
      <c r="I1458" s="2">
        <v>2.5120050021003E13</v>
      </c>
      <c r="J1458" s="3">
        <v>7.0</v>
      </c>
      <c r="K1458" s="2" t="s">
        <v>511</v>
      </c>
      <c r="L1458" s="2" t="s">
        <v>6161</v>
      </c>
      <c r="M1458" s="174" t="s">
        <v>409</v>
      </c>
      <c r="N1458" s="2" t="s">
        <v>462</v>
      </c>
      <c r="O1458" s="3">
        <v>0.5</v>
      </c>
      <c r="P1458" s="2" t="s">
        <v>363</v>
      </c>
      <c r="Q1458" s="3">
        <v>6735.0</v>
      </c>
      <c r="T1458" s="2" t="s">
        <v>3616</v>
      </c>
      <c r="U1458" s="171">
        <v>12324.0</v>
      </c>
      <c r="V1458" s="172">
        <v>46028.0</v>
      </c>
      <c r="W1458" s="3">
        <v>253.46</v>
      </c>
      <c r="X1458" s="172">
        <v>46027.516168981485</v>
      </c>
      <c r="Y1458" s="172"/>
      <c r="Z1458" s="3">
        <v>46024.0</v>
      </c>
      <c r="AA1458" s="3"/>
    </row>
    <row r="1459">
      <c r="A1459" s="3">
        <v>6.849822359811E12</v>
      </c>
      <c r="B1459" s="2" t="s">
        <v>6162</v>
      </c>
      <c r="C1459" s="2" t="s">
        <v>6163</v>
      </c>
      <c r="D1459" s="169">
        <v>46024.0</v>
      </c>
      <c r="E1459" s="2">
        <v>3.332088886E9</v>
      </c>
      <c r="F1459" s="2" t="s">
        <v>6164</v>
      </c>
      <c r="G1459" s="2" t="s">
        <v>6165</v>
      </c>
      <c r="H1459" s="2">
        <v>4149.0</v>
      </c>
      <c r="I1459" s="2">
        <v>2.2120050020992E13</v>
      </c>
      <c r="J1459" s="3">
        <v>2.0</v>
      </c>
      <c r="L1459" s="2" t="s">
        <v>994</v>
      </c>
      <c r="M1459" s="174" t="s">
        <v>409</v>
      </c>
      <c r="N1459" s="2" t="s">
        <v>462</v>
      </c>
      <c r="O1459" s="3">
        <v>0.5</v>
      </c>
      <c r="P1459" s="2" t="s">
        <v>363</v>
      </c>
      <c r="Q1459" s="3">
        <v>1700.0</v>
      </c>
      <c r="T1459" s="2" t="s">
        <v>4077</v>
      </c>
      <c r="U1459" s="171">
        <v>4149.0</v>
      </c>
      <c r="V1459" s="172">
        <v>46031.0</v>
      </c>
      <c r="W1459" s="3">
        <v>386.0</v>
      </c>
      <c r="X1459" s="172">
        <v>46028.68711805556</v>
      </c>
      <c r="Y1459" s="172"/>
      <c r="Z1459" s="3">
        <v>46024.0</v>
      </c>
      <c r="AA1459" s="3"/>
    </row>
    <row r="1460">
      <c r="A1460" s="3">
        <v>6.849862172931E12</v>
      </c>
      <c r="B1460" s="2" t="s">
        <v>6166</v>
      </c>
      <c r="C1460" s="2" t="s">
        <v>6167</v>
      </c>
      <c r="D1460" s="169">
        <v>46024.0</v>
      </c>
      <c r="E1460" s="173" t="s">
        <v>6168</v>
      </c>
      <c r="F1460" s="2" t="s">
        <v>6169</v>
      </c>
      <c r="G1460" s="2" t="s">
        <v>366</v>
      </c>
      <c r="H1460" s="2">
        <v>249.0</v>
      </c>
      <c r="I1460" s="2">
        <v>2.4120050020982E13</v>
      </c>
      <c r="J1460" s="3">
        <v>0.0</v>
      </c>
      <c r="K1460" s="2" t="s">
        <v>6170</v>
      </c>
      <c r="L1460" s="2"/>
      <c r="M1460" s="170" t="s">
        <v>455</v>
      </c>
      <c r="N1460" s="2" t="s">
        <v>406</v>
      </c>
      <c r="O1460" s="3">
        <v>0.5</v>
      </c>
      <c r="P1460" s="2" t="s">
        <v>363</v>
      </c>
      <c r="Q1460" s="3">
        <v>0.0</v>
      </c>
      <c r="T1460" s="2" t="s">
        <v>3674</v>
      </c>
      <c r="U1460" s="19">
        <v>249.0</v>
      </c>
      <c r="V1460" s="172">
        <v>46038.0</v>
      </c>
      <c r="W1460" s="3">
        <v>392.0</v>
      </c>
      <c r="X1460" s="172">
        <v>46036.4897800926</v>
      </c>
      <c r="Y1460" s="172"/>
      <c r="Z1460" s="3">
        <v>46024.0</v>
      </c>
      <c r="AA1460" s="3"/>
    </row>
    <row r="1461">
      <c r="A1461" s="3">
        <v>6.849887797507E12</v>
      </c>
      <c r="B1461" s="2" t="s">
        <v>6171</v>
      </c>
      <c r="C1461" s="2" t="s">
        <v>6172</v>
      </c>
      <c r="D1461" s="169">
        <v>46025.0</v>
      </c>
      <c r="E1461" s="2">
        <v>3.421567417E9</v>
      </c>
      <c r="F1461" s="2" t="s">
        <v>6173</v>
      </c>
      <c r="G1461" s="2" t="s">
        <v>6174</v>
      </c>
      <c r="H1461" s="2">
        <v>2901.0</v>
      </c>
      <c r="I1461" s="2">
        <v>2.3120050020981E13</v>
      </c>
      <c r="J1461" s="3">
        <v>1.0</v>
      </c>
      <c r="L1461" s="2" t="s">
        <v>500</v>
      </c>
      <c r="M1461" s="174" t="s">
        <v>409</v>
      </c>
      <c r="N1461" s="2" t="s">
        <v>462</v>
      </c>
      <c r="O1461" s="3">
        <v>0.5</v>
      </c>
      <c r="P1461" s="2" t="s">
        <v>363</v>
      </c>
      <c r="Q1461" s="3">
        <v>850.0</v>
      </c>
      <c r="T1461" s="2" t="s">
        <v>3616</v>
      </c>
      <c r="U1461" s="171">
        <v>2901.0</v>
      </c>
      <c r="V1461" s="172">
        <v>46028.0</v>
      </c>
      <c r="W1461" s="3">
        <v>329.48</v>
      </c>
      <c r="X1461" s="172">
        <v>46027.74185185185</v>
      </c>
      <c r="Y1461" s="172"/>
      <c r="Z1461" s="3">
        <v>46025.0</v>
      </c>
      <c r="AA1461" s="3"/>
    </row>
    <row r="1462">
      <c r="A1462" s="3">
        <v>6.849897169155E12</v>
      </c>
      <c r="B1462" s="2" t="s">
        <v>6175</v>
      </c>
      <c r="C1462" s="2" t="s">
        <v>1892</v>
      </c>
      <c r="D1462" s="169">
        <v>46025.0</v>
      </c>
      <c r="E1462" s="2">
        <v>3.334218551E9</v>
      </c>
      <c r="F1462" s="2" t="s">
        <v>6176</v>
      </c>
      <c r="G1462" s="2" t="s">
        <v>1044</v>
      </c>
      <c r="H1462" s="2">
        <v>3213.0</v>
      </c>
      <c r="I1462" s="2">
        <v>2.5120050020997E13</v>
      </c>
      <c r="J1462" s="3">
        <v>2.0</v>
      </c>
      <c r="K1462" s="2" t="s">
        <v>511</v>
      </c>
      <c r="L1462" s="2" t="s">
        <v>296</v>
      </c>
      <c r="M1462" s="174" t="s">
        <v>409</v>
      </c>
      <c r="N1462" s="2" t="s">
        <v>462</v>
      </c>
      <c r="O1462" s="3">
        <v>0.5</v>
      </c>
      <c r="P1462" s="2" t="s">
        <v>363</v>
      </c>
      <c r="Q1462" s="3">
        <v>920.0</v>
      </c>
      <c r="T1462" s="2" t="s">
        <v>4077</v>
      </c>
      <c r="U1462" s="171">
        <v>3213.0</v>
      </c>
      <c r="V1462" s="172">
        <v>46031.0</v>
      </c>
      <c r="W1462" s="3">
        <v>329.0</v>
      </c>
      <c r="X1462" s="172">
        <v>46028.66547453703</v>
      </c>
      <c r="Y1462" s="172"/>
      <c r="Z1462" s="3">
        <v>46025.0</v>
      </c>
      <c r="AA1462" s="3"/>
    </row>
    <row r="1463">
      <c r="A1463" s="3">
        <v>6.849901854979E12</v>
      </c>
      <c r="B1463" s="2" t="s">
        <v>6177</v>
      </c>
      <c r="C1463" s="2" t="s">
        <v>1145</v>
      </c>
      <c r="D1463" s="169">
        <v>46025.0</v>
      </c>
      <c r="E1463" s="2">
        <v>3.027344177E9</v>
      </c>
      <c r="F1463" s="2" t="s">
        <v>6178</v>
      </c>
      <c r="G1463" s="2" t="s">
        <v>541</v>
      </c>
      <c r="H1463" s="2">
        <v>0.0</v>
      </c>
      <c r="J1463" s="3">
        <v>0.0</v>
      </c>
      <c r="K1463" s="2" t="s">
        <v>6179</v>
      </c>
      <c r="L1463" s="2"/>
      <c r="M1463" s="2" t="s">
        <v>468</v>
      </c>
      <c r="N1463" s="2" t="s">
        <v>406</v>
      </c>
      <c r="O1463" s="3">
        <v>0.5</v>
      </c>
      <c r="Q1463" s="3">
        <v>0.0</v>
      </c>
      <c r="U1463" s="141"/>
      <c r="X1463" s="172">
        <v>46057.64278282407</v>
      </c>
      <c r="Y1463" s="172"/>
      <c r="Z1463" s="3">
        <v>46025.0</v>
      </c>
      <c r="AA1463" s="3"/>
    </row>
    <row r="1464">
      <c r="A1464" s="3">
        <v>6.849980006659E12</v>
      </c>
      <c r="B1464" s="2" t="s">
        <v>6180</v>
      </c>
      <c r="C1464" s="2" t="s">
        <v>6181</v>
      </c>
      <c r="D1464" s="169">
        <v>46025.0</v>
      </c>
      <c r="E1464" s="2">
        <v>3.3335488E9</v>
      </c>
      <c r="F1464" s="2" t="s">
        <v>6182</v>
      </c>
      <c r="G1464" s="2" t="s">
        <v>855</v>
      </c>
      <c r="H1464" s="2">
        <v>7954.96</v>
      </c>
      <c r="I1464" s="2">
        <v>2.612005002098E13</v>
      </c>
      <c r="J1464" s="3">
        <v>4.0</v>
      </c>
      <c r="L1464" s="2" t="s">
        <v>6183</v>
      </c>
      <c r="M1464" s="174" t="s">
        <v>409</v>
      </c>
      <c r="N1464" s="2" t="s">
        <v>462</v>
      </c>
      <c r="O1464" s="3">
        <v>0.5</v>
      </c>
      <c r="P1464" s="2" t="s">
        <v>363</v>
      </c>
      <c r="Q1464" s="3">
        <v>3280.0</v>
      </c>
      <c r="T1464" s="2" t="s">
        <v>4077</v>
      </c>
      <c r="U1464" s="171">
        <v>7954.96</v>
      </c>
      <c r="V1464" s="172">
        <v>46031.0</v>
      </c>
      <c r="W1464" s="3">
        <v>725.0</v>
      </c>
      <c r="X1464" s="172">
        <v>46028.66548611112</v>
      </c>
      <c r="Y1464" s="172"/>
      <c r="Z1464" s="3">
        <v>46025.0</v>
      </c>
      <c r="AA1464" s="3"/>
    </row>
    <row r="1465">
      <c r="A1465" s="3">
        <v>6.849997996291E12</v>
      </c>
      <c r="B1465" s="2" t="s">
        <v>6184</v>
      </c>
      <c r="C1465" s="2" t="s">
        <v>6185</v>
      </c>
      <c r="D1465" s="169">
        <v>46025.0</v>
      </c>
      <c r="E1465" s="2">
        <v>3.04560618E9</v>
      </c>
      <c r="F1465" s="2" t="s">
        <v>6186</v>
      </c>
      <c r="G1465" s="2" t="s">
        <v>506</v>
      </c>
      <c r="H1465" s="2">
        <v>0.0</v>
      </c>
      <c r="I1465" s="2">
        <v>2.5120050020979E13</v>
      </c>
      <c r="J1465" s="3">
        <v>0.0</v>
      </c>
      <c r="K1465" s="2" t="s">
        <v>5245</v>
      </c>
      <c r="L1465" s="2"/>
      <c r="M1465" s="170" t="s">
        <v>455</v>
      </c>
      <c r="N1465" s="2" t="s">
        <v>406</v>
      </c>
      <c r="O1465" s="3">
        <v>0.5</v>
      </c>
      <c r="P1465" s="2" t="s">
        <v>363</v>
      </c>
      <c r="Q1465" s="3">
        <v>0.0</v>
      </c>
      <c r="T1465" s="2" t="s">
        <v>3701</v>
      </c>
      <c r="U1465" s="171">
        <v>0.0</v>
      </c>
      <c r="V1465" s="172">
        <v>46035.0</v>
      </c>
      <c r="W1465" s="3">
        <v>200.0</v>
      </c>
      <c r="X1465" s="172">
        <v>46057.64278282407</v>
      </c>
      <c r="Y1465" s="172"/>
      <c r="Z1465" s="3">
        <v>46025.0</v>
      </c>
      <c r="AA1465" s="3"/>
    </row>
    <row r="1466">
      <c r="A1466" s="3">
        <v>6.850007990531E12</v>
      </c>
      <c r="B1466" s="2" t="s">
        <v>6187</v>
      </c>
      <c r="C1466" s="2" t="s">
        <v>6188</v>
      </c>
      <c r="D1466" s="169">
        <v>46025.0</v>
      </c>
      <c r="E1466" s="173" t="s">
        <v>6189</v>
      </c>
      <c r="F1466" s="2" t="s">
        <v>6190</v>
      </c>
      <c r="G1466" s="2" t="s">
        <v>6191</v>
      </c>
      <c r="H1466" s="2">
        <v>3213.0</v>
      </c>
      <c r="I1466" s="2">
        <v>2.5120050020996E13</v>
      </c>
      <c r="J1466" s="3">
        <v>2.0</v>
      </c>
      <c r="K1466" s="2" t="s">
        <v>6192</v>
      </c>
      <c r="L1466" s="2" t="s">
        <v>218</v>
      </c>
      <c r="M1466" s="174" t="s">
        <v>409</v>
      </c>
      <c r="N1466" s="2" t="s">
        <v>462</v>
      </c>
      <c r="O1466" s="3">
        <v>0.5</v>
      </c>
      <c r="P1466" s="2" t="s">
        <v>363</v>
      </c>
      <c r="Q1466" s="3">
        <v>920.0</v>
      </c>
      <c r="T1466" s="2" t="s">
        <v>6193</v>
      </c>
      <c r="U1466" s="19">
        <v>3213.0</v>
      </c>
      <c r="V1466" s="172">
        <v>46056.0</v>
      </c>
      <c r="W1466" s="3">
        <v>342.0</v>
      </c>
      <c r="X1466" s="172">
        <v>46055.71835648148</v>
      </c>
      <c r="Y1466" s="172"/>
      <c r="Z1466" s="3">
        <v>46025.0</v>
      </c>
      <c r="AA1466" s="3"/>
    </row>
    <row r="1467">
      <c r="A1467" s="3">
        <v>6.850017132803E12</v>
      </c>
      <c r="B1467" s="2" t="s">
        <v>6194</v>
      </c>
      <c r="C1467" s="2" t="s">
        <v>2187</v>
      </c>
      <c r="D1467" s="169">
        <v>46025.0</v>
      </c>
      <c r="E1467" s="2">
        <v>3.224433118E9</v>
      </c>
      <c r="F1467" s="2" t="s">
        <v>6195</v>
      </c>
      <c r="G1467" s="2" t="s">
        <v>1914</v>
      </c>
      <c r="H1467" s="2">
        <v>6281.0</v>
      </c>
      <c r="I1467" s="2">
        <v>2.7120050021059E13</v>
      </c>
      <c r="J1467" s="3">
        <v>3.0</v>
      </c>
      <c r="K1467" s="2" t="s">
        <v>241</v>
      </c>
      <c r="L1467" s="2" t="s">
        <v>6196</v>
      </c>
      <c r="M1467" s="174" t="s">
        <v>409</v>
      </c>
      <c r="N1467" s="2" t="s">
        <v>462</v>
      </c>
      <c r="O1467" s="3">
        <v>0.5</v>
      </c>
      <c r="P1467" s="2" t="s">
        <v>363</v>
      </c>
      <c r="Q1467" s="3">
        <v>2550.0</v>
      </c>
      <c r="T1467" s="2" t="s">
        <v>4077</v>
      </c>
      <c r="U1467" s="171">
        <v>6281.0</v>
      </c>
      <c r="V1467" s="172">
        <v>46031.0</v>
      </c>
      <c r="W1467" s="3">
        <v>438.0</v>
      </c>
      <c r="X1467" s="172">
        <v>46029.66758101852</v>
      </c>
      <c r="Y1467" s="172"/>
      <c r="Z1467" s="3">
        <v>46025.0</v>
      </c>
      <c r="AA1467" s="3"/>
    </row>
    <row r="1468">
      <c r="A1468" s="3">
        <v>6.850020344067E12</v>
      </c>
      <c r="B1468" s="2" t="s">
        <v>6197</v>
      </c>
      <c r="C1468" s="2" t="s">
        <v>2187</v>
      </c>
      <c r="D1468" s="169">
        <v>46025.0</v>
      </c>
      <c r="E1468" s="173" t="s">
        <v>6198</v>
      </c>
      <c r="F1468" s="2" t="s">
        <v>6195</v>
      </c>
      <c r="G1468" s="2" t="s">
        <v>1914</v>
      </c>
      <c r="H1468" s="2">
        <v>0.0</v>
      </c>
      <c r="J1468" s="3">
        <v>0.0</v>
      </c>
      <c r="K1468" s="2" t="s">
        <v>6199</v>
      </c>
      <c r="L1468" s="2"/>
      <c r="M1468" s="2" t="s">
        <v>468</v>
      </c>
      <c r="N1468" s="2" t="s">
        <v>406</v>
      </c>
      <c r="O1468" s="3">
        <v>0.5</v>
      </c>
      <c r="Q1468" s="3">
        <v>0.0</v>
      </c>
      <c r="U1468" s="141"/>
      <c r="X1468" s="172">
        <v>46057.64278282407</v>
      </c>
      <c r="Y1468" s="172"/>
      <c r="Z1468" s="3">
        <v>46025.0</v>
      </c>
      <c r="AA1468" s="3"/>
    </row>
    <row r="1469">
      <c r="A1469" s="3">
        <v>6.850075099395E12</v>
      </c>
      <c r="B1469" s="2" t="s">
        <v>6200</v>
      </c>
      <c r="C1469" s="2" t="s">
        <v>6201</v>
      </c>
      <c r="D1469" s="169">
        <v>46025.0</v>
      </c>
      <c r="E1469" s="2">
        <v>3.048568121E9</v>
      </c>
      <c r="F1469" s="2" t="s">
        <v>6202</v>
      </c>
      <c r="G1469" s="2" t="s">
        <v>6203</v>
      </c>
      <c r="H1469" s="2">
        <v>249.0</v>
      </c>
      <c r="I1469" s="2">
        <v>2.6120050020978E13</v>
      </c>
      <c r="J1469" s="3">
        <v>0.0</v>
      </c>
      <c r="K1469" s="2" t="s">
        <v>3673</v>
      </c>
      <c r="L1469" s="2"/>
      <c r="M1469" s="170" t="s">
        <v>455</v>
      </c>
      <c r="N1469" s="2" t="s">
        <v>406</v>
      </c>
      <c r="O1469" s="3">
        <v>0.5</v>
      </c>
      <c r="P1469" s="2" t="s">
        <v>363</v>
      </c>
      <c r="Q1469" s="3">
        <v>0.0</v>
      </c>
      <c r="T1469" s="2" t="s">
        <v>3674</v>
      </c>
      <c r="U1469" s="171">
        <v>0.0</v>
      </c>
      <c r="V1469" s="172">
        <v>46038.0</v>
      </c>
      <c r="W1469" s="3">
        <v>227.0</v>
      </c>
      <c r="X1469" s="172">
        <v>46057.64278282407</v>
      </c>
      <c r="Y1469" s="172"/>
      <c r="Z1469" s="3">
        <v>46025.0</v>
      </c>
      <c r="AA1469" s="3"/>
    </row>
    <row r="1470">
      <c r="A1470" s="3">
        <v>6.850124513539E12</v>
      </c>
      <c r="B1470" s="2" t="s">
        <v>6204</v>
      </c>
      <c r="C1470" s="2" t="s">
        <v>6205</v>
      </c>
      <c r="D1470" s="169">
        <v>46025.0</v>
      </c>
      <c r="E1470" s="173" t="s">
        <v>6206</v>
      </c>
      <c r="F1470" s="2" t="s">
        <v>6207</v>
      </c>
      <c r="G1470" s="2" t="s">
        <v>6208</v>
      </c>
      <c r="H1470" s="2">
        <v>0.0</v>
      </c>
      <c r="J1470" s="3">
        <v>0.0</v>
      </c>
      <c r="K1470" s="2" t="s">
        <v>6209</v>
      </c>
      <c r="L1470" s="2"/>
      <c r="M1470" s="2" t="s">
        <v>468</v>
      </c>
      <c r="N1470" s="2" t="s">
        <v>406</v>
      </c>
      <c r="O1470" s="3">
        <v>0.5</v>
      </c>
      <c r="Q1470" s="3">
        <v>0.0</v>
      </c>
      <c r="U1470" s="141"/>
      <c r="X1470" s="172">
        <v>46057.64278282407</v>
      </c>
      <c r="Y1470" s="172"/>
      <c r="Z1470" s="3">
        <v>46025.0</v>
      </c>
      <c r="AA1470" s="3"/>
    </row>
    <row r="1471">
      <c r="A1471" s="3">
        <v>6.850162721027E12</v>
      </c>
      <c r="B1471" s="2" t="s">
        <v>6210</v>
      </c>
      <c r="C1471" s="2" t="s">
        <v>6211</v>
      </c>
      <c r="D1471" s="169">
        <v>46025.0</v>
      </c>
      <c r="E1471" s="2">
        <v>3.343481801E9</v>
      </c>
      <c r="F1471" s="2" t="s">
        <v>6212</v>
      </c>
      <c r="G1471" s="2" t="s">
        <v>493</v>
      </c>
      <c r="H1471" s="2">
        <v>0.0</v>
      </c>
      <c r="I1471" s="2">
        <v>2.9120050020977E13</v>
      </c>
      <c r="J1471" s="3">
        <v>0.0</v>
      </c>
      <c r="K1471" s="2" t="s">
        <v>6213</v>
      </c>
      <c r="L1471" s="2"/>
      <c r="M1471" s="170" t="s">
        <v>455</v>
      </c>
      <c r="N1471" s="2" t="s">
        <v>406</v>
      </c>
      <c r="O1471" s="3">
        <v>0.5</v>
      </c>
      <c r="P1471" s="2" t="s">
        <v>363</v>
      </c>
      <c r="Q1471" s="3">
        <v>0.0</v>
      </c>
      <c r="T1471" s="2" t="s">
        <v>3674</v>
      </c>
      <c r="U1471" s="171">
        <v>0.0</v>
      </c>
      <c r="V1471" s="172">
        <v>46038.0</v>
      </c>
      <c r="W1471" s="3">
        <v>227.0</v>
      </c>
      <c r="X1471" s="172">
        <v>46057.64278282407</v>
      </c>
      <c r="Y1471" s="172"/>
      <c r="Z1471" s="3">
        <v>46025.0</v>
      </c>
      <c r="AA1471" s="3"/>
    </row>
    <row r="1472">
      <c r="A1472" s="3">
        <v>6.850191950083E12</v>
      </c>
      <c r="B1472" s="2" t="s">
        <v>6214</v>
      </c>
      <c r="C1472" s="2" t="s">
        <v>6215</v>
      </c>
      <c r="D1472" s="169">
        <v>46025.0</v>
      </c>
      <c r="E1472" s="2">
        <v>3.155869007E9</v>
      </c>
      <c r="F1472" s="2" t="s">
        <v>6216</v>
      </c>
      <c r="G1472" s="2" t="s">
        <v>506</v>
      </c>
      <c r="H1472" s="2">
        <v>2901.0</v>
      </c>
      <c r="I1472" s="2">
        <v>2.2120050020976E13</v>
      </c>
      <c r="J1472" s="3">
        <v>1.0</v>
      </c>
      <c r="L1472" s="2" t="s">
        <v>519</v>
      </c>
      <c r="M1472" s="174" t="s">
        <v>409</v>
      </c>
      <c r="N1472" s="2" t="s">
        <v>462</v>
      </c>
      <c r="O1472" s="3">
        <v>0.5</v>
      </c>
      <c r="P1472" s="2" t="s">
        <v>363</v>
      </c>
      <c r="Q1472" s="3">
        <v>850.0</v>
      </c>
      <c r="T1472" s="2" t="s">
        <v>3616</v>
      </c>
      <c r="U1472" s="171">
        <v>2901.0</v>
      </c>
      <c r="V1472" s="172">
        <v>46028.0</v>
      </c>
      <c r="W1472" s="3">
        <v>336.15</v>
      </c>
      <c r="X1472" s="172">
        <v>46027.61136574074</v>
      </c>
      <c r="Y1472" s="172"/>
      <c r="Z1472" s="3">
        <v>46025.0</v>
      </c>
      <c r="AA1472" s="3"/>
    </row>
    <row r="1473">
      <c r="A1473" s="3">
        <v>6.850213806339E12</v>
      </c>
      <c r="B1473" s="2" t="s">
        <v>6217</v>
      </c>
      <c r="C1473" s="2" t="s">
        <v>6218</v>
      </c>
      <c r="D1473" s="169">
        <v>46025.0</v>
      </c>
      <c r="E1473" s="2">
        <v>3.060450006E9</v>
      </c>
      <c r="F1473" s="2" t="s">
        <v>6219</v>
      </c>
      <c r="G1473" s="2" t="s">
        <v>366</v>
      </c>
      <c r="H1473" s="2">
        <v>4149.0</v>
      </c>
      <c r="I1473" s="2">
        <v>2.3120050020975E13</v>
      </c>
      <c r="J1473" s="3">
        <v>2.0</v>
      </c>
      <c r="L1473" s="2" t="s">
        <v>994</v>
      </c>
      <c r="M1473" s="174" t="s">
        <v>409</v>
      </c>
      <c r="N1473" s="2" t="s">
        <v>462</v>
      </c>
      <c r="O1473" s="3">
        <v>0.5</v>
      </c>
      <c r="P1473" s="2" t="s">
        <v>363</v>
      </c>
      <c r="Q1473" s="3">
        <v>1700.0</v>
      </c>
      <c r="T1473" s="2" t="s">
        <v>3616</v>
      </c>
      <c r="U1473" s="171">
        <v>4149.0</v>
      </c>
      <c r="V1473" s="172">
        <v>46028.0</v>
      </c>
      <c r="W1473" s="3">
        <v>386.07</v>
      </c>
      <c r="X1473" s="172">
        <v>46027.60577546296</v>
      </c>
      <c r="Y1473" s="172"/>
      <c r="Z1473" s="3">
        <v>46025.0</v>
      </c>
      <c r="AA1473" s="3"/>
    </row>
    <row r="1474">
      <c r="A1474" s="3">
        <v>6.850753036547E12</v>
      </c>
      <c r="B1474" s="2" t="s">
        <v>6220</v>
      </c>
      <c r="C1474" s="2" t="s">
        <v>6221</v>
      </c>
      <c r="D1474" s="169">
        <v>46025.0</v>
      </c>
      <c r="E1474" s="2">
        <v>3.108999939E9</v>
      </c>
      <c r="F1474" s="2" t="s">
        <v>6222</v>
      </c>
      <c r="G1474" s="2" t="s">
        <v>506</v>
      </c>
      <c r="H1474" s="2">
        <v>4927.96</v>
      </c>
      <c r="I1474" s="2">
        <v>2.4120050020974E13</v>
      </c>
      <c r="J1474" s="3">
        <v>3.0</v>
      </c>
      <c r="L1474" s="2" t="s">
        <v>6223</v>
      </c>
      <c r="M1474" s="174" t="s">
        <v>409</v>
      </c>
      <c r="N1474" s="2" t="s">
        <v>462</v>
      </c>
      <c r="O1474" s="3">
        <v>0.5</v>
      </c>
      <c r="P1474" s="2" t="s">
        <v>363</v>
      </c>
      <c r="Q1474" s="3">
        <v>1780.0</v>
      </c>
      <c r="T1474" s="2" t="s">
        <v>3616</v>
      </c>
      <c r="U1474" s="171">
        <v>4927.96</v>
      </c>
      <c r="V1474" s="172">
        <v>46028.0</v>
      </c>
      <c r="W1474" s="3">
        <v>417.23</v>
      </c>
      <c r="X1474" s="172">
        <v>46027.480046296296</v>
      </c>
      <c r="Y1474" s="172"/>
      <c r="Z1474" s="3">
        <v>46025.0</v>
      </c>
      <c r="AA1474" s="3"/>
    </row>
    <row r="1475">
      <c r="A1475" s="3">
        <v>6.850780561667E12</v>
      </c>
      <c r="B1475" s="2" t="s">
        <v>6224</v>
      </c>
      <c r="C1475" s="2" t="s">
        <v>6225</v>
      </c>
      <c r="D1475" s="169">
        <v>46025.0</v>
      </c>
      <c r="E1475" s="2">
        <v>3.241029724E9</v>
      </c>
      <c r="F1475" s="2" t="s">
        <v>6226</v>
      </c>
      <c r="G1475" s="2" t="s">
        <v>368</v>
      </c>
      <c r="H1475" s="2">
        <v>4149.0</v>
      </c>
      <c r="I1475" s="2">
        <v>2.2120050020973E13</v>
      </c>
      <c r="J1475" s="3">
        <v>2.0</v>
      </c>
      <c r="L1475" s="2" t="s">
        <v>994</v>
      </c>
      <c r="M1475" s="174" t="s">
        <v>409</v>
      </c>
      <c r="N1475" s="2" t="s">
        <v>462</v>
      </c>
      <c r="O1475" s="3">
        <v>0.5</v>
      </c>
      <c r="P1475" s="2" t="s">
        <v>363</v>
      </c>
      <c r="Q1475" s="3">
        <v>1700.0</v>
      </c>
      <c r="T1475" s="2" t="s">
        <v>3616</v>
      </c>
      <c r="U1475" s="171">
        <v>4149.0</v>
      </c>
      <c r="V1475" s="172">
        <v>46028.0</v>
      </c>
      <c r="W1475" s="3">
        <v>286.02</v>
      </c>
      <c r="X1475" s="172">
        <v>46027.673159722224</v>
      </c>
      <c r="Y1475" s="172"/>
      <c r="Z1475" s="3">
        <v>46025.0</v>
      </c>
      <c r="AA1475" s="3"/>
    </row>
    <row r="1476">
      <c r="A1476" s="3">
        <v>6.850815787267E12</v>
      </c>
      <c r="B1476" s="2" t="s">
        <v>6227</v>
      </c>
      <c r="C1476" s="2" t="s">
        <v>6228</v>
      </c>
      <c r="D1476" s="169">
        <v>46025.0</v>
      </c>
      <c r="E1476" s="2">
        <v>3.014699699E9</v>
      </c>
      <c r="F1476" s="2" t="s">
        <v>6229</v>
      </c>
      <c r="G1476" s="2" t="s">
        <v>1257</v>
      </c>
      <c r="H1476" s="2">
        <v>6136.0</v>
      </c>
      <c r="I1476" s="2">
        <v>2.7120050020972E13</v>
      </c>
      <c r="J1476" s="3">
        <v>3.0</v>
      </c>
      <c r="K1476" s="2" t="s">
        <v>6230</v>
      </c>
      <c r="L1476" s="2" t="s">
        <v>6231</v>
      </c>
      <c r="M1476" s="174" t="s">
        <v>409</v>
      </c>
      <c r="N1476" s="2" t="s">
        <v>462</v>
      </c>
      <c r="O1476" s="3">
        <v>0.5</v>
      </c>
      <c r="P1476" s="2" t="s">
        <v>363</v>
      </c>
      <c r="Q1476" s="3">
        <v>2320.0</v>
      </c>
      <c r="T1476" s="2" t="s">
        <v>3701</v>
      </c>
      <c r="U1476" s="171">
        <v>6136.0</v>
      </c>
      <c r="V1476" s="172">
        <v>46035.0</v>
      </c>
      <c r="W1476" s="3">
        <v>466.0</v>
      </c>
      <c r="X1476" s="172">
        <v>46031.50934027778</v>
      </c>
      <c r="Y1476" s="172"/>
      <c r="Z1476" s="3">
        <v>46025.0</v>
      </c>
      <c r="AA1476" s="3"/>
    </row>
    <row r="1477">
      <c r="A1477" s="3">
        <v>6.851016982787E12</v>
      </c>
      <c r="B1477" s="2" t="s">
        <v>6232</v>
      </c>
      <c r="C1477" s="2" t="s">
        <v>6233</v>
      </c>
      <c r="D1477" s="169">
        <v>46025.0</v>
      </c>
      <c r="E1477" s="2">
        <v>3.333595846E9</v>
      </c>
      <c r="F1477" s="2" t="s">
        <v>6234</v>
      </c>
      <c r="G1477" s="2" t="s">
        <v>493</v>
      </c>
      <c r="H1477" s="2">
        <v>0.0</v>
      </c>
      <c r="J1477" s="3">
        <v>0.0</v>
      </c>
      <c r="K1477" s="2" t="s">
        <v>571</v>
      </c>
      <c r="L1477" s="2"/>
      <c r="M1477" s="2" t="s">
        <v>468</v>
      </c>
      <c r="N1477" s="2" t="s">
        <v>406</v>
      </c>
      <c r="O1477" s="3">
        <v>0.5</v>
      </c>
      <c r="Q1477" s="3">
        <v>0.0</v>
      </c>
      <c r="U1477" s="141"/>
      <c r="X1477" s="172">
        <v>46057.642782835646</v>
      </c>
      <c r="Y1477" s="172"/>
      <c r="Z1477" s="3">
        <v>46025.0</v>
      </c>
      <c r="AA1477" s="3"/>
    </row>
    <row r="1478">
      <c r="A1478" s="3">
        <v>6.851032416515E12</v>
      </c>
      <c r="B1478" s="2" t="s">
        <v>6235</v>
      </c>
      <c r="C1478" s="2" t="s">
        <v>6233</v>
      </c>
      <c r="D1478" s="169">
        <v>46025.0</v>
      </c>
      <c r="E1478" s="2">
        <v>3.333595846E9</v>
      </c>
      <c r="F1478" s="2" t="s">
        <v>6236</v>
      </c>
      <c r="G1478" s="2" t="s">
        <v>493</v>
      </c>
      <c r="H1478" s="2">
        <v>5928.0</v>
      </c>
      <c r="I1478" s="2">
        <v>2.0120050020971E13</v>
      </c>
      <c r="J1478" s="3">
        <v>4.0</v>
      </c>
      <c r="K1478" s="2" t="s">
        <v>241</v>
      </c>
      <c r="L1478" s="2" t="s">
        <v>6237</v>
      </c>
      <c r="M1478" s="174" t="s">
        <v>409</v>
      </c>
      <c r="N1478" s="2" t="s">
        <v>462</v>
      </c>
      <c r="O1478" s="3">
        <v>0.5</v>
      </c>
      <c r="P1478" s="2" t="s">
        <v>363</v>
      </c>
      <c r="Q1478" s="3">
        <v>1960.0</v>
      </c>
      <c r="T1478" s="2" t="s">
        <v>4077</v>
      </c>
      <c r="U1478" s="171">
        <v>5928.0</v>
      </c>
      <c r="V1478" s="172">
        <v>46031.0</v>
      </c>
      <c r="W1478" s="3">
        <v>464.0</v>
      </c>
      <c r="X1478" s="172">
        <v>46028.53004629629</v>
      </c>
      <c r="Y1478" s="172"/>
      <c r="Z1478" s="3">
        <v>46025.0</v>
      </c>
      <c r="AA1478" s="3"/>
    </row>
    <row r="1479">
      <c r="A1479" s="3">
        <v>6.851042607363E12</v>
      </c>
      <c r="B1479" s="2" t="s">
        <v>6238</v>
      </c>
      <c r="C1479" s="2" t="s">
        <v>6239</v>
      </c>
      <c r="D1479" s="169">
        <v>46025.0</v>
      </c>
      <c r="E1479" s="2">
        <v>3.487035532E9</v>
      </c>
      <c r="F1479" s="2" t="s">
        <v>6240</v>
      </c>
      <c r="G1479" s="2" t="s">
        <v>2608</v>
      </c>
      <c r="H1479" s="2">
        <v>4149.0</v>
      </c>
      <c r="I1479" s="2">
        <v>2.212005002097E13</v>
      </c>
      <c r="J1479" s="3">
        <v>2.0</v>
      </c>
      <c r="L1479" s="2" t="s">
        <v>994</v>
      </c>
      <c r="M1479" s="174" t="s">
        <v>409</v>
      </c>
      <c r="N1479" s="2" t="s">
        <v>462</v>
      </c>
      <c r="O1479" s="3">
        <v>0.5</v>
      </c>
      <c r="P1479" s="2" t="s">
        <v>363</v>
      </c>
      <c r="Q1479" s="3">
        <v>1700.0</v>
      </c>
      <c r="T1479" s="2" t="s">
        <v>4077</v>
      </c>
      <c r="U1479" s="171">
        <v>4149.0</v>
      </c>
      <c r="V1479" s="172">
        <v>46031.0</v>
      </c>
      <c r="W1479" s="3">
        <v>386.0</v>
      </c>
      <c r="X1479" s="172">
        <v>46028.83015046296</v>
      </c>
      <c r="Y1479" s="172"/>
      <c r="Z1479" s="3">
        <v>46025.0</v>
      </c>
      <c r="AA1479" s="3"/>
    </row>
    <row r="1480">
      <c r="A1480" s="3">
        <v>6.851077308675E12</v>
      </c>
      <c r="B1480" s="2" t="s">
        <v>6241</v>
      </c>
      <c r="C1480" s="2" t="s">
        <v>6242</v>
      </c>
      <c r="D1480" s="169">
        <v>46025.0</v>
      </c>
      <c r="E1480" s="2">
        <v>3.459192897E9</v>
      </c>
      <c r="F1480" s="2" t="s">
        <v>6243</v>
      </c>
      <c r="G1480" s="2" t="s">
        <v>1439</v>
      </c>
      <c r="H1480" s="2">
        <v>0.0</v>
      </c>
      <c r="I1480" s="2">
        <v>2.6120050020969E13</v>
      </c>
      <c r="J1480" s="3">
        <v>0.0</v>
      </c>
      <c r="K1480" s="2" t="s">
        <v>5901</v>
      </c>
      <c r="L1480" s="2"/>
      <c r="M1480" s="170" t="s">
        <v>455</v>
      </c>
      <c r="N1480" s="2" t="s">
        <v>406</v>
      </c>
      <c r="O1480" s="3">
        <v>0.5</v>
      </c>
      <c r="P1480" s="2" t="s">
        <v>363</v>
      </c>
      <c r="Q1480" s="3">
        <v>0.0</v>
      </c>
      <c r="T1480" s="2" t="s">
        <v>3674</v>
      </c>
      <c r="U1480" s="171">
        <v>0.0</v>
      </c>
      <c r="V1480" s="172">
        <v>46038.0</v>
      </c>
      <c r="W1480" s="3">
        <v>213.0</v>
      </c>
      <c r="X1480" s="172">
        <v>46057.642782835646</v>
      </c>
      <c r="Y1480" s="172"/>
      <c r="Z1480" s="3">
        <v>46025.0</v>
      </c>
      <c r="AA1480" s="3"/>
    </row>
    <row r="1481">
      <c r="A1481" s="3">
        <v>6.851173220611E12</v>
      </c>
      <c r="B1481" s="2" t="s">
        <v>6244</v>
      </c>
      <c r="C1481" s="2" t="s">
        <v>6245</v>
      </c>
      <c r="D1481" s="169">
        <v>46025.0</v>
      </c>
      <c r="E1481" s="173" t="s">
        <v>6246</v>
      </c>
      <c r="F1481" s="2" t="s">
        <v>6247</v>
      </c>
      <c r="G1481" s="2" t="s">
        <v>461</v>
      </c>
      <c r="H1481" s="2">
        <v>2901.0</v>
      </c>
      <c r="I1481" s="2">
        <v>2.1120050020995E13</v>
      </c>
      <c r="J1481" s="3">
        <v>1.0</v>
      </c>
      <c r="L1481" s="2" t="s">
        <v>512</v>
      </c>
      <c r="M1481" s="174" t="s">
        <v>409</v>
      </c>
      <c r="N1481" s="2" t="s">
        <v>462</v>
      </c>
      <c r="O1481" s="3">
        <v>0.5</v>
      </c>
      <c r="P1481" s="2" t="s">
        <v>73</v>
      </c>
      <c r="Q1481" s="3">
        <v>850.0</v>
      </c>
      <c r="T1481" s="2" t="s">
        <v>4077</v>
      </c>
      <c r="U1481" s="171">
        <v>2901.0</v>
      </c>
      <c r="V1481" s="172">
        <v>46031.0</v>
      </c>
      <c r="W1481" s="3">
        <v>336.0</v>
      </c>
      <c r="X1481" s="172">
        <v>46029.54465277778</v>
      </c>
      <c r="Y1481" s="172"/>
      <c r="Z1481" s="3">
        <v>46025.0</v>
      </c>
      <c r="AA1481" s="3"/>
    </row>
    <row r="1482">
      <c r="A1482" s="3">
        <v>6.851251077379E12</v>
      </c>
      <c r="B1482" s="2" t="s">
        <v>6248</v>
      </c>
      <c r="C1482" s="2" t="s">
        <v>5581</v>
      </c>
      <c r="D1482" s="169">
        <v>46025.0</v>
      </c>
      <c r="E1482" s="2">
        <v>3.1300852E9</v>
      </c>
      <c r="F1482" s="2" t="s">
        <v>5582</v>
      </c>
      <c r="G1482" s="2" t="s">
        <v>1133</v>
      </c>
      <c r="H1482" s="2">
        <v>5400.0</v>
      </c>
      <c r="I1482" s="2" t="s">
        <v>6249</v>
      </c>
      <c r="J1482" s="3">
        <v>3.0</v>
      </c>
      <c r="K1482" s="2" t="s">
        <v>6250</v>
      </c>
      <c r="L1482" s="2" t="s">
        <v>6251</v>
      </c>
      <c r="M1482" s="174" t="s">
        <v>409</v>
      </c>
      <c r="N1482" s="2" t="s">
        <v>462</v>
      </c>
      <c r="O1482" s="3">
        <v>0.5</v>
      </c>
      <c r="P1482" s="2"/>
      <c r="Q1482" s="3">
        <v>1580.0</v>
      </c>
      <c r="T1482" s="2" t="s">
        <v>6252</v>
      </c>
      <c r="U1482" s="19">
        <v>5400.0</v>
      </c>
      <c r="X1482" s="172">
        <v>46057.77992623842</v>
      </c>
      <c r="Y1482" s="172"/>
      <c r="Z1482" s="3">
        <v>46025.0</v>
      </c>
      <c r="AA1482" s="3"/>
    </row>
    <row r="1483">
      <c r="A1483" s="3">
        <v>6.851306848515E12</v>
      </c>
      <c r="B1483" s="2" t="s">
        <v>6253</v>
      </c>
      <c r="C1483" s="2" t="s">
        <v>5837</v>
      </c>
      <c r="D1483" s="169">
        <v>46025.0</v>
      </c>
      <c r="E1483" s="2">
        <v>3.346636384E9</v>
      </c>
      <c r="F1483" s="2" t="s">
        <v>5838</v>
      </c>
      <c r="G1483" s="2" t="s">
        <v>368</v>
      </c>
      <c r="H1483" s="2">
        <v>1497.0</v>
      </c>
      <c r="I1483" s="2">
        <v>2.6120050020967E13</v>
      </c>
      <c r="J1483" s="3">
        <v>1.0</v>
      </c>
      <c r="L1483" s="2" t="s">
        <v>741</v>
      </c>
      <c r="M1483" s="174" t="s">
        <v>409</v>
      </c>
      <c r="N1483" s="2" t="s">
        <v>462</v>
      </c>
      <c r="O1483" s="3">
        <v>0.5</v>
      </c>
      <c r="P1483" s="2" t="s">
        <v>363</v>
      </c>
      <c r="Q1483" s="3">
        <v>550.0</v>
      </c>
      <c r="T1483" s="2" t="s">
        <v>3616</v>
      </c>
      <c r="U1483" s="171">
        <v>1497.0</v>
      </c>
      <c r="V1483" s="172">
        <v>46028.0</v>
      </c>
      <c r="W1483" s="3">
        <v>166.6</v>
      </c>
      <c r="X1483" s="172">
        <v>46027.53703703704</v>
      </c>
      <c r="Y1483" s="172"/>
      <c r="Z1483" s="3">
        <v>46025.0</v>
      </c>
      <c r="AA1483" s="3"/>
    </row>
    <row r="1484">
      <c r="A1484" s="3">
        <v>6.851452305667E12</v>
      </c>
      <c r="B1484" s="2" t="s">
        <v>6254</v>
      </c>
      <c r="C1484" s="2" t="s">
        <v>6255</v>
      </c>
      <c r="D1484" s="169">
        <v>46025.0</v>
      </c>
      <c r="E1484" s="2">
        <v>3.458382823E9</v>
      </c>
      <c r="F1484" s="2" t="s">
        <v>6256</v>
      </c>
      <c r="G1484" s="2" t="s">
        <v>672</v>
      </c>
      <c r="H1484" s="2">
        <v>2901.0</v>
      </c>
      <c r="I1484" s="2">
        <v>2.7120050020966E13</v>
      </c>
      <c r="J1484" s="3">
        <v>1.0</v>
      </c>
      <c r="L1484" s="2" t="s">
        <v>500</v>
      </c>
      <c r="M1484" s="174" t="s">
        <v>409</v>
      </c>
      <c r="N1484" s="2" t="s">
        <v>462</v>
      </c>
      <c r="O1484" s="3">
        <v>0.5</v>
      </c>
      <c r="P1484" s="2" t="s">
        <v>363</v>
      </c>
      <c r="Q1484" s="3">
        <v>850.0</v>
      </c>
      <c r="T1484" s="2" t="s">
        <v>4077</v>
      </c>
      <c r="U1484" s="171">
        <v>2901.0</v>
      </c>
      <c r="V1484" s="172">
        <v>46031.0</v>
      </c>
      <c r="W1484" s="3">
        <v>329.0</v>
      </c>
      <c r="X1484" s="172">
        <v>46030.616875</v>
      </c>
      <c r="Y1484" s="172"/>
      <c r="Z1484" s="3">
        <v>46025.0</v>
      </c>
      <c r="AA1484" s="3"/>
    </row>
    <row r="1485">
      <c r="A1485" s="3">
        <v>6.851474194691E12</v>
      </c>
      <c r="B1485" s="2" t="s">
        <v>6257</v>
      </c>
      <c r="C1485" s="2" t="s">
        <v>4650</v>
      </c>
      <c r="D1485" s="169">
        <v>46025.0</v>
      </c>
      <c r="E1485" s="2">
        <v>3.453035686E9</v>
      </c>
      <c r="F1485" s="2" t="s">
        <v>4651</v>
      </c>
      <c r="G1485" s="2" t="s">
        <v>493</v>
      </c>
      <c r="H1485" s="2">
        <v>4149.0</v>
      </c>
      <c r="I1485" s="2" t="s">
        <v>6258</v>
      </c>
      <c r="J1485" s="3">
        <v>2.0</v>
      </c>
      <c r="K1485" s="2" t="s">
        <v>6259</v>
      </c>
      <c r="L1485" s="2" t="s">
        <v>913</v>
      </c>
      <c r="M1485" s="174" t="s">
        <v>409</v>
      </c>
      <c r="N1485" s="2" t="s">
        <v>462</v>
      </c>
      <c r="O1485" s="3">
        <v>0.5</v>
      </c>
      <c r="P1485" s="2" t="s">
        <v>640</v>
      </c>
      <c r="Q1485" s="3">
        <v>1700.0</v>
      </c>
      <c r="T1485" s="2" t="s">
        <v>5874</v>
      </c>
      <c r="U1485" s="171">
        <v>4149.0</v>
      </c>
      <c r="V1485" s="172">
        <v>46023.0</v>
      </c>
      <c r="W1485" s="3">
        <v>411.74</v>
      </c>
      <c r="X1485" s="172">
        <v>46057.73296400463</v>
      </c>
      <c r="Y1485" s="172"/>
      <c r="Z1485" s="3">
        <v>46025.0</v>
      </c>
      <c r="AA1485" s="3"/>
    </row>
    <row r="1486">
      <c r="A1486" s="3">
        <v>6.851490316547E12</v>
      </c>
      <c r="B1486" s="2" t="s">
        <v>6260</v>
      </c>
      <c r="C1486" s="2" t="s">
        <v>3442</v>
      </c>
      <c r="D1486" s="169">
        <v>46025.0</v>
      </c>
      <c r="E1486" s="173" t="s">
        <v>3443</v>
      </c>
      <c r="F1486" s="2" t="s">
        <v>3444</v>
      </c>
      <c r="G1486" s="2" t="s">
        <v>3445</v>
      </c>
      <c r="H1486" s="2">
        <v>3099.0</v>
      </c>
      <c r="I1486" s="2">
        <v>2.7120050020965E13</v>
      </c>
      <c r="J1486" s="3">
        <v>2.0</v>
      </c>
      <c r="K1486" s="2" t="s">
        <v>6261</v>
      </c>
      <c r="L1486" s="2" t="s">
        <v>50</v>
      </c>
      <c r="M1486" s="174" t="s">
        <v>409</v>
      </c>
      <c r="N1486" s="2" t="s">
        <v>462</v>
      </c>
      <c r="O1486" s="3">
        <v>0.5</v>
      </c>
      <c r="P1486" s="2" t="s">
        <v>363</v>
      </c>
      <c r="Q1486" s="3">
        <v>920.0</v>
      </c>
      <c r="T1486" s="2" t="s">
        <v>3616</v>
      </c>
      <c r="U1486" s="171">
        <v>3099.0</v>
      </c>
      <c r="V1486" s="172">
        <v>46028.0</v>
      </c>
      <c r="W1486" s="3">
        <v>210.06</v>
      </c>
      <c r="X1486" s="172">
        <v>46027.510613425926</v>
      </c>
      <c r="Y1486" s="172"/>
      <c r="Z1486" s="3">
        <v>46025.0</v>
      </c>
      <c r="AA1486" s="3"/>
    </row>
    <row r="1487">
      <c r="A1487" s="3">
        <v>6.851529703683E12</v>
      </c>
      <c r="B1487" s="2" t="s">
        <v>6262</v>
      </c>
      <c r="C1487" s="2" t="s">
        <v>6263</v>
      </c>
      <c r="D1487" s="169">
        <v>46025.0</v>
      </c>
      <c r="E1487" s="2">
        <v>3.128848443E9</v>
      </c>
      <c r="F1487" s="2" t="s">
        <v>6264</v>
      </c>
      <c r="G1487" s="2" t="s">
        <v>6265</v>
      </c>
      <c r="H1487" s="2">
        <v>2277.0</v>
      </c>
      <c r="I1487" s="2">
        <v>2.4120050020994E13</v>
      </c>
      <c r="J1487" s="3">
        <v>1.0</v>
      </c>
      <c r="L1487" s="2" t="s">
        <v>6266</v>
      </c>
      <c r="M1487" s="174" t="s">
        <v>409</v>
      </c>
      <c r="N1487" s="2" t="s">
        <v>462</v>
      </c>
      <c r="O1487" s="3">
        <v>0.5</v>
      </c>
      <c r="P1487" s="2" t="s">
        <v>363</v>
      </c>
      <c r="Q1487" s="3">
        <v>460.0</v>
      </c>
      <c r="T1487" s="2" t="s">
        <v>4077</v>
      </c>
      <c r="U1487" s="171">
        <v>2277.0</v>
      </c>
      <c r="V1487" s="172">
        <v>46031.0</v>
      </c>
      <c r="W1487" s="3">
        <v>305.0</v>
      </c>
      <c r="X1487" s="172">
        <v>46029.796215277776</v>
      </c>
      <c r="Y1487" s="172"/>
      <c r="Z1487" s="3">
        <v>46025.0</v>
      </c>
      <c r="AA1487" s="3"/>
    </row>
    <row r="1488">
      <c r="A1488" s="3">
        <v>6.851553788163E12</v>
      </c>
      <c r="B1488" s="2" t="s">
        <v>6267</v>
      </c>
      <c r="C1488" s="2" t="s">
        <v>6268</v>
      </c>
      <c r="D1488" s="169">
        <v>46025.0</v>
      </c>
      <c r="E1488" s="2">
        <v>3.134821268E9</v>
      </c>
      <c r="F1488" s="2" t="s">
        <v>6269</v>
      </c>
      <c r="G1488" s="2" t="s">
        <v>1257</v>
      </c>
      <c r="H1488" s="2">
        <v>8250.8</v>
      </c>
      <c r="I1488" s="2">
        <v>2.4120050020964E13</v>
      </c>
      <c r="J1488" s="3">
        <v>3.0</v>
      </c>
      <c r="K1488" s="2" t="s">
        <v>1989</v>
      </c>
      <c r="L1488" s="2" t="s">
        <v>6270</v>
      </c>
      <c r="M1488" s="174" t="s">
        <v>409</v>
      </c>
      <c r="N1488" s="2" t="s">
        <v>462</v>
      </c>
      <c r="O1488" s="3">
        <v>0.5</v>
      </c>
      <c r="P1488" s="2" t="s">
        <v>363</v>
      </c>
      <c r="Q1488" s="3">
        <v>4200.0</v>
      </c>
      <c r="T1488" s="2" t="s">
        <v>4077</v>
      </c>
      <c r="U1488" s="171">
        <v>8250.8</v>
      </c>
      <c r="V1488" s="172">
        <v>46031.0</v>
      </c>
      <c r="W1488" s="3">
        <v>313.0</v>
      </c>
      <c r="X1488" s="172">
        <v>46028.691504629634</v>
      </c>
      <c r="Y1488" s="172"/>
      <c r="Z1488" s="3">
        <v>46025.0</v>
      </c>
      <c r="AA1488" s="3"/>
    </row>
    <row r="1489">
      <c r="A1489" s="3">
        <v>6.851697180931E12</v>
      </c>
      <c r="B1489" s="2" t="s">
        <v>6271</v>
      </c>
      <c r="C1489" s="2" t="s">
        <v>5077</v>
      </c>
      <c r="D1489" s="169">
        <v>46025.0</v>
      </c>
      <c r="E1489" s="173" t="s">
        <v>5078</v>
      </c>
      <c r="F1489" s="2" t="s">
        <v>5079</v>
      </c>
      <c r="G1489" s="2" t="s">
        <v>368</v>
      </c>
      <c r="H1489" s="2">
        <v>3999.0</v>
      </c>
      <c r="I1489" s="2">
        <v>2.4120050020993E13</v>
      </c>
      <c r="J1489" s="3">
        <v>1.0</v>
      </c>
      <c r="K1489" s="2" t="s">
        <v>6272</v>
      </c>
      <c r="L1489" s="2" t="s">
        <v>6273</v>
      </c>
      <c r="M1489" s="174" t="s">
        <v>409</v>
      </c>
      <c r="N1489" s="2" t="s">
        <v>462</v>
      </c>
      <c r="O1489" s="3">
        <v>0.5</v>
      </c>
      <c r="P1489" s="2" t="s">
        <v>363</v>
      </c>
      <c r="Q1489" s="3">
        <v>1650.0</v>
      </c>
      <c r="T1489" s="2" t="s">
        <v>3616</v>
      </c>
      <c r="U1489" s="171">
        <v>3999.0</v>
      </c>
      <c r="V1489" s="172">
        <v>46028.0</v>
      </c>
      <c r="W1489" s="3">
        <v>120.06</v>
      </c>
      <c r="X1489" s="172">
        <v>46027.477268518516</v>
      </c>
      <c r="Y1489" s="172"/>
      <c r="Z1489" s="3">
        <v>46025.0</v>
      </c>
      <c r="AA1489" s="3"/>
    </row>
    <row r="1490">
      <c r="A1490" s="3">
        <v>6.851768549635E12</v>
      </c>
      <c r="B1490" s="2" t="s">
        <v>6274</v>
      </c>
      <c r="C1490" s="2" t="s">
        <v>6275</v>
      </c>
      <c r="D1490" s="169">
        <v>46025.0</v>
      </c>
      <c r="E1490" s="2">
        <v>3.405815298E9</v>
      </c>
      <c r="F1490" s="2" t="s">
        <v>6276</v>
      </c>
      <c r="G1490" s="2" t="s">
        <v>6277</v>
      </c>
      <c r="H1490" s="2">
        <v>2849.0</v>
      </c>
      <c r="I1490" s="2">
        <v>2.212005002103E13</v>
      </c>
      <c r="J1490" s="3">
        <v>2.0</v>
      </c>
      <c r="L1490" s="2" t="s">
        <v>16</v>
      </c>
      <c r="M1490" s="174" t="s">
        <v>409</v>
      </c>
      <c r="N1490" s="2" t="s">
        <v>462</v>
      </c>
      <c r="O1490" s="3">
        <v>0.5</v>
      </c>
      <c r="P1490" s="2" t="s">
        <v>363</v>
      </c>
      <c r="Q1490" s="3">
        <v>980.0</v>
      </c>
      <c r="T1490" s="2" t="s">
        <v>4077</v>
      </c>
      <c r="U1490" s="171">
        <v>2849.0</v>
      </c>
      <c r="V1490" s="172">
        <v>46031.0</v>
      </c>
      <c r="W1490" s="3">
        <v>327.0</v>
      </c>
      <c r="X1490" s="172">
        <v>46030.66202546297</v>
      </c>
      <c r="Y1490" s="172"/>
      <c r="Z1490" s="3">
        <v>46025.0</v>
      </c>
      <c r="AA1490" s="3"/>
    </row>
    <row r="1491">
      <c r="A1491" s="3">
        <v>6.851927539971E12</v>
      </c>
      <c r="B1491" s="2" t="s">
        <v>6278</v>
      </c>
      <c r="C1491" s="2" t="s">
        <v>6279</v>
      </c>
      <c r="D1491" s="169">
        <v>46025.0</v>
      </c>
      <c r="E1491" s="2">
        <v>3.496589617E9</v>
      </c>
      <c r="F1491" s="2" t="s">
        <v>6280</v>
      </c>
      <c r="G1491" s="2" t="s">
        <v>506</v>
      </c>
      <c r="H1491" s="2">
        <v>4303.96</v>
      </c>
      <c r="I1491" s="2">
        <v>2.012005002109E13</v>
      </c>
      <c r="J1491" s="3">
        <v>2.0</v>
      </c>
      <c r="L1491" s="2" t="s">
        <v>6281</v>
      </c>
      <c r="M1491" s="174" t="s">
        <v>409</v>
      </c>
      <c r="N1491" s="2" t="s">
        <v>462</v>
      </c>
      <c r="O1491" s="3">
        <v>0.5</v>
      </c>
      <c r="P1491" s="2" t="s">
        <v>363</v>
      </c>
      <c r="Q1491" s="3">
        <v>1580.0</v>
      </c>
      <c r="T1491" s="2" t="s">
        <v>3701</v>
      </c>
      <c r="U1491" s="171">
        <v>4303.96</v>
      </c>
      <c r="V1491" s="172">
        <v>46035.0</v>
      </c>
      <c r="W1491" s="3">
        <v>392.0</v>
      </c>
      <c r="X1491" s="172">
        <v>46032.59953703704</v>
      </c>
      <c r="Y1491" s="172"/>
      <c r="Z1491" s="3">
        <v>46025.0</v>
      </c>
      <c r="AA1491" s="3"/>
    </row>
    <row r="1492">
      <c r="A1492" s="3">
        <v>6.851937566979E12</v>
      </c>
      <c r="B1492" s="2" t="s">
        <v>6282</v>
      </c>
      <c r="C1492" s="2" t="s">
        <v>6283</v>
      </c>
      <c r="D1492" s="169">
        <v>46025.0</v>
      </c>
      <c r="E1492" s="2">
        <v>3.322126068E9</v>
      </c>
      <c r="F1492" s="2" t="s">
        <v>6284</v>
      </c>
      <c r="G1492" s="2" t="s">
        <v>493</v>
      </c>
      <c r="H1492" s="2">
        <v>2797.0</v>
      </c>
      <c r="I1492" s="2">
        <v>2.2120050021079E13</v>
      </c>
      <c r="J1492" s="3">
        <v>1.0</v>
      </c>
      <c r="K1492" s="2" t="s">
        <v>6285</v>
      </c>
      <c r="L1492" s="2" t="s">
        <v>6286</v>
      </c>
      <c r="M1492" s="174" t="s">
        <v>409</v>
      </c>
      <c r="N1492" s="2" t="s">
        <v>462</v>
      </c>
      <c r="O1492" s="3">
        <v>0.5</v>
      </c>
      <c r="P1492" s="2" t="s">
        <v>363</v>
      </c>
      <c r="Q1492" s="3">
        <v>1075.0</v>
      </c>
      <c r="T1492" s="2" t="s">
        <v>3674</v>
      </c>
      <c r="U1492" s="171">
        <v>2797.0</v>
      </c>
      <c r="V1492" s="172">
        <v>46038.0</v>
      </c>
      <c r="W1492" s="3">
        <v>339.0</v>
      </c>
      <c r="X1492" s="172">
        <v>46035.71708333334</v>
      </c>
      <c r="Y1492" s="172"/>
      <c r="Z1492" s="3">
        <v>46025.0</v>
      </c>
      <c r="AA1492" s="3"/>
    </row>
    <row r="1493">
      <c r="A1493" s="3">
        <v>6.851961192707E12</v>
      </c>
      <c r="B1493" s="2" t="s">
        <v>6287</v>
      </c>
      <c r="C1493" s="2" t="s">
        <v>5017</v>
      </c>
      <c r="D1493" s="169">
        <v>46025.0</v>
      </c>
      <c r="E1493" s="173" t="s">
        <v>6288</v>
      </c>
      <c r="F1493" s="2" t="s">
        <v>6289</v>
      </c>
      <c r="G1493" s="2" t="s">
        <v>366</v>
      </c>
      <c r="H1493" s="2">
        <v>3213.0</v>
      </c>
      <c r="I1493" s="2">
        <v>2.712005002108E13</v>
      </c>
      <c r="J1493" s="3">
        <v>2.0</v>
      </c>
      <c r="K1493" s="2" t="s">
        <v>6290</v>
      </c>
      <c r="L1493" s="2" t="s">
        <v>50</v>
      </c>
      <c r="M1493" s="174" t="s">
        <v>409</v>
      </c>
      <c r="N1493" s="2" t="s">
        <v>462</v>
      </c>
      <c r="O1493" s="3">
        <v>0.5</v>
      </c>
      <c r="P1493" s="2" t="s">
        <v>363</v>
      </c>
      <c r="Q1493" s="3">
        <v>920.0</v>
      </c>
      <c r="T1493" s="2" t="s">
        <v>4910</v>
      </c>
      <c r="U1493" s="171">
        <v>3213.0</v>
      </c>
      <c r="V1493" s="172">
        <v>46042.0</v>
      </c>
      <c r="W1493" s="3">
        <v>328.62</v>
      </c>
      <c r="X1493" s="172">
        <v>46041.7971875</v>
      </c>
      <c r="Y1493" s="172"/>
      <c r="Z1493" s="3">
        <v>46025.0</v>
      </c>
      <c r="AA1493" s="3"/>
    </row>
    <row r="1494">
      <c r="A1494" s="3">
        <v>6.851987144963E12</v>
      </c>
      <c r="B1494" s="2" t="s">
        <v>6291</v>
      </c>
      <c r="C1494" s="2" t="s">
        <v>6292</v>
      </c>
      <c r="D1494" s="169">
        <v>46025.0</v>
      </c>
      <c r="E1494" s="2">
        <v>3.137879008E9</v>
      </c>
      <c r="F1494" s="2" t="s">
        <v>6293</v>
      </c>
      <c r="G1494" s="2" t="s">
        <v>527</v>
      </c>
      <c r="H1494" s="2">
        <v>4303.96</v>
      </c>
      <c r="I1494" s="2">
        <v>2.4120050021029E13</v>
      </c>
      <c r="J1494" s="3">
        <v>2.0</v>
      </c>
      <c r="L1494" s="2" t="s">
        <v>6294</v>
      </c>
      <c r="M1494" s="174" t="s">
        <v>409</v>
      </c>
      <c r="N1494" s="2" t="s">
        <v>462</v>
      </c>
      <c r="O1494" s="3">
        <v>0.5</v>
      </c>
      <c r="P1494" s="2" t="s">
        <v>363</v>
      </c>
      <c r="Q1494" s="3">
        <v>1580.0</v>
      </c>
      <c r="T1494" s="2" t="s">
        <v>4077</v>
      </c>
      <c r="U1494" s="171">
        <v>4303.96</v>
      </c>
      <c r="V1494" s="172">
        <v>46031.0</v>
      </c>
      <c r="W1494" s="3">
        <v>392.0</v>
      </c>
      <c r="X1494" s="172">
        <v>46029.5669212963</v>
      </c>
      <c r="Y1494" s="172"/>
      <c r="Z1494" s="3">
        <v>46025.0</v>
      </c>
      <c r="AA1494" s="3"/>
    </row>
    <row r="1495">
      <c r="A1495" s="3">
        <v>6.851999072515E12</v>
      </c>
      <c r="B1495" s="2" t="s">
        <v>6295</v>
      </c>
      <c r="C1495" s="2" t="s">
        <v>2843</v>
      </c>
      <c r="D1495" s="169">
        <v>46025.0</v>
      </c>
      <c r="E1495" s="2">
        <v>3.017992702E9</v>
      </c>
      <c r="F1495" s="2" t="s">
        <v>6296</v>
      </c>
      <c r="G1495" s="2" t="s">
        <v>1016</v>
      </c>
      <c r="H1495" s="2">
        <v>0.0</v>
      </c>
      <c r="I1495" s="2">
        <v>2.1120050021028E13</v>
      </c>
      <c r="J1495" s="3">
        <v>0.0</v>
      </c>
      <c r="K1495" s="2" t="s">
        <v>6297</v>
      </c>
      <c r="L1495" s="2"/>
      <c r="M1495" s="170" t="s">
        <v>455</v>
      </c>
      <c r="N1495" s="2" t="s">
        <v>406</v>
      </c>
      <c r="O1495" s="3">
        <v>0.5</v>
      </c>
      <c r="P1495" s="2" t="s">
        <v>73</v>
      </c>
      <c r="Q1495" s="3">
        <v>0.0</v>
      </c>
      <c r="T1495" s="2" t="s">
        <v>3701</v>
      </c>
      <c r="U1495" s="171">
        <v>0.0</v>
      </c>
      <c r="V1495" s="172">
        <v>46035.0</v>
      </c>
      <c r="W1495" s="3">
        <v>220.0</v>
      </c>
      <c r="X1495" s="172">
        <v>46057.642782835646</v>
      </c>
      <c r="Y1495" s="172"/>
      <c r="Z1495" s="3">
        <v>46025.0</v>
      </c>
      <c r="AA1495" s="3"/>
    </row>
    <row r="1496">
      <c r="A1496" s="3">
        <v>6.852102619395E12</v>
      </c>
      <c r="B1496" s="2" t="s">
        <v>6298</v>
      </c>
      <c r="C1496" s="2" t="s">
        <v>6299</v>
      </c>
      <c r="D1496" s="169">
        <v>46025.0</v>
      </c>
      <c r="E1496" s="2">
        <v>3.018732211E9</v>
      </c>
      <c r="F1496" s="2" t="s">
        <v>6300</v>
      </c>
      <c r="G1496" s="2" t="s">
        <v>541</v>
      </c>
      <c r="H1496" s="2">
        <v>0.0</v>
      </c>
      <c r="J1496" s="3">
        <v>0.0</v>
      </c>
      <c r="K1496" s="2" t="s">
        <v>6301</v>
      </c>
      <c r="L1496" s="2"/>
      <c r="M1496" s="2" t="s">
        <v>468</v>
      </c>
      <c r="N1496" s="2" t="s">
        <v>406</v>
      </c>
      <c r="O1496" s="3">
        <v>0.5</v>
      </c>
      <c r="Q1496" s="3">
        <v>0.0</v>
      </c>
      <c r="U1496" s="141"/>
      <c r="X1496" s="172">
        <v>46057.642782835646</v>
      </c>
      <c r="Y1496" s="172"/>
      <c r="Z1496" s="3">
        <v>46025.0</v>
      </c>
      <c r="AA1496" s="3"/>
    </row>
    <row r="1497">
      <c r="A1497" s="3">
        <v>6.852104388867E12</v>
      </c>
      <c r="B1497" s="2" t="s">
        <v>6302</v>
      </c>
      <c r="C1497" s="2" t="s">
        <v>6299</v>
      </c>
      <c r="D1497" s="169">
        <v>46025.0</v>
      </c>
      <c r="E1497" s="2">
        <v>3.018732211E9</v>
      </c>
      <c r="F1497" s="2" t="s">
        <v>6300</v>
      </c>
      <c r="G1497" s="2" t="s">
        <v>541</v>
      </c>
      <c r="H1497" s="2">
        <v>0.0</v>
      </c>
      <c r="J1497" s="3">
        <v>0.0</v>
      </c>
      <c r="K1497" s="2" t="s">
        <v>571</v>
      </c>
      <c r="L1497" s="2"/>
      <c r="M1497" s="2" t="s">
        <v>468</v>
      </c>
      <c r="N1497" s="2" t="s">
        <v>406</v>
      </c>
      <c r="O1497" s="3">
        <v>0.5</v>
      </c>
      <c r="Q1497" s="3">
        <v>0.0</v>
      </c>
      <c r="U1497" s="141"/>
      <c r="X1497" s="172">
        <v>46057.642782835646</v>
      </c>
      <c r="Y1497" s="172"/>
      <c r="Z1497" s="3">
        <v>46025.0</v>
      </c>
      <c r="AA1497" s="3"/>
    </row>
    <row r="1498">
      <c r="A1498" s="3">
        <v>6.852146626819E12</v>
      </c>
      <c r="B1498" s="2" t="s">
        <v>6303</v>
      </c>
      <c r="C1498" s="2" t="s">
        <v>6304</v>
      </c>
      <c r="D1498" s="169">
        <v>46025.0</v>
      </c>
      <c r="E1498" s="2">
        <v>3.152401897E9</v>
      </c>
      <c r="F1498" s="2" t="s">
        <v>6305</v>
      </c>
      <c r="G1498" s="2" t="s">
        <v>493</v>
      </c>
      <c r="H1498" s="2">
        <v>5200.0</v>
      </c>
      <c r="I1498" s="2">
        <v>2.6120050021038E13</v>
      </c>
      <c r="J1498" s="3">
        <v>4.0</v>
      </c>
      <c r="L1498" s="2" t="s">
        <v>6306</v>
      </c>
      <c r="M1498" s="174" t="s">
        <v>409</v>
      </c>
      <c r="N1498" s="2" t="s">
        <v>462</v>
      </c>
      <c r="O1498" s="3">
        <v>0.5</v>
      </c>
      <c r="P1498" s="2" t="s">
        <v>363</v>
      </c>
      <c r="Q1498" s="3">
        <v>2480.0</v>
      </c>
      <c r="T1498" s="2" t="s">
        <v>4077</v>
      </c>
      <c r="U1498" s="171">
        <v>5200.0</v>
      </c>
      <c r="V1498" s="172">
        <v>46031.0</v>
      </c>
      <c r="W1498" s="3">
        <v>435.0</v>
      </c>
      <c r="X1498" s="172">
        <v>46030.60091435185</v>
      </c>
      <c r="Y1498" s="172"/>
      <c r="Z1498" s="3">
        <v>46025.0</v>
      </c>
      <c r="AA1498" s="3"/>
    </row>
    <row r="1499">
      <c r="A1499" s="3">
        <v>6.852205510915E12</v>
      </c>
      <c r="B1499" s="2" t="s">
        <v>6307</v>
      </c>
      <c r="C1499" s="2" t="s">
        <v>6308</v>
      </c>
      <c r="D1499" s="169">
        <v>46026.0</v>
      </c>
      <c r="E1499" s="173" t="s">
        <v>5913</v>
      </c>
      <c r="F1499" s="2" t="s">
        <v>5914</v>
      </c>
      <c r="G1499" s="2" t="s">
        <v>5915</v>
      </c>
      <c r="H1499" s="2">
        <v>2600.0</v>
      </c>
      <c r="I1499" s="2">
        <v>2.1120050021129E13</v>
      </c>
      <c r="J1499" s="3">
        <v>2.0</v>
      </c>
      <c r="K1499" s="2" t="s">
        <v>6309</v>
      </c>
      <c r="L1499" s="2" t="s">
        <v>27</v>
      </c>
      <c r="M1499" s="174" t="s">
        <v>409</v>
      </c>
      <c r="N1499" s="2" t="s">
        <v>462</v>
      </c>
      <c r="O1499" s="3">
        <v>0.5</v>
      </c>
      <c r="P1499" s="2" t="s">
        <v>73</v>
      </c>
      <c r="Q1499" s="3">
        <v>920.0</v>
      </c>
      <c r="T1499" s="2" t="s">
        <v>3701</v>
      </c>
      <c r="U1499" s="171">
        <v>2600.0</v>
      </c>
      <c r="V1499" s="172">
        <v>46035.0</v>
      </c>
      <c r="W1499" s="3">
        <v>220.0</v>
      </c>
      <c r="X1499" s="172">
        <v>46034.790925925925</v>
      </c>
      <c r="Y1499" s="172"/>
      <c r="Z1499" s="3">
        <v>46026.0</v>
      </c>
      <c r="AA1499" s="3"/>
    </row>
    <row r="1500">
      <c r="A1500" s="3">
        <v>6.852752474371E12</v>
      </c>
      <c r="B1500" s="2" t="s">
        <v>6310</v>
      </c>
      <c r="C1500" s="2" t="s">
        <v>6311</v>
      </c>
      <c r="D1500" s="169">
        <v>46026.0</v>
      </c>
      <c r="E1500" s="173" t="s">
        <v>6312</v>
      </c>
      <c r="F1500" s="2" t="s">
        <v>6313</v>
      </c>
      <c r="G1500" s="2" t="s">
        <v>1637</v>
      </c>
      <c r="H1500" s="2">
        <v>5814.0</v>
      </c>
      <c r="I1500" s="2">
        <v>2.7120050021112E13</v>
      </c>
      <c r="J1500" s="3">
        <v>3.0</v>
      </c>
      <c r="K1500" s="2" t="s">
        <v>6314</v>
      </c>
      <c r="L1500" s="2" t="s">
        <v>5145</v>
      </c>
      <c r="M1500" s="170" t="s">
        <v>455</v>
      </c>
      <c r="N1500" s="2" t="s">
        <v>406</v>
      </c>
      <c r="O1500" s="3">
        <v>0.5</v>
      </c>
      <c r="P1500" s="2" t="s">
        <v>363</v>
      </c>
      <c r="Q1500" s="3">
        <v>2320.0</v>
      </c>
      <c r="T1500" s="2" t="s">
        <v>4910</v>
      </c>
      <c r="U1500" s="171">
        <v>0.0</v>
      </c>
      <c r="V1500" s="172">
        <v>46042.0</v>
      </c>
      <c r="W1500" s="3">
        <v>220.11</v>
      </c>
      <c r="X1500" s="172">
        <v>46057.642782835646</v>
      </c>
      <c r="Y1500" s="172"/>
      <c r="Z1500" s="3">
        <v>46026.0</v>
      </c>
      <c r="AA1500" s="3"/>
    </row>
    <row r="1501">
      <c r="A1501" s="3">
        <v>6.853201166595E12</v>
      </c>
      <c r="B1501" s="2" t="s">
        <v>6315</v>
      </c>
      <c r="C1501" s="2" t="s">
        <v>264</v>
      </c>
      <c r="D1501" s="169">
        <v>46026.0</v>
      </c>
      <c r="E1501" s="2">
        <v>3.475616656E9</v>
      </c>
      <c r="F1501" s="2" t="s">
        <v>6316</v>
      </c>
      <c r="G1501" s="2" t="s">
        <v>688</v>
      </c>
      <c r="H1501" s="2">
        <v>1549.0</v>
      </c>
      <c r="I1501" s="2">
        <v>2.0120050021037E13</v>
      </c>
      <c r="J1501" s="3">
        <v>1.0</v>
      </c>
      <c r="K1501" s="2" t="s">
        <v>511</v>
      </c>
      <c r="L1501" s="2" t="s">
        <v>6317</v>
      </c>
      <c r="M1501" s="174" t="s">
        <v>409</v>
      </c>
      <c r="N1501" s="2" t="s">
        <v>462</v>
      </c>
      <c r="O1501" s="3">
        <v>0.5</v>
      </c>
      <c r="P1501" s="2" t="s">
        <v>363</v>
      </c>
      <c r="Q1501" s="3">
        <v>550.0</v>
      </c>
      <c r="T1501" s="2" t="s">
        <v>4077</v>
      </c>
      <c r="U1501" s="171">
        <v>1549.0</v>
      </c>
      <c r="V1501" s="172">
        <v>46031.0</v>
      </c>
      <c r="W1501" s="3">
        <v>262.0</v>
      </c>
      <c r="X1501" s="172">
        <v>46029.60445601852</v>
      </c>
      <c r="Y1501" s="172"/>
      <c r="Z1501" s="3">
        <v>46026.0</v>
      </c>
      <c r="AA1501" s="3"/>
    </row>
    <row r="1502">
      <c r="A1502" s="3">
        <v>6.853295571203E12</v>
      </c>
      <c r="B1502" s="2" t="s">
        <v>6318</v>
      </c>
      <c r="C1502" s="2" t="s">
        <v>6319</v>
      </c>
      <c r="D1502" s="169">
        <v>46026.0</v>
      </c>
      <c r="E1502" s="2">
        <v>3.098203949E9</v>
      </c>
      <c r="F1502" s="2" t="s">
        <v>6320</v>
      </c>
      <c r="G1502" s="2" t="s">
        <v>461</v>
      </c>
      <c r="H1502" s="2">
        <v>2901.0</v>
      </c>
      <c r="I1502" s="2">
        <v>2.0120050021027E13</v>
      </c>
      <c r="J1502" s="3">
        <v>1.0</v>
      </c>
      <c r="L1502" s="2" t="s">
        <v>500</v>
      </c>
      <c r="M1502" s="174" t="s">
        <v>409</v>
      </c>
      <c r="N1502" s="2" t="s">
        <v>462</v>
      </c>
      <c r="O1502" s="3">
        <v>0.5</v>
      </c>
      <c r="P1502" s="2" t="s">
        <v>363</v>
      </c>
      <c r="Q1502" s="3">
        <v>850.0</v>
      </c>
      <c r="T1502" s="2" t="s">
        <v>4077</v>
      </c>
      <c r="U1502" s="171">
        <v>2901.0</v>
      </c>
      <c r="V1502" s="172">
        <v>46031.0</v>
      </c>
      <c r="W1502" s="3">
        <v>316.0</v>
      </c>
      <c r="X1502" s="172">
        <v>46029.50648148148</v>
      </c>
      <c r="Y1502" s="172"/>
      <c r="Z1502" s="3">
        <v>46026.0</v>
      </c>
      <c r="AA1502" s="3"/>
    </row>
    <row r="1503">
      <c r="A1503" s="3">
        <v>6.853355503875E12</v>
      </c>
      <c r="B1503" s="2" t="s">
        <v>6321</v>
      </c>
      <c r="C1503" s="2" t="s">
        <v>6322</v>
      </c>
      <c r="D1503" s="169">
        <v>46026.0</v>
      </c>
      <c r="E1503" s="173" t="s">
        <v>6323</v>
      </c>
      <c r="F1503" s="2" t="s">
        <v>6324</v>
      </c>
      <c r="G1503" s="2" t="s">
        <v>672</v>
      </c>
      <c r="H1503" s="2">
        <v>0.0</v>
      </c>
      <c r="I1503" s="2">
        <v>2.8120050021036E13</v>
      </c>
      <c r="J1503" s="3">
        <v>0.0</v>
      </c>
      <c r="K1503" s="2" t="s">
        <v>6325</v>
      </c>
      <c r="L1503" s="2"/>
      <c r="M1503" s="2" t="s">
        <v>468</v>
      </c>
      <c r="N1503" s="2" t="s">
        <v>406</v>
      </c>
      <c r="O1503" s="3">
        <v>0.5</v>
      </c>
      <c r="P1503" s="2" t="s">
        <v>73</v>
      </c>
      <c r="Q1503" s="3">
        <v>0.0</v>
      </c>
      <c r="U1503" s="141"/>
      <c r="X1503" s="172">
        <v>46079.68927491899</v>
      </c>
      <c r="Y1503" s="172"/>
      <c r="Z1503" s="3">
        <v>46026.0</v>
      </c>
      <c r="AA1503" s="3"/>
    </row>
    <row r="1504">
      <c r="A1504" s="3">
        <v>6.853377425667E12</v>
      </c>
      <c r="B1504" s="2" t="s">
        <v>6326</v>
      </c>
      <c r="C1504" s="2" t="s">
        <v>6327</v>
      </c>
      <c r="D1504" s="169">
        <v>46026.0</v>
      </c>
      <c r="E1504" s="2">
        <v>3.333962754E9</v>
      </c>
      <c r="F1504" s="2" t="s">
        <v>6328</v>
      </c>
      <c r="G1504" s="2" t="s">
        <v>493</v>
      </c>
      <c r="H1504" s="2">
        <v>3213.0</v>
      </c>
      <c r="I1504" s="2">
        <v>2.9120050021026E13</v>
      </c>
      <c r="J1504" s="3">
        <v>2.0</v>
      </c>
      <c r="L1504" s="2" t="s">
        <v>296</v>
      </c>
      <c r="M1504" s="174" t="s">
        <v>409</v>
      </c>
      <c r="N1504" s="2" t="s">
        <v>462</v>
      </c>
      <c r="O1504" s="3">
        <v>0.5</v>
      </c>
      <c r="P1504" s="2" t="s">
        <v>363</v>
      </c>
      <c r="Q1504" s="3">
        <v>920.0</v>
      </c>
      <c r="T1504" s="2" t="s">
        <v>4077</v>
      </c>
      <c r="U1504" s="171">
        <v>3213.0</v>
      </c>
      <c r="V1504" s="172">
        <v>46031.0</v>
      </c>
      <c r="W1504" s="3">
        <v>342.0</v>
      </c>
      <c r="X1504" s="172">
        <v>46030.58215277777</v>
      </c>
      <c r="Y1504" s="172"/>
      <c r="Z1504" s="3">
        <v>46026.0</v>
      </c>
      <c r="AA1504" s="3"/>
    </row>
    <row r="1505">
      <c r="A1505" s="3">
        <v>6.853402919171E12</v>
      </c>
      <c r="B1505" s="2" t="s">
        <v>6329</v>
      </c>
      <c r="C1505" s="2" t="s">
        <v>6330</v>
      </c>
      <c r="D1505" s="169">
        <v>46026.0</v>
      </c>
      <c r="E1505" s="2">
        <v>3.218411124E9</v>
      </c>
      <c r="F1505" s="2" t="s">
        <v>6331</v>
      </c>
      <c r="G1505" s="2" t="s">
        <v>368</v>
      </c>
      <c r="H1505" s="2">
        <v>3213.0</v>
      </c>
      <c r="I1505" s="2">
        <v>2.6120050021025E13</v>
      </c>
      <c r="J1505" s="3">
        <v>2.0</v>
      </c>
      <c r="L1505" s="2" t="s">
        <v>228</v>
      </c>
      <c r="M1505" s="174" t="s">
        <v>409</v>
      </c>
      <c r="N1505" s="2" t="s">
        <v>462</v>
      </c>
      <c r="O1505" s="3">
        <v>0.5</v>
      </c>
      <c r="P1505" s="2" t="s">
        <v>363</v>
      </c>
      <c r="Q1505" s="3">
        <v>920.0</v>
      </c>
      <c r="T1505" s="2" t="s">
        <v>4077</v>
      </c>
      <c r="U1505" s="171">
        <v>3213.0</v>
      </c>
      <c r="V1505" s="172">
        <v>46031.0</v>
      </c>
      <c r="W1505" s="3">
        <v>235.0</v>
      </c>
      <c r="X1505" s="172">
        <v>46030.55159722222</v>
      </c>
      <c r="Y1505" s="172"/>
      <c r="Z1505" s="3">
        <v>46026.0</v>
      </c>
      <c r="AA1505" s="3"/>
    </row>
    <row r="1506">
      <c r="A1506" s="3">
        <v>6.853408489731E12</v>
      </c>
      <c r="B1506" s="2" t="s">
        <v>6332</v>
      </c>
      <c r="C1506" s="2" t="s">
        <v>6333</v>
      </c>
      <c r="D1506" s="169">
        <v>46026.0</v>
      </c>
      <c r="E1506" s="173" t="s">
        <v>6334</v>
      </c>
      <c r="F1506" s="2" t="s">
        <v>6335</v>
      </c>
      <c r="G1506" s="2" t="s">
        <v>672</v>
      </c>
      <c r="H1506" s="2">
        <v>0.0</v>
      </c>
      <c r="I1506" s="2">
        <v>2.1120050021216E13</v>
      </c>
      <c r="J1506" s="3">
        <v>0.0</v>
      </c>
      <c r="K1506" s="2" t="s">
        <v>511</v>
      </c>
      <c r="L1506" s="2"/>
      <c r="M1506" s="170" t="s">
        <v>455</v>
      </c>
      <c r="N1506" s="2" t="s">
        <v>406</v>
      </c>
      <c r="O1506" s="3">
        <v>0.5</v>
      </c>
      <c r="P1506" s="2" t="s">
        <v>73</v>
      </c>
      <c r="Q1506" s="3">
        <v>0.0</v>
      </c>
      <c r="T1506" s="2" t="s">
        <v>6336</v>
      </c>
      <c r="U1506" s="171">
        <v>0.0</v>
      </c>
      <c r="V1506" s="172">
        <v>46052.0</v>
      </c>
      <c r="W1506" s="3">
        <v>227.0</v>
      </c>
      <c r="X1506" s="172">
        <v>46057.642782835646</v>
      </c>
      <c r="Y1506" s="172"/>
      <c r="Z1506" s="3">
        <v>46026.0</v>
      </c>
      <c r="AA1506" s="3"/>
    </row>
    <row r="1507">
      <c r="A1507" s="3">
        <v>6.853431230723E12</v>
      </c>
      <c r="B1507" s="2" t="s">
        <v>6337</v>
      </c>
      <c r="C1507" s="2" t="s">
        <v>6338</v>
      </c>
      <c r="D1507" s="169">
        <v>46026.0</v>
      </c>
      <c r="E1507" s="2">
        <v>3.114788177E9</v>
      </c>
      <c r="F1507" s="2" t="s">
        <v>6339</v>
      </c>
      <c r="G1507" s="2" t="s">
        <v>368</v>
      </c>
      <c r="H1507" s="2">
        <v>2849.0</v>
      </c>
      <c r="I1507" s="2">
        <v>2.0120050021024E13</v>
      </c>
      <c r="J1507" s="3">
        <v>2.0</v>
      </c>
      <c r="L1507" s="2" t="s">
        <v>35</v>
      </c>
      <c r="M1507" s="174" t="s">
        <v>409</v>
      </c>
      <c r="N1507" s="2" t="s">
        <v>462</v>
      </c>
      <c r="O1507" s="3">
        <v>0.5</v>
      </c>
      <c r="P1507" s="2" t="s">
        <v>363</v>
      </c>
      <c r="Q1507" s="3">
        <v>980.0</v>
      </c>
      <c r="T1507" s="2" t="s">
        <v>4077</v>
      </c>
      <c r="U1507" s="171">
        <v>2849.0</v>
      </c>
      <c r="V1507" s="172">
        <v>46031.0</v>
      </c>
      <c r="W1507" s="3">
        <v>221.0</v>
      </c>
      <c r="X1507" s="172">
        <v>46028.652974537035</v>
      </c>
      <c r="Y1507" s="172"/>
      <c r="Z1507" s="3">
        <v>46026.0</v>
      </c>
      <c r="AA1507" s="3"/>
    </row>
    <row r="1508">
      <c r="A1508" s="3">
        <v>6.853510103299E12</v>
      </c>
      <c r="B1508" s="2" t="s">
        <v>6340</v>
      </c>
      <c r="C1508" s="2" t="s">
        <v>6341</v>
      </c>
      <c r="D1508" s="169">
        <v>46026.0</v>
      </c>
      <c r="E1508" s="2">
        <v>3.112052967E9</v>
      </c>
      <c r="F1508" s="2" t="s">
        <v>6342</v>
      </c>
      <c r="G1508" s="2" t="s">
        <v>493</v>
      </c>
      <c r="H1508" s="2">
        <v>4149.0</v>
      </c>
      <c r="I1508" s="2">
        <v>2.1120050021023E13</v>
      </c>
      <c r="J1508" s="3">
        <v>2.0</v>
      </c>
      <c r="L1508" s="2" t="s">
        <v>479</v>
      </c>
      <c r="M1508" s="174" t="s">
        <v>409</v>
      </c>
      <c r="N1508" s="2" t="s">
        <v>462</v>
      </c>
      <c r="O1508" s="3">
        <v>0.5</v>
      </c>
      <c r="P1508" s="2" t="s">
        <v>73</v>
      </c>
      <c r="Q1508" s="3">
        <v>1700.0</v>
      </c>
      <c r="T1508" s="2" t="s">
        <v>4077</v>
      </c>
      <c r="U1508" s="171">
        <v>4149.0</v>
      </c>
      <c r="V1508" s="172">
        <v>46031.0</v>
      </c>
      <c r="W1508" s="3">
        <v>393.0</v>
      </c>
      <c r="X1508" s="172">
        <v>46030.62379629629</v>
      </c>
      <c r="Y1508" s="172"/>
      <c r="Z1508" s="3">
        <v>46026.0</v>
      </c>
      <c r="AA1508" s="3"/>
    </row>
    <row r="1509">
      <c r="A1509" s="3">
        <v>6.853560697091E12</v>
      </c>
      <c r="B1509" s="2" t="s">
        <v>6343</v>
      </c>
      <c r="C1509" s="2" t="s">
        <v>6344</v>
      </c>
      <c r="D1509" s="169">
        <v>46026.0</v>
      </c>
      <c r="E1509" s="2">
        <v>3.338903127E9</v>
      </c>
      <c r="F1509" s="2" t="s">
        <v>6345</v>
      </c>
      <c r="G1509" s="2" t="s">
        <v>368</v>
      </c>
      <c r="H1509" s="2">
        <v>0.0</v>
      </c>
      <c r="I1509" s="2">
        <v>2.0120050021022E13</v>
      </c>
      <c r="J1509" s="3">
        <v>0.0</v>
      </c>
      <c r="K1509" s="2" t="s">
        <v>6346</v>
      </c>
      <c r="L1509" s="2"/>
      <c r="M1509" s="170" t="s">
        <v>455</v>
      </c>
      <c r="N1509" s="2" t="s">
        <v>406</v>
      </c>
      <c r="O1509" s="3">
        <v>0.5</v>
      </c>
      <c r="P1509" s="2" t="s">
        <v>363</v>
      </c>
      <c r="Q1509" s="3">
        <v>0.0</v>
      </c>
      <c r="T1509" s="2" t="s">
        <v>3701</v>
      </c>
      <c r="U1509" s="171">
        <v>0.0</v>
      </c>
      <c r="V1509" s="172">
        <v>46035.0</v>
      </c>
      <c r="W1509" s="3">
        <v>107.0</v>
      </c>
      <c r="X1509" s="172">
        <v>46057.642782835646</v>
      </c>
      <c r="Y1509" s="172"/>
      <c r="Z1509" s="3">
        <v>46026.0</v>
      </c>
      <c r="AA1509" s="3"/>
    </row>
    <row r="1510">
      <c r="A1510" s="3">
        <v>6.853584945411E12</v>
      </c>
      <c r="B1510" s="2" t="s">
        <v>6347</v>
      </c>
      <c r="C1510" s="2" t="s">
        <v>6348</v>
      </c>
      <c r="D1510" s="169">
        <v>46026.0</v>
      </c>
      <c r="E1510" s="173" t="s">
        <v>6349</v>
      </c>
      <c r="F1510" s="2" t="s">
        <v>6350</v>
      </c>
      <c r="G1510" s="2" t="s">
        <v>1425</v>
      </c>
      <c r="H1510" s="2">
        <v>0.0</v>
      </c>
      <c r="I1510" s="2">
        <v>2.0120050021035E13</v>
      </c>
      <c r="J1510" s="3">
        <v>0.0</v>
      </c>
      <c r="K1510" s="2" t="s">
        <v>6351</v>
      </c>
      <c r="L1510" s="2"/>
      <c r="M1510" s="170" t="s">
        <v>455</v>
      </c>
      <c r="N1510" s="2" t="s">
        <v>406</v>
      </c>
      <c r="O1510" s="3">
        <v>0.5</v>
      </c>
      <c r="P1510" s="2" t="s">
        <v>363</v>
      </c>
      <c r="Q1510" s="3">
        <v>0.0</v>
      </c>
      <c r="U1510" s="141"/>
      <c r="W1510" s="3">
        <v>227.0</v>
      </c>
      <c r="X1510" s="172">
        <v>46057.642782835646</v>
      </c>
      <c r="Y1510" s="172"/>
      <c r="Z1510" s="3">
        <v>46026.0</v>
      </c>
      <c r="AA1510" s="3"/>
    </row>
    <row r="1511">
      <c r="A1511" s="3">
        <v>6.853693997315E12</v>
      </c>
      <c r="B1511" s="2" t="s">
        <v>6352</v>
      </c>
      <c r="C1511" s="2" t="s">
        <v>6353</v>
      </c>
      <c r="D1511" s="169">
        <v>46026.0</v>
      </c>
      <c r="E1511" s="173" t="s">
        <v>6354</v>
      </c>
      <c r="F1511" s="2" t="s">
        <v>6355</v>
      </c>
      <c r="G1511" s="2" t="s">
        <v>1055</v>
      </c>
      <c r="H1511" s="2">
        <v>2849.0</v>
      </c>
      <c r="I1511" s="2">
        <v>2.8120050021034E13</v>
      </c>
      <c r="J1511" s="3">
        <v>2.0</v>
      </c>
      <c r="K1511" s="2" t="s">
        <v>511</v>
      </c>
      <c r="L1511" s="2" t="s">
        <v>16</v>
      </c>
      <c r="M1511" s="174" t="s">
        <v>409</v>
      </c>
      <c r="N1511" s="2" t="s">
        <v>462</v>
      </c>
      <c r="O1511" s="3">
        <v>0.5</v>
      </c>
      <c r="P1511" s="2" t="s">
        <v>73</v>
      </c>
      <c r="Q1511" s="3">
        <v>980.0</v>
      </c>
      <c r="T1511" s="2" t="s">
        <v>4077</v>
      </c>
      <c r="U1511" s="171">
        <v>2849.0</v>
      </c>
      <c r="V1511" s="172">
        <v>46031.0</v>
      </c>
      <c r="W1511" s="3">
        <v>314.0</v>
      </c>
      <c r="X1511" s="172">
        <v>46030.6147800926</v>
      </c>
      <c r="Y1511" s="172"/>
      <c r="Z1511" s="3">
        <v>46026.0</v>
      </c>
      <c r="AA1511" s="3"/>
    </row>
    <row r="1512">
      <c r="A1512" s="3">
        <v>6.853694521603E12</v>
      </c>
      <c r="B1512" s="2" t="s">
        <v>6356</v>
      </c>
      <c r="C1512" s="2" t="s">
        <v>6357</v>
      </c>
      <c r="D1512" s="169">
        <v>46026.0</v>
      </c>
      <c r="E1512" s="2">
        <v>3.207700479E9</v>
      </c>
      <c r="F1512" s="2" t="s">
        <v>6358</v>
      </c>
      <c r="G1512" s="2" t="s">
        <v>368</v>
      </c>
      <c r="H1512" s="2">
        <v>2901.0</v>
      </c>
      <c r="I1512" s="2">
        <v>2.0120050021021E13</v>
      </c>
      <c r="J1512" s="3">
        <v>1.0</v>
      </c>
      <c r="L1512" s="2" t="s">
        <v>500</v>
      </c>
      <c r="M1512" s="174" t="s">
        <v>409</v>
      </c>
      <c r="N1512" s="2" t="s">
        <v>462</v>
      </c>
      <c r="O1512" s="3">
        <v>0.5</v>
      </c>
      <c r="P1512" s="2" t="s">
        <v>363</v>
      </c>
      <c r="Q1512" s="3">
        <v>850.0</v>
      </c>
      <c r="T1512" s="2" t="s">
        <v>4077</v>
      </c>
      <c r="U1512" s="171">
        <v>2901.0</v>
      </c>
      <c r="V1512" s="172">
        <v>46031.0</v>
      </c>
      <c r="W1512" s="3">
        <v>316.0</v>
      </c>
      <c r="X1512" s="172">
        <v>46028.540497685186</v>
      </c>
      <c r="Y1512" s="172"/>
      <c r="Z1512" s="3">
        <v>46026.0</v>
      </c>
      <c r="AA1512" s="3"/>
    </row>
    <row r="1513">
      <c r="A1513" s="3">
        <v>6.853731647747E12</v>
      </c>
      <c r="B1513" s="2" t="s">
        <v>6359</v>
      </c>
      <c r="C1513" s="2" t="s">
        <v>6360</v>
      </c>
      <c r="D1513" s="169">
        <v>46026.0</v>
      </c>
      <c r="E1513" s="2">
        <v>3.21201299E9</v>
      </c>
      <c r="F1513" s="2" t="s">
        <v>6361</v>
      </c>
      <c r="G1513" s="2" t="s">
        <v>493</v>
      </c>
      <c r="H1513" s="2">
        <v>4149.0</v>
      </c>
      <c r="I1513" s="2">
        <v>2.712005002102E13</v>
      </c>
      <c r="J1513" s="3">
        <v>2.0</v>
      </c>
      <c r="L1513" s="2" t="s">
        <v>479</v>
      </c>
      <c r="M1513" s="174" t="s">
        <v>409</v>
      </c>
      <c r="N1513" s="2" t="s">
        <v>462</v>
      </c>
      <c r="O1513" s="3">
        <v>0.5</v>
      </c>
      <c r="P1513" s="2" t="s">
        <v>363</v>
      </c>
      <c r="Q1513" s="3">
        <v>1700.0</v>
      </c>
      <c r="T1513" s="2" t="s">
        <v>4077</v>
      </c>
      <c r="U1513" s="171">
        <v>4149.0</v>
      </c>
      <c r="V1513" s="172">
        <v>46031.0</v>
      </c>
      <c r="W1513" s="3">
        <v>393.0</v>
      </c>
      <c r="X1513" s="172">
        <v>46030.70371527778</v>
      </c>
      <c r="Y1513" s="172"/>
      <c r="Z1513" s="3">
        <v>46026.0</v>
      </c>
      <c r="AA1513" s="3"/>
    </row>
    <row r="1514">
      <c r="A1514" s="3">
        <v>6.853764907267E12</v>
      </c>
      <c r="B1514" s="2" t="s">
        <v>6362</v>
      </c>
      <c r="C1514" s="2" t="s">
        <v>6363</v>
      </c>
      <c r="D1514" s="169">
        <v>46026.0</v>
      </c>
      <c r="E1514" s="173" t="s">
        <v>6364</v>
      </c>
      <c r="F1514" s="2" t="s">
        <v>6365</v>
      </c>
      <c r="G1514" s="2" t="s">
        <v>523</v>
      </c>
      <c r="H1514" s="2">
        <v>2849.0</v>
      </c>
      <c r="I1514" s="2">
        <v>1.73009651659E11</v>
      </c>
      <c r="J1514" s="3">
        <v>2.0</v>
      </c>
      <c r="K1514" s="2" t="s">
        <v>6366</v>
      </c>
      <c r="L1514" s="2" t="s">
        <v>6367</v>
      </c>
      <c r="M1514" s="174" t="s">
        <v>409</v>
      </c>
      <c r="N1514" s="2" t="s">
        <v>406</v>
      </c>
      <c r="O1514" s="3">
        <v>0.5</v>
      </c>
      <c r="P1514" s="2" t="s">
        <v>501</v>
      </c>
      <c r="Q1514" s="3">
        <v>980.0</v>
      </c>
      <c r="T1514" s="2" t="s">
        <v>5874</v>
      </c>
      <c r="U1514" s="19">
        <v>2849.0</v>
      </c>
      <c r="V1514" s="172">
        <v>46023.0</v>
      </c>
      <c r="W1514" s="3">
        <v>289.94</v>
      </c>
      <c r="X1514" s="172">
        <v>46057.73297890046</v>
      </c>
      <c r="Y1514" s="172"/>
      <c r="Z1514" s="3">
        <v>46026.0</v>
      </c>
      <c r="AA1514" s="3"/>
    </row>
    <row r="1515">
      <c r="A1515" s="3">
        <v>6.853825462531E12</v>
      </c>
      <c r="B1515" s="2" t="s">
        <v>6368</v>
      </c>
      <c r="C1515" s="2" t="s">
        <v>6369</v>
      </c>
      <c r="D1515" s="169">
        <v>46026.0</v>
      </c>
      <c r="E1515" s="2">
        <v>3.352134527E9</v>
      </c>
      <c r="F1515" s="2" t="s">
        <v>6370</v>
      </c>
      <c r="G1515" s="2" t="s">
        <v>493</v>
      </c>
      <c r="H1515" s="2">
        <v>2849.0</v>
      </c>
      <c r="I1515" s="2">
        <v>2.3120050021019E13</v>
      </c>
      <c r="J1515" s="3">
        <v>2.0</v>
      </c>
      <c r="L1515" s="2" t="s">
        <v>4209</v>
      </c>
      <c r="M1515" s="174" t="s">
        <v>409</v>
      </c>
      <c r="N1515" s="2" t="s">
        <v>462</v>
      </c>
      <c r="O1515" s="3">
        <v>0.5</v>
      </c>
      <c r="P1515" s="2" t="s">
        <v>363</v>
      </c>
      <c r="Q1515" s="3">
        <v>920.0</v>
      </c>
      <c r="T1515" s="2" t="s">
        <v>4077</v>
      </c>
      <c r="U1515" s="171">
        <v>2849.0</v>
      </c>
      <c r="V1515" s="172">
        <v>46031.0</v>
      </c>
      <c r="W1515" s="3">
        <v>327.0</v>
      </c>
      <c r="X1515" s="172">
        <v>46030.70922453704</v>
      </c>
      <c r="Y1515" s="172"/>
      <c r="Z1515" s="3">
        <v>46026.0</v>
      </c>
      <c r="AA1515" s="3"/>
    </row>
    <row r="1516">
      <c r="A1516" s="3">
        <v>6.853881659651E12</v>
      </c>
      <c r="B1516" s="2" t="s">
        <v>6371</v>
      </c>
      <c r="C1516" s="2" t="s">
        <v>6372</v>
      </c>
      <c r="D1516" s="169">
        <v>46026.0</v>
      </c>
      <c r="E1516" s="2">
        <v>3.332882562E9</v>
      </c>
      <c r="F1516" s="2" t="s">
        <v>6373</v>
      </c>
      <c r="G1516" s="2" t="s">
        <v>667</v>
      </c>
      <c r="H1516" s="2">
        <v>2901.0</v>
      </c>
      <c r="I1516" s="2">
        <v>2.5120050021018E13</v>
      </c>
      <c r="J1516" s="3">
        <v>1.0</v>
      </c>
      <c r="K1516" s="2" t="s">
        <v>5951</v>
      </c>
      <c r="L1516" s="2" t="s">
        <v>519</v>
      </c>
      <c r="M1516" s="170" t="s">
        <v>455</v>
      </c>
      <c r="N1516" s="2" t="s">
        <v>406</v>
      </c>
      <c r="O1516" s="3">
        <v>0.5</v>
      </c>
      <c r="P1516" s="2" t="s">
        <v>363</v>
      </c>
      <c r="Q1516" s="3">
        <v>850.0</v>
      </c>
      <c r="T1516" s="2" t="s">
        <v>4910</v>
      </c>
      <c r="U1516" s="171">
        <v>0.0</v>
      </c>
      <c r="V1516" s="172">
        <v>46042.0</v>
      </c>
      <c r="W1516" s="3">
        <v>213.44</v>
      </c>
      <c r="X1516" s="172">
        <v>46057.642782835646</v>
      </c>
      <c r="Y1516" s="172"/>
      <c r="Z1516" s="3">
        <v>46026.0</v>
      </c>
      <c r="AA1516" s="3"/>
    </row>
    <row r="1517">
      <c r="A1517" s="3">
        <v>6.853890474243E12</v>
      </c>
      <c r="B1517" s="2" t="s">
        <v>6374</v>
      </c>
      <c r="C1517" s="2" t="s">
        <v>6375</v>
      </c>
      <c r="D1517" s="169">
        <v>46026.0</v>
      </c>
      <c r="E1517" s="2">
        <v>3.008144976E9</v>
      </c>
      <c r="F1517" s="2" t="s">
        <v>6376</v>
      </c>
      <c r="G1517" s="2" t="s">
        <v>368</v>
      </c>
      <c r="H1517" s="2">
        <v>0.0</v>
      </c>
      <c r="J1517" s="3">
        <v>0.0</v>
      </c>
      <c r="K1517" s="2" t="s">
        <v>537</v>
      </c>
      <c r="L1517" s="2"/>
      <c r="M1517" s="2" t="s">
        <v>468</v>
      </c>
      <c r="N1517" s="2" t="s">
        <v>406</v>
      </c>
      <c r="O1517" s="3">
        <v>0.5</v>
      </c>
      <c r="Q1517" s="3">
        <v>0.0</v>
      </c>
      <c r="U1517" s="141"/>
      <c r="X1517" s="172">
        <v>46057.642782835646</v>
      </c>
      <c r="Y1517" s="172"/>
      <c r="Z1517" s="3">
        <v>46026.0</v>
      </c>
      <c r="AA1517" s="3"/>
    </row>
    <row r="1518">
      <c r="A1518" s="3">
        <v>6.853890703619E12</v>
      </c>
      <c r="B1518" s="2" t="s">
        <v>6377</v>
      </c>
      <c r="C1518" s="2" t="s">
        <v>6378</v>
      </c>
      <c r="D1518" s="169">
        <v>46026.0</v>
      </c>
      <c r="E1518" s="2">
        <v>3.009699614E9</v>
      </c>
      <c r="F1518" s="2" t="s">
        <v>6379</v>
      </c>
      <c r="G1518" s="2" t="s">
        <v>1323</v>
      </c>
      <c r="H1518" s="2">
        <v>0.0</v>
      </c>
      <c r="I1518" s="2">
        <v>2.7120050021017E13</v>
      </c>
      <c r="J1518" s="3">
        <v>0.0</v>
      </c>
      <c r="K1518" s="2" t="s">
        <v>6380</v>
      </c>
      <c r="L1518" s="2"/>
      <c r="M1518" s="170" t="s">
        <v>455</v>
      </c>
      <c r="N1518" s="2" t="s">
        <v>406</v>
      </c>
      <c r="O1518" s="3">
        <v>0.5</v>
      </c>
      <c r="P1518" s="2" t="s">
        <v>363</v>
      </c>
      <c r="Q1518" s="3">
        <v>0.0</v>
      </c>
      <c r="T1518" s="2" t="s">
        <v>3674</v>
      </c>
      <c r="U1518" s="171">
        <v>0.0</v>
      </c>
      <c r="V1518" s="172">
        <v>46038.0</v>
      </c>
      <c r="W1518" s="3">
        <v>220.0</v>
      </c>
      <c r="X1518" s="172">
        <v>46057.642782835646</v>
      </c>
      <c r="Y1518" s="172"/>
      <c r="Z1518" s="3">
        <v>46026.0</v>
      </c>
      <c r="AA1518" s="3"/>
    </row>
    <row r="1519">
      <c r="A1519" s="3">
        <v>6.853940478211E12</v>
      </c>
      <c r="B1519" s="2" t="s">
        <v>6381</v>
      </c>
      <c r="C1519" s="2" t="s">
        <v>6382</v>
      </c>
      <c r="D1519" s="169">
        <v>46026.0</v>
      </c>
      <c r="E1519" s="2">
        <v>3.094044774E9</v>
      </c>
      <c r="F1519" s="2" t="s">
        <v>6383</v>
      </c>
      <c r="G1519" s="2" t="s">
        <v>368</v>
      </c>
      <c r="H1519" s="2">
        <v>3213.0</v>
      </c>
      <c r="I1519" s="2">
        <v>2.5120050021016E13</v>
      </c>
      <c r="J1519" s="3">
        <v>2.0</v>
      </c>
      <c r="L1519" s="2" t="s">
        <v>296</v>
      </c>
      <c r="M1519" s="174" t="s">
        <v>409</v>
      </c>
      <c r="N1519" s="2" t="s">
        <v>462</v>
      </c>
      <c r="O1519" s="3">
        <v>0.5</v>
      </c>
      <c r="P1519" s="2" t="s">
        <v>363</v>
      </c>
      <c r="Q1519" s="3">
        <v>920.0</v>
      </c>
      <c r="T1519" s="2" t="s">
        <v>4077</v>
      </c>
      <c r="U1519" s="171">
        <v>3213.0</v>
      </c>
      <c r="V1519" s="172">
        <v>46031.0</v>
      </c>
      <c r="W1519" s="3">
        <v>235.0</v>
      </c>
      <c r="X1519" s="172">
        <v>46028.54462962963</v>
      </c>
      <c r="Y1519" s="172"/>
      <c r="Z1519" s="3">
        <v>46026.0</v>
      </c>
      <c r="AA1519" s="3"/>
    </row>
    <row r="1520">
      <c r="A1520" s="3">
        <v>6.853975834883E12</v>
      </c>
      <c r="B1520" s="2" t="s">
        <v>6384</v>
      </c>
      <c r="C1520" s="2" t="s">
        <v>4162</v>
      </c>
      <c r="D1520" s="169">
        <v>46026.0</v>
      </c>
      <c r="E1520" s="2">
        <v>3.474242709E9</v>
      </c>
      <c r="F1520" s="2" t="s">
        <v>6385</v>
      </c>
      <c r="G1520" s="2" t="s">
        <v>3653</v>
      </c>
      <c r="H1520" s="2">
        <v>2849.0</v>
      </c>
      <c r="I1520" s="2">
        <v>2.9120050021039E13</v>
      </c>
      <c r="J1520" s="3">
        <v>2.0</v>
      </c>
      <c r="K1520" s="2" t="s">
        <v>6386</v>
      </c>
      <c r="L1520" s="2" t="s">
        <v>35</v>
      </c>
      <c r="M1520" s="170" t="s">
        <v>455</v>
      </c>
      <c r="N1520" s="2" t="s">
        <v>406</v>
      </c>
      <c r="O1520" s="3">
        <v>0.5</v>
      </c>
      <c r="P1520" s="2" t="s">
        <v>363</v>
      </c>
      <c r="Q1520" s="3">
        <v>980.0</v>
      </c>
      <c r="T1520" s="2" t="s">
        <v>4910</v>
      </c>
      <c r="U1520" s="171">
        <v>0.0</v>
      </c>
      <c r="V1520" s="172">
        <v>46042.0</v>
      </c>
      <c r="W1520" s="3">
        <v>213.44</v>
      </c>
      <c r="X1520" s="172">
        <v>46057.642782835646</v>
      </c>
      <c r="Y1520" s="172"/>
      <c r="Z1520" s="3">
        <v>46026.0</v>
      </c>
      <c r="AA1520" s="3"/>
    </row>
    <row r="1521">
      <c r="A1521" s="3">
        <v>6.853978620163E12</v>
      </c>
      <c r="B1521" s="2" t="s">
        <v>6387</v>
      </c>
      <c r="C1521" s="2" t="s">
        <v>5228</v>
      </c>
      <c r="D1521" s="169">
        <v>46026.0</v>
      </c>
      <c r="E1521" s="2">
        <v>3.006305087E9</v>
      </c>
      <c r="F1521" s="2" t="s">
        <v>5230</v>
      </c>
      <c r="G1521" s="2" t="s">
        <v>541</v>
      </c>
      <c r="H1521" s="2">
        <v>0.0</v>
      </c>
      <c r="J1521" s="3">
        <v>0.0</v>
      </c>
      <c r="K1521" s="2" t="s">
        <v>6388</v>
      </c>
      <c r="L1521" s="2"/>
      <c r="M1521" s="2" t="s">
        <v>468</v>
      </c>
      <c r="N1521" s="2" t="s">
        <v>406</v>
      </c>
      <c r="O1521" s="3">
        <v>0.5</v>
      </c>
      <c r="Q1521" s="3">
        <v>0.0</v>
      </c>
      <c r="U1521" s="141"/>
      <c r="X1521" s="172">
        <v>46057.642782835646</v>
      </c>
      <c r="Y1521" s="172"/>
      <c r="Z1521" s="3">
        <v>46026.0</v>
      </c>
      <c r="AA1521" s="3"/>
    </row>
    <row r="1522">
      <c r="A1522" s="3">
        <v>6.853978980611E12</v>
      </c>
      <c r="B1522" s="2" t="s">
        <v>6389</v>
      </c>
      <c r="C1522" s="2" t="s">
        <v>6390</v>
      </c>
      <c r="D1522" s="169">
        <v>46026.0</v>
      </c>
      <c r="E1522" s="2">
        <v>3.354542118E9</v>
      </c>
      <c r="F1522" s="2" t="s">
        <v>6391</v>
      </c>
      <c r="G1522" s="2" t="s">
        <v>368</v>
      </c>
      <c r="H1522" s="2">
        <v>2901.0</v>
      </c>
      <c r="I1522" s="2">
        <v>2.0120050021015E13</v>
      </c>
      <c r="J1522" s="3">
        <v>1.0</v>
      </c>
      <c r="L1522" s="2" t="s">
        <v>519</v>
      </c>
      <c r="M1522" s="174" t="s">
        <v>409</v>
      </c>
      <c r="N1522" s="2" t="s">
        <v>462</v>
      </c>
      <c r="O1522" s="3">
        <v>0.5</v>
      </c>
      <c r="P1522" s="2" t="s">
        <v>363</v>
      </c>
      <c r="Q1522" s="3">
        <v>850.0</v>
      </c>
      <c r="T1522" s="2" t="s">
        <v>4077</v>
      </c>
      <c r="U1522" s="171">
        <v>2901.0</v>
      </c>
      <c r="V1522" s="172">
        <v>46031.0</v>
      </c>
      <c r="W1522" s="3">
        <v>236.0</v>
      </c>
      <c r="X1522" s="172">
        <v>46029.51201388889</v>
      </c>
      <c r="Y1522" s="172"/>
      <c r="Z1522" s="3">
        <v>46026.0</v>
      </c>
      <c r="AA1522" s="3"/>
    </row>
    <row r="1523">
      <c r="A1523" s="3">
        <v>6.853998805251E12</v>
      </c>
      <c r="B1523" s="2" t="s">
        <v>6392</v>
      </c>
      <c r="C1523" s="2" t="s">
        <v>6393</v>
      </c>
      <c r="D1523" s="169">
        <v>46026.0</v>
      </c>
      <c r="E1523" s="2">
        <v>3.151391105E9</v>
      </c>
      <c r="F1523" s="2" t="s">
        <v>6394</v>
      </c>
      <c r="G1523" s="2" t="s">
        <v>1425</v>
      </c>
      <c r="H1523" s="2">
        <v>3213.0</v>
      </c>
      <c r="I1523" s="2">
        <v>2.1120050021014E13</v>
      </c>
      <c r="J1523" s="3">
        <v>2.0</v>
      </c>
      <c r="L1523" s="2" t="s">
        <v>296</v>
      </c>
      <c r="M1523" s="174" t="s">
        <v>409</v>
      </c>
      <c r="N1523" s="2" t="s">
        <v>462</v>
      </c>
      <c r="O1523" s="3">
        <v>0.5</v>
      </c>
      <c r="P1523" s="2" t="s">
        <v>73</v>
      </c>
      <c r="Q1523" s="3">
        <v>920.0</v>
      </c>
      <c r="T1523" s="2" t="s">
        <v>4077</v>
      </c>
      <c r="U1523" s="171">
        <v>3213.0</v>
      </c>
      <c r="V1523" s="172">
        <v>46031.0</v>
      </c>
      <c r="W1523" s="3">
        <v>342.0</v>
      </c>
      <c r="X1523" s="172">
        <v>46029.64396990741</v>
      </c>
      <c r="Y1523" s="172"/>
      <c r="Z1523" s="3">
        <v>46026.0</v>
      </c>
      <c r="AA1523" s="3"/>
    </row>
    <row r="1524">
      <c r="A1524" s="3">
        <v>6.854016008451E12</v>
      </c>
      <c r="B1524" s="2" t="s">
        <v>6395</v>
      </c>
      <c r="C1524" s="2" t="s">
        <v>1603</v>
      </c>
      <c r="D1524" s="169">
        <v>46026.0</v>
      </c>
      <c r="E1524" s="2">
        <v>3.006550043E9</v>
      </c>
      <c r="F1524" s="2" t="s">
        <v>6396</v>
      </c>
      <c r="G1524" s="2" t="s">
        <v>1376</v>
      </c>
      <c r="H1524" s="2">
        <v>2953.0</v>
      </c>
      <c r="I1524" s="2">
        <v>2.2120050021013E13</v>
      </c>
      <c r="J1524" s="3">
        <v>2.0</v>
      </c>
      <c r="L1524" s="2" t="s">
        <v>5839</v>
      </c>
      <c r="M1524" s="174" t="s">
        <v>409</v>
      </c>
      <c r="N1524" s="2" t="s">
        <v>462</v>
      </c>
      <c r="O1524" s="3">
        <v>0.5</v>
      </c>
      <c r="P1524" s="2" t="s">
        <v>363</v>
      </c>
      <c r="Q1524" s="3">
        <v>1050.0</v>
      </c>
      <c r="T1524" s="2" t="s">
        <v>4077</v>
      </c>
      <c r="U1524" s="171">
        <v>2953.0</v>
      </c>
      <c r="V1524" s="172">
        <v>46031.0</v>
      </c>
      <c r="W1524" s="3">
        <v>318.0</v>
      </c>
      <c r="X1524" s="172">
        <v>46030.696111111116</v>
      </c>
      <c r="Y1524" s="172"/>
      <c r="Z1524" s="3">
        <v>46026.0</v>
      </c>
      <c r="AA1524" s="3"/>
    </row>
    <row r="1525">
      <c r="A1525" s="3">
        <v>6.854040748291E12</v>
      </c>
      <c r="B1525" s="2" t="s">
        <v>6397</v>
      </c>
      <c r="C1525" s="2" t="s">
        <v>6398</v>
      </c>
      <c r="D1525" s="169">
        <v>46026.0</v>
      </c>
      <c r="E1525" s="173" t="s">
        <v>5234</v>
      </c>
      <c r="F1525" s="2" t="s">
        <v>6399</v>
      </c>
      <c r="G1525" s="2" t="s">
        <v>6400</v>
      </c>
      <c r="H1525" s="2">
        <v>0.0</v>
      </c>
      <c r="J1525" s="3">
        <v>0.0</v>
      </c>
      <c r="K1525" s="2" t="s">
        <v>6401</v>
      </c>
      <c r="L1525" s="2"/>
      <c r="M1525" s="2" t="s">
        <v>468</v>
      </c>
      <c r="N1525" s="2" t="s">
        <v>406</v>
      </c>
      <c r="O1525" s="3">
        <v>0.5</v>
      </c>
      <c r="Q1525" s="3">
        <v>0.0</v>
      </c>
      <c r="U1525" s="141"/>
      <c r="X1525" s="172">
        <v>46057.642782835646</v>
      </c>
      <c r="Y1525" s="172"/>
      <c r="Z1525" s="3">
        <v>46026.0</v>
      </c>
      <c r="AA1525" s="3"/>
    </row>
    <row r="1526">
      <c r="A1526" s="3">
        <v>6.854060933379E12</v>
      </c>
      <c r="B1526" s="2" t="s">
        <v>6402</v>
      </c>
      <c r="C1526" s="2" t="s">
        <v>6403</v>
      </c>
      <c r="D1526" s="169">
        <v>46027.0</v>
      </c>
      <c r="E1526" s="2">
        <v>3.45923014E9</v>
      </c>
      <c r="F1526" s="2" t="s">
        <v>6404</v>
      </c>
      <c r="G1526" s="2" t="s">
        <v>493</v>
      </c>
      <c r="H1526" s="2">
        <v>2381.0</v>
      </c>
      <c r="I1526" s="2">
        <v>2.5120050021012E13</v>
      </c>
      <c r="J1526" s="3">
        <v>1.0</v>
      </c>
      <c r="L1526" s="2" t="s">
        <v>4251</v>
      </c>
      <c r="M1526" s="174" t="s">
        <v>409</v>
      </c>
      <c r="N1526" s="2" t="s">
        <v>462</v>
      </c>
      <c r="O1526" s="3">
        <v>0.5</v>
      </c>
      <c r="P1526" s="2" t="s">
        <v>363</v>
      </c>
      <c r="Q1526" s="3">
        <v>850.0</v>
      </c>
      <c r="T1526" s="2" t="s">
        <v>4077</v>
      </c>
      <c r="U1526" s="171">
        <v>2381.0</v>
      </c>
      <c r="V1526" s="172">
        <v>46031.0</v>
      </c>
      <c r="W1526" s="3">
        <v>309.0</v>
      </c>
      <c r="X1526" s="172">
        <v>46030.62658564815</v>
      </c>
      <c r="Y1526" s="172"/>
      <c r="Z1526" s="3">
        <v>46027.0</v>
      </c>
      <c r="AA1526" s="3"/>
    </row>
    <row r="1527">
      <c r="A1527" s="3">
        <v>6.854157598979E12</v>
      </c>
      <c r="B1527" s="2" t="s">
        <v>6405</v>
      </c>
      <c r="C1527" s="2" t="s">
        <v>6406</v>
      </c>
      <c r="D1527" s="169">
        <v>46027.0</v>
      </c>
      <c r="E1527" s="2">
        <v>3.003612625E9</v>
      </c>
      <c r="F1527" s="2" t="s">
        <v>6407</v>
      </c>
      <c r="G1527" s="2" t="s">
        <v>461</v>
      </c>
      <c r="H1527" s="2">
        <v>2953.0</v>
      </c>
      <c r="I1527" s="2">
        <v>2.7120050021011E13</v>
      </c>
      <c r="J1527" s="3">
        <v>2.0</v>
      </c>
      <c r="L1527" s="2" t="s">
        <v>4209</v>
      </c>
      <c r="M1527" s="174" t="s">
        <v>409</v>
      </c>
      <c r="N1527" s="2" t="s">
        <v>462</v>
      </c>
      <c r="O1527" s="3">
        <v>0.5</v>
      </c>
      <c r="P1527" s="2" t="s">
        <v>363</v>
      </c>
      <c r="Q1527" s="3">
        <v>920.0</v>
      </c>
      <c r="T1527" s="2" t="s">
        <v>4077</v>
      </c>
      <c r="U1527" s="171">
        <v>2953.0</v>
      </c>
      <c r="V1527" s="172">
        <v>46031.0</v>
      </c>
      <c r="W1527" s="3">
        <v>338.0</v>
      </c>
      <c r="X1527" s="172">
        <v>46029.53078703704</v>
      </c>
      <c r="Y1527" s="172"/>
      <c r="Z1527" s="3">
        <v>46027.0</v>
      </c>
      <c r="AA1527" s="3"/>
    </row>
    <row r="1528">
      <c r="A1528" s="3">
        <v>6.854197477635E12</v>
      </c>
      <c r="B1528" s="2" t="s">
        <v>6408</v>
      </c>
      <c r="C1528" s="2" t="s">
        <v>6409</v>
      </c>
      <c r="D1528" s="169">
        <v>46027.0</v>
      </c>
      <c r="E1528" s="2">
        <v>3.08000665E9</v>
      </c>
      <c r="F1528" s="2" t="s">
        <v>6410</v>
      </c>
      <c r="G1528" s="2" t="s">
        <v>368</v>
      </c>
      <c r="H1528" s="2">
        <v>0.0</v>
      </c>
      <c r="I1528" s="2">
        <v>2.912005002101E13</v>
      </c>
      <c r="J1528" s="3">
        <v>0.0</v>
      </c>
      <c r="K1528" s="2" t="s">
        <v>4489</v>
      </c>
      <c r="L1528" s="2"/>
      <c r="M1528" s="170" t="s">
        <v>455</v>
      </c>
      <c r="N1528" s="2" t="s">
        <v>406</v>
      </c>
      <c r="O1528" s="3">
        <v>0.5</v>
      </c>
      <c r="P1528" s="2" t="s">
        <v>363</v>
      </c>
      <c r="Q1528" s="3">
        <v>0.0</v>
      </c>
      <c r="T1528" s="2" t="s">
        <v>3701</v>
      </c>
      <c r="U1528" s="171">
        <v>0.0</v>
      </c>
      <c r="V1528" s="172">
        <v>46035.0</v>
      </c>
      <c r="W1528" s="3">
        <v>107.0</v>
      </c>
      <c r="X1528" s="172">
        <v>46057.642782835646</v>
      </c>
      <c r="Y1528" s="172"/>
      <c r="Z1528" s="3">
        <v>46027.0</v>
      </c>
      <c r="AA1528" s="3"/>
    </row>
    <row r="1529">
      <c r="A1529" s="3">
        <v>6.854201180419E12</v>
      </c>
      <c r="B1529" s="2" t="s">
        <v>6411</v>
      </c>
      <c r="C1529" s="2" t="s">
        <v>6412</v>
      </c>
      <c r="D1529" s="169">
        <v>46027.0</v>
      </c>
      <c r="E1529" s="173" t="s">
        <v>3947</v>
      </c>
      <c r="F1529" s="2" t="s">
        <v>6413</v>
      </c>
      <c r="G1529" s="2" t="s">
        <v>3949</v>
      </c>
      <c r="H1529" s="2">
        <v>6212.96</v>
      </c>
      <c r="I1529" s="2">
        <v>1.73009684698E11</v>
      </c>
      <c r="J1529" s="3">
        <v>3.0</v>
      </c>
      <c r="K1529" s="2" t="s">
        <v>6414</v>
      </c>
      <c r="L1529" s="2" t="s">
        <v>6415</v>
      </c>
      <c r="M1529" s="174" t="s">
        <v>409</v>
      </c>
      <c r="N1529" s="2" t="s">
        <v>462</v>
      </c>
      <c r="O1529" s="3">
        <v>0.5</v>
      </c>
      <c r="P1529" s="2" t="s">
        <v>501</v>
      </c>
      <c r="Q1529" s="3">
        <v>2860.0</v>
      </c>
      <c r="T1529" s="2" t="s">
        <v>5874</v>
      </c>
      <c r="U1529" s="19">
        <v>6212.96</v>
      </c>
      <c r="W1529" s="3">
        <v>498.74</v>
      </c>
      <c r="X1529" s="172">
        <v>46057.7329859375</v>
      </c>
      <c r="Y1529" s="172"/>
      <c r="Z1529" s="3">
        <v>46027.0</v>
      </c>
      <c r="AA1529" s="3"/>
    </row>
    <row r="1530">
      <c r="A1530" s="3">
        <v>6.854209700099E12</v>
      </c>
      <c r="B1530" s="2" t="s">
        <v>6416</v>
      </c>
      <c r="C1530" s="2" t="s">
        <v>6417</v>
      </c>
      <c r="D1530" s="169">
        <v>46027.0</v>
      </c>
      <c r="E1530" s="2">
        <v>3.41182784E9</v>
      </c>
      <c r="F1530" s="2" t="s">
        <v>6418</v>
      </c>
      <c r="G1530" s="2" t="s">
        <v>6419</v>
      </c>
      <c r="H1530" s="2">
        <v>2069.0</v>
      </c>
      <c r="I1530" s="2">
        <v>1.73009680768E11</v>
      </c>
      <c r="J1530" s="3">
        <v>1.0</v>
      </c>
      <c r="K1530" s="2" t="s">
        <v>6420</v>
      </c>
      <c r="L1530" s="2" t="s">
        <v>6421</v>
      </c>
      <c r="M1530" s="174" t="s">
        <v>409</v>
      </c>
      <c r="N1530" s="2" t="s">
        <v>462</v>
      </c>
      <c r="O1530" s="3">
        <v>0.5</v>
      </c>
      <c r="P1530" s="2" t="s">
        <v>501</v>
      </c>
      <c r="Q1530" s="3">
        <v>1100.0</v>
      </c>
      <c r="T1530" s="2" t="s">
        <v>5751</v>
      </c>
      <c r="U1530" s="171">
        <v>2069.0</v>
      </c>
      <c r="V1530" s="172">
        <v>46023.0</v>
      </c>
      <c r="W1530" s="3">
        <v>289.94</v>
      </c>
      <c r="X1530" s="172">
        <v>46057.732992916666</v>
      </c>
      <c r="Y1530" s="172"/>
      <c r="Z1530" s="3">
        <v>46027.0</v>
      </c>
      <c r="AA1530" s="3"/>
    </row>
    <row r="1531">
      <c r="A1531" s="3">
        <v>6.854376423683E12</v>
      </c>
      <c r="B1531" s="2" t="s">
        <v>6422</v>
      </c>
      <c r="C1531" s="2" t="s">
        <v>6423</v>
      </c>
      <c r="D1531" s="169">
        <v>46027.0</v>
      </c>
      <c r="E1531" s="2">
        <v>3.450720949E9</v>
      </c>
      <c r="F1531" s="2" t="s">
        <v>6424</v>
      </c>
      <c r="G1531" s="2" t="s">
        <v>1055</v>
      </c>
      <c r="H1531" s="2">
        <v>0.0</v>
      </c>
      <c r="I1531" s="2">
        <v>2.1120050021009E13</v>
      </c>
      <c r="J1531" s="3">
        <v>0.0</v>
      </c>
      <c r="K1531" s="2" t="s">
        <v>6425</v>
      </c>
      <c r="L1531" s="2"/>
      <c r="M1531" s="170" t="s">
        <v>455</v>
      </c>
      <c r="N1531" s="2" t="s">
        <v>406</v>
      </c>
      <c r="O1531" s="3">
        <v>0.5</v>
      </c>
      <c r="P1531" s="2" t="s">
        <v>73</v>
      </c>
      <c r="Q1531" s="3">
        <v>0.0</v>
      </c>
      <c r="T1531" s="2" t="s">
        <v>3674</v>
      </c>
      <c r="U1531" s="171">
        <v>0.0</v>
      </c>
      <c r="V1531" s="172">
        <v>46038.0</v>
      </c>
      <c r="W1531" s="3">
        <v>220.0</v>
      </c>
      <c r="X1531" s="172">
        <v>46057.642782835646</v>
      </c>
      <c r="Y1531" s="172"/>
      <c r="Z1531" s="3">
        <v>46027.0</v>
      </c>
      <c r="AA1531" s="3"/>
    </row>
    <row r="1532">
      <c r="A1532" s="3">
        <v>6.854434160899E12</v>
      </c>
      <c r="B1532" s="2" t="s">
        <v>6426</v>
      </c>
      <c r="C1532" s="2" t="s">
        <v>6427</v>
      </c>
      <c r="D1532" s="169">
        <v>46027.0</v>
      </c>
      <c r="E1532" s="2">
        <v>9.23222013388E11</v>
      </c>
      <c r="F1532" s="2" t="s">
        <v>6428</v>
      </c>
      <c r="G1532" s="2" t="s">
        <v>493</v>
      </c>
      <c r="H1532" s="2">
        <v>249.0</v>
      </c>
      <c r="I1532" s="2">
        <v>2.4120050021008E13</v>
      </c>
      <c r="J1532" s="3">
        <v>0.0</v>
      </c>
      <c r="K1532" s="2" t="s">
        <v>6429</v>
      </c>
      <c r="L1532" s="2"/>
      <c r="M1532" s="170" t="s">
        <v>455</v>
      </c>
      <c r="N1532" s="2" t="s">
        <v>406</v>
      </c>
      <c r="O1532" s="3">
        <v>0.5</v>
      </c>
      <c r="P1532" s="2" t="s">
        <v>363</v>
      </c>
      <c r="Q1532" s="3">
        <v>0.0</v>
      </c>
      <c r="U1532" s="141"/>
      <c r="W1532" s="3">
        <v>213.0</v>
      </c>
      <c r="X1532" s="172">
        <v>46057.642782835646</v>
      </c>
      <c r="Y1532" s="172"/>
      <c r="Z1532" s="3">
        <v>46027.0</v>
      </c>
      <c r="AA1532" s="3"/>
    </row>
    <row r="1533">
      <c r="A1533" s="3">
        <v>6.854448185603E12</v>
      </c>
      <c r="B1533" s="2" t="s">
        <v>6430</v>
      </c>
      <c r="C1533" s="2" t="s">
        <v>6431</v>
      </c>
      <c r="D1533" s="169">
        <v>46027.0</v>
      </c>
      <c r="E1533" s="2">
        <v>3.359006513E9</v>
      </c>
      <c r="F1533" s="2" t="s">
        <v>6432</v>
      </c>
      <c r="G1533" s="2" t="s">
        <v>6433</v>
      </c>
      <c r="H1533" s="2">
        <v>0.0</v>
      </c>
      <c r="J1533" s="3">
        <v>0.0</v>
      </c>
      <c r="K1533" s="2" t="s">
        <v>5498</v>
      </c>
      <c r="L1533" s="2"/>
      <c r="M1533" s="2" t="s">
        <v>468</v>
      </c>
      <c r="N1533" s="2" t="s">
        <v>406</v>
      </c>
      <c r="O1533" s="3">
        <v>0.5</v>
      </c>
      <c r="Q1533" s="3">
        <v>0.0</v>
      </c>
      <c r="U1533" s="141"/>
      <c r="X1533" s="172">
        <v>46057.642782835646</v>
      </c>
      <c r="Y1533" s="172"/>
      <c r="Z1533" s="3">
        <v>46027.0</v>
      </c>
      <c r="AA1533" s="3"/>
    </row>
    <row r="1534">
      <c r="A1534" s="3">
        <v>6.854495437059E12</v>
      </c>
      <c r="B1534" s="2" t="s">
        <v>6434</v>
      </c>
      <c r="C1534" s="2" t="s">
        <v>6435</v>
      </c>
      <c r="D1534" s="169">
        <v>46027.0</v>
      </c>
      <c r="E1534" s="2">
        <v>3.157576757E9</v>
      </c>
      <c r="F1534" s="2" t="s">
        <v>6436</v>
      </c>
      <c r="G1534" s="2" t="s">
        <v>6437</v>
      </c>
      <c r="H1534" s="2">
        <v>3213.0</v>
      </c>
      <c r="I1534" s="2">
        <v>2.3120050021007E13</v>
      </c>
      <c r="J1534" s="3">
        <v>2.0</v>
      </c>
      <c r="L1534" s="2" t="s">
        <v>662</v>
      </c>
      <c r="M1534" s="174" t="s">
        <v>409</v>
      </c>
      <c r="N1534" s="2" t="s">
        <v>462</v>
      </c>
      <c r="O1534" s="3">
        <v>0.5</v>
      </c>
      <c r="P1534" s="2" t="s">
        <v>363</v>
      </c>
      <c r="Q1534" s="3">
        <v>960.0</v>
      </c>
      <c r="T1534" s="2" t="s">
        <v>4077</v>
      </c>
      <c r="U1534" s="171">
        <v>3213.0</v>
      </c>
      <c r="V1534" s="172">
        <v>46031.0</v>
      </c>
      <c r="W1534" s="3">
        <v>342.0</v>
      </c>
      <c r="X1534" s="172">
        <v>46030.611388888894</v>
      </c>
      <c r="Y1534" s="172"/>
      <c r="Z1534" s="3">
        <v>46027.0</v>
      </c>
      <c r="AA1534" s="3"/>
    </row>
    <row r="1535">
      <c r="A1535" s="3">
        <v>6.854581059843E12</v>
      </c>
      <c r="B1535" s="2" t="s">
        <v>6438</v>
      </c>
      <c r="C1535" s="2" t="s">
        <v>6439</v>
      </c>
      <c r="D1535" s="169">
        <v>46027.0</v>
      </c>
      <c r="E1535" s="2">
        <v>3.001058169E9</v>
      </c>
      <c r="F1535" s="2" t="s">
        <v>6440</v>
      </c>
      <c r="G1535" s="2" t="s">
        <v>5204</v>
      </c>
      <c r="H1535" s="2">
        <v>2223.96</v>
      </c>
      <c r="I1535" s="2">
        <v>2.4120050021006E13</v>
      </c>
      <c r="J1535" s="3">
        <v>1.0</v>
      </c>
      <c r="L1535" s="2" t="s">
        <v>6441</v>
      </c>
      <c r="M1535" s="174" t="s">
        <v>409</v>
      </c>
      <c r="N1535" s="2" t="s">
        <v>462</v>
      </c>
      <c r="O1535" s="3">
        <v>0.5</v>
      </c>
      <c r="P1535" s="2" t="s">
        <v>363</v>
      </c>
      <c r="Q1535" s="3">
        <v>730.0</v>
      </c>
      <c r="T1535" s="2" t="s">
        <v>4077</v>
      </c>
      <c r="U1535" s="171">
        <v>2223.96</v>
      </c>
      <c r="V1535" s="172">
        <v>46031.0</v>
      </c>
      <c r="W1535" s="3">
        <v>289.0</v>
      </c>
      <c r="X1535" s="172">
        <v>46029.51688657407</v>
      </c>
      <c r="Y1535" s="172"/>
      <c r="Z1535" s="3">
        <v>46027.0</v>
      </c>
      <c r="AA1535" s="3"/>
    </row>
    <row r="1536">
      <c r="A1536" s="3">
        <v>6.854582599939E12</v>
      </c>
      <c r="B1536" s="2" t="s">
        <v>6442</v>
      </c>
      <c r="C1536" s="2" t="s">
        <v>6443</v>
      </c>
      <c r="D1536" s="169">
        <v>46027.0</v>
      </c>
      <c r="E1536" s="173" t="s">
        <v>848</v>
      </c>
      <c r="F1536" s="2" t="s">
        <v>1287</v>
      </c>
      <c r="G1536" s="2" t="s">
        <v>850</v>
      </c>
      <c r="H1536" s="2">
        <v>2600.0</v>
      </c>
      <c r="I1536" s="2">
        <v>2.3120050021033E13</v>
      </c>
      <c r="J1536" s="3">
        <v>1.0</v>
      </c>
      <c r="K1536" s="2" t="s">
        <v>6444</v>
      </c>
      <c r="L1536" s="2" t="s">
        <v>946</v>
      </c>
      <c r="M1536" s="174" t="s">
        <v>409</v>
      </c>
      <c r="N1536" s="2" t="s">
        <v>406</v>
      </c>
      <c r="O1536" s="3">
        <v>0.5</v>
      </c>
      <c r="P1536" s="2" t="s">
        <v>363</v>
      </c>
      <c r="Q1536" s="3">
        <v>850.0</v>
      </c>
      <c r="T1536" s="2" t="s">
        <v>4077</v>
      </c>
      <c r="U1536" s="171">
        <v>2600.0</v>
      </c>
      <c r="V1536" s="172">
        <v>46031.0</v>
      </c>
      <c r="W1536" s="3">
        <v>200.0</v>
      </c>
      <c r="X1536" s="172">
        <v>46028.605092592596</v>
      </c>
      <c r="Y1536" s="172"/>
      <c r="Z1536" s="3">
        <v>46027.0</v>
      </c>
      <c r="AA1536" s="3"/>
    </row>
    <row r="1537">
      <c r="A1537" s="3">
        <v>6.854729105667E12</v>
      </c>
      <c r="B1537" s="2" t="s">
        <v>6445</v>
      </c>
      <c r="C1537" s="2" t="s">
        <v>6446</v>
      </c>
      <c r="D1537" s="169">
        <v>46027.0</v>
      </c>
      <c r="E1537" s="173" t="s">
        <v>6447</v>
      </c>
      <c r="F1537" s="2" t="s">
        <v>6448</v>
      </c>
      <c r="G1537" s="2" t="s">
        <v>6449</v>
      </c>
      <c r="H1537" s="2">
        <v>2449.0</v>
      </c>
      <c r="I1537" s="2">
        <v>2.6120050021005E13</v>
      </c>
      <c r="J1537" s="3">
        <v>2.0</v>
      </c>
      <c r="K1537" s="2" t="s">
        <v>1989</v>
      </c>
      <c r="L1537" s="2" t="s">
        <v>6450</v>
      </c>
      <c r="M1537" s="174" t="s">
        <v>409</v>
      </c>
      <c r="N1537" s="2" t="s">
        <v>462</v>
      </c>
      <c r="O1537" s="3">
        <v>0.5</v>
      </c>
      <c r="P1537" s="2" t="s">
        <v>363</v>
      </c>
      <c r="Q1537" s="3">
        <v>985.0</v>
      </c>
      <c r="T1537" s="2" t="s">
        <v>4077</v>
      </c>
      <c r="U1537" s="171">
        <v>2449.0</v>
      </c>
      <c r="V1537" s="172">
        <v>46031.0</v>
      </c>
      <c r="W1537" s="3">
        <v>298.0</v>
      </c>
      <c r="X1537" s="172">
        <v>46029.54810185185</v>
      </c>
      <c r="Y1537" s="172"/>
      <c r="Z1537" s="3">
        <v>46027.0</v>
      </c>
      <c r="AA1537" s="3"/>
    </row>
    <row r="1538">
      <c r="A1538" s="3">
        <v>6.854730318083E12</v>
      </c>
      <c r="B1538" s="2" t="s">
        <v>6451</v>
      </c>
      <c r="C1538" s="2" t="s">
        <v>491</v>
      </c>
      <c r="D1538" s="169">
        <v>46027.0</v>
      </c>
      <c r="E1538" s="2">
        <v>3.337311784E9</v>
      </c>
      <c r="F1538" s="2" t="s">
        <v>6452</v>
      </c>
      <c r="G1538" s="2" t="s">
        <v>523</v>
      </c>
      <c r="H1538" s="2">
        <v>2849.0</v>
      </c>
      <c r="I1538" s="2" t="s">
        <v>6453</v>
      </c>
      <c r="J1538" s="3">
        <v>2.0</v>
      </c>
      <c r="K1538" s="2" t="s">
        <v>6454</v>
      </c>
      <c r="L1538" s="2" t="s">
        <v>35</v>
      </c>
      <c r="M1538" s="170" t="s">
        <v>455</v>
      </c>
      <c r="N1538" s="2" t="s">
        <v>406</v>
      </c>
      <c r="O1538" s="3">
        <v>0.5</v>
      </c>
      <c r="P1538" s="2" t="s">
        <v>640</v>
      </c>
      <c r="Q1538" s="3">
        <v>980.0</v>
      </c>
      <c r="U1538" s="141"/>
      <c r="W1538" s="3">
        <v>289.94</v>
      </c>
      <c r="X1538" s="172">
        <v>46057.642782835646</v>
      </c>
      <c r="Y1538" s="172"/>
      <c r="Z1538" s="3">
        <v>46027.0</v>
      </c>
      <c r="AA1538" s="3"/>
    </row>
    <row r="1539">
      <c r="A1539" s="3">
        <v>6.854775177475E12</v>
      </c>
      <c r="B1539" s="2" t="s">
        <v>6455</v>
      </c>
      <c r="C1539" s="2" t="s">
        <v>6456</v>
      </c>
      <c r="D1539" s="169">
        <v>46027.0</v>
      </c>
      <c r="E1539" s="173" t="s">
        <v>6457</v>
      </c>
      <c r="F1539" s="2" t="s">
        <v>6458</v>
      </c>
      <c r="G1539" s="2" t="s">
        <v>688</v>
      </c>
      <c r="H1539" s="2">
        <v>4836.0</v>
      </c>
      <c r="I1539" s="2">
        <v>1.73009650958E11</v>
      </c>
      <c r="J1539" s="3">
        <v>3.0</v>
      </c>
      <c r="K1539" s="2" t="s">
        <v>6459</v>
      </c>
      <c r="L1539" s="2" t="s">
        <v>6460</v>
      </c>
      <c r="M1539" s="174" t="s">
        <v>409</v>
      </c>
      <c r="N1539" s="2" t="s">
        <v>406</v>
      </c>
      <c r="O1539" s="3">
        <v>0.5</v>
      </c>
      <c r="P1539" s="2" t="s">
        <v>501</v>
      </c>
      <c r="Q1539" s="3">
        <v>1380.0</v>
      </c>
      <c r="T1539" s="2" t="s">
        <v>5874</v>
      </c>
      <c r="U1539" s="19">
        <v>4836.0</v>
      </c>
      <c r="V1539" s="172">
        <v>46023.0</v>
      </c>
      <c r="W1539" s="3">
        <v>411.74</v>
      </c>
      <c r="X1539" s="172">
        <v>46057.73299996528</v>
      </c>
      <c r="Y1539" s="172"/>
      <c r="Z1539" s="3">
        <v>46027.0</v>
      </c>
      <c r="AA1539" s="3"/>
    </row>
    <row r="1540">
      <c r="A1540" s="3">
        <v>6.854839992579E12</v>
      </c>
      <c r="B1540" s="2" t="s">
        <v>6461</v>
      </c>
      <c r="C1540" s="2" t="s">
        <v>6462</v>
      </c>
      <c r="D1540" s="169">
        <v>46027.0</v>
      </c>
      <c r="E1540" s="2">
        <v>3.485214093E9</v>
      </c>
      <c r="F1540" s="2" t="s">
        <v>6463</v>
      </c>
      <c r="G1540" s="2" t="s">
        <v>366</v>
      </c>
      <c r="H1540" s="2">
        <v>3213.0</v>
      </c>
      <c r="I1540" s="2">
        <v>2.9120050021032E13</v>
      </c>
      <c r="J1540" s="3">
        <v>1.0</v>
      </c>
      <c r="L1540" s="2" t="s">
        <v>6464</v>
      </c>
      <c r="M1540" s="174" t="s">
        <v>409</v>
      </c>
      <c r="N1540" s="2" t="s">
        <v>462</v>
      </c>
      <c r="O1540" s="3">
        <v>0.5</v>
      </c>
      <c r="P1540" s="2" t="s">
        <v>363</v>
      </c>
      <c r="Q1540" s="3">
        <v>1400.0</v>
      </c>
      <c r="T1540" s="2" t="s">
        <v>4077</v>
      </c>
      <c r="U1540" s="171">
        <v>3213.0</v>
      </c>
      <c r="V1540" s="172">
        <v>46031.0</v>
      </c>
      <c r="W1540" s="3">
        <v>329.0</v>
      </c>
      <c r="X1540" s="172">
        <v>46030.65303240741</v>
      </c>
      <c r="Y1540" s="172"/>
      <c r="Z1540" s="3">
        <v>46027.0</v>
      </c>
      <c r="AA1540" s="3"/>
    </row>
    <row r="1541">
      <c r="A1541" s="3">
        <v>6.854861291779E12</v>
      </c>
      <c r="B1541" s="2" t="s">
        <v>6465</v>
      </c>
      <c r="C1541" s="2" t="s">
        <v>6466</v>
      </c>
      <c r="D1541" s="169">
        <v>46027.0</v>
      </c>
      <c r="E1541" s="173" t="s">
        <v>6467</v>
      </c>
      <c r="F1541" s="2" t="s">
        <v>6468</v>
      </c>
      <c r="G1541" s="2" t="s">
        <v>6017</v>
      </c>
      <c r="H1541" s="2">
        <v>10918.96</v>
      </c>
      <c r="I1541" s="2">
        <v>2.4120050021031E13</v>
      </c>
      <c r="J1541" s="3">
        <v>5.0</v>
      </c>
      <c r="K1541" s="2" t="s">
        <v>511</v>
      </c>
      <c r="L1541" s="2" t="s">
        <v>6469</v>
      </c>
      <c r="M1541" s="174" t="s">
        <v>409</v>
      </c>
      <c r="N1541" s="2" t="s">
        <v>462</v>
      </c>
      <c r="O1541" s="3">
        <v>0.5</v>
      </c>
      <c r="P1541" s="2" t="s">
        <v>363</v>
      </c>
      <c r="Q1541" s="3">
        <v>4220.0</v>
      </c>
      <c r="T1541" s="2" t="s">
        <v>3701</v>
      </c>
      <c r="U1541" s="171">
        <v>10918.96</v>
      </c>
      <c r="V1541" s="172">
        <v>46035.0</v>
      </c>
      <c r="W1541" s="3">
        <v>500.0</v>
      </c>
      <c r="X1541" s="172">
        <v>46032.81</v>
      </c>
      <c r="Y1541" s="172"/>
      <c r="Z1541" s="3">
        <v>46027.0</v>
      </c>
      <c r="AA1541" s="3"/>
    </row>
    <row r="1542">
      <c r="A1542" s="3">
        <v>6.854880821507E12</v>
      </c>
      <c r="B1542" s="2" t="s">
        <v>6470</v>
      </c>
      <c r="C1542" s="2" t="s">
        <v>6471</v>
      </c>
      <c r="D1542" s="169">
        <v>46027.0</v>
      </c>
      <c r="E1542" s="173" t="s">
        <v>6472</v>
      </c>
      <c r="F1542" s="2" t="s">
        <v>6473</v>
      </c>
      <c r="G1542" s="2" t="s">
        <v>6474</v>
      </c>
      <c r="H1542" s="2">
        <v>5928.0</v>
      </c>
      <c r="I1542" s="2">
        <v>2.712005002106E13</v>
      </c>
      <c r="J1542" s="3">
        <v>4.0</v>
      </c>
      <c r="K1542" s="2" t="s">
        <v>511</v>
      </c>
      <c r="L1542" s="2" t="s">
        <v>6475</v>
      </c>
      <c r="M1542" s="174" t="s">
        <v>409</v>
      </c>
      <c r="N1542" s="2" t="s">
        <v>462</v>
      </c>
      <c r="O1542" s="3">
        <v>0.5</v>
      </c>
      <c r="P1542" s="2" t="s">
        <v>363</v>
      </c>
      <c r="Q1542" s="3">
        <v>1880.0</v>
      </c>
      <c r="T1542" s="2" t="s">
        <v>3701</v>
      </c>
      <c r="U1542" s="171">
        <v>5928.0</v>
      </c>
      <c r="V1542" s="172">
        <v>46035.0</v>
      </c>
      <c r="W1542" s="3">
        <v>464.0</v>
      </c>
      <c r="X1542" s="172">
        <v>46031.73015046296</v>
      </c>
      <c r="Y1542" s="172"/>
      <c r="Z1542" s="3">
        <v>46027.0</v>
      </c>
      <c r="AA1542" s="3"/>
    </row>
    <row r="1543">
      <c r="A1543" s="3">
        <v>6.854905037059E12</v>
      </c>
      <c r="B1543" s="2" t="s">
        <v>6476</v>
      </c>
      <c r="C1543" s="2" t="s">
        <v>5850</v>
      </c>
      <c r="D1543" s="169">
        <v>46027.0</v>
      </c>
      <c r="E1543" s="2">
        <v>3.32798692E9</v>
      </c>
      <c r="F1543" s="2" t="s">
        <v>6477</v>
      </c>
      <c r="G1543" s="2" t="s">
        <v>672</v>
      </c>
      <c r="H1543" s="2">
        <v>1497.0</v>
      </c>
      <c r="I1543" s="2">
        <v>2.712005002104E13</v>
      </c>
      <c r="J1543" s="3">
        <v>1.0</v>
      </c>
      <c r="K1543" s="2" t="s">
        <v>204</v>
      </c>
      <c r="L1543" s="2" t="s">
        <v>1324</v>
      </c>
      <c r="M1543" s="174" t="s">
        <v>409</v>
      </c>
      <c r="N1543" s="2" t="s">
        <v>462</v>
      </c>
      <c r="O1543" s="3">
        <v>0.5</v>
      </c>
      <c r="P1543" s="2" t="s">
        <v>363</v>
      </c>
      <c r="Q1543" s="3">
        <v>550.0</v>
      </c>
      <c r="T1543" s="2" t="s">
        <v>3701</v>
      </c>
      <c r="U1543" s="171">
        <v>1497.0</v>
      </c>
      <c r="V1543" s="172">
        <v>46035.0</v>
      </c>
      <c r="W1543" s="3">
        <v>273.0</v>
      </c>
      <c r="X1543" s="172">
        <v>46033.72725694445</v>
      </c>
      <c r="Y1543" s="172"/>
      <c r="Z1543" s="3">
        <v>46027.0</v>
      </c>
      <c r="AA1543" s="3"/>
    </row>
    <row r="1544">
      <c r="A1544" s="3">
        <v>6.854923616515E12</v>
      </c>
      <c r="B1544" s="2" t="s">
        <v>6478</v>
      </c>
      <c r="C1544" s="2" t="s">
        <v>6479</v>
      </c>
      <c r="D1544" s="169">
        <v>46027.0</v>
      </c>
      <c r="E1544" s="173" t="s">
        <v>6480</v>
      </c>
      <c r="F1544" s="2" t="s">
        <v>6481</v>
      </c>
      <c r="G1544" s="2" t="s">
        <v>1637</v>
      </c>
      <c r="H1544" s="2">
        <v>3213.0</v>
      </c>
      <c r="I1544" s="2">
        <v>2.4120050021061E13</v>
      </c>
      <c r="J1544" s="3">
        <v>2.0</v>
      </c>
      <c r="K1544" s="2" t="s">
        <v>6482</v>
      </c>
      <c r="L1544" s="2" t="s">
        <v>2562</v>
      </c>
      <c r="M1544" s="174" t="s">
        <v>409</v>
      </c>
      <c r="N1544" s="2" t="s">
        <v>462</v>
      </c>
      <c r="O1544" s="3">
        <v>0.5</v>
      </c>
      <c r="P1544" s="2" t="s">
        <v>363</v>
      </c>
      <c r="Q1544" s="3">
        <v>1000.0</v>
      </c>
      <c r="T1544" s="2" t="s">
        <v>3701</v>
      </c>
      <c r="U1544" s="171">
        <v>3213.0</v>
      </c>
      <c r="V1544" s="172">
        <v>46035.0</v>
      </c>
      <c r="W1544" s="3">
        <v>319.0</v>
      </c>
      <c r="X1544" s="172">
        <v>46031.761354166665</v>
      </c>
      <c r="Y1544" s="172"/>
      <c r="Z1544" s="3">
        <v>46027.0</v>
      </c>
      <c r="AA1544" s="3"/>
    </row>
    <row r="1545">
      <c r="A1545" s="3">
        <v>6.854934987011E12</v>
      </c>
      <c r="B1545" s="2" t="s">
        <v>6483</v>
      </c>
      <c r="C1545" s="2" t="s">
        <v>6484</v>
      </c>
      <c r="D1545" s="169">
        <v>46027.0</v>
      </c>
      <c r="E1545" s="2">
        <v>3.455645336E9</v>
      </c>
      <c r="F1545" s="2" t="s">
        <v>6485</v>
      </c>
      <c r="G1545" s="2" t="s">
        <v>506</v>
      </c>
      <c r="H1545" s="2">
        <v>3213.0</v>
      </c>
      <c r="I1545" s="2">
        <v>2.3120050021233E13</v>
      </c>
      <c r="J1545" s="3">
        <v>2.0</v>
      </c>
      <c r="L1545" s="2" t="s">
        <v>228</v>
      </c>
      <c r="M1545" s="174" t="s">
        <v>409</v>
      </c>
      <c r="N1545" s="2" t="s">
        <v>462</v>
      </c>
      <c r="O1545" s="3">
        <v>0.5</v>
      </c>
      <c r="P1545" s="2" t="s">
        <v>363</v>
      </c>
      <c r="Q1545" s="3">
        <v>920.0</v>
      </c>
      <c r="T1545" s="2" t="s">
        <v>4910</v>
      </c>
      <c r="U1545" s="171">
        <v>3213.0</v>
      </c>
      <c r="V1545" s="172">
        <v>46042.0</v>
      </c>
      <c r="W1545" s="3">
        <v>348.63</v>
      </c>
      <c r="X1545" s="172">
        <v>46041.72660879629</v>
      </c>
      <c r="Y1545" s="172"/>
      <c r="Z1545" s="3">
        <v>46027.0</v>
      </c>
      <c r="AA1545" s="3"/>
    </row>
    <row r="1546">
      <c r="A1546" s="3">
        <v>6.854945734915E12</v>
      </c>
      <c r="B1546" s="2" t="s">
        <v>6486</v>
      </c>
      <c r="C1546" s="2" t="s">
        <v>6487</v>
      </c>
      <c r="D1546" s="169">
        <v>46027.0</v>
      </c>
      <c r="E1546" s="173" t="s">
        <v>6488</v>
      </c>
      <c r="F1546" s="2" t="s">
        <v>6489</v>
      </c>
      <c r="G1546" s="2" t="s">
        <v>3148</v>
      </c>
      <c r="H1546" s="2">
        <v>1549.0</v>
      </c>
      <c r="I1546" s="2">
        <v>2.6120050021042E13</v>
      </c>
      <c r="J1546" s="3">
        <v>1.0</v>
      </c>
      <c r="K1546" s="2" t="s">
        <v>241</v>
      </c>
      <c r="L1546" s="2" t="s">
        <v>1772</v>
      </c>
      <c r="M1546" s="174" t="s">
        <v>409</v>
      </c>
      <c r="N1546" s="2" t="s">
        <v>462</v>
      </c>
      <c r="O1546" s="3">
        <v>0.5</v>
      </c>
      <c r="P1546" s="2" t="s">
        <v>363</v>
      </c>
      <c r="Q1546" s="3">
        <v>550.0</v>
      </c>
      <c r="T1546" s="2" t="s">
        <v>3701</v>
      </c>
      <c r="U1546" s="171">
        <v>1549.0</v>
      </c>
      <c r="V1546" s="172">
        <v>46035.0</v>
      </c>
      <c r="W1546" s="3">
        <v>262.0</v>
      </c>
      <c r="X1546" s="172">
        <v>46031.65164351852</v>
      </c>
      <c r="Y1546" s="172"/>
      <c r="Z1546" s="3">
        <v>46027.0</v>
      </c>
      <c r="AA1546" s="3"/>
    </row>
    <row r="1547">
      <c r="A1547" s="3">
        <v>6.854988202243E12</v>
      </c>
      <c r="B1547" s="2" t="s">
        <v>6490</v>
      </c>
      <c r="C1547" s="2" t="s">
        <v>6491</v>
      </c>
      <c r="D1547" s="169">
        <v>46027.0</v>
      </c>
      <c r="E1547" s="173" t="s">
        <v>6492</v>
      </c>
      <c r="F1547" s="2" t="s">
        <v>6493</v>
      </c>
      <c r="G1547" s="2" t="s">
        <v>6494</v>
      </c>
      <c r="H1547" s="2">
        <v>1650.0</v>
      </c>
      <c r="I1547" s="2">
        <v>2.4120050021043E13</v>
      </c>
      <c r="J1547" s="3">
        <v>1.0</v>
      </c>
      <c r="K1547" s="2" t="s">
        <v>1989</v>
      </c>
      <c r="L1547" s="2" t="s">
        <v>6495</v>
      </c>
      <c r="M1547" s="174" t="s">
        <v>409</v>
      </c>
      <c r="N1547" s="2" t="s">
        <v>462</v>
      </c>
      <c r="O1547" s="3">
        <v>0.5</v>
      </c>
      <c r="P1547" s="2" t="s">
        <v>363</v>
      </c>
      <c r="Q1547" s="3">
        <v>480.0</v>
      </c>
      <c r="T1547" s="2" t="s">
        <v>3701</v>
      </c>
      <c r="U1547" s="171">
        <v>1650.0</v>
      </c>
      <c r="V1547" s="172">
        <v>46035.0</v>
      </c>
      <c r="W1547" s="3">
        <v>279.0</v>
      </c>
      <c r="X1547" s="172">
        <v>46031.70385416667</v>
      </c>
      <c r="Y1547" s="172"/>
      <c r="Z1547" s="3">
        <v>46027.0</v>
      </c>
      <c r="AA1547" s="3"/>
    </row>
    <row r="1548">
      <c r="A1548" s="3">
        <v>6.854997213443E12</v>
      </c>
      <c r="B1548" s="2" t="s">
        <v>6496</v>
      </c>
      <c r="C1548" s="2" t="s">
        <v>6497</v>
      </c>
      <c r="D1548" s="169">
        <v>46027.0</v>
      </c>
      <c r="E1548" s="2">
        <v>3.37920888E9</v>
      </c>
      <c r="F1548" s="2" t="s">
        <v>6498</v>
      </c>
      <c r="G1548" s="2" t="s">
        <v>493</v>
      </c>
      <c r="H1548" s="2">
        <v>3213.0</v>
      </c>
      <c r="I1548" s="2">
        <v>2.6120050021044E13</v>
      </c>
      <c r="J1548" s="3">
        <v>2.0</v>
      </c>
      <c r="L1548" s="2" t="s">
        <v>296</v>
      </c>
      <c r="M1548" s="174" t="s">
        <v>409</v>
      </c>
      <c r="N1548" s="2" t="s">
        <v>462</v>
      </c>
      <c r="O1548" s="3">
        <v>0.5</v>
      </c>
      <c r="P1548" s="2" t="s">
        <v>363</v>
      </c>
      <c r="Q1548" s="3">
        <v>920.0</v>
      </c>
      <c r="T1548" s="2" t="s">
        <v>3701</v>
      </c>
      <c r="U1548" s="171">
        <v>3213.0</v>
      </c>
      <c r="V1548" s="172">
        <v>46035.0</v>
      </c>
      <c r="W1548" s="3">
        <v>342.0</v>
      </c>
      <c r="X1548" s="172">
        <v>46031.55159722222</v>
      </c>
      <c r="Y1548" s="172"/>
      <c r="Z1548" s="3">
        <v>46027.0</v>
      </c>
      <c r="AA1548" s="3"/>
    </row>
    <row r="1549">
      <c r="A1549" s="3">
        <v>6.855092928771E12</v>
      </c>
      <c r="B1549" s="2" t="s">
        <v>6499</v>
      </c>
      <c r="C1549" s="2" t="s">
        <v>6500</v>
      </c>
      <c r="D1549" s="169">
        <v>46027.0</v>
      </c>
      <c r="E1549" s="173" t="s">
        <v>6501</v>
      </c>
      <c r="F1549" s="2" t="s">
        <v>6502</v>
      </c>
      <c r="G1549" s="2" t="s">
        <v>493</v>
      </c>
      <c r="H1549" s="2">
        <v>4149.0</v>
      </c>
      <c r="I1549" s="2">
        <v>2.2120050021073E13</v>
      </c>
      <c r="J1549" s="3">
        <v>2.0</v>
      </c>
      <c r="K1549" s="2" t="s">
        <v>6503</v>
      </c>
      <c r="L1549" s="2" t="s">
        <v>479</v>
      </c>
      <c r="M1549" s="170" t="s">
        <v>455</v>
      </c>
      <c r="N1549" s="2" t="s">
        <v>406</v>
      </c>
      <c r="O1549" s="3">
        <v>0.5</v>
      </c>
      <c r="P1549" s="2" t="s">
        <v>363</v>
      </c>
      <c r="Q1549" s="3">
        <v>1700.0</v>
      </c>
      <c r="T1549" s="2" t="s">
        <v>4910</v>
      </c>
      <c r="U1549" s="171">
        <v>0.0</v>
      </c>
      <c r="V1549" s="172">
        <v>46042.0</v>
      </c>
      <c r="W1549" s="3">
        <v>226.78</v>
      </c>
      <c r="X1549" s="172">
        <v>46057.642782835646</v>
      </c>
      <c r="Y1549" s="172"/>
      <c r="Z1549" s="3">
        <v>46027.0</v>
      </c>
      <c r="AA1549" s="3"/>
    </row>
    <row r="1550">
      <c r="A1550" s="3">
        <v>6.855132086531E12</v>
      </c>
      <c r="B1550" s="2" t="s">
        <v>6504</v>
      </c>
      <c r="C1550" s="2" t="s">
        <v>6505</v>
      </c>
      <c r="D1550" s="169">
        <v>46027.0</v>
      </c>
      <c r="E1550" s="2">
        <v>3.14172561E9</v>
      </c>
      <c r="F1550" s="2" t="s">
        <v>6506</v>
      </c>
      <c r="G1550" s="2" t="s">
        <v>6507</v>
      </c>
      <c r="H1550" s="2">
        <v>249.0</v>
      </c>
      <c r="I1550" s="2" t="s">
        <v>6508</v>
      </c>
      <c r="J1550" s="3">
        <v>0.0</v>
      </c>
      <c r="L1550" s="2"/>
      <c r="M1550" s="170" t="s">
        <v>455</v>
      </c>
      <c r="N1550" s="2" t="s">
        <v>406</v>
      </c>
      <c r="O1550" s="3">
        <v>0.5</v>
      </c>
      <c r="P1550" s="2" t="s">
        <v>640</v>
      </c>
      <c r="Q1550" s="3">
        <v>0.0</v>
      </c>
      <c r="U1550" s="141"/>
      <c r="W1550" s="3">
        <v>289.94</v>
      </c>
      <c r="X1550" s="172">
        <v>46057.642782835646</v>
      </c>
      <c r="Y1550" s="172"/>
      <c r="Z1550" s="3">
        <v>46027.0</v>
      </c>
      <c r="AA1550" s="3"/>
    </row>
    <row r="1551">
      <c r="A1551" s="3">
        <v>6.855228358915E12</v>
      </c>
      <c r="B1551" s="2" t="s">
        <v>6509</v>
      </c>
      <c r="C1551" s="2" t="s">
        <v>6510</v>
      </c>
      <c r="D1551" s="169">
        <v>46027.0</v>
      </c>
      <c r="E1551" s="2">
        <v>3.333102555E9</v>
      </c>
      <c r="F1551" s="2" t="s">
        <v>6511</v>
      </c>
      <c r="G1551" s="2" t="s">
        <v>493</v>
      </c>
      <c r="H1551" s="2">
        <v>3213.0</v>
      </c>
      <c r="I1551" s="2">
        <v>2.1120050021045E13</v>
      </c>
      <c r="J1551" s="3">
        <v>2.0</v>
      </c>
      <c r="L1551" s="2" t="s">
        <v>296</v>
      </c>
      <c r="M1551" s="174" t="s">
        <v>409</v>
      </c>
      <c r="N1551" s="2" t="s">
        <v>462</v>
      </c>
      <c r="O1551" s="3">
        <v>0.5</v>
      </c>
      <c r="P1551" s="2" t="s">
        <v>73</v>
      </c>
      <c r="Q1551" s="3">
        <v>920.0</v>
      </c>
      <c r="T1551" s="2" t="s">
        <v>3701</v>
      </c>
      <c r="U1551" s="171">
        <v>3213.0</v>
      </c>
      <c r="V1551" s="172">
        <v>46035.0</v>
      </c>
      <c r="W1551" s="3">
        <v>342.0</v>
      </c>
      <c r="X1551" s="172">
        <v>46033.66269675926</v>
      </c>
      <c r="Y1551" s="172"/>
      <c r="Z1551" s="3">
        <v>46027.0</v>
      </c>
      <c r="AA1551" s="3"/>
    </row>
    <row r="1552">
      <c r="A1552" s="3">
        <v>6.855312277763E12</v>
      </c>
      <c r="B1552" s="2" t="s">
        <v>6512</v>
      </c>
      <c r="C1552" s="2" t="s">
        <v>1646</v>
      </c>
      <c r="D1552" s="169">
        <v>46028.0</v>
      </c>
      <c r="E1552" s="173" t="s">
        <v>6513</v>
      </c>
      <c r="F1552" s="2" t="s">
        <v>6514</v>
      </c>
      <c r="G1552" s="2" t="s">
        <v>1016</v>
      </c>
      <c r="H1552" s="2">
        <v>2901.0</v>
      </c>
      <c r="I1552" s="2">
        <v>2.8120050021062E13</v>
      </c>
      <c r="J1552" s="3">
        <v>1.0</v>
      </c>
      <c r="K1552" s="2" t="s">
        <v>6515</v>
      </c>
      <c r="L1552" s="2" t="s">
        <v>519</v>
      </c>
      <c r="M1552" s="174" t="s">
        <v>409</v>
      </c>
      <c r="N1552" s="2" t="s">
        <v>462</v>
      </c>
      <c r="O1552" s="3">
        <v>0.5</v>
      </c>
      <c r="P1552" s="2" t="s">
        <v>73</v>
      </c>
      <c r="Q1552" s="3">
        <v>850.0</v>
      </c>
      <c r="T1552" s="2" t="s">
        <v>3701</v>
      </c>
      <c r="U1552" s="171">
        <v>2901.0</v>
      </c>
      <c r="V1552" s="172">
        <v>46035.0</v>
      </c>
      <c r="W1552" s="3">
        <v>336.0</v>
      </c>
      <c r="X1552" s="172">
        <v>46032.68987268519</v>
      </c>
      <c r="Y1552" s="172"/>
      <c r="Z1552" s="3">
        <v>46028.0</v>
      </c>
      <c r="AA1552" s="3"/>
    </row>
    <row r="1553">
      <c r="A1553" s="3">
        <v>6.855368442115E12</v>
      </c>
      <c r="B1553" s="2" t="s">
        <v>6516</v>
      </c>
      <c r="C1553" s="2" t="s">
        <v>6517</v>
      </c>
      <c r="D1553" s="169">
        <v>46028.0</v>
      </c>
      <c r="E1553" s="2">
        <v>3.325200027E9</v>
      </c>
      <c r="F1553" s="2" t="s">
        <v>6518</v>
      </c>
      <c r="G1553" s="2" t="s">
        <v>781</v>
      </c>
      <c r="H1553" s="2">
        <v>2849.0</v>
      </c>
      <c r="I1553" s="2">
        <v>2.6120050021046E13</v>
      </c>
      <c r="J1553" s="3">
        <v>2.0</v>
      </c>
      <c r="L1553" s="2" t="s">
        <v>926</v>
      </c>
      <c r="M1553" s="174" t="s">
        <v>409</v>
      </c>
      <c r="N1553" s="2" t="s">
        <v>462</v>
      </c>
      <c r="O1553" s="3">
        <v>0.5</v>
      </c>
      <c r="P1553" s="2" t="s">
        <v>363</v>
      </c>
      <c r="Q1553" s="3">
        <v>980.0</v>
      </c>
      <c r="T1553" s="2" t="s">
        <v>4077</v>
      </c>
      <c r="U1553" s="171">
        <v>2849.0</v>
      </c>
      <c r="V1553" s="172">
        <v>46031.0</v>
      </c>
      <c r="W1553" s="3">
        <v>327.0</v>
      </c>
      <c r="X1553" s="172">
        <v>46030.53420138889</v>
      </c>
      <c r="Y1553" s="172"/>
      <c r="Z1553" s="3">
        <v>46028.0</v>
      </c>
      <c r="AA1553" s="3"/>
    </row>
    <row r="1554">
      <c r="A1554" s="3">
        <v>6.855372177667E12</v>
      </c>
      <c r="B1554" s="2" t="s">
        <v>6519</v>
      </c>
      <c r="C1554" s="2" t="s">
        <v>6520</v>
      </c>
      <c r="D1554" s="169">
        <v>46028.0</v>
      </c>
      <c r="E1554" s="2">
        <v>3.47278638E9</v>
      </c>
      <c r="F1554" s="2" t="s">
        <v>6521</v>
      </c>
      <c r="G1554" s="2" t="s">
        <v>3148</v>
      </c>
      <c r="H1554" s="2">
        <v>3878.6</v>
      </c>
      <c r="I1554" s="2">
        <v>2.3120050021063E13</v>
      </c>
      <c r="J1554" s="3">
        <v>2.0</v>
      </c>
      <c r="L1554" s="2" t="s">
        <v>479</v>
      </c>
      <c r="M1554" s="174" t="s">
        <v>409</v>
      </c>
      <c r="N1554" s="2" t="s">
        <v>462</v>
      </c>
      <c r="O1554" s="3">
        <v>0.5</v>
      </c>
      <c r="P1554" s="2" t="s">
        <v>363</v>
      </c>
      <c r="Q1554" s="3">
        <v>1700.0</v>
      </c>
      <c r="T1554" s="2" t="s">
        <v>4077</v>
      </c>
      <c r="U1554" s="171">
        <v>3878.6</v>
      </c>
      <c r="V1554" s="172">
        <v>46031.0</v>
      </c>
      <c r="W1554" s="3">
        <v>375.0</v>
      </c>
      <c r="X1554" s="172">
        <v>46030.636342592596</v>
      </c>
      <c r="Y1554" s="172"/>
      <c r="Z1554" s="3">
        <v>46028.0</v>
      </c>
      <c r="AA1554" s="3"/>
    </row>
    <row r="1555">
      <c r="A1555" s="3">
        <v>6.855395574019E12</v>
      </c>
      <c r="B1555" s="2" t="s">
        <v>6522</v>
      </c>
      <c r="C1555" s="2" t="s">
        <v>6523</v>
      </c>
      <c r="D1555" s="169">
        <v>46028.0</v>
      </c>
      <c r="E1555" s="2">
        <v>3.021248428E9</v>
      </c>
      <c r="F1555" s="2" t="s">
        <v>6524</v>
      </c>
      <c r="G1555" s="2" t="s">
        <v>493</v>
      </c>
      <c r="H1555" s="2">
        <v>2849.0</v>
      </c>
      <c r="I1555" s="2">
        <v>2.3120050021047E13</v>
      </c>
      <c r="J1555" s="3">
        <v>2.0</v>
      </c>
      <c r="L1555" s="2" t="s">
        <v>926</v>
      </c>
      <c r="M1555" s="174" t="s">
        <v>409</v>
      </c>
      <c r="N1555" s="2" t="s">
        <v>462</v>
      </c>
      <c r="O1555" s="3">
        <v>0.5</v>
      </c>
      <c r="P1555" s="2" t="s">
        <v>363</v>
      </c>
      <c r="Q1555" s="3">
        <v>980.0</v>
      </c>
      <c r="T1555" s="2" t="s">
        <v>3701</v>
      </c>
      <c r="U1555" s="171">
        <v>2849.0</v>
      </c>
      <c r="V1555" s="172">
        <v>46035.0</v>
      </c>
      <c r="W1555" s="3">
        <v>341.0</v>
      </c>
      <c r="X1555" s="172">
        <v>46031.51828703703</v>
      </c>
      <c r="Y1555" s="172"/>
      <c r="Z1555" s="3">
        <v>46028.0</v>
      </c>
      <c r="AA1555" s="3"/>
    </row>
    <row r="1556">
      <c r="A1556" s="3">
        <v>6.855421264131E12</v>
      </c>
      <c r="B1556" s="2" t="s">
        <v>6525</v>
      </c>
      <c r="C1556" s="2" t="s">
        <v>6526</v>
      </c>
      <c r="D1556" s="169">
        <v>46028.0</v>
      </c>
      <c r="E1556" s="2">
        <v>3.313900412E9</v>
      </c>
      <c r="F1556" s="2" t="s">
        <v>6527</v>
      </c>
      <c r="G1556" s="2" t="s">
        <v>493</v>
      </c>
      <c r="H1556" s="2">
        <v>2849.0</v>
      </c>
      <c r="I1556" s="2">
        <v>2.3120050021048E13</v>
      </c>
      <c r="J1556" s="3">
        <v>2.0</v>
      </c>
      <c r="K1556" s="2" t="s">
        <v>3673</v>
      </c>
      <c r="L1556" s="2" t="s">
        <v>926</v>
      </c>
      <c r="M1556" s="170" t="s">
        <v>455</v>
      </c>
      <c r="N1556" s="2" t="s">
        <v>406</v>
      </c>
      <c r="O1556" s="3">
        <v>0.5</v>
      </c>
      <c r="P1556" s="2" t="s">
        <v>363</v>
      </c>
      <c r="Q1556" s="3">
        <v>980.0</v>
      </c>
      <c r="T1556" s="2" t="s">
        <v>3674</v>
      </c>
      <c r="U1556" s="171">
        <v>0.0</v>
      </c>
      <c r="V1556" s="172">
        <v>46038.0</v>
      </c>
      <c r="W1556" s="3">
        <v>227.0</v>
      </c>
      <c r="X1556" s="172">
        <v>46057.642782835646</v>
      </c>
      <c r="Y1556" s="172"/>
      <c r="Z1556" s="3">
        <v>46028.0</v>
      </c>
      <c r="AA1556" s="3"/>
    </row>
    <row r="1557">
      <c r="A1557" s="3">
        <v>6.855432765699E12</v>
      </c>
      <c r="B1557" s="2" t="s">
        <v>6528</v>
      </c>
      <c r="C1557" s="2" t="s">
        <v>6529</v>
      </c>
      <c r="D1557" s="169">
        <v>46028.0</v>
      </c>
      <c r="E1557" s="2">
        <v>3.054775466E9</v>
      </c>
      <c r="F1557" s="2" t="s">
        <v>6530</v>
      </c>
      <c r="G1557" s="2" t="s">
        <v>368</v>
      </c>
      <c r="H1557" s="2">
        <v>2849.0</v>
      </c>
      <c r="I1557" s="2">
        <v>2.8120050021049E13</v>
      </c>
      <c r="J1557" s="3">
        <v>2.0</v>
      </c>
      <c r="L1557" s="2" t="s">
        <v>35</v>
      </c>
      <c r="M1557" s="174" t="s">
        <v>409</v>
      </c>
      <c r="N1557" s="2" t="s">
        <v>462</v>
      </c>
      <c r="O1557" s="3">
        <v>0.5</v>
      </c>
      <c r="P1557" s="2" t="s">
        <v>73</v>
      </c>
      <c r="Q1557" s="3">
        <v>980.0</v>
      </c>
      <c r="T1557" s="2" t="s">
        <v>4077</v>
      </c>
      <c r="U1557" s="171">
        <v>2849.0</v>
      </c>
      <c r="V1557" s="172">
        <v>46031.0</v>
      </c>
      <c r="W1557" s="3">
        <v>221.0</v>
      </c>
      <c r="X1557" s="172">
        <v>46029.76148148148</v>
      </c>
      <c r="Y1557" s="172"/>
      <c r="Z1557" s="3">
        <v>46028.0</v>
      </c>
      <c r="AA1557" s="3"/>
    </row>
    <row r="1558">
      <c r="A1558" s="3">
        <v>6.855453933827E12</v>
      </c>
      <c r="B1558" s="2" t="s">
        <v>6531</v>
      </c>
      <c r="C1558" s="2" t="s">
        <v>6532</v>
      </c>
      <c r="D1558" s="169">
        <v>46028.0</v>
      </c>
      <c r="E1558" s="2">
        <v>3.238539767E9</v>
      </c>
      <c r="F1558" s="2" t="s">
        <v>6533</v>
      </c>
      <c r="G1558" s="2" t="s">
        <v>366</v>
      </c>
      <c r="H1558" s="2">
        <v>5178.85</v>
      </c>
      <c r="I1558" s="2">
        <v>2.7120050021072E13</v>
      </c>
      <c r="J1558" s="3">
        <v>2.0</v>
      </c>
      <c r="L1558" s="2" t="s">
        <v>6534</v>
      </c>
      <c r="M1558" s="174" t="s">
        <v>409</v>
      </c>
      <c r="N1558" s="2" t="s">
        <v>462</v>
      </c>
      <c r="O1558" s="3">
        <v>0.5</v>
      </c>
      <c r="P1558" s="2" t="s">
        <v>363</v>
      </c>
      <c r="Q1558" s="3">
        <v>2380.0</v>
      </c>
      <c r="T1558" s="2" t="s">
        <v>3701</v>
      </c>
      <c r="U1558" s="171">
        <v>5178.85</v>
      </c>
      <c r="V1558" s="172">
        <v>46035.0</v>
      </c>
      <c r="W1558" s="3">
        <v>697.0</v>
      </c>
      <c r="X1558" s="172">
        <v>46031.61690972222</v>
      </c>
      <c r="Y1558" s="172"/>
      <c r="Z1558" s="3">
        <v>46028.0</v>
      </c>
      <c r="AA1558" s="3"/>
    </row>
    <row r="1559">
      <c r="A1559" s="3">
        <v>6.855502266627E12</v>
      </c>
      <c r="B1559" s="2" t="s">
        <v>6535</v>
      </c>
      <c r="C1559" s="2" t="s">
        <v>3650</v>
      </c>
      <c r="D1559" s="169">
        <v>46028.0</v>
      </c>
      <c r="E1559" s="2">
        <v>3.165724245E9</v>
      </c>
      <c r="F1559" s="2" t="s">
        <v>6536</v>
      </c>
      <c r="G1559" s="2" t="s">
        <v>3653</v>
      </c>
      <c r="H1559" s="2">
        <v>2953.0</v>
      </c>
      <c r="I1559" s="2">
        <v>2.912005002105E13</v>
      </c>
      <c r="J1559" s="3">
        <v>2.0</v>
      </c>
      <c r="L1559" s="2" t="s">
        <v>593</v>
      </c>
      <c r="M1559" s="174" t="s">
        <v>409</v>
      </c>
      <c r="N1559" s="2" t="s">
        <v>462</v>
      </c>
      <c r="O1559" s="3">
        <v>0.5</v>
      </c>
      <c r="P1559" s="2" t="s">
        <v>363</v>
      </c>
      <c r="Q1559" s="3">
        <v>1050.0</v>
      </c>
      <c r="T1559" s="2" t="s">
        <v>3701</v>
      </c>
      <c r="U1559" s="171">
        <v>2953.0</v>
      </c>
      <c r="V1559" s="172">
        <v>46035.0</v>
      </c>
      <c r="W1559" s="3">
        <v>332.0</v>
      </c>
      <c r="X1559" s="172">
        <v>46032.55506944444</v>
      </c>
      <c r="Y1559" s="172"/>
      <c r="Z1559" s="3">
        <v>46028.0</v>
      </c>
      <c r="AA1559" s="3"/>
    </row>
    <row r="1560">
      <c r="A1560" s="3">
        <v>6.855512424707E12</v>
      </c>
      <c r="B1560" s="2" t="s">
        <v>6537</v>
      </c>
      <c r="C1560" s="2" t="s">
        <v>6538</v>
      </c>
      <c r="D1560" s="169">
        <v>46028.0</v>
      </c>
      <c r="E1560" s="2">
        <v>3.700200148E9</v>
      </c>
      <c r="F1560" s="2" t="s">
        <v>6539</v>
      </c>
      <c r="G1560" s="2" t="s">
        <v>781</v>
      </c>
      <c r="H1560" s="2">
        <v>0.0</v>
      </c>
      <c r="J1560" s="3">
        <v>0.0</v>
      </c>
      <c r="K1560" s="2" t="s">
        <v>6540</v>
      </c>
      <c r="L1560" s="2"/>
      <c r="M1560" s="2" t="s">
        <v>468</v>
      </c>
      <c r="N1560" s="2" t="s">
        <v>406</v>
      </c>
      <c r="O1560" s="3">
        <v>0.5</v>
      </c>
      <c r="Q1560" s="3">
        <v>0.0</v>
      </c>
      <c r="U1560" s="141"/>
      <c r="X1560" s="172">
        <v>46057.642782835646</v>
      </c>
      <c r="Y1560" s="172"/>
      <c r="Z1560" s="3">
        <v>46028.0</v>
      </c>
      <c r="AA1560" s="3"/>
    </row>
    <row r="1561">
      <c r="A1561" s="3">
        <v>6.855832600835E12</v>
      </c>
      <c r="B1561" s="2" t="s">
        <v>6541</v>
      </c>
      <c r="C1561" s="2" t="s">
        <v>6542</v>
      </c>
      <c r="D1561" s="169">
        <v>46028.0</v>
      </c>
      <c r="E1561" s="2">
        <v>3.128888332E9</v>
      </c>
      <c r="F1561" s="2" t="s">
        <v>6543</v>
      </c>
      <c r="G1561" s="2" t="s">
        <v>6544</v>
      </c>
      <c r="H1561" s="2">
        <v>0.0</v>
      </c>
      <c r="J1561" s="3">
        <v>0.0</v>
      </c>
      <c r="K1561" s="2" t="s">
        <v>6545</v>
      </c>
      <c r="L1561" s="2"/>
      <c r="M1561" s="2" t="s">
        <v>468</v>
      </c>
      <c r="N1561" s="2" t="s">
        <v>406</v>
      </c>
      <c r="O1561" s="3">
        <v>0.5</v>
      </c>
      <c r="Q1561" s="3">
        <v>0.0</v>
      </c>
      <c r="U1561" s="141"/>
      <c r="X1561" s="172">
        <v>46057.642782835646</v>
      </c>
      <c r="Y1561" s="172"/>
      <c r="Z1561" s="3">
        <v>46028.0</v>
      </c>
      <c r="AA1561" s="3"/>
    </row>
    <row r="1562">
      <c r="A1562" s="3">
        <v>6.855842201859E12</v>
      </c>
      <c r="B1562" s="2" t="s">
        <v>6546</v>
      </c>
      <c r="C1562" s="2" t="s">
        <v>935</v>
      </c>
      <c r="D1562" s="169">
        <v>46028.0</v>
      </c>
      <c r="E1562" s="2">
        <v>3.16175806E9</v>
      </c>
      <c r="F1562" s="2" t="s">
        <v>6547</v>
      </c>
      <c r="G1562" s="2" t="s">
        <v>3068</v>
      </c>
      <c r="H1562" s="2">
        <v>0.0</v>
      </c>
      <c r="J1562" s="3">
        <v>0.0</v>
      </c>
      <c r="K1562" s="2" t="s">
        <v>760</v>
      </c>
      <c r="L1562" s="2"/>
      <c r="M1562" s="2" t="s">
        <v>468</v>
      </c>
      <c r="N1562" s="2" t="s">
        <v>406</v>
      </c>
      <c r="O1562" s="3">
        <v>0.5</v>
      </c>
      <c r="Q1562" s="3">
        <v>0.0</v>
      </c>
      <c r="U1562" s="141"/>
      <c r="X1562" s="172">
        <v>46057.642782835646</v>
      </c>
      <c r="Y1562" s="172"/>
      <c r="Z1562" s="3">
        <v>46028.0</v>
      </c>
      <c r="AA1562" s="3"/>
    </row>
    <row r="1563">
      <c r="A1563" s="3">
        <v>6.855849115907E12</v>
      </c>
      <c r="B1563" s="2" t="s">
        <v>6548</v>
      </c>
      <c r="C1563" s="2" t="s">
        <v>6549</v>
      </c>
      <c r="D1563" s="169">
        <v>46028.0</v>
      </c>
      <c r="E1563" s="173" t="s">
        <v>6550</v>
      </c>
      <c r="F1563" s="2" t="s">
        <v>6551</v>
      </c>
      <c r="G1563" s="2" t="s">
        <v>3310</v>
      </c>
      <c r="H1563" s="2">
        <v>2953.0</v>
      </c>
      <c r="I1563" s="2">
        <v>2.7120050021051E13</v>
      </c>
      <c r="J1563" s="3">
        <v>2.0</v>
      </c>
      <c r="K1563" s="2" t="s">
        <v>511</v>
      </c>
      <c r="L1563" s="2" t="s">
        <v>593</v>
      </c>
      <c r="M1563" s="174" t="s">
        <v>409</v>
      </c>
      <c r="N1563" s="2" t="s">
        <v>462</v>
      </c>
      <c r="O1563" s="3">
        <v>0.5</v>
      </c>
      <c r="P1563" s="2" t="s">
        <v>363</v>
      </c>
      <c r="Q1563" s="3">
        <v>1050.0</v>
      </c>
      <c r="T1563" s="2" t="s">
        <v>4077</v>
      </c>
      <c r="U1563" s="171">
        <v>2953.0</v>
      </c>
      <c r="V1563" s="172">
        <v>46031.0</v>
      </c>
      <c r="W1563" s="3">
        <v>318.0</v>
      </c>
      <c r="X1563" s="172">
        <v>46030.63840277778</v>
      </c>
      <c r="Y1563" s="172"/>
      <c r="Z1563" s="3">
        <v>46028.0</v>
      </c>
      <c r="AA1563" s="3"/>
    </row>
    <row r="1564">
      <c r="A1564" s="3">
        <v>6.855850426627E12</v>
      </c>
      <c r="B1564" s="2" t="s">
        <v>6552</v>
      </c>
      <c r="C1564" s="2" t="s">
        <v>6553</v>
      </c>
      <c r="D1564" s="169">
        <v>46028.0</v>
      </c>
      <c r="E1564" s="173" t="s">
        <v>6554</v>
      </c>
      <c r="F1564" s="2" t="s">
        <v>6555</v>
      </c>
      <c r="G1564" s="2" t="s">
        <v>688</v>
      </c>
      <c r="H1564" s="2">
        <v>2849.0</v>
      </c>
      <c r="I1564" s="2">
        <v>2.0120050021052E13</v>
      </c>
      <c r="J1564" s="3">
        <v>2.0</v>
      </c>
      <c r="K1564" s="2" t="s">
        <v>6556</v>
      </c>
      <c r="L1564" s="2" t="s">
        <v>35</v>
      </c>
      <c r="M1564" s="170" t="s">
        <v>455</v>
      </c>
      <c r="N1564" s="2" t="s">
        <v>406</v>
      </c>
      <c r="O1564" s="3">
        <v>0.5</v>
      </c>
      <c r="P1564" s="2" t="s">
        <v>363</v>
      </c>
      <c r="Q1564" s="3">
        <v>980.0</v>
      </c>
      <c r="T1564" s="2" t="s">
        <v>3674</v>
      </c>
      <c r="U1564" s="171">
        <v>0.0</v>
      </c>
      <c r="V1564" s="172">
        <v>46038.0</v>
      </c>
      <c r="W1564" s="3">
        <v>200.0</v>
      </c>
      <c r="X1564" s="172">
        <v>46057.642782835646</v>
      </c>
      <c r="Y1564" s="172"/>
      <c r="Z1564" s="3">
        <v>46028.0</v>
      </c>
      <c r="AA1564" s="3"/>
    </row>
    <row r="1565">
      <c r="A1565" s="3">
        <v>6.855851704579E12</v>
      </c>
      <c r="B1565" s="2" t="s">
        <v>6557</v>
      </c>
      <c r="C1565" s="2" t="s">
        <v>935</v>
      </c>
      <c r="D1565" s="169">
        <v>46028.0</v>
      </c>
      <c r="E1565" s="173" t="s">
        <v>6558</v>
      </c>
      <c r="F1565" s="2" t="s">
        <v>6559</v>
      </c>
      <c r="G1565" s="2" t="s">
        <v>3068</v>
      </c>
      <c r="H1565" s="2">
        <v>3421.0</v>
      </c>
      <c r="I1565" s="2">
        <v>2.5120050021053E13</v>
      </c>
      <c r="J1565" s="3">
        <v>1.0</v>
      </c>
      <c r="K1565" s="2" t="s">
        <v>511</v>
      </c>
      <c r="L1565" s="2" t="s">
        <v>3519</v>
      </c>
      <c r="M1565" s="174" t="s">
        <v>409</v>
      </c>
      <c r="N1565" s="2" t="s">
        <v>462</v>
      </c>
      <c r="O1565" s="3">
        <v>0.5</v>
      </c>
      <c r="P1565" s="2" t="s">
        <v>363</v>
      </c>
      <c r="Q1565" s="3">
        <v>1400.0</v>
      </c>
      <c r="T1565" s="2" t="s">
        <v>3701</v>
      </c>
      <c r="U1565" s="171">
        <v>3421.0</v>
      </c>
      <c r="V1565" s="172">
        <v>46035.0</v>
      </c>
      <c r="W1565" s="3">
        <v>337.0</v>
      </c>
      <c r="X1565" s="172">
        <v>46032.63429398148</v>
      </c>
      <c r="Y1565" s="172"/>
      <c r="Z1565" s="3">
        <v>46028.0</v>
      </c>
      <c r="AA1565" s="3"/>
    </row>
    <row r="1566">
      <c r="A1566" s="3">
        <v>6.855861731587E12</v>
      </c>
      <c r="B1566" s="2" t="s">
        <v>6560</v>
      </c>
      <c r="C1566" s="2" t="s">
        <v>6561</v>
      </c>
      <c r="D1566" s="169">
        <v>46028.0</v>
      </c>
      <c r="E1566" s="173" t="s">
        <v>6562</v>
      </c>
      <c r="F1566" s="2" t="s">
        <v>6563</v>
      </c>
      <c r="G1566" s="2" t="s">
        <v>1323</v>
      </c>
      <c r="H1566" s="2">
        <v>0.0</v>
      </c>
      <c r="I1566" s="2">
        <v>2.3120050021054E13</v>
      </c>
      <c r="J1566" s="3">
        <v>0.0</v>
      </c>
      <c r="K1566" s="2" t="s">
        <v>6564</v>
      </c>
      <c r="L1566" s="2"/>
      <c r="M1566" s="170" t="s">
        <v>455</v>
      </c>
      <c r="N1566" s="2" t="s">
        <v>406</v>
      </c>
      <c r="O1566" s="3">
        <v>0.5</v>
      </c>
      <c r="P1566" s="2" t="s">
        <v>363</v>
      </c>
      <c r="Q1566" s="3">
        <v>0.0</v>
      </c>
      <c r="T1566" s="2" t="s">
        <v>3674</v>
      </c>
      <c r="U1566" s="171">
        <v>0.0</v>
      </c>
      <c r="V1566" s="172">
        <v>46038.0</v>
      </c>
      <c r="W1566" s="3">
        <v>200.0</v>
      </c>
      <c r="X1566" s="172">
        <v>46057.642782835646</v>
      </c>
      <c r="Y1566" s="172"/>
      <c r="Z1566" s="3">
        <v>46028.0</v>
      </c>
      <c r="AA1566" s="3"/>
    </row>
    <row r="1567">
      <c r="A1567" s="3">
        <v>6.855872610563E12</v>
      </c>
      <c r="B1567" s="2" t="s">
        <v>6565</v>
      </c>
      <c r="C1567" s="2" t="s">
        <v>6566</v>
      </c>
      <c r="D1567" s="169">
        <v>46028.0</v>
      </c>
      <c r="E1567" s="2">
        <v>3.007069865E9</v>
      </c>
      <c r="F1567" s="2" t="s">
        <v>6567</v>
      </c>
      <c r="G1567" s="2" t="s">
        <v>493</v>
      </c>
      <c r="H1567" s="2">
        <v>3213.0</v>
      </c>
      <c r="I1567" s="2">
        <v>2.6120050021055E13</v>
      </c>
      <c r="J1567" s="3">
        <v>2.0</v>
      </c>
      <c r="L1567" s="2" t="s">
        <v>662</v>
      </c>
      <c r="M1567" s="174" t="s">
        <v>409</v>
      </c>
      <c r="N1567" s="2" t="s">
        <v>462</v>
      </c>
      <c r="O1567" s="3">
        <v>0.5</v>
      </c>
      <c r="P1567" s="2" t="s">
        <v>363</v>
      </c>
      <c r="Q1567" s="3">
        <v>960.0</v>
      </c>
      <c r="T1567" s="2" t="s">
        <v>3701</v>
      </c>
      <c r="U1567" s="171">
        <v>3213.0</v>
      </c>
      <c r="V1567" s="172">
        <v>46035.0</v>
      </c>
      <c r="W1567" s="3">
        <v>342.0</v>
      </c>
      <c r="X1567" s="172">
        <v>46032.54740740741</v>
      </c>
      <c r="Y1567" s="172"/>
      <c r="Z1567" s="3">
        <v>46028.0</v>
      </c>
      <c r="AA1567" s="3"/>
    </row>
    <row r="1568">
      <c r="A1568" s="3">
        <v>6.855873888515E12</v>
      </c>
      <c r="B1568" s="2" t="s">
        <v>6568</v>
      </c>
      <c r="C1568" s="2" t="s">
        <v>6569</v>
      </c>
      <c r="D1568" s="169">
        <v>46028.0</v>
      </c>
      <c r="E1568" s="173" t="s">
        <v>6570</v>
      </c>
      <c r="F1568" s="2" t="s">
        <v>6571</v>
      </c>
      <c r="G1568" s="2" t="s">
        <v>1257</v>
      </c>
      <c r="H1568" s="2">
        <v>0.0</v>
      </c>
      <c r="I1568" s="2">
        <v>2.0120050021056E13</v>
      </c>
      <c r="J1568" s="3">
        <v>0.0</v>
      </c>
      <c r="K1568" s="2" t="s">
        <v>6572</v>
      </c>
      <c r="L1568" s="2"/>
      <c r="M1568" s="170" t="s">
        <v>455</v>
      </c>
      <c r="N1568" s="2" t="s">
        <v>406</v>
      </c>
      <c r="O1568" s="3">
        <v>0.5</v>
      </c>
      <c r="P1568" s="2" t="s">
        <v>363</v>
      </c>
      <c r="Q1568" s="3">
        <v>0.0</v>
      </c>
      <c r="T1568" s="2" t="s">
        <v>3674</v>
      </c>
      <c r="U1568" s="171">
        <v>0.0</v>
      </c>
      <c r="V1568" s="172">
        <v>46038.0</v>
      </c>
      <c r="W1568" s="3">
        <v>200.0</v>
      </c>
      <c r="X1568" s="172">
        <v>46057.642782835646</v>
      </c>
      <c r="Y1568" s="172"/>
      <c r="Z1568" s="3">
        <v>46028.0</v>
      </c>
      <c r="AA1568" s="3"/>
    </row>
    <row r="1569">
      <c r="A1569" s="3">
        <v>6.855874478339E12</v>
      </c>
      <c r="B1569" s="2" t="s">
        <v>6573</v>
      </c>
      <c r="C1569" s="2" t="s">
        <v>6569</v>
      </c>
      <c r="D1569" s="169">
        <v>46028.0</v>
      </c>
      <c r="E1569" s="2">
        <v>3.275759364E9</v>
      </c>
      <c r="F1569" s="2" t="s">
        <v>6574</v>
      </c>
      <c r="G1569" s="2" t="s">
        <v>1257</v>
      </c>
      <c r="H1569" s="2">
        <v>0.0</v>
      </c>
      <c r="J1569" s="3">
        <v>0.0</v>
      </c>
      <c r="K1569" s="2" t="s">
        <v>760</v>
      </c>
      <c r="L1569" s="2"/>
      <c r="M1569" s="2" t="s">
        <v>468</v>
      </c>
      <c r="N1569" s="2" t="s">
        <v>406</v>
      </c>
      <c r="O1569" s="3">
        <v>0.5</v>
      </c>
      <c r="Q1569" s="3">
        <v>0.0</v>
      </c>
      <c r="U1569" s="141"/>
      <c r="X1569" s="172">
        <v>46057.642782835646</v>
      </c>
      <c r="Y1569" s="172"/>
      <c r="Z1569" s="3">
        <v>46028.0</v>
      </c>
      <c r="AA1569" s="3"/>
    </row>
    <row r="1570">
      <c r="A1570" s="3">
        <v>6.855938605315E12</v>
      </c>
      <c r="B1570" s="2" t="s">
        <v>6575</v>
      </c>
      <c r="C1570" s="2" t="s">
        <v>2468</v>
      </c>
      <c r="D1570" s="169">
        <v>46028.0</v>
      </c>
      <c r="E1570" s="2">
        <v>3.008869655E9</v>
      </c>
      <c r="F1570" s="2" t="s">
        <v>6576</v>
      </c>
      <c r="G1570" s="2" t="s">
        <v>701</v>
      </c>
      <c r="H1570" s="2">
        <v>2849.0</v>
      </c>
      <c r="I1570" s="2">
        <v>2.3120050021057E13</v>
      </c>
      <c r="J1570" s="3">
        <v>2.0</v>
      </c>
      <c r="L1570" s="2" t="s">
        <v>16</v>
      </c>
      <c r="M1570" s="174" t="s">
        <v>409</v>
      </c>
      <c r="N1570" s="2" t="s">
        <v>462</v>
      </c>
      <c r="O1570" s="3">
        <v>0.5</v>
      </c>
      <c r="P1570" s="2" t="s">
        <v>363</v>
      </c>
      <c r="Q1570" s="3">
        <v>980.0</v>
      </c>
      <c r="T1570" s="2" t="s">
        <v>4077</v>
      </c>
      <c r="U1570" s="171">
        <v>2849.0</v>
      </c>
      <c r="V1570" s="172">
        <v>46031.0</v>
      </c>
      <c r="W1570" s="3">
        <v>314.0</v>
      </c>
      <c r="X1570" s="172">
        <v>46030.435636574075</v>
      </c>
      <c r="Y1570" s="172"/>
      <c r="Z1570" s="3">
        <v>46028.0</v>
      </c>
      <c r="AA1570" s="3"/>
    </row>
    <row r="1571">
      <c r="A1571" s="3">
        <v>6.855981138179E12</v>
      </c>
      <c r="B1571" s="2" t="s">
        <v>6577</v>
      </c>
      <c r="C1571" s="2" t="s">
        <v>6578</v>
      </c>
      <c r="D1571" s="169">
        <v>46028.0</v>
      </c>
      <c r="E1571" s="173" t="s">
        <v>6579</v>
      </c>
      <c r="F1571" s="2" t="s">
        <v>6580</v>
      </c>
      <c r="G1571" s="2" t="s">
        <v>6581</v>
      </c>
      <c r="H1571" s="2">
        <v>3249.0</v>
      </c>
      <c r="I1571" s="2">
        <v>2.7120050021058E13</v>
      </c>
      <c r="J1571" s="3">
        <v>3.0</v>
      </c>
      <c r="K1571" s="2" t="s">
        <v>6582</v>
      </c>
      <c r="L1571" s="2" t="s">
        <v>6583</v>
      </c>
      <c r="M1571" s="170" t="s">
        <v>455</v>
      </c>
      <c r="N1571" s="2" t="s">
        <v>406</v>
      </c>
      <c r="O1571" s="3">
        <v>0.5</v>
      </c>
      <c r="P1571" s="2" t="s">
        <v>363</v>
      </c>
      <c r="Q1571" s="3">
        <v>1420.0</v>
      </c>
      <c r="T1571" s="2" t="s">
        <v>4910</v>
      </c>
      <c r="U1571" s="171">
        <v>0.0</v>
      </c>
      <c r="V1571" s="172">
        <v>46042.0</v>
      </c>
      <c r="W1571" s="3">
        <v>200.1</v>
      </c>
      <c r="X1571" s="172">
        <v>46057.642782835646</v>
      </c>
      <c r="Y1571" s="172"/>
      <c r="Z1571" s="3">
        <v>46028.0</v>
      </c>
      <c r="AA1571" s="3"/>
    </row>
    <row r="1572">
      <c r="A1572" s="3">
        <v>6.855987462403E12</v>
      </c>
      <c r="B1572" s="2" t="s">
        <v>6584</v>
      </c>
      <c r="C1572" s="2" t="s">
        <v>6585</v>
      </c>
      <c r="D1572" s="169">
        <v>46028.0</v>
      </c>
      <c r="E1572" s="173" t="s">
        <v>6586</v>
      </c>
      <c r="F1572" s="2" t="s">
        <v>6587</v>
      </c>
      <c r="G1572" s="2" t="s">
        <v>2807</v>
      </c>
      <c r="H1572" s="2">
        <v>249.0</v>
      </c>
      <c r="I1572" s="2" t="s">
        <v>6588</v>
      </c>
      <c r="J1572" s="3">
        <v>0.0</v>
      </c>
      <c r="K1572" s="2" t="s">
        <v>2055</v>
      </c>
      <c r="L1572" s="2"/>
      <c r="M1572" s="170" t="s">
        <v>455</v>
      </c>
      <c r="N1572" s="2" t="s">
        <v>406</v>
      </c>
      <c r="O1572" s="3">
        <v>0.5</v>
      </c>
      <c r="P1572" s="2" t="s">
        <v>640</v>
      </c>
      <c r="Q1572" s="3">
        <v>0.0</v>
      </c>
      <c r="U1572" s="141"/>
      <c r="W1572" s="3">
        <v>289.94</v>
      </c>
      <c r="X1572" s="172">
        <v>46057.642782835646</v>
      </c>
      <c r="Y1572" s="172"/>
      <c r="Z1572" s="3">
        <v>46028.0</v>
      </c>
      <c r="AA1572" s="3"/>
    </row>
    <row r="1573">
      <c r="A1573" s="3">
        <v>6.856014397699E12</v>
      </c>
      <c r="B1573" s="2" t="s">
        <v>6589</v>
      </c>
      <c r="C1573" s="2" t="s">
        <v>6590</v>
      </c>
      <c r="D1573" s="169">
        <v>46028.0</v>
      </c>
      <c r="E1573" s="173" t="s">
        <v>6591</v>
      </c>
      <c r="F1573" s="2" t="s">
        <v>6592</v>
      </c>
      <c r="G1573" s="2" t="s">
        <v>4949</v>
      </c>
      <c r="H1573" s="2">
        <v>2953.0</v>
      </c>
      <c r="I1573" s="2">
        <v>2.3120050021064E13</v>
      </c>
      <c r="J1573" s="3">
        <v>2.0</v>
      </c>
      <c r="K1573" s="2" t="s">
        <v>511</v>
      </c>
      <c r="L1573" s="2" t="s">
        <v>593</v>
      </c>
      <c r="M1573" s="174" t="s">
        <v>409</v>
      </c>
      <c r="N1573" s="2" t="s">
        <v>462</v>
      </c>
      <c r="O1573" s="3">
        <v>0.5</v>
      </c>
      <c r="P1573" s="2" t="s">
        <v>363</v>
      </c>
      <c r="Q1573" s="3">
        <v>1050.0</v>
      </c>
      <c r="T1573" s="2" t="s">
        <v>3701</v>
      </c>
      <c r="U1573" s="171">
        <v>2953.0</v>
      </c>
      <c r="V1573" s="172">
        <v>46035.0</v>
      </c>
      <c r="W1573" s="3">
        <v>318.0</v>
      </c>
      <c r="X1573" s="172">
        <v>46031.58699074074</v>
      </c>
      <c r="Y1573" s="172"/>
      <c r="Z1573" s="3">
        <v>46028.0</v>
      </c>
      <c r="AA1573" s="3"/>
    </row>
    <row r="1574">
      <c r="A1574" s="3">
        <v>6.856043725059E12</v>
      </c>
      <c r="B1574" s="2" t="s">
        <v>6593</v>
      </c>
      <c r="C1574" s="2" t="s">
        <v>6594</v>
      </c>
      <c r="D1574" s="169">
        <v>46028.0</v>
      </c>
      <c r="E1574" s="173" t="s">
        <v>6595</v>
      </c>
      <c r="F1574" s="2" t="s">
        <v>6596</v>
      </c>
      <c r="G1574" s="2" t="s">
        <v>1619</v>
      </c>
      <c r="H1574" s="2">
        <v>3250.0</v>
      </c>
      <c r="I1574" s="2">
        <v>2.2120050021071E13</v>
      </c>
      <c r="J1574" s="3">
        <v>3.0</v>
      </c>
      <c r="K1574" s="2" t="s">
        <v>1989</v>
      </c>
      <c r="L1574" s="2" t="s">
        <v>6597</v>
      </c>
      <c r="M1574" s="174" t="s">
        <v>409</v>
      </c>
      <c r="N1574" s="2" t="s">
        <v>462</v>
      </c>
      <c r="O1574" s="3">
        <v>0.5</v>
      </c>
      <c r="P1574" s="2" t="s">
        <v>363</v>
      </c>
      <c r="Q1574" s="3">
        <v>1480.0</v>
      </c>
      <c r="T1574" s="2" t="s">
        <v>4077</v>
      </c>
      <c r="U1574" s="171">
        <v>3250.0</v>
      </c>
      <c r="V1574" s="172">
        <v>46031.0</v>
      </c>
      <c r="W1574" s="3">
        <v>250.0</v>
      </c>
      <c r="X1574" s="172">
        <v>46030.62311342593</v>
      </c>
      <c r="Y1574" s="172"/>
      <c r="Z1574" s="3">
        <v>46028.0</v>
      </c>
      <c r="AA1574" s="3"/>
    </row>
    <row r="1575">
      <c r="A1575" s="3">
        <v>6.856058536195E12</v>
      </c>
      <c r="B1575" s="2" t="s">
        <v>6598</v>
      </c>
      <c r="C1575" s="2" t="s">
        <v>6599</v>
      </c>
      <c r="D1575" s="169">
        <v>46028.0</v>
      </c>
      <c r="E1575" s="2">
        <v>3.06540952E9</v>
      </c>
      <c r="F1575" s="2" t="s">
        <v>6600</v>
      </c>
      <c r="G1575" s="2" t="s">
        <v>6601</v>
      </c>
      <c r="H1575" s="2">
        <v>2121.0</v>
      </c>
      <c r="I1575" s="2">
        <v>2.5120050021074E13</v>
      </c>
      <c r="J1575" s="3">
        <v>1.0</v>
      </c>
      <c r="L1575" s="2" t="s">
        <v>6602</v>
      </c>
      <c r="M1575" s="174" t="s">
        <v>409</v>
      </c>
      <c r="N1575" s="2" t="s">
        <v>462</v>
      </c>
      <c r="O1575" s="3">
        <v>0.5</v>
      </c>
      <c r="P1575" s="2" t="s">
        <v>363</v>
      </c>
      <c r="Q1575" s="3">
        <v>460.0</v>
      </c>
      <c r="T1575" s="2" t="s">
        <v>3701</v>
      </c>
      <c r="U1575" s="171">
        <v>2121.0</v>
      </c>
      <c r="V1575" s="172">
        <v>46035.0</v>
      </c>
      <c r="W1575" s="3">
        <v>285.0</v>
      </c>
      <c r="X1575" s="172">
        <v>46031.57380787037</v>
      </c>
      <c r="Y1575" s="172"/>
      <c r="Z1575" s="3">
        <v>46028.0</v>
      </c>
      <c r="AA1575" s="3"/>
    </row>
    <row r="1576">
      <c r="A1576" s="3">
        <v>6.856119025923E12</v>
      </c>
      <c r="B1576" s="2" t="s">
        <v>6603</v>
      </c>
      <c r="C1576" s="2" t="s">
        <v>6604</v>
      </c>
      <c r="D1576" s="169">
        <v>46028.0</v>
      </c>
      <c r="E1576" s="173" t="s">
        <v>6605</v>
      </c>
      <c r="F1576" s="2" t="s">
        <v>6606</v>
      </c>
      <c r="G1576" s="2" t="s">
        <v>2124</v>
      </c>
      <c r="H1576" s="2">
        <v>2069.0</v>
      </c>
      <c r="I1576" s="2">
        <v>2.6120050021092E13</v>
      </c>
      <c r="J1576" s="3">
        <v>1.0</v>
      </c>
      <c r="K1576" s="2" t="s">
        <v>6607</v>
      </c>
      <c r="L1576" s="2" t="s">
        <v>6608</v>
      </c>
      <c r="M1576" s="170" t="s">
        <v>455</v>
      </c>
      <c r="N1576" s="2" t="s">
        <v>406</v>
      </c>
      <c r="O1576" s="3">
        <v>0.5</v>
      </c>
      <c r="P1576" s="2" t="s">
        <v>363</v>
      </c>
      <c r="Q1576" s="3">
        <v>1100.0</v>
      </c>
      <c r="T1576" s="2" t="s">
        <v>4910</v>
      </c>
      <c r="U1576" s="171">
        <v>0.0</v>
      </c>
      <c r="V1576" s="172">
        <v>46042.0</v>
      </c>
      <c r="W1576" s="3">
        <v>213.44</v>
      </c>
      <c r="X1576" s="172">
        <v>46057.642782835646</v>
      </c>
      <c r="Y1576" s="172"/>
      <c r="Z1576" s="3">
        <v>46028.0</v>
      </c>
      <c r="AA1576" s="3"/>
    </row>
    <row r="1577">
      <c r="A1577" s="3">
        <v>6.856129511683E12</v>
      </c>
      <c r="B1577" s="2" t="s">
        <v>6609</v>
      </c>
      <c r="C1577" s="2" t="s">
        <v>6610</v>
      </c>
      <c r="D1577" s="169">
        <v>46028.0</v>
      </c>
      <c r="E1577" s="2">
        <v>3.171870899E9</v>
      </c>
      <c r="F1577" s="2" t="s">
        <v>6611</v>
      </c>
      <c r="G1577" s="2" t="s">
        <v>493</v>
      </c>
      <c r="H1577" s="2">
        <v>249.0</v>
      </c>
      <c r="I1577" s="2">
        <v>2.912005002107E13</v>
      </c>
      <c r="J1577" s="3">
        <v>0.0</v>
      </c>
      <c r="K1577" s="2" t="s">
        <v>6612</v>
      </c>
      <c r="L1577" s="2"/>
      <c r="M1577" s="170" t="s">
        <v>455</v>
      </c>
      <c r="N1577" s="2" t="s">
        <v>406</v>
      </c>
      <c r="O1577" s="3">
        <v>0.5</v>
      </c>
      <c r="P1577" s="2" t="s">
        <v>363</v>
      </c>
      <c r="Q1577" s="3">
        <v>0.0</v>
      </c>
      <c r="U1577" s="141"/>
      <c r="W1577" s="3">
        <v>213.0</v>
      </c>
      <c r="X1577" s="172">
        <v>46057.642782835646</v>
      </c>
      <c r="Y1577" s="172"/>
      <c r="Z1577" s="3">
        <v>46028.0</v>
      </c>
      <c r="AA1577" s="3"/>
    </row>
    <row r="1578">
      <c r="A1578" s="3">
        <v>6.856163590403E12</v>
      </c>
      <c r="B1578" s="2" t="s">
        <v>6613</v>
      </c>
      <c r="C1578" s="2" t="s">
        <v>6614</v>
      </c>
      <c r="D1578" s="169">
        <v>46028.0</v>
      </c>
      <c r="E1578" s="2">
        <v>3.006854216E9</v>
      </c>
      <c r="F1578" s="2" t="s">
        <v>6615</v>
      </c>
      <c r="G1578" s="2" t="s">
        <v>6616</v>
      </c>
      <c r="H1578" s="2">
        <v>2901.0</v>
      </c>
      <c r="I1578" s="2" t="s">
        <v>6617</v>
      </c>
      <c r="J1578" s="3">
        <v>1.0</v>
      </c>
      <c r="K1578" s="2" t="s">
        <v>6618</v>
      </c>
      <c r="L1578" s="2" t="s">
        <v>512</v>
      </c>
      <c r="M1578" s="174" t="s">
        <v>409</v>
      </c>
      <c r="N1578" s="2" t="s">
        <v>462</v>
      </c>
      <c r="O1578" s="3">
        <v>0.5</v>
      </c>
      <c r="P1578" s="2" t="s">
        <v>640</v>
      </c>
      <c r="Q1578" s="3">
        <v>850.0</v>
      </c>
      <c r="T1578" s="2" t="s">
        <v>5874</v>
      </c>
      <c r="U1578" s="171">
        <v>2901.0</v>
      </c>
      <c r="V1578" s="172">
        <v>46023.0</v>
      </c>
      <c r="W1578" s="3">
        <v>289.94</v>
      </c>
      <c r="X1578" s="172">
        <v>46057.73300407408</v>
      </c>
      <c r="Y1578" s="172"/>
      <c r="Z1578" s="3">
        <v>46028.0</v>
      </c>
      <c r="AA1578" s="3"/>
    </row>
    <row r="1579">
      <c r="A1579" s="3">
        <v>6.856255013123E12</v>
      </c>
      <c r="B1579" s="2" t="s">
        <v>6619</v>
      </c>
      <c r="C1579" s="2" t="s">
        <v>6620</v>
      </c>
      <c r="D1579" s="169">
        <v>46028.0</v>
      </c>
      <c r="E1579" s="173" t="s">
        <v>6621</v>
      </c>
      <c r="F1579" s="2" t="s">
        <v>6622</v>
      </c>
      <c r="G1579" s="2" t="s">
        <v>506</v>
      </c>
      <c r="H1579" s="2">
        <v>2849.0</v>
      </c>
      <c r="I1579" s="2">
        <v>2.8120050021069E13</v>
      </c>
      <c r="J1579" s="3">
        <v>2.0</v>
      </c>
      <c r="L1579" s="2" t="s">
        <v>926</v>
      </c>
      <c r="M1579" s="174" t="s">
        <v>409</v>
      </c>
      <c r="N1579" s="2" t="s">
        <v>462</v>
      </c>
      <c r="O1579" s="3">
        <v>0.5</v>
      </c>
      <c r="P1579" s="2" t="s">
        <v>73</v>
      </c>
      <c r="Q1579" s="3">
        <v>980.0</v>
      </c>
      <c r="T1579" s="2" t="s">
        <v>3701</v>
      </c>
      <c r="U1579" s="171">
        <v>2849.0</v>
      </c>
      <c r="V1579" s="172">
        <v>46035.0</v>
      </c>
      <c r="W1579" s="3">
        <v>314.0</v>
      </c>
      <c r="X1579" s="172">
        <v>46031.62659722222</v>
      </c>
      <c r="Y1579" s="172"/>
      <c r="Z1579" s="3">
        <v>46028.0</v>
      </c>
      <c r="AA1579" s="3"/>
    </row>
    <row r="1580">
      <c r="A1580" s="3">
        <v>6.856327266563E12</v>
      </c>
      <c r="B1580" s="2" t="s">
        <v>6623</v>
      </c>
      <c r="C1580" s="2" t="s">
        <v>6624</v>
      </c>
      <c r="D1580" s="169">
        <v>46028.0</v>
      </c>
      <c r="E1580" s="173" t="s">
        <v>6625</v>
      </c>
      <c r="F1580" s="2" t="s">
        <v>6626</v>
      </c>
      <c r="G1580" s="2" t="s">
        <v>672</v>
      </c>
      <c r="H1580" s="2">
        <v>2798.04</v>
      </c>
      <c r="I1580" s="2">
        <v>2.1120050021068E13</v>
      </c>
      <c r="J1580" s="3">
        <v>2.0</v>
      </c>
      <c r="L1580" s="2" t="s">
        <v>27</v>
      </c>
      <c r="M1580" s="174" t="s">
        <v>409</v>
      </c>
      <c r="N1580" s="2" t="s">
        <v>462</v>
      </c>
      <c r="O1580" s="3">
        <v>0.5</v>
      </c>
      <c r="P1580" s="2" t="s">
        <v>73</v>
      </c>
      <c r="Q1580" s="3">
        <v>920.0</v>
      </c>
      <c r="T1580" s="2" t="s">
        <v>3701</v>
      </c>
      <c r="U1580" s="171">
        <v>2798.04</v>
      </c>
      <c r="V1580" s="172">
        <v>46035.0</v>
      </c>
      <c r="W1580" s="3">
        <v>213.0</v>
      </c>
      <c r="X1580" s="172">
        <v>46034.582916666666</v>
      </c>
      <c r="Y1580" s="172"/>
      <c r="Z1580" s="3">
        <v>46028.0</v>
      </c>
      <c r="AA1580" s="3"/>
    </row>
    <row r="1581">
      <c r="A1581" s="3">
        <v>6.856464761091E12</v>
      </c>
      <c r="B1581" s="2" t="s">
        <v>6627</v>
      </c>
      <c r="C1581" s="2" t="s">
        <v>1352</v>
      </c>
      <c r="D1581" s="169">
        <v>46028.0</v>
      </c>
      <c r="E1581" s="2">
        <v>3.465271053E9</v>
      </c>
      <c r="F1581" s="2" t="s">
        <v>6628</v>
      </c>
      <c r="G1581" s="2" t="s">
        <v>1873</v>
      </c>
      <c r="H1581" s="2">
        <v>3878.6</v>
      </c>
      <c r="I1581" s="2">
        <v>1.73009684973E11</v>
      </c>
      <c r="J1581" s="3">
        <v>2.0</v>
      </c>
      <c r="K1581" s="2" t="s">
        <v>6629</v>
      </c>
      <c r="L1581" s="2" t="s">
        <v>994</v>
      </c>
      <c r="M1581" s="174" t="s">
        <v>409</v>
      </c>
      <c r="N1581" s="2" t="s">
        <v>462</v>
      </c>
      <c r="O1581" s="3">
        <v>0.5</v>
      </c>
      <c r="P1581" s="2" t="s">
        <v>501</v>
      </c>
      <c r="Q1581" s="3">
        <v>1700.0</v>
      </c>
      <c r="T1581" s="2" t="s">
        <v>5751</v>
      </c>
      <c r="U1581" s="171">
        <v>3878.6</v>
      </c>
      <c r="V1581" s="172">
        <v>46023.0</v>
      </c>
      <c r="W1581" s="3">
        <v>653.9</v>
      </c>
      <c r="X1581" s="172">
        <v>46057.73301141204</v>
      </c>
      <c r="Y1581" s="172"/>
      <c r="Z1581" s="3">
        <v>46028.0</v>
      </c>
      <c r="AA1581" s="3"/>
    </row>
    <row r="1582">
      <c r="A1582" s="3">
        <v>6.856615788803E12</v>
      </c>
      <c r="B1582" s="2" t="s">
        <v>6630</v>
      </c>
      <c r="C1582" s="2" t="s">
        <v>6631</v>
      </c>
      <c r="D1582" s="169">
        <v>46029.0</v>
      </c>
      <c r="E1582" s="2">
        <v>3.002686605E9</v>
      </c>
      <c r="F1582" s="2" t="s">
        <v>6632</v>
      </c>
      <c r="G1582" s="2" t="s">
        <v>493</v>
      </c>
      <c r="H1582" s="2">
        <v>3213.0</v>
      </c>
      <c r="I1582" s="2">
        <v>2.2120050021175E13</v>
      </c>
      <c r="J1582" s="3">
        <v>2.0</v>
      </c>
      <c r="K1582" s="2" t="s">
        <v>6290</v>
      </c>
      <c r="L1582" s="2" t="s">
        <v>228</v>
      </c>
      <c r="M1582" s="174" t="s">
        <v>409</v>
      </c>
      <c r="N1582" s="2" t="s">
        <v>462</v>
      </c>
      <c r="O1582" s="3">
        <v>0.5</v>
      </c>
      <c r="P1582" s="2" t="s">
        <v>363</v>
      </c>
      <c r="Q1582" s="3">
        <v>920.0</v>
      </c>
      <c r="T1582" s="2" t="s">
        <v>4910</v>
      </c>
      <c r="U1582" s="171">
        <v>3213.0</v>
      </c>
      <c r="V1582" s="172">
        <v>46042.0</v>
      </c>
      <c r="W1582" s="3">
        <v>341.96</v>
      </c>
      <c r="X1582" s="172">
        <v>46041.80574074074</v>
      </c>
      <c r="Y1582" s="172"/>
      <c r="Z1582" s="3">
        <v>46029.0</v>
      </c>
      <c r="AA1582" s="3"/>
    </row>
    <row r="1583">
      <c r="A1583" s="3">
        <v>6.856649572611E12</v>
      </c>
      <c r="B1583" s="2" t="s">
        <v>6633</v>
      </c>
      <c r="C1583" s="2" t="s">
        <v>6634</v>
      </c>
      <c r="D1583" s="169">
        <v>46029.0</v>
      </c>
      <c r="E1583" s="2">
        <v>3.400677778E9</v>
      </c>
      <c r="F1583" s="2" t="s">
        <v>6635</v>
      </c>
      <c r="G1583" s="2" t="s">
        <v>368</v>
      </c>
      <c r="H1583" s="2">
        <v>3213.0</v>
      </c>
      <c r="I1583" s="2">
        <v>2.6120050021067E13</v>
      </c>
      <c r="J1583" s="3">
        <v>2.0</v>
      </c>
      <c r="L1583" s="2" t="s">
        <v>1116</v>
      </c>
      <c r="M1583" s="174" t="s">
        <v>409</v>
      </c>
      <c r="N1583" s="2" t="s">
        <v>462</v>
      </c>
      <c r="O1583" s="3">
        <v>0.5</v>
      </c>
      <c r="P1583" s="2" t="s">
        <v>363</v>
      </c>
      <c r="Q1583" s="3">
        <v>960.0</v>
      </c>
      <c r="T1583" s="2" t="s">
        <v>4077</v>
      </c>
      <c r="U1583" s="171">
        <v>3213.0</v>
      </c>
      <c r="V1583" s="172">
        <v>46031.0</v>
      </c>
      <c r="W1583" s="3">
        <v>235.0</v>
      </c>
      <c r="X1583" s="172">
        <v>46030.660682870366</v>
      </c>
      <c r="Y1583" s="172"/>
      <c r="Z1583" s="3">
        <v>46029.0</v>
      </c>
      <c r="AA1583" s="3"/>
    </row>
    <row r="1584">
      <c r="A1584" s="3">
        <v>6.856821965059E12</v>
      </c>
      <c r="B1584" s="2" t="s">
        <v>6636</v>
      </c>
      <c r="C1584" s="2" t="s">
        <v>6637</v>
      </c>
      <c r="D1584" s="169">
        <v>46029.0</v>
      </c>
      <c r="E1584" s="2">
        <v>3.070435602E9</v>
      </c>
      <c r="F1584" s="2" t="s">
        <v>6637</v>
      </c>
      <c r="G1584" s="2" t="s">
        <v>6638</v>
      </c>
      <c r="H1584" s="2">
        <v>0.0</v>
      </c>
      <c r="J1584" s="3">
        <v>0.0</v>
      </c>
      <c r="L1584" s="2"/>
      <c r="M1584" s="2" t="s">
        <v>468</v>
      </c>
      <c r="N1584" s="2" t="s">
        <v>406</v>
      </c>
      <c r="O1584" s="3">
        <v>0.5</v>
      </c>
      <c r="Q1584" s="3">
        <v>0.0</v>
      </c>
      <c r="U1584" s="141"/>
      <c r="X1584" s="172">
        <v>46057.642782835646</v>
      </c>
      <c r="Y1584" s="172"/>
      <c r="Z1584" s="3">
        <v>46029.0</v>
      </c>
      <c r="AA1584" s="3"/>
    </row>
    <row r="1585">
      <c r="A1585" s="3">
        <v>6.856835006723E12</v>
      </c>
      <c r="B1585" s="2" t="s">
        <v>6639</v>
      </c>
      <c r="C1585" s="2" t="s">
        <v>6640</v>
      </c>
      <c r="D1585" s="169">
        <v>46029.0</v>
      </c>
      <c r="E1585" s="2">
        <v>3.070435602E9</v>
      </c>
      <c r="F1585" s="2" t="s">
        <v>6641</v>
      </c>
      <c r="G1585" s="2" t="s">
        <v>368</v>
      </c>
      <c r="H1585" s="2">
        <v>0.0</v>
      </c>
      <c r="J1585" s="3">
        <v>0.0</v>
      </c>
      <c r="L1585" s="2"/>
      <c r="M1585" s="2" t="s">
        <v>468</v>
      </c>
      <c r="N1585" s="2" t="s">
        <v>406</v>
      </c>
      <c r="O1585" s="3">
        <v>0.5</v>
      </c>
      <c r="Q1585" s="3">
        <v>0.0</v>
      </c>
      <c r="U1585" s="141"/>
      <c r="X1585" s="172">
        <v>46057.642782835646</v>
      </c>
      <c r="Y1585" s="172"/>
      <c r="Z1585" s="3">
        <v>46029.0</v>
      </c>
      <c r="AA1585" s="3"/>
    </row>
    <row r="1586">
      <c r="A1586" s="3">
        <v>6.857079783683E12</v>
      </c>
      <c r="B1586" s="2" t="s">
        <v>6642</v>
      </c>
      <c r="C1586" s="2" t="s">
        <v>6643</v>
      </c>
      <c r="D1586" s="169">
        <v>46029.0</v>
      </c>
      <c r="E1586" s="2">
        <v>3.251235551E9</v>
      </c>
      <c r="F1586" s="2" t="s">
        <v>6644</v>
      </c>
      <c r="G1586" s="2" t="s">
        <v>1323</v>
      </c>
      <c r="H1586" s="2">
        <v>0.0</v>
      </c>
      <c r="J1586" s="3">
        <v>0.0</v>
      </c>
      <c r="K1586" s="2" t="s">
        <v>6645</v>
      </c>
      <c r="L1586" s="2"/>
      <c r="M1586" s="2" t="s">
        <v>468</v>
      </c>
      <c r="N1586" s="2" t="s">
        <v>406</v>
      </c>
      <c r="O1586" s="3">
        <v>0.5</v>
      </c>
      <c r="Q1586" s="3">
        <v>0.0</v>
      </c>
      <c r="U1586" s="141"/>
      <c r="X1586" s="172">
        <v>46057.642782835646</v>
      </c>
      <c r="Y1586" s="172"/>
      <c r="Z1586" s="3">
        <v>46029.0</v>
      </c>
      <c r="AA1586" s="3"/>
    </row>
    <row r="1587">
      <c r="A1587" s="3">
        <v>6.857084010755E12</v>
      </c>
      <c r="B1587" s="2" t="s">
        <v>6646</v>
      </c>
      <c r="C1587" s="2" t="s">
        <v>6647</v>
      </c>
      <c r="D1587" s="169">
        <v>46029.0</v>
      </c>
      <c r="E1587" s="2">
        <v>3.251235551E9</v>
      </c>
      <c r="F1587" s="2" t="s">
        <v>6648</v>
      </c>
      <c r="G1587" s="2" t="s">
        <v>1323</v>
      </c>
      <c r="H1587" s="2">
        <v>0.0</v>
      </c>
      <c r="J1587" s="3">
        <v>0.0</v>
      </c>
      <c r="K1587" s="2" t="s">
        <v>6645</v>
      </c>
      <c r="L1587" s="2"/>
      <c r="M1587" s="2" t="s">
        <v>468</v>
      </c>
      <c r="N1587" s="2" t="s">
        <v>406</v>
      </c>
      <c r="O1587" s="3">
        <v>0.5</v>
      </c>
      <c r="Q1587" s="3">
        <v>0.0</v>
      </c>
      <c r="U1587" s="141"/>
      <c r="X1587" s="172">
        <v>46057.642782835646</v>
      </c>
      <c r="Y1587" s="172"/>
      <c r="Z1587" s="3">
        <v>46029.0</v>
      </c>
      <c r="AA1587" s="3"/>
    </row>
    <row r="1588">
      <c r="A1588" s="3">
        <v>6.857271607555E12</v>
      </c>
      <c r="B1588" s="2" t="s">
        <v>6649</v>
      </c>
      <c r="C1588" s="2" t="s">
        <v>6650</v>
      </c>
      <c r="D1588" s="169">
        <v>46029.0</v>
      </c>
      <c r="E1588" s="173" t="s">
        <v>6651</v>
      </c>
      <c r="F1588" s="2" t="s">
        <v>6652</v>
      </c>
      <c r="G1588" s="2" t="s">
        <v>693</v>
      </c>
      <c r="H1588" s="2">
        <v>4150.0</v>
      </c>
      <c r="I1588" s="2">
        <v>2.2120050021066E13</v>
      </c>
      <c r="J1588" s="3">
        <v>2.0</v>
      </c>
      <c r="K1588" s="2" t="s">
        <v>6653</v>
      </c>
      <c r="L1588" s="2" t="s">
        <v>6654</v>
      </c>
      <c r="M1588" s="174" t="s">
        <v>409</v>
      </c>
      <c r="N1588" s="2" t="s">
        <v>462</v>
      </c>
      <c r="O1588" s="3">
        <v>0.5</v>
      </c>
      <c r="P1588" s="2" t="s">
        <v>363</v>
      </c>
      <c r="Q1588" s="3">
        <v>1700.0</v>
      </c>
      <c r="T1588" s="2" t="s">
        <v>3701</v>
      </c>
      <c r="U1588" s="171">
        <v>4150.0</v>
      </c>
      <c r="V1588" s="172">
        <v>46035.0</v>
      </c>
      <c r="W1588" s="3">
        <v>486.0</v>
      </c>
      <c r="X1588" s="172">
        <v>46032.66070601852</v>
      </c>
      <c r="Y1588" s="172"/>
      <c r="Z1588" s="3">
        <v>46029.0</v>
      </c>
      <c r="AA1588" s="3"/>
    </row>
    <row r="1589">
      <c r="A1589" s="3">
        <v>6.857293398275E12</v>
      </c>
      <c r="B1589" s="2" t="s">
        <v>6655</v>
      </c>
      <c r="C1589" s="2" t="s">
        <v>6656</v>
      </c>
      <c r="D1589" s="169">
        <v>46029.0</v>
      </c>
      <c r="E1589" s="173" t="s">
        <v>6657</v>
      </c>
      <c r="F1589" s="2" t="s">
        <v>6658</v>
      </c>
      <c r="G1589" s="2" t="s">
        <v>6659</v>
      </c>
      <c r="H1589" s="2">
        <v>4150.0</v>
      </c>
      <c r="I1589" s="2">
        <v>2.8120050021065E13</v>
      </c>
      <c r="J1589" s="3">
        <v>2.0</v>
      </c>
      <c r="K1589" s="2" t="s">
        <v>6653</v>
      </c>
      <c r="L1589" s="2" t="s">
        <v>994</v>
      </c>
      <c r="M1589" s="174" t="s">
        <v>409</v>
      </c>
      <c r="N1589" s="2" t="s">
        <v>462</v>
      </c>
      <c r="O1589" s="3">
        <v>0.5</v>
      </c>
      <c r="P1589" s="2" t="s">
        <v>73</v>
      </c>
      <c r="Q1589" s="3">
        <v>1700.0</v>
      </c>
      <c r="T1589" s="2" t="s">
        <v>3701</v>
      </c>
      <c r="U1589" s="171">
        <v>4150.0</v>
      </c>
      <c r="V1589" s="172">
        <v>46035.0</v>
      </c>
      <c r="W1589" s="3">
        <v>386.0</v>
      </c>
      <c r="X1589" s="172">
        <v>46031.54672453704</v>
      </c>
      <c r="Y1589" s="172"/>
      <c r="Z1589" s="3">
        <v>46029.0</v>
      </c>
      <c r="AA1589" s="3"/>
    </row>
    <row r="1590">
      <c r="A1590" s="3">
        <v>6.857296609539E12</v>
      </c>
      <c r="B1590" s="2" t="s">
        <v>6660</v>
      </c>
      <c r="C1590" s="2" t="s">
        <v>5633</v>
      </c>
      <c r="D1590" s="169">
        <v>46029.0</v>
      </c>
      <c r="E1590" s="173" t="s">
        <v>5634</v>
      </c>
      <c r="F1590" s="2" t="s">
        <v>5635</v>
      </c>
      <c r="G1590" s="2" t="s">
        <v>5636</v>
      </c>
      <c r="H1590" s="2">
        <v>4150.0</v>
      </c>
      <c r="I1590" s="2">
        <v>2.9120050021075E13</v>
      </c>
      <c r="J1590" s="3">
        <v>2.0</v>
      </c>
      <c r="K1590" s="2" t="s">
        <v>1989</v>
      </c>
      <c r="L1590" s="2" t="s">
        <v>913</v>
      </c>
      <c r="M1590" s="174" t="s">
        <v>409</v>
      </c>
      <c r="N1590" s="2" t="s">
        <v>462</v>
      </c>
      <c r="O1590" s="3">
        <v>0.5</v>
      </c>
      <c r="P1590" s="2" t="s">
        <v>363</v>
      </c>
      <c r="Q1590" s="3">
        <v>1700.0</v>
      </c>
      <c r="T1590" s="2" t="s">
        <v>4077</v>
      </c>
      <c r="U1590" s="171">
        <v>4150.0</v>
      </c>
      <c r="V1590" s="172">
        <v>46031.0</v>
      </c>
      <c r="W1590" s="3">
        <v>479.0</v>
      </c>
      <c r="X1590" s="172">
        <v>46030.593298611115</v>
      </c>
      <c r="Y1590" s="172"/>
      <c r="Z1590" s="3">
        <v>46029.0</v>
      </c>
      <c r="AA1590" s="3"/>
    </row>
    <row r="1591">
      <c r="A1591" s="3">
        <v>6.857315221763E12</v>
      </c>
      <c r="B1591" s="2" t="s">
        <v>6661</v>
      </c>
      <c r="C1591" s="2" t="s">
        <v>6662</v>
      </c>
      <c r="D1591" s="169">
        <v>46029.0</v>
      </c>
      <c r="E1591" s="173" t="s">
        <v>6663</v>
      </c>
      <c r="F1591" s="2" t="s">
        <v>6664</v>
      </c>
      <c r="G1591" s="2" t="s">
        <v>817</v>
      </c>
      <c r="H1591" s="2">
        <v>1799.0</v>
      </c>
      <c r="I1591" s="2">
        <v>2.1120050021076E13</v>
      </c>
      <c r="J1591" s="3">
        <v>1.0</v>
      </c>
      <c r="K1591" s="2" t="s">
        <v>1989</v>
      </c>
      <c r="L1591" s="2" t="s">
        <v>4872</v>
      </c>
      <c r="M1591" s="174" t="s">
        <v>409</v>
      </c>
      <c r="N1591" s="2" t="s">
        <v>462</v>
      </c>
      <c r="O1591" s="3">
        <v>0.5</v>
      </c>
      <c r="P1591" s="2" t="s">
        <v>73</v>
      </c>
      <c r="Q1591" s="3">
        <v>490.0</v>
      </c>
      <c r="T1591" s="2" t="s">
        <v>3701</v>
      </c>
      <c r="U1591" s="171">
        <v>1799.0</v>
      </c>
      <c r="V1591" s="172">
        <v>46035.0</v>
      </c>
      <c r="W1591" s="3">
        <v>285.0</v>
      </c>
      <c r="X1591" s="172">
        <v>46032.75732638889</v>
      </c>
      <c r="Y1591" s="172"/>
      <c r="Z1591" s="3">
        <v>46029.0</v>
      </c>
      <c r="AA1591" s="3"/>
    </row>
    <row r="1592">
      <c r="A1592" s="3">
        <v>6.857318269187E12</v>
      </c>
      <c r="B1592" s="2" t="s">
        <v>6665</v>
      </c>
      <c r="C1592" s="2" t="s">
        <v>6666</v>
      </c>
      <c r="D1592" s="169">
        <v>46029.0</v>
      </c>
      <c r="E1592" s="173" t="s">
        <v>6667</v>
      </c>
      <c r="F1592" s="2" t="s">
        <v>6668</v>
      </c>
      <c r="G1592" s="2" t="s">
        <v>817</v>
      </c>
      <c r="H1592" s="2">
        <v>3249.0</v>
      </c>
      <c r="I1592" s="2">
        <v>2.3120050021077E13</v>
      </c>
      <c r="J1592" s="3">
        <v>3.0</v>
      </c>
      <c r="K1592" s="2" t="s">
        <v>1989</v>
      </c>
      <c r="L1592" s="2" t="s">
        <v>6669</v>
      </c>
      <c r="M1592" s="174" t="s">
        <v>409</v>
      </c>
      <c r="N1592" s="2" t="s">
        <v>462</v>
      </c>
      <c r="O1592" s="3">
        <v>0.5</v>
      </c>
      <c r="P1592" s="2" t="s">
        <v>363</v>
      </c>
      <c r="Q1592" s="3">
        <v>1400.0</v>
      </c>
      <c r="T1592" s="2" t="s">
        <v>3701</v>
      </c>
      <c r="U1592" s="171">
        <v>3249.0</v>
      </c>
      <c r="V1592" s="172">
        <v>46035.0</v>
      </c>
      <c r="W1592" s="3">
        <v>357.0</v>
      </c>
      <c r="X1592" s="172">
        <v>46032.64185185185</v>
      </c>
      <c r="Y1592" s="172"/>
      <c r="Z1592" s="3">
        <v>46029.0</v>
      </c>
      <c r="AA1592" s="3"/>
    </row>
    <row r="1593">
      <c r="A1593" s="3">
        <v>6.857329148163E12</v>
      </c>
      <c r="B1593" s="2" t="s">
        <v>6670</v>
      </c>
      <c r="C1593" s="2" t="s">
        <v>6671</v>
      </c>
      <c r="D1593" s="169">
        <v>46029.0</v>
      </c>
      <c r="E1593" s="173" t="s">
        <v>6672</v>
      </c>
      <c r="F1593" s="2" t="s">
        <v>6673</v>
      </c>
      <c r="G1593" s="2" t="s">
        <v>4362</v>
      </c>
      <c r="H1593" s="2">
        <v>250.0</v>
      </c>
      <c r="I1593" s="2">
        <v>2.7120050021078E13</v>
      </c>
      <c r="J1593" s="3">
        <v>0.0</v>
      </c>
      <c r="K1593" s="2" t="s">
        <v>6674</v>
      </c>
      <c r="L1593" s="2"/>
      <c r="M1593" s="170" t="s">
        <v>455</v>
      </c>
      <c r="N1593" s="2" t="s">
        <v>406</v>
      </c>
      <c r="O1593" s="3">
        <v>0.5</v>
      </c>
      <c r="P1593" s="2" t="s">
        <v>363</v>
      </c>
      <c r="Q1593" s="3">
        <v>0.0</v>
      </c>
      <c r="T1593" s="2" t="s">
        <v>6123</v>
      </c>
      <c r="U1593" s="171">
        <v>0.0</v>
      </c>
      <c r="V1593" s="172">
        <v>46049.0</v>
      </c>
      <c r="W1593" s="3">
        <v>227.0</v>
      </c>
      <c r="X1593" s="172">
        <v>46057.642782835646</v>
      </c>
      <c r="Y1593" s="172"/>
      <c r="Z1593" s="3">
        <v>46029.0</v>
      </c>
      <c r="AA1593" s="3"/>
    </row>
    <row r="1594">
      <c r="A1594" s="3">
        <v>6.857370730755E12</v>
      </c>
      <c r="B1594" s="2" t="s">
        <v>6675</v>
      </c>
      <c r="C1594" s="2" t="s">
        <v>4506</v>
      </c>
      <c r="D1594" s="169">
        <v>46029.0</v>
      </c>
      <c r="E1594" s="2">
        <v>3.116456208E9</v>
      </c>
      <c r="F1594" s="2" t="s">
        <v>6676</v>
      </c>
      <c r="G1594" s="2" t="s">
        <v>2725</v>
      </c>
      <c r="H1594" s="2">
        <v>3739.0</v>
      </c>
      <c r="I1594" s="2">
        <v>2.0120050021107E13</v>
      </c>
      <c r="J1594" s="3">
        <v>2.0</v>
      </c>
      <c r="L1594" s="2" t="s">
        <v>994</v>
      </c>
      <c r="M1594" s="174" t="s">
        <v>409</v>
      </c>
      <c r="N1594" s="2" t="s">
        <v>462</v>
      </c>
      <c r="O1594" s="3">
        <v>0.5</v>
      </c>
      <c r="P1594" s="2" t="s">
        <v>363</v>
      </c>
      <c r="Q1594" s="3">
        <v>1700.0</v>
      </c>
      <c r="T1594" s="2" t="s">
        <v>3701</v>
      </c>
      <c r="U1594" s="171">
        <v>3739.0</v>
      </c>
      <c r="V1594" s="172">
        <v>46035.0</v>
      </c>
      <c r="W1594" s="3">
        <v>370.0</v>
      </c>
      <c r="X1594" s="172">
        <v>46034.69263888889</v>
      </c>
      <c r="Y1594" s="172"/>
      <c r="Z1594" s="3">
        <v>46029.0</v>
      </c>
      <c r="AA1594" s="3"/>
    </row>
    <row r="1595">
      <c r="A1595" s="3">
        <v>6.857435250947E12</v>
      </c>
      <c r="B1595" s="2" t="s">
        <v>6677</v>
      </c>
      <c r="C1595" s="2" t="s">
        <v>5423</v>
      </c>
      <c r="D1595" s="169">
        <v>46029.0</v>
      </c>
      <c r="E1595" s="2">
        <v>3.015949333E9</v>
      </c>
      <c r="F1595" s="2" t="s">
        <v>6678</v>
      </c>
      <c r="G1595" s="2" t="s">
        <v>506</v>
      </c>
      <c r="H1595" s="2">
        <v>0.0</v>
      </c>
      <c r="J1595" s="3">
        <v>0.0</v>
      </c>
      <c r="K1595" s="2" t="s">
        <v>3827</v>
      </c>
      <c r="L1595" s="2"/>
      <c r="M1595" s="2" t="s">
        <v>468</v>
      </c>
      <c r="N1595" s="2" t="s">
        <v>406</v>
      </c>
      <c r="O1595" s="3">
        <v>0.5</v>
      </c>
      <c r="Q1595" s="3">
        <v>0.0</v>
      </c>
      <c r="U1595" s="141"/>
      <c r="X1595" s="172">
        <v>46057.642782835646</v>
      </c>
      <c r="Y1595" s="172"/>
      <c r="Z1595" s="3">
        <v>46029.0</v>
      </c>
      <c r="AA1595" s="3"/>
    </row>
    <row r="1596">
      <c r="A1596" s="3">
        <v>6.857453535491E12</v>
      </c>
      <c r="B1596" s="2" t="s">
        <v>6679</v>
      </c>
      <c r="C1596" s="2" t="s">
        <v>6680</v>
      </c>
      <c r="D1596" s="169">
        <v>46029.0</v>
      </c>
      <c r="E1596" s="2">
        <v>3.008683034E9</v>
      </c>
      <c r="F1596" s="2" t="s">
        <v>6681</v>
      </c>
      <c r="G1596" s="2" t="s">
        <v>1016</v>
      </c>
      <c r="H1596" s="2">
        <v>3099.0</v>
      </c>
      <c r="I1596" s="2">
        <v>2.9120050021174E13</v>
      </c>
      <c r="J1596" s="3">
        <v>2.0</v>
      </c>
      <c r="K1596" s="2" t="s">
        <v>6682</v>
      </c>
      <c r="L1596" s="2" t="s">
        <v>228</v>
      </c>
      <c r="M1596" s="174" t="s">
        <v>409</v>
      </c>
      <c r="N1596" s="2" t="s">
        <v>462</v>
      </c>
      <c r="O1596" s="3">
        <v>0.5</v>
      </c>
      <c r="P1596" s="2" t="s">
        <v>363</v>
      </c>
      <c r="Q1596" s="3">
        <v>920.0</v>
      </c>
      <c r="T1596" s="2" t="s">
        <v>4910</v>
      </c>
      <c r="U1596" s="171">
        <v>3099.0</v>
      </c>
      <c r="V1596" s="172">
        <v>46042.0</v>
      </c>
      <c r="W1596" s="3">
        <v>324.06</v>
      </c>
      <c r="X1596" s="172">
        <v>46041.79959490741</v>
      </c>
      <c r="Y1596" s="172"/>
      <c r="Z1596" s="3">
        <v>46029.0</v>
      </c>
      <c r="AA1596" s="3"/>
    </row>
    <row r="1597">
      <c r="A1597" s="3">
        <v>6.857454518531E12</v>
      </c>
      <c r="B1597" s="2" t="s">
        <v>6683</v>
      </c>
      <c r="C1597" s="2" t="s">
        <v>4057</v>
      </c>
      <c r="D1597" s="169">
        <v>46029.0</v>
      </c>
      <c r="E1597" s="173" t="s">
        <v>6684</v>
      </c>
      <c r="F1597" s="2" t="s">
        <v>4058</v>
      </c>
      <c r="G1597" s="2" t="s">
        <v>693</v>
      </c>
      <c r="H1597" s="2">
        <v>0.0</v>
      </c>
      <c r="J1597" s="3">
        <v>0.0</v>
      </c>
      <c r="K1597" s="2" t="s">
        <v>6685</v>
      </c>
      <c r="L1597" s="2"/>
      <c r="M1597" s="2" t="s">
        <v>468</v>
      </c>
      <c r="N1597" s="2" t="s">
        <v>406</v>
      </c>
      <c r="O1597" s="3">
        <v>0.5</v>
      </c>
      <c r="Q1597" s="3">
        <v>0.0</v>
      </c>
      <c r="U1597" s="141"/>
      <c r="X1597" s="172">
        <v>46057.642782835646</v>
      </c>
      <c r="Y1597" s="172"/>
      <c r="Z1597" s="3">
        <v>46029.0</v>
      </c>
      <c r="AA1597" s="3"/>
    </row>
    <row r="1598">
      <c r="A1598" s="3">
        <v>6.857582379267E12</v>
      </c>
      <c r="B1598" s="2" t="s">
        <v>6686</v>
      </c>
      <c r="C1598" s="2" t="s">
        <v>6687</v>
      </c>
      <c r="D1598" s="169">
        <v>46029.0</v>
      </c>
      <c r="E1598" s="2">
        <v>3.443243866E9</v>
      </c>
      <c r="F1598" s="2" t="s">
        <v>6688</v>
      </c>
      <c r="G1598" s="2" t="s">
        <v>945</v>
      </c>
      <c r="H1598" s="2">
        <v>2799.0</v>
      </c>
      <c r="I1598" s="2">
        <v>2.1120050021081E13</v>
      </c>
      <c r="J1598" s="3">
        <v>1.0</v>
      </c>
      <c r="L1598" s="2" t="s">
        <v>557</v>
      </c>
      <c r="M1598" s="174" t="s">
        <v>409</v>
      </c>
      <c r="N1598" s="2" t="s">
        <v>462</v>
      </c>
      <c r="O1598" s="3">
        <v>0.5</v>
      </c>
      <c r="P1598" s="2" t="s">
        <v>73</v>
      </c>
      <c r="Q1598" s="3">
        <v>850.0</v>
      </c>
      <c r="T1598" s="2" t="s">
        <v>3701</v>
      </c>
      <c r="U1598" s="171">
        <v>2799.0</v>
      </c>
      <c r="V1598" s="172">
        <v>46035.0</v>
      </c>
      <c r="W1598" s="3">
        <v>339.0</v>
      </c>
      <c r="X1598" s="172">
        <v>46034.52033564815</v>
      </c>
      <c r="Y1598" s="172"/>
      <c r="Z1598" s="3">
        <v>46029.0</v>
      </c>
      <c r="AA1598" s="3"/>
    </row>
    <row r="1599">
      <c r="A1599" s="3">
        <v>6.857656500483E12</v>
      </c>
      <c r="B1599" s="2" t="s">
        <v>6689</v>
      </c>
      <c r="C1599" s="2" t="s">
        <v>6690</v>
      </c>
      <c r="D1599" s="169">
        <v>46029.0</v>
      </c>
      <c r="E1599" s="2">
        <v>3.171991133E9</v>
      </c>
      <c r="F1599" s="2" t="s">
        <v>6691</v>
      </c>
      <c r="G1599" s="2" t="s">
        <v>6692</v>
      </c>
      <c r="H1599" s="2">
        <v>3739.0</v>
      </c>
      <c r="I1599" s="2">
        <v>2.6120050021089E13</v>
      </c>
      <c r="J1599" s="3">
        <v>2.0</v>
      </c>
      <c r="L1599" s="2" t="s">
        <v>5370</v>
      </c>
      <c r="M1599" s="174" t="s">
        <v>409</v>
      </c>
      <c r="N1599" s="2" t="s">
        <v>462</v>
      </c>
      <c r="O1599" s="3">
        <v>0.5</v>
      </c>
      <c r="P1599" s="2" t="s">
        <v>363</v>
      </c>
      <c r="Q1599" s="3">
        <v>1580.0</v>
      </c>
      <c r="T1599" s="2" t="s">
        <v>3701</v>
      </c>
      <c r="U1599" s="171">
        <v>3739.0</v>
      </c>
      <c r="V1599" s="172">
        <v>46035.0</v>
      </c>
      <c r="W1599" s="3">
        <v>370.0</v>
      </c>
      <c r="X1599" s="172">
        <v>46032.68145833333</v>
      </c>
      <c r="Y1599" s="172"/>
      <c r="Z1599" s="3">
        <v>46029.0</v>
      </c>
      <c r="AA1599" s="3"/>
    </row>
    <row r="1600">
      <c r="A1600" s="3">
        <v>6.857676390659E12</v>
      </c>
      <c r="B1600" s="2" t="s">
        <v>6693</v>
      </c>
      <c r="C1600" s="2" t="s">
        <v>6694</v>
      </c>
      <c r="D1600" s="169">
        <v>46029.0</v>
      </c>
      <c r="E1600" s="2">
        <v>3.45549418E9</v>
      </c>
      <c r="F1600" s="2" t="s">
        <v>6695</v>
      </c>
      <c r="G1600" s="2" t="s">
        <v>6696</v>
      </c>
      <c r="H1600" s="2">
        <v>3739.0</v>
      </c>
      <c r="I1600" s="2" t="s">
        <v>6697</v>
      </c>
      <c r="J1600" s="3">
        <v>2.0</v>
      </c>
      <c r="K1600" s="2" t="s">
        <v>6698</v>
      </c>
      <c r="L1600" s="2" t="s">
        <v>994</v>
      </c>
      <c r="M1600" s="174" t="s">
        <v>409</v>
      </c>
      <c r="N1600" s="2" t="s">
        <v>462</v>
      </c>
      <c r="O1600" s="3">
        <v>0.5</v>
      </c>
      <c r="P1600" s="2" t="s">
        <v>640</v>
      </c>
      <c r="Q1600" s="3">
        <v>1700.0</v>
      </c>
      <c r="T1600" s="2" t="s">
        <v>6699</v>
      </c>
      <c r="U1600" s="171">
        <v>3739.0</v>
      </c>
      <c r="V1600" s="172">
        <v>46023.0</v>
      </c>
      <c r="W1600" s="3">
        <v>289.94</v>
      </c>
      <c r="X1600" s="172">
        <v>46057.73301565972</v>
      </c>
      <c r="Y1600" s="172"/>
      <c r="Z1600" s="3">
        <v>46029.0</v>
      </c>
      <c r="AA1600" s="3"/>
    </row>
    <row r="1601">
      <c r="A1601" s="3">
        <v>6.857817751811E12</v>
      </c>
      <c r="B1601" s="2" t="s">
        <v>6700</v>
      </c>
      <c r="C1601" s="2" t="s">
        <v>6701</v>
      </c>
      <c r="D1601" s="169">
        <v>46029.0</v>
      </c>
      <c r="E1601" s="2">
        <v>3.364953434E9</v>
      </c>
      <c r="F1601" s="2" t="s">
        <v>6702</v>
      </c>
      <c r="G1601" s="2" t="s">
        <v>366</v>
      </c>
      <c r="H1601" s="2">
        <v>1499.0</v>
      </c>
      <c r="I1601" s="2">
        <v>2.2120050021082E13</v>
      </c>
      <c r="J1601" s="3">
        <v>1.0</v>
      </c>
      <c r="L1601" s="2" t="s">
        <v>1772</v>
      </c>
      <c r="M1601" s="174" t="s">
        <v>409</v>
      </c>
      <c r="N1601" s="2" t="s">
        <v>462</v>
      </c>
      <c r="O1601" s="3">
        <v>0.5</v>
      </c>
      <c r="P1601" s="2" t="s">
        <v>363</v>
      </c>
      <c r="Q1601" s="3">
        <v>550.0</v>
      </c>
      <c r="T1601" s="2" t="s">
        <v>3701</v>
      </c>
      <c r="U1601" s="171">
        <v>1499.0</v>
      </c>
      <c r="V1601" s="172">
        <v>46035.0</v>
      </c>
      <c r="W1601" s="3">
        <v>260.0</v>
      </c>
      <c r="X1601" s="172">
        <v>46032.654386574075</v>
      </c>
      <c r="Y1601" s="172"/>
      <c r="Z1601" s="3">
        <v>46029.0</v>
      </c>
      <c r="AA1601" s="3"/>
    </row>
    <row r="1602">
      <c r="A1602" s="3">
        <v>6.857862185219E12</v>
      </c>
      <c r="B1602" s="2" t="s">
        <v>6703</v>
      </c>
      <c r="C1602" s="2" t="s">
        <v>6704</v>
      </c>
      <c r="D1602" s="169">
        <v>46029.0</v>
      </c>
      <c r="E1602" s="2">
        <v>3.085971432E9</v>
      </c>
      <c r="F1602" s="2" t="s">
        <v>6705</v>
      </c>
      <c r="G1602" s="2" t="s">
        <v>366</v>
      </c>
      <c r="H1602" s="2">
        <v>3739.0</v>
      </c>
      <c r="I1602" s="2">
        <v>2.6120050021088E13</v>
      </c>
      <c r="J1602" s="3">
        <v>2.0</v>
      </c>
      <c r="L1602" s="2" t="s">
        <v>6294</v>
      </c>
      <c r="M1602" s="174" t="s">
        <v>409</v>
      </c>
      <c r="N1602" s="2" t="s">
        <v>462</v>
      </c>
      <c r="O1602" s="3">
        <v>0.5</v>
      </c>
      <c r="P1602" s="2" t="s">
        <v>363</v>
      </c>
      <c r="Q1602" s="3">
        <v>1580.0</v>
      </c>
      <c r="T1602" s="2" t="s">
        <v>3701</v>
      </c>
      <c r="U1602" s="171">
        <v>3739.0</v>
      </c>
      <c r="V1602" s="172">
        <v>46035.0</v>
      </c>
      <c r="W1602" s="3">
        <v>370.0</v>
      </c>
      <c r="X1602" s="172">
        <v>46033.60364583333</v>
      </c>
      <c r="Y1602" s="172"/>
      <c r="Z1602" s="3">
        <v>46029.0</v>
      </c>
      <c r="AA1602" s="3"/>
    </row>
    <row r="1603">
      <c r="A1603" s="3">
        <v>6.857957769475E12</v>
      </c>
      <c r="B1603" s="2" t="s">
        <v>6706</v>
      </c>
      <c r="C1603" s="2" t="s">
        <v>3244</v>
      </c>
      <c r="D1603" s="169">
        <v>46030.0</v>
      </c>
      <c r="E1603" s="2">
        <v>3.147175339E9</v>
      </c>
      <c r="F1603" s="2" t="s">
        <v>6707</v>
      </c>
      <c r="G1603" s="2" t="s">
        <v>3237</v>
      </c>
      <c r="H1603" s="2">
        <v>3739.0</v>
      </c>
      <c r="I1603" s="2">
        <v>2.8120050021087E13</v>
      </c>
      <c r="J1603" s="3">
        <v>2.0</v>
      </c>
      <c r="K1603" s="2" t="s">
        <v>6708</v>
      </c>
      <c r="L1603" s="2" t="s">
        <v>994</v>
      </c>
      <c r="M1603" s="174" t="s">
        <v>409</v>
      </c>
      <c r="N1603" s="2" t="s">
        <v>462</v>
      </c>
      <c r="O1603" s="3">
        <v>0.5</v>
      </c>
      <c r="P1603" s="2" t="s">
        <v>73</v>
      </c>
      <c r="Q1603" s="3">
        <v>1700.0</v>
      </c>
      <c r="T1603" s="2" t="s">
        <v>3674</v>
      </c>
      <c r="U1603" s="171">
        <v>3739.0</v>
      </c>
      <c r="V1603" s="172">
        <v>46038.0</v>
      </c>
      <c r="W1603" s="3">
        <v>376.0</v>
      </c>
      <c r="X1603" s="172">
        <v>46035.51621527778</v>
      </c>
      <c r="Y1603" s="172"/>
      <c r="Z1603" s="3">
        <v>46030.0</v>
      </c>
      <c r="AA1603" s="3"/>
    </row>
    <row r="1604">
      <c r="A1604" s="3">
        <v>6.858008166659E12</v>
      </c>
      <c r="B1604" s="2" t="s">
        <v>6709</v>
      </c>
      <c r="C1604" s="2" t="s">
        <v>6710</v>
      </c>
      <c r="D1604" s="169">
        <v>46030.0</v>
      </c>
      <c r="E1604" s="2">
        <v>3.360698829E9</v>
      </c>
      <c r="F1604" s="2" t="s">
        <v>6711</v>
      </c>
      <c r="G1604" s="2" t="s">
        <v>368</v>
      </c>
      <c r="H1604" s="2">
        <v>3099.0</v>
      </c>
      <c r="I1604" s="2">
        <v>2.7120050021083E13</v>
      </c>
      <c r="J1604" s="3">
        <v>2.0</v>
      </c>
      <c r="L1604" s="2" t="s">
        <v>40</v>
      </c>
      <c r="M1604" s="174" t="s">
        <v>409</v>
      </c>
      <c r="N1604" s="2" t="s">
        <v>462</v>
      </c>
      <c r="O1604" s="3">
        <v>0.5</v>
      </c>
      <c r="P1604" s="2" t="s">
        <v>363</v>
      </c>
      <c r="Q1604" s="3">
        <v>920.0</v>
      </c>
      <c r="T1604" s="2" t="s">
        <v>3701</v>
      </c>
      <c r="U1604" s="171">
        <v>3099.0</v>
      </c>
      <c r="V1604" s="172">
        <v>46035.0</v>
      </c>
      <c r="W1604" s="3">
        <v>231.0</v>
      </c>
      <c r="X1604" s="172">
        <v>46031.655960648146</v>
      </c>
      <c r="Y1604" s="172"/>
      <c r="Z1604" s="3">
        <v>46030.0</v>
      </c>
      <c r="AA1604" s="3"/>
    </row>
    <row r="1605">
      <c r="A1605" s="3">
        <v>6.858456367363E12</v>
      </c>
      <c r="B1605" s="2" t="s">
        <v>6712</v>
      </c>
      <c r="C1605" s="2" t="s">
        <v>6713</v>
      </c>
      <c r="D1605" s="169">
        <v>46030.0</v>
      </c>
      <c r="E1605" s="2">
        <v>3.412935248E9</v>
      </c>
      <c r="F1605" s="2" t="s">
        <v>6714</v>
      </c>
      <c r="G1605" s="2" t="s">
        <v>672</v>
      </c>
      <c r="H1605" s="2">
        <v>1449.0</v>
      </c>
      <c r="I1605" s="2">
        <v>2.2120050021084E13</v>
      </c>
      <c r="J1605" s="3">
        <v>1.0</v>
      </c>
      <c r="K1605" s="2" t="s">
        <v>6715</v>
      </c>
      <c r="L1605" s="2" t="s">
        <v>1324</v>
      </c>
      <c r="M1605" s="174" t="s">
        <v>409</v>
      </c>
      <c r="N1605" s="2" t="s">
        <v>462</v>
      </c>
      <c r="O1605" s="3">
        <v>0.5</v>
      </c>
      <c r="P1605" s="2" t="s">
        <v>363</v>
      </c>
      <c r="Q1605" s="3">
        <v>550.0</v>
      </c>
      <c r="T1605" s="2" t="s">
        <v>3674</v>
      </c>
      <c r="U1605" s="171">
        <v>1449.0</v>
      </c>
      <c r="V1605" s="172">
        <v>46038.0</v>
      </c>
      <c r="W1605" s="3">
        <v>271.0</v>
      </c>
      <c r="X1605" s="172">
        <v>46036.58355324074</v>
      </c>
      <c r="Y1605" s="172"/>
      <c r="Z1605" s="3">
        <v>46030.0</v>
      </c>
      <c r="AA1605" s="3"/>
    </row>
    <row r="1606">
      <c r="A1606" s="3">
        <v>6.858566271235E12</v>
      </c>
      <c r="B1606" s="2" t="s">
        <v>6716</v>
      </c>
      <c r="C1606" s="2" t="s">
        <v>6717</v>
      </c>
      <c r="D1606" s="169">
        <v>46030.0</v>
      </c>
      <c r="E1606" s="2">
        <v>3.037674401E9</v>
      </c>
      <c r="F1606" s="2" t="s">
        <v>6718</v>
      </c>
      <c r="G1606" s="2" t="s">
        <v>6719</v>
      </c>
      <c r="H1606" s="2">
        <v>249.0</v>
      </c>
      <c r="I1606" s="2">
        <v>2.3120050021085E13</v>
      </c>
      <c r="J1606" s="3">
        <v>0.0</v>
      </c>
      <c r="K1606" s="2" t="s">
        <v>6720</v>
      </c>
      <c r="L1606" s="2"/>
      <c r="M1606" s="170" t="s">
        <v>455</v>
      </c>
      <c r="N1606" s="2" t="s">
        <v>406</v>
      </c>
      <c r="O1606" s="3">
        <v>0.5</v>
      </c>
      <c r="P1606" s="2" t="s">
        <v>363</v>
      </c>
      <c r="Q1606" s="3">
        <v>0.0</v>
      </c>
      <c r="U1606" s="141"/>
      <c r="W1606" s="3">
        <v>200.0</v>
      </c>
      <c r="X1606" s="172">
        <v>46042.83430555556</v>
      </c>
      <c r="Y1606" s="172"/>
      <c r="Z1606" s="3">
        <v>46030.0</v>
      </c>
      <c r="AA1606" s="3"/>
    </row>
    <row r="1607">
      <c r="A1607" s="3">
        <v>6.858629447939E12</v>
      </c>
      <c r="B1607" s="2" t="s">
        <v>6721</v>
      </c>
      <c r="C1607" s="2" t="s">
        <v>4920</v>
      </c>
      <c r="D1607" s="169">
        <v>46030.0</v>
      </c>
      <c r="E1607" s="2">
        <v>3.009229881E9</v>
      </c>
      <c r="F1607" s="2" t="s">
        <v>6722</v>
      </c>
      <c r="G1607" s="2" t="s">
        <v>493</v>
      </c>
      <c r="H1607" s="2">
        <v>249.0</v>
      </c>
      <c r="I1607" s="2">
        <v>2.9120050021086E13</v>
      </c>
      <c r="J1607" s="3">
        <v>0.0</v>
      </c>
      <c r="L1607" s="2"/>
      <c r="M1607" s="174" t="s">
        <v>409</v>
      </c>
      <c r="N1607" s="2" t="s">
        <v>462</v>
      </c>
      <c r="O1607" s="3">
        <v>0.5</v>
      </c>
      <c r="P1607" s="2" t="s">
        <v>363</v>
      </c>
      <c r="Q1607" s="3">
        <v>0.0</v>
      </c>
      <c r="T1607" s="2" t="s">
        <v>3701</v>
      </c>
      <c r="U1607" s="171">
        <v>249.0</v>
      </c>
      <c r="V1607" s="172">
        <v>46035.0</v>
      </c>
      <c r="W1607" s="3">
        <v>337.0</v>
      </c>
      <c r="X1607" s="172">
        <v>46034.67040509259</v>
      </c>
      <c r="Y1607" s="172"/>
      <c r="Z1607" s="3">
        <v>46030.0</v>
      </c>
      <c r="AA1607" s="3"/>
    </row>
    <row r="1608">
      <c r="A1608" s="3">
        <v>6.858745872643E12</v>
      </c>
      <c r="B1608" s="2" t="s">
        <v>6723</v>
      </c>
      <c r="C1608" s="2" t="s">
        <v>6417</v>
      </c>
      <c r="D1608" s="169">
        <v>46030.0</v>
      </c>
      <c r="E1608" s="2">
        <v>3.41182784E9</v>
      </c>
      <c r="F1608" s="2" t="s">
        <v>6418</v>
      </c>
      <c r="G1608" s="2" t="s">
        <v>6419</v>
      </c>
      <c r="H1608" s="2">
        <v>0.0</v>
      </c>
      <c r="J1608" s="3">
        <v>0.0</v>
      </c>
      <c r="K1608" s="2" t="s">
        <v>6724</v>
      </c>
      <c r="L1608" s="2"/>
      <c r="M1608" s="2" t="s">
        <v>468</v>
      </c>
      <c r="N1608" s="2" t="s">
        <v>406</v>
      </c>
      <c r="O1608" s="3">
        <v>0.5</v>
      </c>
      <c r="Q1608" s="3">
        <v>0.0</v>
      </c>
      <c r="U1608" s="141"/>
      <c r="X1608" s="172">
        <v>46057.642782835646</v>
      </c>
      <c r="Y1608" s="172"/>
      <c r="Z1608" s="3">
        <v>46030.0</v>
      </c>
      <c r="AA1608" s="3"/>
    </row>
    <row r="1609">
      <c r="A1609" s="3">
        <v>6.858866295043E12</v>
      </c>
      <c r="B1609" s="2" t="s">
        <v>6725</v>
      </c>
      <c r="C1609" s="2" t="s">
        <v>6726</v>
      </c>
      <c r="D1609" s="169">
        <v>46030.0</v>
      </c>
      <c r="E1609" s="2">
        <v>3.005163433E9</v>
      </c>
      <c r="F1609" s="2" t="s">
        <v>6727</v>
      </c>
      <c r="G1609" s="2" t="s">
        <v>366</v>
      </c>
      <c r="H1609" s="2">
        <v>2849.0</v>
      </c>
      <c r="I1609" s="2">
        <v>2.8120050021093E13</v>
      </c>
      <c r="J1609" s="3">
        <v>2.0</v>
      </c>
      <c r="L1609" s="2" t="s">
        <v>5839</v>
      </c>
      <c r="M1609" s="174" t="s">
        <v>409</v>
      </c>
      <c r="N1609" s="2" t="s">
        <v>462</v>
      </c>
      <c r="O1609" s="3">
        <v>0.5</v>
      </c>
      <c r="P1609" s="2" t="s">
        <v>73</v>
      </c>
      <c r="Q1609" s="3">
        <v>1050.0</v>
      </c>
      <c r="T1609" s="2" t="s">
        <v>3701</v>
      </c>
      <c r="U1609" s="171">
        <v>2849.0</v>
      </c>
      <c r="V1609" s="172">
        <v>46035.0</v>
      </c>
      <c r="W1609" s="3">
        <v>314.0</v>
      </c>
      <c r="X1609" s="172">
        <v>46033.55505787037</v>
      </c>
      <c r="Y1609" s="172"/>
      <c r="Z1609" s="3">
        <v>46030.0</v>
      </c>
      <c r="AA1609" s="3"/>
    </row>
    <row r="1610">
      <c r="A1610" s="3">
        <v>6.859158454531E12</v>
      </c>
      <c r="B1610" s="2" t="s">
        <v>6728</v>
      </c>
      <c r="C1610" s="2" t="s">
        <v>6729</v>
      </c>
      <c r="D1610" s="169">
        <v>46030.0</v>
      </c>
      <c r="E1610" s="2">
        <v>3.018440424E9</v>
      </c>
      <c r="F1610" s="2" t="s">
        <v>6730</v>
      </c>
      <c r="G1610" s="2" t="s">
        <v>368</v>
      </c>
      <c r="H1610" s="2">
        <v>3099.0</v>
      </c>
      <c r="I1610" s="2">
        <v>2.3120050021094E13</v>
      </c>
      <c r="J1610" s="3">
        <v>2.0</v>
      </c>
      <c r="K1610" s="2" t="s">
        <v>6682</v>
      </c>
      <c r="L1610" s="2" t="s">
        <v>40</v>
      </c>
      <c r="M1610" s="174" t="s">
        <v>409</v>
      </c>
      <c r="N1610" s="2" t="s">
        <v>462</v>
      </c>
      <c r="O1610" s="3">
        <v>0.5</v>
      </c>
      <c r="P1610" s="2" t="s">
        <v>363</v>
      </c>
      <c r="Q1610" s="3">
        <v>920.0</v>
      </c>
      <c r="T1610" s="2" t="s">
        <v>4910</v>
      </c>
      <c r="U1610" s="171">
        <v>3099.0</v>
      </c>
      <c r="V1610" s="172">
        <v>46042.0</v>
      </c>
      <c r="W1610" s="3">
        <v>230.68</v>
      </c>
      <c r="X1610" s="172">
        <v>46038.64188657407</v>
      </c>
      <c r="Y1610" s="172"/>
      <c r="Z1610" s="3">
        <v>46030.0</v>
      </c>
      <c r="AA1610" s="3"/>
    </row>
    <row r="1611">
      <c r="A1611" s="3">
        <v>6.859350245635E12</v>
      </c>
      <c r="B1611" s="2" t="s">
        <v>6731</v>
      </c>
      <c r="C1611" s="2" t="s">
        <v>6732</v>
      </c>
      <c r="D1611" s="169">
        <v>46031.0</v>
      </c>
      <c r="E1611" s="2">
        <v>3.338217914E9</v>
      </c>
      <c r="F1611" s="2" t="s">
        <v>6733</v>
      </c>
      <c r="G1611" s="2" t="s">
        <v>672</v>
      </c>
      <c r="H1611" s="2">
        <v>5400.0</v>
      </c>
      <c r="I1611" s="2">
        <v>2.8120050021106E13</v>
      </c>
      <c r="J1611" s="3">
        <v>3.0</v>
      </c>
      <c r="K1611" s="2" t="s">
        <v>6734</v>
      </c>
      <c r="L1611" s="2" t="s">
        <v>6735</v>
      </c>
      <c r="M1611" s="174" t="s">
        <v>409</v>
      </c>
      <c r="N1611" s="2" t="s">
        <v>462</v>
      </c>
      <c r="O1611" s="3">
        <v>0.5</v>
      </c>
      <c r="P1611" s="2" t="s">
        <v>73</v>
      </c>
      <c r="Q1611" s="3">
        <v>1810.0</v>
      </c>
      <c r="T1611" s="2" t="s">
        <v>3674</v>
      </c>
      <c r="U1611" s="171">
        <v>5400.0</v>
      </c>
      <c r="V1611" s="172">
        <v>46038.0</v>
      </c>
      <c r="W1611" s="3">
        <v>536.0</v>
      </c>
      <c r="X1611" s="172">
        <v>46036.818506944444</v>
      </c>
      <c r="Y1611" s="172"/>
      <c r="Z1611" s="3">
        <v>46031.0</v>
      </c>
      <c r="AA1611" s="3"/>
    </row>
    <row r="1612">
      <c r="A1612" s="3">
        <v>6.859464507651E12</v>
      </c>
      <c r="B1612" s="2" t="s">
        <v>6736</v>
      </c>
      <c r="C1612" s="2" t="s">
        <v>6737</v>
      </c>
      <c r="D1612" s="169">
        <v>46031.0</v>
      </c>
      <c r="E1612" s="2">
        <v>3.24494355E9</v>
      </c>
      <c r="F1612" s="2" t="s">
        <v>6738</v>
      </c>
      <c r="G1612" s="2" t="s">
        <v>368</v>
      </c>
      <c r="H1612" s="2">
        <v>2849.0</v>
      </c>
      <c r="I1612" s="2">
        <v>2.1120050021095E13</v>
      </c>
      <c r="J1612" s="3">
        <v>2.0</v>
      </c>
      <c r="L1612" s="2" t="s">
        <v>2324</v>
      </c>
      <c r="M1612" s="174" t="s">
        <v>409</v>
      </c>
      <c r="N1612" s="2" t="s">
        <v>462</v>
      </c>
      <c r="O1612" s="3">
        <v>0.5</v>
      </c>
      <c r="P1612" s="2" t="s">
        <v>73</v>
      </c>
      <c r="Q1612" s="3">
        <v>920.0</v>
      </c>
      <c r="T1612" s="2" t="s">
        <v>3701</v>
      </c>
      <c r="U1612" s="171">
        <v>2849.0</v>
      </c>
      <c r="V1612" s="172">
        <v>46035.0</v>
      </c>
      <c r="W1612" s="3">
        <v>221.0</v>
      </c>
      <c r="X1612" s="172">
        <v>46032.73222222222</v>
      </c>
      <c r="Y1612" s="172"/>
      <c r="Z1612" s="3">
        <v>46031.0</v>
      </c>
      <c r="AA1612" s="3"/>
    </row>
    <row r="1613">
      <c r="A1613" s="3">
        <v>6.859515363587E12</v>
      </c>
      <c r="B1613" s="2" t="s">
        <v>6739</v>
      </c>
      <c r="C1613" s="2" t="s">
        <v>6740</v>
      </c>
      <c r="D1613" s="169">
        <v>46031.0</v>
      </c>
      <c r="E1613" s="2">
        <v>3.065472417E9</v>
      </c>
      <c r="F1613" s="2" t="s">
        <v>6741</v>
      </c>
      <c r="G1613" s="2" t="s">
        <v>6742</v>
      </c>
      <c r="H1613" s="2">
        <v>0.0</v>
      </c>
      <c r="J1613" s="3">
        <v>0.0</v>
      </c>
      <c r="K1613" s="2" t="s">
        <v>6743</v>
      </c>
      <c r="L1613" s="2"/>
      <c r="M1613" s="2" t="s">
        <v>468</v>
      </c>
      <c r="N1613" s="2" t="s">
        <v>406</v>
      </c>
      <c r="O1613" s="3">
        <v>0.5</v>
      </c>
      <c r="Q1613" s="3">
        <v>0.0</v>
      </c>
      <c r="U1613" s="141"/>
      <c r="X1613" s="172">
        <v>46057.642782835646</v>
      </c>
      <c r="Y1613" s="172"/>
      <c r="Z1613" s="3">
        <v>46031.0</v>
      </c>
      <c r="AA1613" s="3"/>
    </row>
    <row r="1614">
      <c r="A1614" s="3">
        <v>6.859530404099E12</v>
      </c>
      <c r="B1614" s="2" t="s">
        <v>6744</v>
      </c>
      <c r="C1614" s="2" t="s">
        <v>6745</v>
      </c>
      <c r="D1614" s="169">
        <v>46031.0</v>
      </c>
      <c r="E1614" s="173" t="s">
        <v>6746</v>
      </c>
      <c r="F1614" s="2" t="s">
        <v>6747</v>
      </c>
      <c r="G1614" s="2" t="s">
        <v>493</v>
      </c>
      <c r="H1614" s="2">
        <v>249.0</v>
      </c>
      <c r="I1614" s="2">
        <v>2.9120050021105E13</v>
      </c>
      <c r="J1614" s="3">
        <v>0.0</v>
      </c>
      <c r="K1614" s="2" t="s">
        <v>6748</v>
      </c>
      <c r="L1614" s="2"/>
      <c r="M1614" s="170" t="s">
        <v>455</v>
      </c>
      <c r="N1614" s="2" t="s">
        <v>406</v>
      </c>
      <c r="O1614" s="3">
        <v>0.5</v>
      </c>
      <c r="P1614" s="2" t="s">
        <v>363</v>
      </c>
      <c r="Q1614" s="3">
        <v>0.0</v>
      </c>
      <c r="U1614" s="141"/>
      <c r="W1614" s="3">
        <v>227.0</v>
      </c>
      <c r="X1614" s="172">
        <v>46044.92327546296</v>
      </c>
      <c r="Y1614" s="172"/>
      <c r="Z1614" s="3">
        <v>46031.0</v>
      </c>
      <c r="AA1614" s="3"/>
    </row>
    <row r="1615">
      <c r="A1615" s="3">
        <v>6.859567890691E12</v>
      </c>
      <c r="B1615" s="2" t="s">
        <v>6749</v>
      </c>
      <c r="C1615" s="2" t="s">
        <v>6750</v>
      </c>
      <c r="D1615" s="169">
        <v>46031.0</v>
      </c>
      <c r="E1615" s="2">
        <v>3.02927404E9</v>
      </c>
      <c r="F1615" s="2" t="s">
        <v>6751</v>
      </c>
      <c r="G1615" s="2" t="s">
        <v>855</v>
      </c>
      <c r="H1615" s="2">
        <v>3099.0</v>
      </c>
      <c r="I1615" s="2">
        <v>2.5120050021096E13</v>
      </c>
      <c r="J1615" s="3">
        <v>2.0</v>
      </c>
      <c r="K1615" s="2" t="s">
        <v>6752</v>
      </c>
      <c r="L1615" s="2" t="s">
        <v>662</v>
      </c>
      <c r="M1615" s="174" t="s">
        <v>409</v>
      </c>
      <c r="N1615" s="2" t="s">
        <v>462</v>
      </c>
      <c r="O1615" s="3">
        <v>0.5</v>
      </c>
      <c r="P1615" s="2" t="s">
        <v>363</v>
      </c>
      <c r="Q1615" s="3">
        <v>960.0</v>
      </c>
      <c r="T1615" s="2" t="s">
        <v>3674</v>
      </c>
      <c r="U1615" s="171">
        <v>3099.0</v>
      </c>
      <c r="V1615" s="172">
        <v>46038.0</v>
      </c>
      <c r="W1615" s="3">
        <v>324.0</v>
      </c>
      <c r="X1615" s="172">
        <v>46035.60160879629</v>
      </c>
      <c r="Y1615" s="172"/>
      <c r="Z1615" s="3">
        <v>46031.0</v>
      </c>
      <c r="AA1615" s="3"/>
    </row>
    <row r="1616">
      <c r="A1616" s="3">
        <v>6.859655217411E12</v>
      </c>
      <c r="B1616" s="2" t="s">
        <v>6753</v>
      </c>
      <c r="C1616" s="2" t="s">
        <v>4074</v>
      </c>
      <c r="D1616" s="169">
        <v>46031.0</v>
      </c>
      <c r="E1616" s="173" t="s">
        <v>6754</v>
      </c>
      <c r="F1616" s="2" t="s">
        <v>6755</v>
      </c>
      <c r="G1616" s="2" t="s">
        <v>523</v>
      </c>
      <c r="H1616" s="2">
        <v>249.0</v>
      </c>
      <c r="I1616" s="2">
        <v>2.6120050021104E13</v>
      </c>
      <c r="J1616" s="3">
        <v>0.0</v>
      </c>
      <c r="K1616" s="2" t="s">
        <v>6756</v>
      </c>
      <c r="L1616" s="2"/>
      <c r="M1616" s="170" t="s">
        <v>455</v>
      </c>
      <c r="N1616" s="2" t="s">
        <v>406</v>
      </c>
      <c r="O1616" s="3">
        <v>0.5</v>
      </c>
      <c r="P1616" s="2" t="s">
        <v>363</v>
      </c>
      <c r="Q1616" s="3">
        <v>0.0</v>
      </c>
      <c r="T1616" s="2" t="s">
        <v>6336</v>
      </c>
      <c r="U1616" s="171">
        <v>0.0</v>
      </c>
      <c r="V1616" s="172">
        <v>46052.0</v>
      </c>
      <c r="W1616" s="3">
        <v>227.0</v>
      </c>
      <c r="X1616" s="172">
        <v>46049.86059027778</v>
      </c>
      <c r="Y1616" s="172"/>
      <c r="Z1616" s="3">
        <v>46031.0</v>
      </c>
      <c r="AA1616" s="3"/>
    </row>
    <row r="1617">
      <c r="A1617" s="3">
        <v>6.859655807235E12</v>
      </c>
      <c r="B1617" s="2" t="s">
        <v>6757</v>
      </c>
      <c r="C1617" s="2" t="s">
        <v>6758</v>
      </c>
      <c r="D1617" s="169">
        <v>46031.0</v>
      </c>
      <c r="E1617" s="2">
        <v>3.367434214E9</v>
      </c>
      <c r="F1617" s="2" t="s">
        <v>6759</v>
      </c>
      <c r="G1617" s="2" t="s">
        <v>6760</v>
      </c>
      <c r="H1617" s="2">
        <v>3099.0</v>
      </c>
      <c r="I1617" s="2">
        <v>2.7120050021173E13</v>
      </c>
      <c r="J1617" s="3">
        <v>2.0</v>
      </c>
      <c r="K1617" s="2" t="s">
        <v>6682</v>
      </c>
      <c r="L1617" s="2" t="s">
        <v>228</v>
      </c>
      <c r="M1617" s="174" t="s">
        <v>409</v>
      </c>
      <c r="N1617" s="2" t="s">
        <v>462</v>
      </c>
      <c r="O1617" s="3">
        <v>0.5</v>
      </c>
      <c r="P1617" s="2" t="s">
        <v>363</v>
      </c>
      <c r="Q1617" s="3">
        <v>920.0</v>
      </c>
      <c r="T1617" s="2" t="s">
        <v>4910</v>
      </c>
      <c r="U1617" s="171">
        <v>3099.0</v>
      </c>
      <c r="V1617" s="172">
        <v>46042.0</v>
      </c>
      <c r="W1617" s="3">
        <v>324.06</v>
      </c>
      <c r="X1617" s="172">
        <v>46038.4925462963</v>
      </c>
      <c r="Y1617" s="172"/>
      <c r="Z1617" s="3">
        <v>46031.0</v>
      </c>
      <c r="AA1617" s="3"/>
    </row>
    <row r="1618">
      <c r="A1618" s="3">
        <v>6.859732844803E12</v>
      </c>
      <c r="B1618" s="2" t="s">
        <v>6761</v>
      </c>
      <c r="C1618" s="2" t="s">
        <v>4215</v>
      </c>
      <c r="D1618" s="169">
        <v>46031.0</v>
      </c>
      <c r="E1618" s="173" t="s">
        <v>4216</v>
      </c>
      <c r="F1618" s="2" t="s">
        <v>6762</v>
      </c>
      <c r="G1618" s="2" t="s">
        <v>368</v>
      </c>
      <c r="H1618" s="2">
        <v>3299.0</v>
      </c>
      <c r="I1618" s="2">
        <v>2.5120050021097E13</v>
      </c>
      <c r="J1618" s="3">
        <v>1.0</v>
      </c>
      <c r="L1618" s="2" t="s">
        <v>2436</v>
      </c>
      <c r="M1618" s="174" t="s">
        <v>409</v>
      </c>
      <c r="N1618" s="2" t="s">
        <v>462</v>
      </c>
      <c r="O1618" s="3">
        <v>0.5</v>
      </c>
      <c r="P1618" s="2" t="s">
        <v>363</v>
      </c>
      <c r="Q1618" s="3">
        <v>1400.0</v>
      </c>
      <c r="T1618" s="2" t="s">
        <v>3701</v>
      </c>
      <c r="U1618" s="171">
        <v>3299.0</v>
      </c>
      <c r="V1618" s="172">
        <v>46035.0</v>
      </c>
      <c r="W1618" s="3">
        <v>252.0</v>
      </c>
      <c r="X1618" s="172">
        <v>46034.60575231482</v>
      </c>
      <c r="Y1618" s="172"/>
      <c r="Z1618" s="3">
        <v>46031.0</v>
      </c>
      <c r="AA1618" s="3"/>
    </row>
    <row r="1619">
      <c r="A1619" s="3">
        <v>6.859737039107E12</v>
      </c>
      <c r="B1619" s="2" t="s">
        <v>6763</v>
      </c>
      <c r="C1619" s="2" t="s">
        <v>6764</v>
      </c>
      <c r="D1619" s="169">
        <v>46031.0</v>
      </c>
      <c r="E1619" s="173" t="s">
        <v>6765</v>
      </c>
      <c r="F1619" s="2" t="s">
        <v>6766</v>
      </c>
      <c r="G1619" s="2" t="s">
        <v>506</v>
      </c>
      <c r="H1619" s="2">
        <v>0.0</v>
      </c>
      <c r="J1619" s="3">
        <v>0.0</v>
      </c>
      <c r="K1619" s="2" t="s">
        <v>6767</v>
      </c>
      <c r="L1619" s="2"/>
      <c r="M1619" s="2" t="s">
        <v>468</v>
      </c>
      <c r="N1619" s="2" t="s">
        <v>406</v>
      </c>
      <c r="O1619" s="3">
        <v>0.5</v>
      </c>
      <c r="Q1619" s="3">
        <v>0.0</v>
      </c>
      <c r="U1619" s="141"/>
      <c r="X1619" s="172">
        <v>46057.642782835646</v>
      </c>
      <c r="Y1619" s="172"/>
      <c r="Z1619" s="3">
        <v>46031.0</v>
      </c>
      <c r="AA1619" s="3"/>
    </row>
    <row r="1620">
      <c r="A1620" s="3">
        <v>6.859811062019E12</v>
      </c>
      <c r="B1620" s="2" t="s">
        <v>6768</v>
      </c>
      <c r="C1620" s="2" t="s">
        <v>6769</v>
      </c>
      <c r="D1620" s="169">
        <v>46031.0</v>
      </c>
      <c r="E1620" s="2">
        <v>3.083003003E9</v>
      </c>
      <c r="F1620" s="2" t="s">
        <v>6770</v>
      </c>
      <c r="G1620" s="2" t="s">
        <v>493</v>
      </c>
      <c r="H1620" s="2">
        <v>3739.0</v>
      </c>
      <c r="I1620" s="2">
        <v>2.4120050021103E13</v>
      </c>
      <c r="J1620" s="3">
        <v>1.0</v>
      </c>
      <c r="K1620" s="2" t="s">
        <v>6708</v>
      </c>
      <c r="L1620" s="2" t="s">
        <v>6273</v>
      </c>
      <c r="M1620" s="174" t="s">
        <v>409</v>
      </c>
      <c r="N1620" s="2" t="s">
        <v>462</v>
      </c>
      <c r="O1620" s="3">
        <v>0.5</v>
      </c>
      <c r="P1620" s="2" t="s">
        <v>363</v>
      </c>
      <c r="Q1620" s="3">
        <v>1650.0</v>
      </c>
      <c r="T1620" s="2" t="s">
        <v>3674</v>
      </c>
      <c r="U1620" s="171">
        <v>3739.0</v>
      </c>
      <c r="V1620" s="172">
        <v>46038.0</v>
      </c>
      <c r="W1620" s="3">
        <v>376.0</v>
      </c>
      <c r="X1620" s="172">
        <v>46036.69751157408</v>
      </c>
      <c r="Y1620" s="172"/>
      <c r="Z1620" s="3">
        <v>46031.0</v>
      </c>
      <c r="AA1620" s="3"/>
    </row>
    <row r="1621">
      <c r="A1621" s="3">
        <v>6.859813748995E12</v>
      </c>
      <c r="B1621" s="2" t="s">
        <v>6771</v>
      </c>
      <c r="C1621" s="2" t="s">
        <v>6772</v>
      </c>
      <c r="D1621" s="169">
        <v>46031.0</v>
      </c>
      <c r="E1621" s="2">
        <v>3.336437078E9</v>
      </c>
      <c r="F1621" s="2" t="s">
        <v>6773</v>
      </c>
      <c r="G1621" s="2" t="s">
        <v>4667</v>
      </c>
      <c r="H1621" s="2">
        <v>249.0</v>
      </c>
      <c r="I1621" s="2">
        <v>2.8120050021098E13</v>
      </c>
      <c r="J1621" s="3">
        <v>0.0</v>
      </c>
      <c r="K1621" s="2" t="s">
        <v>6774</v>
      </c>
      <c r="L1621" s="2"/>
      <c r="M1621" s="170" t="s">
        <v>455</v>
      </c>
      <c r="N1621" s="2" t="s">
        <v>406</v>
      </c>
      <c r="O1621" s="3">
        <v>0.5</v>
      </c>
      <c r="P1621" s="2" t="s">
        <v>73</v>
      </c>
      <c r="Q1621" s="3">
        <v>0.0</v>
      </c>
      <c r="T1621" s="2" t="s">
        <v>6123</v>
      </c>
      <c r="U1621" s="171">
        <v>0.0</v>
      </c>
      <c r="V1621" s="172">
        <v>46049.0</v>
      </c>
      <c r="W1621" s="3">
        <v>200.0</v>
      </c>
      <c r="X1621" s="172">
        <v>46046.82884259259</v>
      </c>
      <c r="Y1621" s="172"/>
      <c r="Z1621" s="3">
        <v>46031.0</v>
      </c>
      <c r="AA1621" s="3"/>
    </row>
    <row r="1622">
      <c r="A1622" s="3">
        <v>6.859897962755E12</v>
      </c>
      <c r="B1622" s="2" t="s">
        <v>6775</v>
      </c>
      <c r="C1622" s="2" t="s">
        <v>6776</v>
      </c>
      <c r="D1622" s="169">
        <v>46031.0</v>
      </c>
      <c r="E1622" s="2">
        <v>3.314360727E9</v>
      </c>
      <c r="F1622" s="2" t="s">
        <v>6777</v>
      </c>
      <c r="G1622" s="2" t="s">
        <v>368</v>
      </c>
      <c r="H1622" s="2">
        <v>2799.0</v>
      </c>
      <c r="I1622" s="2">
        <v>2.1120050021102E13</v>
      </c>
      <c r="J1622" s="3">
        <v>1.0</v>
      </c>
      <c r="L1622" s="2" t="s">
        <v>519</v>
      </c>
      <c r="M1622" s="174" t="s">
        <v>409</v>
      </c>
      <c r="N1622" s="2" t="s">
        <v>462</v>
      </c>
      <c r="O1622" s="3">
        <v>0.5</v>
      </c>
      <c r="P1622" s="2" t="s">
        <v>73</v>
      </c>
      <c r="Q1622" s="3">
        <v>850.0</v>
      </c>
      <c r="T1622" s="2" t="s">
        <v>3701</v>
      </c>
      <c r="U1622" s="171">
        <v>2799.0</v>
      </c>
      <c r="V1622" s="172">
        <v>46035.0</v>
      </c>
      <c r="W1622" s="3">
        <v>219.0</v>
      </c>
      <c r="X1622" s="172">
        <v>46032.61554398148</v>
      </c>
      <c r="Y1622" s="172"/>
      <c r="Z1622" s="3">
        <v>46031.0</v>
      </c>
      <c r="AA1622" s="3"/>
    </row>
    <row r="1623">
      <c r="A1623" s="3">
        <v>6.859907662083E12</v>
      </c>
      <c r="B1623" s="2" t="s">
        <v>6778</v>
      </c>
      <c r="C1623" s="2" t="s">
        <v>6779</v>
      </c>
      <c r="D1623" s="169">
        <v>46031.0</v>
      </c>
      <c r="E1623" s="173" t="s">
        <v>6780</v>
      </c>
      <c r="F1623" s="2" t="s">
        <v>6781</v>
      </c>
      <c r="G1623" s="2" t="s">
        <v>6782</v>
      </c>
      <c r="H1623" s="2">
        <v>2799.0</v>
      </c>
      <c r="I1623" s="2">
        <v>2.3120050021101E13</v>
      </c>
      <c r="J1623" s="3">
        <v>1.0</v>
      </c>
      <c r="K1623" s="2" t="s">
        <v>6783</v>
      </c>
      <c r="L1623" s="2" t="s">
        <v>519</v>
      </c>
      <c r="M1623" s="170" t="s">
        <v>455</v>
      </c>
      <c r="N1623" s="2" t="s">
        <v>406</v>
      </c>
      <c r="O1623" s="3">
        <v>0.5</v>
      </c>
      <c r="P1623" s="2" t="s">
        <v>363</v>
      </c>
      <c r="Q1623" s="3">
        <v>850.0</v>
      </c>
      <c r="T1623" s="2" t="s">
        <v>4910</v>
      </c>
      <c r="U1623" s="171">
        <v>0.0</v>
      </c>
      <c r="V1623" s="172">
        <v>46042.0</v>
      </c>
      <c r="W1623" s="3">
        <v>220.11</v>
      </c>
      <c r="X1623" s="172">
        <v>46038.82027777778</v>
      </c>
      <c r="Y1623" s="172"/>
      <c r="Z1623" s="3">
        <v>46031.0</v>
      </c>
      <c r="AA1623" s="3"/>
    </row>
    <row r="1624">
      <c r="A1624" s="3">
        <v>6.859911397635E12</v>
      </c>
      <c r="B1624" s="2" t="s">
        <v>6784</v>
      </c>
      <c r="C1624" s="2" t="s">
        <v>6785</v>
      </c>
      <c r="D1624" s="169">
        <v>46031.0</v>
      </c>
      <c r="E1624" s="2">
        <v>3.449071815E9</v>
      </c>
      <c r="F1624" s="2" t="s">
        <v>6786</v>
      </c>
      <c r="G1624" s="2" t="s">
        <v>6787</v>
      </c>
      <c r="H1624" s="2">
        <v>0.0</v>
      </c>
      <c r="J1624" s="3">
        <v>0.0</v>
      </c>
      <c r="K1624" s="2" t="s">
        <v>6788</v>
      </c>
      <c r="L1624" s="2"/>
      <c r="M1624" s="2" t="s">
        <v>468</v>
      </c>
      <c r="N1624" s="2" t="s">
        <v>406</v>
      </c>
      <c r="O1624" s="3">
        <v>0.5</v>
      </c>
      <c r="Q1624" s="3">
        <v>0.0</v>
      </c>
      <c r="U1624" s="141"/>
      <c r="X1624" s="172">
        <v>46057.642782835646</v>
      </c>
      <c r="Y1624" s="172"/>
      <c r="Z1624" s="3">
        <v>46031.0</v>
      </c>
      <c r="AA1624" s="3"/>
    </row>
    <row r="1625">
      <c r="A1625" s="3">
        <v>6.859938595075E12</v>
      </c>
      <c r="B1625" s="2" t="s">
        <v>6789</v>
      </c>
      <c r="C1625" s="2" t="s">
        <v>5527</v>
      </c>
      <c r="D1625" s="169">
        <v>46031.0</v>
      </c>
      <c r="E1625" s="2">
        <v>3.008486284E9</v>
      </c>
      <c r="F1625" s="2" t="s">
        <v>6790</v>
      </c>
      <c r="G1625" s="2" t="s">
        <v>1637</v>
      </c>
      <c r="H1625" s="2">
        <v>0.0</v>
      </c>
      <c r="J1625" s="3">
        <v>0.0</v>
      </c>
      <c r="K1625" s="2" t="s">
        <v>3258</v>
      </c>
      <c r="L1625" s="2"/>
      <c r="M1625" s="2" t="s">
        <v>468</v>
      </c>
      <c r="N1625" s="2" t="s">
        <v>406</v>
      </c>
      <c r="O1625" s="3">
        <v>0.5</v>
      </c>
      <c r="Q1625" s="3">
        <v>0.0</v>
      </c>
      <c r="U1625" s="141"/>
      <c r="X1625" s="172">
        <v>46057.642782835646</v>
      </c>
      <c r="Y1625" s="172"/>
      <c r="Z1625" s="3">
        <v>46031.0</v>
      </c>
      <c r="AA1625" s="3"/>
    </row>
    <row r="1626">
      <c r="A1626" s="3">
        <v>6.859951735043E12</v>
      </c>
      <c r="B1626" s="2" t="s">
        <v>6791</v>
      </c>
      <c r="C1626" s="2" t="s">
        <v>6792</v>
      </c>
      <c r="D1626" s="169">
        <v>46031.0</v>
      </c>
      <c r="E1626" s="173" t="s">
        <v>6793</v>
      </c>
      <c r="F1626" s="2" t="s">
        <v>6794</v>
      </c>
      <c r="G1626" s="2" t="s">
        <v>749</v>
      </c>
      <c r="H1626" s="2">
        <v>3739.0</v>
      </c>
      <c r="I1626" s="2">
        <v>2.01200500211E13</v>
      </c>
      <c r="J1626" s="3">
        <v>2.0</v>
      </c>
      <c r="L1626" s="2" t="s">
        <v>994</v>
      </c>
      <c r="M1626" s="174" t="s">
        <v>409</v>
      </c>
      <c r="N1626" s="2" t="s">
        <v>462</v>
      </c>
      <c r="O1626" s="3">
        <v>0.5</v>
      </c>
      <c r="P1626" s="2" t="s">
        <v>363</v>
      </c>
      <c r="Q1626" s="3">
        <v>1700.0</v>
      </c>
      <c r="T1626" s="2" t="s">
        <v>3701</v>
      </c>
      <c r="U1626" s="171">
        <v>3739.0</v>
      </c>
      <c r="V1626" s="172">
        <v>46035.0</v>
      </c>
      <c r="W1626" s="3">
        <v>370.0</v>
      </c>
      <c r="X1626" s="172">
        <v>46034.57034722222</v>
      </c>
      <c r="Y1626" s="172"/>
      <c r="Z1626" s="3">
        <v>46031.0</v>
      </c>
      <c r="AA1626" s="3"/>
    </row>
    <row r="1627">
      <c r="A1627" s="3">
        <v>6.859970117891E12</v>
      </c>
      <c r="B1627" s="2" t="s">
        <v>6795</v>
      </c>
      <c r="C1627" s="2" t="s">
        <v>6796</v>
      </c>
      <c r="D1627" s="169">
        <v>46031.0</v>
      </c>
      <c r="E1627" s="2">
        <v>3.257038932E9</v>
      </c>
      <c r="F1627" s="2" t="s">
        <v>6797</v>
      </c>
      <c r="G1627" s="2" t="s">
        <v>493</v>
      </c>
      <c r="H1627" s="2">
        <v>249.0</v>
      </c>
      <c r="I1627" s="2">
        <v>2.4120050021187E13</v>
      </c>
      <c r="J1627" s="3">
        <v>0.0</v>
      </c>
      <c r="K1627" s="2" t="s">
        <v>6798</v>
      </c>
      <c r="L1627" s="2"/>
      <c r="M1627" s="170" t="s">
        <v>455</v>
      </c>
      <c r="N1627" s="2" t="s">
        <v>406</v>
      </c>
      <c r="O1627" s="3">
        <v>0.5</v>
      </c>
      <c r="P1627" s="2" t="s">
        <v>363</v>
      </c>
      <c r="Q1627" s="3">
        <v>0.0</v>
      </c>
      <c r="T1627" s="2" t="s">
        <v>6123</v>
      </c>
      <c r="U1627" s="171">
        <v>0.0</v>
      </c>
      <c r="V1627" s="172">
        <v>46049.0</v>
      </c>
      <c r="W1627" s="3">
        <v>227.0</v>
      </c>
      <c r="X1627" s="172">
        <v>46046.82884259259</v>
      </c>
      <c r="Y1627" s="172"/>
      <c r="Z1627" s="3">
        <v>46031.0</v>
      </c>
      <c r="AA1627" s="3"/>
    </row>
    <row r="1628">
      <c r="A1628" s="3">
        <v>6.859989647619E12</v>
      </c>
      <c r="B1628" s="2" t="s">
        <v>6799</v>
      </c>
      <c r="C1628" s="2" t="s">
        <v>6800</v>
      </c>
      <c r="D1628" s="169">
        <v>46031.0</v>
      </c>
      <c r="E1628" s="173" t="s">
        <v>6801</v>
      </c>
      <c r="F1628" s="2" t="s">
        <v>6802</v>
      </c>
      <c r="G1628" s="2" t="s">
        <v>368</v>
      </c>
      <c r="H1628" s="2">
        <v>3490.0</v>
      </c>
      <c r="I1628" s="2">
        <v>2.5120050021116E13</v>
      </c>
      <c r="J1628" s="3">
        <v>2.0</v>
      </c>
      <c r="K1628" s="2" t="s">
        <v>6803</v>
      </c>
      <c r="L1628" s="2" t="s">
        <v>6804</v>
      </c>
      <c r="M1628" s="174" t="s">
        <v>409</v>
      </c>
      <c r="N1628" s="2" t="s">
        <v>462</v>
      </c>
      <c r="O1628" s="3">
        <v>0.5</v>
      </c>
      <c r="P1628" s="2" t="s">
        <v>363</v>
      </c>
      <c r="Q1628" s="3">
        <v>1580.0</v>
      </c>
      <c r="T1628" s="2" t="s">
        <v>3701</v>
      </c>
      <c r="U1628" s="171">
        <v>3490.0</v>
      </c>
      <c r="V1628" s="172">
        <v>46035.0</v>
      </c>
      <c r="W1628" s="3">
        <v>260.0</v>
      </c>
      <c r="X1628" s="172">
        <v>46032.6072337963</v>
      </c>
      <c r="Y1628" s="172"/>
      <c r="Z1628" s="3">
        <v>46031.0</v>
      </c>
      <c r="AA1628" s="3"/>
    </row>
    <row r="1629">
      <c r="A1629" s="3">
        <v>6.859996201219E12</v>
      </c>
      <c r="B1629" s="2" t="s">
        <v>6805</v>
      </c>
      <c r="C1629" s="2" t="s">
        <v>6806</v>
      </c>
      <c r="D1629" s="169">
        <v>46031.0</v>
      </c>
      <c r="E1629" s="2">
        <v>3.216959422E9</v>
      </c>
      <c r="F1629" s="2" t="s">
        <v>6807</v>
      </c>
      <c r="G1629" s="2" t="s">
        <v>898</v>
      </c>
      <c r="H1629" s="2">
        <v>0.0</v>
      </c>
      <c r="I1629" s="2">
        <v>2.0120050021099E13</v>
      </c>
      <c r="J1629" s="3">
        <v>0.0</v>
      </c>
      <c r="K1629" s="2" t="s">
        <v>6808</v>
      </c>
      <c r="L1629" s="2"/>
      <c r="M1629" s="170" t="s">
        <v>455</v>
      </c>
      <c r="N1629" s="2" t="s">
        <v>406</v>
      </c>
      <c r="O1629" s="3">
        <v>0.5</v>
      </c>
      <c r="P1629" s="2" t="s">
        <v>363</v>
      </c>
      <c r="Q1629" s="3">
        <v>0.0</v>
      </c>
      <c r="T1629" s="2" t="s">
        <v>3674</v>
      </c>
      <c r="U1629" s="171">
        <v>0.0</v>
      </c>
      <c r="V1629" s="172">
        <v>46038.0</v>
      </c>
      <c r="W1629" s="3">
        <v>200.0</v>
      </c>
      <c r="X1629" s="172">
        <v>46036.79696759259</v>
      </c>
      <c r="Y1629" s="172"/>
      <c r="Z1629" s="3">
        <v>46031.0</v>
      </c>
      <c r="AA1629" s="3"/>
    </row>
    <row r="1630">
      <c r="A1630" s="3">
        <v>6.860002066691E12</v>
      </c>
      <c r="B1630" s="2" t="s">
        <v>6809</v>
      </c>
      <c r="C1630" s="2" t="s">
        <v>6800</v>
      </c>
      <c r="D1630" s="169">
        <v>46031.0</v>
      </c>
      <c r="E1630" s="173" t="s">
        <v>6801</v>
      </c>
      <c r="F1630" s="2" t="s">
        <v>6810</v>
      </c>
      <c r="G1630" s="2" t="s">
        <v>368</v>
      </c>
      <c r="H1630" s="2">
        <v>5798.0</v>
      </c>
      <c r="I1630" s="2">
        <v>2.6120050021115E13</v>
      </c>
      <c r="J1630" s="3">
        <v>3.0</v>
      </c>
      <c r="K1630" s="2" t="s">
        <v>6803</v>
      </c>
      <c r="L1630" s="2" t="s">
        <v>6811</v>
      </c>
      <c r="M1630" s="174" t="s">
        <v>409</v>
      </c>
      <c r="N1630" s="2" t="s">
        <v>462</v>
      </c>
      <c r="O1630" s="3">
        <v>0.5</v>
      </c>
      <c r="P1630" s="2" t="s">
        <v>363</v>
      </c>
      <c r="Q1630" s="3">
        <v>2650.0</v>
      </c>
      <c r="T1630" s="2" t="s">
        <v>3701</v>
      </c>
      <c r="U1630" s="171">
        <v>5798.0</v>
      </c>
      <c r="V1630" s="172">
        <v>46035.0</v>
      </c>
      <c r="W1630" s="3">
        <v>419.0</v>
      </c>
      <c r="X1630" s="172">
        <v>46032.607210648144</v>
      </c>
      <c r="Y1630" s="172"/>
      <c r="Z1630" s="3">
        <v>46031.0</v>
      </c>
      <c r="AA1630" s="3"/>
    </row>
    <row r="1631">
      <c r="A1631" s="3">
        <v>6.860008587523E12</v>
      </c>
      <c r="B1631" s="2" t="s">
        <v>6812</v>
      </c>
      <c r="C1631" s="2" t="s">
        <v>6813</v>
      </c>
      <c r="D1631" s="169">
        <v>46031.0</v>
      </c>
      <c r="E1631" s="2">
        <v>3.338636082E9</v>
      </c>
      <c r="F1631" s="2" t="s">
        <v>6814</v>
      </c>
      <c r="G1631" s="2" t="s">
        <v>6815</v>
      </c>
      <c r="H1631" s="2">
        <v>7100.0</v>
      </c>
      <c r="I1631" s="2">
        <v>2.6120050021114E13</v>
      </c>
      <c r="J1631" s="3">
        <v>4.0</v>
      </c>
      <c r="K1631" s="2" t="s">
        <v>6816</v>
      </c>
      <c r="L1631" s="2" t="s">
        <v>6817</v>
      </c>
      <c r="M1631" s="174" t="s">
        <v>409</v>
      </c>
      <c r="N1631" s="2" t="s">
        <v>462</v>
      </c>
      <c r="O1631" s="3">
        <v>0.5</v>
      </c>
      <c r="P1631" s="2" t="s">
        <v>363</v>
      </c>
      <c r="Q1631" s="3">
        <v>3040.0</v>
      </c>
      <c r="T1631" s="2" t="s">
        <v>3674</v>
      </c>
      <c r="U1631" s="171">
        <v>7100.0</v>
      </c>
      <c r="V1631" s="172">
        <v>46038.0</v>
      </c>
      <c r="W1631" s="3">
        <v>504.0</v>
      </c>
      <c r="X1631" s="172">
        <v>46036.82962962963</v>
      </c>
      <c r="Y1631" s="172"/>
      <c r="Z1631" s="3">
        <v>46031.0</v>
      </c>
      <c r="AA1631" s="3"/>
    </row>
    <row r="1632">
      <c r="A1632" s="3">
        <v>6.860028707075E12</v>
      </c>
      <c r="B1632" s="2" t="s">
        <v>6818</v>
      </c>
      <c r="C1632" s="2" t="s">
        <v>6819</v>
      </c>
      <c r="D1632" s="169">
        <v>46031.0</v>
      </c>
      <c r="E1632" s="2">
        <v>3.434323606E9</v>
      </c>
      <c r="F1632" s="2" t="s">
        <v>6820</v>
      </c>
      <c r="G1632" s="2" t="s">
        <v>368</v>
      </c>
      <c r="H1632" s="2">
        <v>2849.0</v>
      </c>
      <c r="I1632" s="2">
        <v>2.012005002111E13</v>
      </c>
      <c r="J1632" s="3">
        <v>2.0</v>
      </c>
      <c r="K1632" s="2" t="s">
        <v>6821</v>
      </c>
      <c r="L1632" s="2" t="s">
        <v>2906</v>
      </c>
      <c r="M1632" s="170" t="s">
        <v>455</v>
      </c>
      <c r="N1632" s="2" t="s">
        <v>406</v>
      </c>
      <c r="O1632" s="3">
        <v>0.5</v>
      </c>
      <c r="P1632" s="2" t="s">
        <v>363</v>
      </c>
      <c r="Q1632" s="3">
        <v>960.0</v>
      </c>
      <c r="T1632" s="2" t="s">
        <v>4910</v>
      </c>
      <c r="U1632" s="171">
        <v>0.0</v>
      </c>
      <c r="V1632" s="172">
        <v>46042.0</v>
      </c>
      <c r="W1632" s="3">
        <v>120.06</v>
      </c>
      <c r="X1632" s="172">
        <v>46038.82027777778</v>
      </c>
      <c r="Y1632" s="172"/>
      <c r="Z1632" s="3">
        <v>46031.0</v>
      </c>
      <c r="AA1632" s="3"/>
    </row>
    <row r="1633">
      <c r="A1633" s="3">
        <v>6.860037193987E12</v>
      </c>
      <c r="B1633" s="2" t="s">
        <v>6822</v>
      </c>
      <c r="C1633" s="2" t="s">
        <v>6823</v>
      </c>
      <c r="D1633" s="169">
        <v>46031.0</v>
      </c>
      <c r="E1633" s="2">
        <v>3.244901499E9</v>
      </c>
      <c r="F1633" s="2" t="s">
        <v>6824</v>
      </c>
      <c r="G1633" s="2" t="s">
        <v>368</v>
      </c>
      <c r="H1633" s="2">
        <v>1449.0</v>
      </c>
      <c r="I1633" s="2">
        <v>2.6120050021109E13</v>
      </c>
      <c r="J1633" s="3">
        <v>1.0</v>
      </c>
      <c r="L1633" s="2" t="s">
        <v>6825</v>
      </c>
      <c r="M1633" s="174" t="s">
        <v>409</v>
      </c>
      <c r="N1633" s="2" t="s">
        <v>462</v>
      </c>
      <c r="O1633" s="3">
        <v>0.5</v>
      </c>
      <c r="P1633" s="2" t="s">
        <v>363</v>
      </c>
      <c r="Q1633" s="3">
        <v>550.0</v>
      </c>
      <c r="T1633" s="2" t="s">
        <v>3701</v>
      </c>
      <c r="U1633" s="171">
        <v>1449.0</v>
      </c>
      <c r="V1633" s="172">
        <v>46035.0</v>
      </c>
      <c r="W1633" s="3">
        <v>165.0</v>
      </c>
      <c r="X1633" s="172">
        <v>46032.598912037036</v>
      </c>
      <c r="Y1633" s="172"/>
      <c r="Z1633" s="3">
        <v>46031.0</v>
      </c>
      <c r="AA1633" s="3"/>
    </row>
    <row r="1634">
      <c r="A1634" s="3">
        <v>6.860040405251E12</v>
      </c>
      <c r="B1634" s="2" t="s">
        <v>6826</v>
      </c>
      <c r="C1634" s="2" t="s">
        <v>6827</v>
      </c>
      <c r="D1634" s="169">
        <v>46031.0</v>
      </c>
      <c r="E1634" s="173" t="s">
        <v>6828</v>
      </c>
      <c r="F1634" s="2" t="s">
        <v>6829</v>
      </c>
      <c r="G1634" s="2" t="s">
        <v>1012</v>
      </c>
      <c r="H1634" s="2">
        <v>249.0</v>
      </c>
      <c r="I1634" s="2">
        <v>2.6120050021179E13</v>
      </c>
      <c r="J1634" s="3">
        <v>0.0</v>
      </c>
      <c r="K1634" s="2" t="s">
        <v>6830</v>
      </c>
      <c r="L1634" s="2"/>
      <c r="M1634" s="170" t="s">
        <v>455</v>
      </c>
      <c r="N1634" s="2" t="s">
        <v>406</v>
      </c>
      <c r="O1634" s="3">
        <v>0.5</v>
      </c>
      <c r="P1634" s="2" t="s">
        <v>363</v>
      </c>
      <c r="Q1634" s="3">
        <v>0.0</v>
      </c>
      <c r="U1634" s="141"/>
      <c r="W1634" s="3">
        <v>213.0</v>
      </c>
      <c r="X1634" s="172">
        <v>46044.65791666666</v>
      </c>
      <c r="Y1634" s="172"/>
      <c r="Z1634" s="3">
        <v>46031.0</v>
      </c>
      <c r="AA1634" s="3"/>
    </row>
    <row r="1635">
      <c r="A1635" s="3">
        <v>6.860095848707E12</v>
      </c>
      <c r="B1635" s="2" t="s">
        <v>6831</v>
      </c>
      <c r="C1635" s="2" t="s">
        <v>6832</v>
      </c>
      <c r="D1635" s="169">
        <v>46031.0</v>
      </c>
      <c r="E1635" s="2">
        <v>3.242660005E9</v>
      </c>
      <c r="F1635" s="2" t="s">
        <v>6833</v>
      </c>
      <c r="G1635" s="2" t="s">
        <v>693</v>
      </c>
      <c r="H1635" s="2">
        <v>2749.0</v>
      </c>
      <c r="I1635" s="2">
        <v>2.1120050021134E13</v>
      </c>
      <c r="J1635" s="3">
        <v>2.0</v>
      </c>
      <c r="K1635" s="2" t="s">
        <v>6834</v>
      </c>
      <c r="L1635" s="2" t="s">
        <v>926</v>
      </c>
      <c r="M1635" s="174" t="s">
        <v>409</v>
      </c>
      <c r="N1635" s="2" t="s">
        <v>462</v>
      </c>
      <c r="O1635" s="3">
        <v>0.5</v>
      </c>
      <c r="P1635" s="2" t="s">
        <v>73</v>
      </c>
      <c r="Q1635" s="3">
        <v>980.0</v>
      </c>
      <c r="T1635" s="2" t="s">
        <v>3674</v>
      </c>
      <c r="U1635" s="171">
        <v>2749.0</v>
      </c>
      <c r="V1635" s="172">
        <v>46038.0</v>
      </c>
      <c r="W1635" s="3">
        <v>337.0</v>
      </c>
      <c r="X1635" s="172">
        <v>46035.66346064815</v>
      </c>
      <c r="Y1635" s="172"/>
      <c r="Z1635" s="3">
        <v>46031.0</v>
      </c>
      <c r="AA1635" s="3"/>
    </row>
    <row r="1636">
      <c r="A1636" s="3">
        <v>6.860165939459E12</v>
      </c>
      <c r="B1636" s="2" t="s">
        <v>6835</v>
      </c>
      <c r="C1636" s="2" t="s">
        <v>6836</v>
      </c>
      <c r="D1636" s="169">
        <v>46031.0</v>
      </c>
      <c r="E1636" s="173" t="s">
        <v>6837</v>
      </c>
      <c r="F1636" s="2" t="s">
        <v>6838</v>
      </c>
      <c r="G1636" s="2" t="s">
        <v>6839</v>
      </c>
      <c r="H1636" s="2">
        <v>249.0</v>
      </c>
      <c r="I1636" s="2" t="s">
        <v>6840</v>
      </c>
      <c r="J1636" s="3">
        <v>0.0</v>
      </c>
      <c r="K1636" s="2" t="s">
        <v>2069</v>
      </c>
      <c r="L1636" s="2"/>
      <c r="M1636" s="170" t="s">
        <v>455</v>
      </c>
      <c r="N1636" s="2" t="s">
        <v>406</v>
      </c>
      <c r="O1636" s="3">
        <v>0.5</v>
      </c>
      <c r="P1636" s="2" t="s">
        <v>640</v>
      </c>
      <c r="Q1636" s="3">
        <v>0.0</v>
      </c>
      <c r="U1636" s="141"/>
      <c r="W1636" s="3">
        <v>289.94</v>
      </c>
      <c r="X1636" s="172">
        <v>46057.67029365741</v>
      </c>
      <c r="Y1636" s="172"/>
      <c r="Z1636" s="3">
        <v>46031.0</v>
      </c>
      <c r="AA1636" s="3"/>
    </row>
    <row r="1637">
      <c r="A1637" s="3">
        <v>6.860234588419E12</v>
      </c>
      <c r="B1637" s="2" t="s">
        <v>6841</v>
      </c>
      <c r="C1637" s="2" t="s">
        <v>5038</v>
      </c>
      <c r="D1637" s="169">
        <v>46031.0</v>
      </c>
      <c r="E1637" s="2">
        <v>3.009090322E9</v>
      </c>
      <c r="F1637" s="2" t="s">
        <v>6842</v>
      </c>
      <c r="G1637" s="2" t="s">
        <v>5041</v>
      </c>
      <c r="H1637" s="2">
        <v>3739.0</v>
      </c>
      <c r="I1637" s="2">
        <v>2.0120050021186E13</v>
      </c>
      <c r="J1637" s="3">
        <v>2.0</v>
      </c>
      <c r="K1637" s="2" t="s">
        <v>6843</v>
      </c>
      <c r="L1637" s="2" t="s">
        <v>994</v>
      </c>
      <c r="M1637" s="174" t="s">
        <v>409</v>
      </c>
      <c r="N1637" s="2" t="s">
        <v>462</v>
      </c>
      <c r="O1637" s="3">
        <v>0.5</v>
      </c>
      <c r="P1637" s="2" t="s">
        <v>363</v>
      </c>
      <c r="Q1637" s="3">
        <v>1700.0</v>
      </c>
      <c r="T1637" s="2" t="s">
        <v>4910</v>
      </c>
      <c r="U1637" s="171">
        <v>3739.0</v>
      </c>
      <c r="V1637" s="172">
        <v>46042.0</v>
      </c>
      <c r="W1637" s="3">
        <v>376.34</v>
      </c>
      <c r="X1637" s="172">
        <v>46039.4946412037</v>
      </c>
      <c r="Y1637" s="172"/>
      <c r="Z1637" s="3">
        <v>46031.0</v>
      </c>
      <c r="AA1637" s="3"/>
    </row>
    <row r="1638">
      <c r="A1638" s="3">
        <v>6.860241961219E12</v>
      </c>
      <c r="B1638" s="2" t="s">
        <v>6844</v>
      </c>
      <c r="C1638" s="2" t="s">
        <v>6845</v>
      </c>
      <c r="D1638" s="169">
        <v>46031.0</v>
      </c>
      <c r="E1638" s="173" t="s">
        <v>6846</v>
      </c>
      <c r="F1638" s="2" t="s">
        <v>6847</v>
      </c>
      <c r="G1638" s="2" t="s">
        <v>1055</v>
      </c>
      <c r="H1638" s="2">
        <v>249.0</v>
      </c>
      <c r="I1638" s="2" t="s">
        <v>6848</v>
      </c>
      <c r="J1638" s="3">
        <v>0.0</v>
      </c>
      <c r="K1638" s="2" t="s">
        <v>6849</v>
      </c>
      <c r="L1638" s="2"/>
      <c r="M1638" s="170" t="s">
        <v>455</v>
      </c>
      <c r="N1638" s="2" t="s">
        <v>406</v>
      </c>
      <c r="O1638" s="3">
        <v>0.5</v>
      </c>
      <c r="P1638" s="2" t="s">
        <v>640</v>
      </c>
      <c r="Q1638" s="3">
        <v>0.0</v>
      </c>
      <c r="U1638" s="141"/>
      <c r="W1638" s="3">
        <v>289.94</v>
      </c>
      <c r="X1638" s="172">
        <v>46067.00501883102</v>
      </c>
      <c r="Y1638" s="172"/>
      <c r="Z1638" s="3">
        <v>46031.0</v>
      </c>
      <c r="AA1638" s="3"/>
    </row>
    <row r="1639">
      <c r="A1639" s="3">
        <v>6.860260311299E12</v>
      </c>
      <c r="B1639" s="2" t="s">
        <v>6850</v>
      </c>
      <c r="C1639" s="2" t="s">
        <v>6532</v>
      </c>
      <c r="D1639" s="169">
        <v>46031.0</v>
      </c>
      <c r="E1639" s="173" t="s">
        <v>6851</v>
      </c>
      <c r="F1639" s="2" t="s">
        <v>6533</v>
      </c>
      <c r="G1639" s="2" t="s">
        <v>366</v>
      </c>
      <c r="H1639" s="2">
        <v>2000.0</v>
      </c>
      <c r="I1639" s="2">
        <v>2.4120050021117E13</v>
      </c>
      <c r="J1639" s="3">
        <v>1.0</v>
      </c>
      <c r="K1639" s="2" t="s">
        <v>6852</v>
      </c>
      <c r="L1639" s="2" t="s">
        <v>519</v>
      </c>
      <c r="M1639" s="174" t="s">
        <v>409</v>
      </c>
      <c r="N1639" s="2" t="s">
        <v>462</v>
      </c>
      <c r="O1639" s="3">
        <v>0.5</v>
      </c>
      <c r="P1639" s="2" t="s">
        <v>363</v>
      </c>
      <c r="Q1639" s="3">
        <v>850.0</v>
      </c>
      <c r="T1639" s="2" t="s">
        <v>3701</v>
      </c>
      <c r="U1639" s="171">
        <v>2000.0</v>
      </c>
      <c r="V1639" s="172">
        <v>46035.0</v>
      </c>
      <c r="W1639" s="3">
        <v>200.0</v>
      </c>
      <c r="X1639" s="172">
        <v>46034.579375</v>
      </c>
      <c r="Y1639" s="172"/>
      <c r="Z1639" s="3">
        <v>46031.0</v>
      </c>
      <c r="AA1639" s="3"/>
    </row>
    <row r="1640">
      <c r="A1640" s="3">
        <v>6.860261097731E12</v>
      </c>
      <c r="B1640" s="2" t="s">
        <v>6853</v>
      </c>
      <c r="C1640" s="2" t="s">
        <v>6854</v>
      </c>
      <c r="D1640" s="169">
        <v>46031.0</v>
      </c>
      <c r="E1640" s="2">
        <v>3.112139576E9</v>
      </c>
      <c r="F1640" s="2" t="s">
        <v>6855</v>
      </c>
      <c r="G1640" s="2" t="s">
        <v>493</v>
      </c>
      <c r="H1640" s="2">
        <v>3099.0</v>
      </c>
      <c r="I1640" s="2">
        <v>2.3120050021128E13</v>
      </c>
      <c r="J1640" s="3">
        <v>2.0</v>
      </c>
      <c r="K1640" s="2" t="s">
        <v>6752</v>
      </c>
      <c r="L1640" s="2" t="s">
        <v>3242</v>
      </c>
      <c r="M1640" s="174" t="s">
        <v>409</v>
      </c>
      <c r="N1640" s="2" t="s">
        <v>462</v>
      </c>
      <c r="O1640" s="3">
        <v>0.5</v>
      </c>
      <c r="P1640" s="2" t="s">
        <v>363</v>
      </c>
      <c r="Q1640" s="3">
        <v>1000.0</v>
      </c>
      <c r="T1640" s="2" t="s">
        <v>3674</v>
      </c>
      <c r="U1640" s="171">
        <v>3099.0</v>
      </c>
      <c r="V1640" s="172">
        <v>46038.0</v>
      </c>
      <c r="W1640" s="3">
        <v>351.0</v>
      </c>
      <c r="X1640" s="172">
        <v>46035.636145833334</v>
      </c>
      <c r="Y1640" s="172"/>
      <c r="Z1640" s="3">
        <v>46031.0</v>
      </c>
      <c r="AA1640" s="3"/>
    </row>
    <row r="1641">
      <c r="A1641" s="3">
        <v>6.860288721155E12</v>
      </c>
      <c r="B1641" s="2" t="s">
        <v>6856</v>
      </c>
      <c r="C1641" s="2" t="s">
        <v>6857</v>
      </c>
      <c r="D1641" s="169">
        <v>46031.0</v>
      </c>
      <c r="E1641" s="2">
        <v>9.23231415101E11</v>
      </c>
      <c r="F1641" s="2" t="s">
        <v>6858</v>
      </c>
      <c r="G1641" s="2" t="s">
        <v>368</v>
      </c>
      <c r="H1641" s="2">
        <v>2849.0</v>
      </c>
      <c r="I1641" s="2">
        <v>2.1120050021127E13</v>
      </c>
      <c r="J1641" s="3">
        <v>2.0</v>
      </c>
      <c r="L1641" s="2" t="s">
        <v>1329</v>
      </c>
      <c r="M1641" s="174" t="s">
        <v>409</v>
      </c>
      <c r="N1641" s="2" t="s">
        <v>462</v>
      </c>
      <c r="O1641" s="3">
        <v>0.5</v>
      </c>
      <c r="P1641" s="2" t="s">
        <v>73</v>
      </c>
      <c r="Q1641" s="3">
        <v>960.0</v>
      </c>
      <c r="T1641" s="2" t="s">
        <v>3701</v>
      </c>
      <c r="U1641" s="171">
        <v>2849.0</v>
      </c>
      <c r="V1641" s="172">
        <v>46035.0</v>
      </c>
      <c r="W1641" s="3">
        <v>234.0</v>
      </c>
      <c r="X1641" s="172">
        <v>46034.52935185185</v>
      </c>
      <c r="Y1641" s="172"/>
      <c r="Z1641" s="3">
        <v>46031.0</v>
      </c>
      <c r="AA1641" s="3"/>
    </row>
    <row r="1642">
      <c r="A1642" s="3">
        <v>6.860319588611E12</v>
      </c>
      <c r="B1642" s="2" t="s">
        <v>6859</v>
      </c>
      <c r="C1642" s="2" t="s">
        <v>6860</v>
      </c>
      <c r="D1642" s="169">
        <v>46031.0</v>
      </c>
      <c r="E1642" s="2">
        <v>3.001397722E9</v>
      </c>
      <c r="F1642" s="2" t="s">
        <v>6861</v>
      </c>
      <c r="G1642" s="2" t="s">
        <v>541</v>
      </c>
      <c r="H1642" s="2">
        <v>3099.0</v>
      </c>
      <c r="I1642" s="2">
        <v>2.0120050021126E13</v>
      </c>
      <c r="J1642" s="3">
        <v>2.0</v>
      </c>
      <c r="K1642" s="2" t="s">
        <v>6752</v>
      </c>
      <c r="L1642" s="2" t="s">
        <v>27</v>
      </c>
      <c r="M1642" s="174" t="s">
        <v>409</v>
      </c>
      <c r="N1642" s="2" t="s">
        <v>462</v>
      </c>
      <c r="O1642" s="3">
        <v>0.5</v>
      </c>
      <c r="P1642" s="2" t="s">
        <v>363</v>
      </c>
      <c r="Q1642" s="3">
        <v>920.0</v>
      </c>
      <c r="T1642" s="2" t="s">
        <v>3674</v>
      </c>
      <c r="U1642" s="171">
        <v>3099.0</v>
      </c>
      <c r="V1642" s="172">
        <v>46038.0</v>
      </c>
      <c r="W1642" s="3">
        <v>344.0</v>
      </c>
      <c r="X1642" s="172">
        <v>46035.57240740741</v>
      </c>
      <c r="Y1642" s="172"/>
      <c r="Z1642" s="3">
        <v>46031.0</v>
      </c>
      <c r="AA1642" s="3"/>
    </row>
    <row r="1643">
      <c r="A1643" s="3">
        <v>6.860327289091E12</v>
      </c>
      <c r="B1643" s="2" t="s">
        <v>6862</v>
      </c>
      <c r="C1643" s="2" t="s">
        <v>6863</v>
      </c>
      <c r="D1643" s="169">
        <v>46031.0</v>
      </c>
      <c r="E1643" s="173" t="s">
        <v>6864</v>
      </c>
      <c r="F1643" s="2" t="s">
        <v>6243</v>
      </c>
      <c r="G1643" s="2" t="s">
        <v>1439</v>
      </c>
      <c r="H1643" s="2">
        <v>5989.0</v>
      </c>
      <c r="I1643" s="2">
        <v>2.2120050021142E13</v>
      </c>
      <c r="J1643" s="3">
        <v>2.0</v>
      </c>
      <c r="K1643" s="2" t="s">
        <v>6865</v>
      </c>
      <c r="L1643" s="2" t="s">
        <v>6866</v>
      </c>
      <c r="M1643" s="174" t="s">
        <v>409</v>
      </c>
      <c r="N1643" s="2" t="s">
        <v>462</v>
      </c>
      <c r="O1643" s="3">
        <v>0.5</v>
      </c>
      <c r="P1643" s="2" t="s">
        <v>363</v>
      </c>
      <c r="Q1643" s="3">
        <v>2500.0</v>
      </c>
      <c r="T1643" s="2" t="s">
        <v>3674</v>
      </c>
      <c r="U1643" s="171">
        <v>5989.0</v>
      </c>
      <c r="V1643" s="172">
        <v>46038.0</v>
      </c>
      <c r="W1643" s="3">
        <v>560.0</v>
      </c>
      <c r="X1643" s="172">
        <v>46035.53282407408</v>
      </c>
      <c r="Y1643" s="172"/>
      <c r="Z1643" s="3">
        <v>46031.0</v>
      </c>
      <c r="AA1643" s="3"/>
    </row>
    <row r="1644">
      <c r="A1644" s="3">
        <v>6.860333220099E12</v>
      </c>
      <c r="B1644" s="2" t="s">
        <v>6867</v>
      </c>
      <c r="C1644" s="2" t="s">
        <v>6863</v>
      </c>
      <c r="D1644" s="169">
        <v>46031.0</v>
      </c>
      <c r="E1644" s="173" t="s">
        <v>6864</v>
      </c>
      <c r="F1644" s="2" t="s">
        <v>6243</v>
      </c>
      <c r="G1644" s="2" t="s">
        <v>1439</v>
      </c>
      <c r="H1644" s="2">
        <v>0.0</v>
      </c>
      <c r="J1644" s="3">
        <v>0.0</v>
      </c>
      <c r="K1644" s="2" t="s">
        <v>760</v>
      </c>
      <c r="L1644" s="2"/>
      <c r="M1644" s="2" t="s">
        <v>468</v>
      </c>
      <c r="N1644" s="2" t="s">
        <v>406</v>
      </c>
      <c r="O1644" s="3">
        <v>0.5</v>
      </c>
      <c r="Q1644" s="3">
        <v>0.0</v>
      </c>
      <c r="U1644" s="141"/>
      <c r="X1644" s="172">
        <v>46057.642782835646</v>
      </c>
      <c r="Y1644" s="172"/>
      <c r="Z1644" s="3">
        <v>46031.0</v>
      </c>
      <c r="AA1644" s="3"/>
    </row>
    <row r="1645">
      <c r="A1645" s="3">
        <v>6.860364054787E12</v>
      </c>
      <c r="B1645" s="2" t="s">
        <v>6868</v>
      </c>
      <c r="C1645" s="2" t="s">
        <v>6869</v>
      </c>
      <c r="D1645" s="169">
        <v>46031.0</v>
      </c>
      <c r="E1645" s="173" t="s">
        <v>6870</v>
      </c>
      <c r="F1645" s="2" t="s">
        <v>6871</v>
      </c>
      <c r="G1645" s="2" t="s">
        <v>1439</v>
      </c>
      <c r="H1645" s="2">
        <v>1499.0</v>
      </c>
      <c r="I1645" s="2">
        <v>2.8120050021135E13</v>
      </c>
      <c r="J1645" s="3">
        <v>1.0</v>
      </c>
      <c r="K1645" s="2" t="s">
        <v>6872</v>
      </c>
      <c r="L1645" s="2" t="s">
        <v>6873</v>
      </c>
      <c r="M1645" s="174" t="s">
        <v>409</v>
      </c>
      <c r="N1645" s="2" t="s">
        <v>462</v>
      </c>
      <c r="O1645" s="3">
        <v>0.5</v>
      </c>
      <c r="P1645" s="2" t="s">
        <v>73</v>
      </c>
      <c r="Q1645" s="3">
        <v>750.0</v>
      </c>
      <c r="T1645" s="2" t="s">
        <v>3674</v>
      </c>
      <c r="U1645" s="171">
        <v>1499.0</v>
      </c>
      <c r="V1645" s="172">
        <v>46038.0</v>
      </c>
      <c r="W1645" s="3">
        <v>273.0</v>
      </c>
      <c r="X1645" s="172">
        <v>46035.57728009259</v>
      </c>
      <c r="Y1645" s="172"/>
      <c r="Z1645" s="3">
        <v>46031.0</v>
      </c>
      <c r="AA1645" s="3"/>
    </row>
    <row r="1646">
      <c r="A1646" s="3">
        <v>6.860398625027E12</v>
      </c>
      <c r="B1646" s="2" t="s">
        <v>6874</v>
      </c>
      <c r="C1646" s="2" t="s">
        <v>6875</v>
      </c>
      <c r="D1646" s="169">
        <v>46031.0</v>
      </c>
      <c r="E1646" s="2">
        <v>3.461107876E9</v>
      </c>
      <c r="F1646" s="2" t="s">
        <v>6876</v>
      </c>
      <c r="G1646" s="2" t="s">
        <v>672</v>
      </c>
      <c r="H1646" s="2">
        <v>0.0</v>
      </c>
      <c r="J1646" s="3">
        <v>0.0</v>
      </c>
      <c r="K1646" s="2" t="s">
        <v>571</v>
      </c>
      <c r="L1646" s="2"/>
      <c r="M1646" s="2" t="s">
        <v>468</v>
      </c>
      <c r="N1646" s="2" t="s">
        <v>406</v>
      </c>
      <c r="O1646" s="3">
        <v>0.5</v>
      </c>
      <c r="Q1646" s="3">
        <v>0.0</v>
      </c>
      <c r="U1646" s="141"/>
      <c r="X1646" s="172">
        <v>46057.64278284722</v>
      </c>
      <c r="Y1646" s="172"/>
      <c r="Z1646" s="3">
        <v>46031.0</v>
      </c>
      <c r="AA1646" s="3"/>
    </row>
    <row r="1647">
      <c r="A1647" s="3">
        <v>6.860435652867E12</v>
      </c>
      <c r="B1647" s="2" t="s">
        <v>6877</v>
      </c>
      <c r="C1647" s="2" t="s">
        <v>6878</v>
      </c>
      <c r="D1647" s="169">
        <v>46031.0</v>
      </c>
      <c r="E1647" s="2">
        <v>3.434768763E9</v>
      </c>
      <c r="F1647" s="2" t="s">
        <v>6879</v>
      </c>
      <c r="G1647" s="2" t="s">
        <v>493</v>
      </c>
      <c r="H1647" s="2">
        <v>3739.0</v>
      </c>
      <c r="I1647" s="2">
        <v>2.0120050021118E13</v>
      </c>
      <c r="J1647" s="3">
        <v>2.0</v>
      </c>
      <c r="K1647" s="2" t="s">
        <v>6708</v>
      </c>
      <c r="L1647" s="2" t="s">
        <v>479</v>
      </c>
      <c r="M1647" s="174" t="s">
        <v>409</v>
      </c>
      <c r="N1647" s="2" t="s">
        <v>462</v>
      </c>
      <c r="O1647" s="3">
        <v>0.5</v>
      </c>
      <c r="P1647" s="2" t="s">
        <v>363</v>
      </c>
      <c r="Q1647" s="3">
        <v>1700.0</v>
      </c>
      <c r="T1647" s="2" t="s">
        <v>3674</v>
      </c>
      <c r="U1647" s="171">
        <v>3739.0</v>
      </c>
      <c r="V1647" s="172">
        <v>46038.0</v>
      </c>
      <c r="W1647" s="3">
        <v>376.0</v>
      </c>
      <c r="X1647" s="172">
        <v>46035.72472222222</v>
      </c>
      <c r="Y1647" s="172"/>
      <c r="Z1647" s="3">
        <v>46031.0</v>
      </c>
      <c r="AA1647" s="3"/>
    </row>
    <row r="1648">
      <c r="A1648" s="3">
        <v>6.860436013315E12</v>
      </c>
      <c r="B1648" s="2" t="s">
        <v>6880</v>
      </c>
      <c r="C1648" s="2" t="s">
        <v>6881</v>
      </c>
      <c r="D1648" s="169">
        <v>46031.0</v>
      </c>
      <c r="E1648" s="173" t="s">
        <v>6882</v>
      </c>
      <c r="F1648" s="2" t="s">
        <v>6883</v>
      </c>
      <c r="G1648" s="2" t="s">
        <v>917</v>
      </c>
      <c r="H1648" s="2">
        <v>2850.0</v>
      </c>
      <c r="I1648" s="2">
        <v>2.1120050021136E13</v>
      </c>
      <c r="J1648" s="3">
        <v>2.0</v>
      </c>
      <c r="K1648" s="2" t="s">
        <v>6884</v>
      </c>
      <c r="L1648" s="2" t="s">
        <v>5839</v>
      </c>
      <c r="M1648" s="170" t="s">
        <v>455</v>
      </c>
      <c r="N1648" s="2" t="s">
        <v>406</v>
      </c>
      <c r="O1648" s="3">
        <v>0.5</v>
      </c>
      <c r="P1648" s="2" t="s">
        <v>73</v>
      </c>
      <c r="Q1648" s="3">
        <v>1050.0</v>
      </c>
      <c r="T1648" s="2" t="s">
        <v>4910</v>
      </c>
      <c r="U1648" s="171">
        <v>0.0</v>
      </c>
      <c r="V1648" s="172">
        <v>46042.0</v>
      </c>
      <c r="W1648" s="3">
        <v>226.78</v>
      </c>
      <c r="X1648" s="172">
        <v>46041.93976851852</v>
      </c>
      <c r="Y1648" s="172"/>
      <c r="Z1648" s="3">
        <v>46031.0</v>
      </c>
      <c r="AA1648" s="3"/>
    </row>
    <row r="1649">
      <c r="A1649" s="3">
        <v>6.860439486723E12</v>
      </c>
      <c r="B1649" s="2" t="s">
        <v>6885</v>
      </c>
      <c r="C1649" s="2" t="s">
        <v>6886</v>
      </c>
      <c r="D1649" s="169">
        <v>46031.0</v>
      </c>
      <c r="E1649" s="173" t="s">
        <v>6887</v>
      </c>
      <c r="F1649" s="2" t="s">
        <v>6888</v>
      </c>
      <c r="G1649" s="2" t="s">
        <v>6889</v>
      </c>
      <c r="H1649" s="2">
        <v>3099.0</v>
      </c>
      <c r="I1649" s="2">
        <v>1.73009960016E11</v>
      </c>
      <c r="J1649" s="3">
        <v>2.0</v>
      </c>
      <c r="K1649" s="2" t="s">
        <v>6890</v>
      </c>
      <c r="L1649" s="2" t="s">
        <v>228</v>
      </c>
      <c r="M1649" s="174" t="s">
        <v>409</v>
      </c>
      <c r="N1649" s="2" t="s">
        <v>462</v>
      </c>
      <c r="O1649" s="3">
        <v>0.5</v>
      </c>
      <c r="P1649" s="2" t="s">
        <v>501</v>
      </c>
      <c r="Q1649" s="3">
        <v>920.0</v>
      </c>
      <c r="T1649" s="2" t="s">
        <v>6891</v>
      </c>
      <c r="U1649" s="171">
        <v>3099.0</v>
      </c>
      <c r="V1649" s="172">
        <v>46023.0</v>
      </c>
      <c r="W1649" s="3">
        <v>289.94</v>
      </c>
      <c r="X1649" s="172">
        <v>46057.649750682875</v>
      </c>
      <c r="Y1649" s="172"/>
      <c r="Z1649" s="3">
        <v>46031.0</v>
      </c>
      <c r="AA1649" s="3"/>
    </row>
    <row r="1650">
      <c r="A1650" s="3">
        <v>6.860519670019E12</v>
      </c>
      <c r="B1650" s="2" t="s">
        <v>6892</v>
      </c>
      <c r="C1650" s="2" t="s">
        <v>2809</v>
      </c>
      <c r="D1650" s="169">
        <v>46031.0</v>
      </c>
      <c r="E1650" s="2">
        <v>3.002055453E9</v>
      </c>
      <c r="F1650" s="2" t="s">
        <v>6893</v>
      </c>
      <c r="G1650" s="2" t="s">
        <v>493</v>
      </c>
      <c r="H1650" s="2">
        <v>0.0</v>
      </c>
      <c r="I1650" s="2">
        <v>2.1120050021119E13</v>
      </c>
      <c r="J1650" s="3">
        <v>0.0</v>
      </c>
      <c r="K1650" s="2" t="s">
        <v>6894</v>
      </c>
      <c r="L1650" s="2"/>
      <c r="M1650" s="170" t="s">
        <v>455</v>
      </c>
      <c r="N1650" s="2" t="s">
        <v>406</v>
      </c>
      <c r="O1650" s="3">
        <v>0.5</v>
      </c>
      <c r="P1650" s="2" t="s">
        <v>73</v>
      </c>
      <c r="Q1650" s="3">
        <v>0.0</v>
      </c>
      <c r="U1650" s="141"/>
      <c r="W1650" s="3">
        <v>227.0</v>
      </c>
      <c r="X1650" s="172">
        <v>46042.83430555556</v>
      </c>
      <c r="Y1650" s="172"/>
      <c r="Z1650" s="3">
        <v>46031.0</v>
      </c>
      <c r="AA1650" s="3"/>
    </row>
    <row r="1651">
      <c r="A1651" s="3">
        <v>6.860533039363E12</v>
      </c>
      <c r="B1651" s="2" t="s">
        <v>6895</v>
      </c>
      <c r="C1651" s="2" t="s">
        <v>6896</v>
      </c>
      <c r="D1651" s="169">
        <v>46031.0</v>
      </c>
      <c r="E1651" s="2">
        <v>3.034427207E9</v>
      </c>
      <c r="F1651" s="2" t="s">
        <v>6897</v>
      </c>
      <c r="G1651" s="2" t="s">
        <v>368</v>
      </c>
      <c r="H1651" s="2">
        <v>249.0</v>
      </c>
      <c r="I1651" s="2">
        <v>2.6120050021176E13</v>
      </c>
      <c r="J1651" s="3">
        <v>0.0</v>
      </c>
      <c r="K1651" s="2" t="s">
        <v>6898</v>
      </c>
      <c r="L1651" s="2"/>
      <c r="M1651" s="170" t="s">
        <v>455</v>
      </c>
      <c r="N1651" s="2" t="s">
        <v>406</v>
      </c>
      <c r="O1651" s="3">
        <v>0.5</v>
      </c>
      <c r="P1651" s="2" t="s">
        <v>363</v>
      </c>
      <c r="Q1651" s="3">
        <v>0.0</v>
      </c>
      <c r="U1651" s="141"/>
      <c r="W1651" s="3">
        <v>107.0</v>
      </c>
      <c r="X1651" s="172">
        <v>46042.83430555556</v>
      </c>
      <c r="Y1651" s="172"/>
      <c r="Z1651" s="3">
        <v>46031.0</v>
      </c>
      <c r="AA1651" s="3"/>
    </row>
    <row r="1652">
      <c r="A1652" s="3">
        <v>6.860572197123E12</v>
      </c>
      <c r="B1652" s="2" t="s">
        <v>6899</v>
      </c>
      <c r="C1652" s="2" t="s">
        <v>6900</v>
      </c>
      <c r="D1652" s="169">
        <v>46032.0</v>
      </c>
      <c r="E1652" s="2">
        <v>3.074002555E9</v>
      </c>
      <c r="F1652" s="2" t="s">
        <v>6901</v>
      </c>
      <c r="G1652" s="2" t="s">
        <v>368</v>
      </c>
      <c r="H1652" s="2">
        <v>3739.0</v>
      </c>
      <c r="I1652" s="2">
        <v>2.212005002112E13</v>
      </c>
      <c r="J1652" s="3">
        <v>2.0</v>
      </c>
      <c r="K1652" s="2" t="s">
        <v>6902</v>
      </c>
      <c r="L1652" s="2" t="s">
        <v>913</v>
      </c>
      <c r="M1652" s="174" t="s">
        <v>409</v>
      </c>
      <c r="N1652" s="2" t="s">
        <v>462</v>
      </c>
      <c r="O1652" s="3">
        <v>0.5</v>
      </c>
      <c r="P1652" s="2" t="s">
        <v>363</v>
      </c>
      <c r="Q1652" s="3">
        <v>1700.0</v>
      </c>
      <c r="T1652" s="2" t="s">
        <v>3674</v>
      </c>
      <c r="U1652" s="171">
        <v>3739.0</v>
      </c>
      <c r="V1652" s="172">
        <v>46038.0</v>
      </c>
      <c r="W1652" s="3">
        <v>336.0</v>
      </c>
      <c r="X1652" s="172">
        <v>46037.65466435185</v>
      </c>
      <c r="Y1652" s="172"/>
      <c r="Z1652" s="3">
        <v>46032.0</v>
      </c>
      <c r="AA1652" s="3"/>
    </row>
    <row r="1653">
      <c r="A1653" s="3">
        <v>6.860573311235E12</v>
      </c>
      <c r="B1653" s="2" t="s">
        <v>6903</v>
      </c>
      <c r="C1653" s="2" t="s">
        <v>6904</v>
      </c>
      <c r="D1653" s="169">
        <v>46032.0</v>
      </c>
      <c r="E1653" s="2">
        <v>3.327862352E9</v>
      </c>
      <c r="F1653" s="2" t="s">
        <v>6905</v>
      </c>
      <c r="G1653" s="2" t="s">
        <v>6906</v>
      </c>
      <c r="H1653" s="2">
        <v>249.0</v>
      </c>
      <c r="I1653" s="2">
        <v>2.2120050021141E13</v>
      </c>
      <c r="J1653" s="3">
        <v>0.0</v>
      </c>
      <c r="K1653" s="2" t="s">
        <v>6907</v>
      </c>
      <c r="L1653" s="2"/>
      <c r="M1653" s="170" t="s">
        <v>455</v>
      </c>
      <c r="N1653" s="2" t="s">
        <v>406</v>
      </c>
      <c r="O1653" s="3">
        <v>0.5</v>
      </c>
      <c r="P1653" s="2" t="s">
        <v>363</v>
      </c>
      <c r="Q1653" s="3">
        <v>0.0</v>
      </c>
      <c r="T1653" s="2" t="s">
        <v>4910</v>
      </c>
      <c r="U1653" s="171">
        <v>0.0</v>
      </c>
      <c r="V1653" s="172">
        <v>46042.0</v>
      </c>
      <c r="W1653" s="3">
        <v>226.78</v>
      </c>
      <c r="X1653" s="172">
        <v>46041.93976851852</v>
      </c>
      <c r="Y1653" s="172"/>
      <c r="Z1653" s="3">
        <v>46032.0</v>
      </c>
      <c r="AA1653" s="3"/>
    </row>
    <row r="1654">
      <c r="A1654" s="3">
        <v>6.860580946179E12</v>
      </c>
      <c r="B1654" s="2" t="s">
        <v>6908</v>
      </c>
      <c r="C1654" s="2" t="s">
        <v>6909</v>
      </c>
      <c r="D1654" s="169">
        <v>46032.0</v>
      </c>
      <c r="E1654" s="173" t="s">
        <v>6910</v>
      </c>
      <c r="F1654" s="2" t="s">
        <v>6911</v>
      </c>
      <c r="G1654" s="2" t="s">
        <v>493</v>
      </c>
      <c r="H1654" s="2">
        <v>3739.0</v>
      </c>
      <c r="I1654" s="2">
        <v>2.912005002114E13</v>
      </c>
      <c r="J1654" s="3">
        <v>2.0</v>
      </c>
      <c r="K1654" s="2" t="s">
        <v>6912</v>
      </c>
      <c r="L1654" s="2" t="s">
        <v>913</v>
      </c>
      <c r="M1654" s="174" t="s">
        <v>409</v>
      </c>
      <c r="N1654" s="2" t="s">
        <v>462</v>
      </c>
      <c r="O1654" s="3">
        <v>0.5</v>
      </c>
      <c r="P1654" s="2" t="s">
        <v>363</v>
      </c>
      <c r="Q1654" s="3">
        <v>1700.0</v>
      </c>
      <c r="T1654" s="2" t="s">
        <v>3674</v>
      </c>
      <c r="U1654" s="171">
        <v>3739.0</v>
      </c>
      <c r="V1654" s="172">
        <v>46038.0</v>
      </c>
      <c r="W1654" s="3">
        <v>376.0</v>
      </c>
      <c r="X1654" s="172">
        <v>46036.82954861112</v>
      </c>
      <c r="Y1654" s="172"/>
      <c r="Z1654" s="3">
        <v>46032.0</v>
      </c>
      <c r="AA1654" s="3"/>
    </row>
    <row r="1655">
      <c r="A1655" s="3">
        <v>6.860591104259E12</v>
      </c>
      <c r="B1655" s="2" t="s">
        <v>6913</v>
      </c>
      <c r="C1655" s="2" t="s">
        <v>6914</v>
      </c>
      <c r="D1655" s="169">
        <v>46032.0</v>
      </c>
      <c r="E1655" s="2">
        <v>3.700720276E9</v>
      </c>
      <c r="F1655" s="2" t="s">
        <v>6915</v>
      </c>
      <c r="G1655" s="2" t="s">
        <v>6916</v>
      </c>
      <c r="H1655" s="2">
        <v>0.0</v>
      </c>
      <c r="J1655" s="3">
        <v>0.0</v>
      </c>
      <c r="K1655" s="2" t="s">
        <v>6917</v>
      </c>
      <c r="L1655" s="2"/>
      <c r="M1655" s="2" t="s">
        <v>468</v>
      </c>
      <c r="N1655" s="2" t="s">
        <v>406</v>
      </c>
      <c r="O1655" s="3">
        <v>0.5</v>
      </c>
      <c r="Q1655" s="3">
        <v>0.0</v>
      </c>
      <c r="U1655" s="141"/>
      <c r="X1655" s="172">
        <v>46057.64278284722</v>
      </c>
      <c r="Y1655" s="172"/>
      <c r="Z1655" s="3">
        <v>46032.0</v>
      </c>
      <c r="AA1655" s="3"/>
    </row>
    <row r="1656">
      <c r="A1656" s="3">
        <v>6.860639404291E12</v>
      </c>
      <c r="B1656" s="2" t="s">
        <v>6918</v>
      </c>
      <c r="C1656" s="2" t="s">
        <v>6919</v>
      </c>
      <c r="D1656" s="169">
        <v>46032.0</v>
      </c>
      <c r="E1656" s="2">
        <v>3.492501847E9</v>
      </c>
      <c r="F1656" s="2" t="s">
        <v>6920</v>
      </c>
      <c r="G1656" s="2" t="s">
        <v>749</v>
      </c>
      <c r="H1656" s="2">
        <v>0.0</v>
      </c>
      <c r="J1656" s="3">
        <v>0.0</v>
      </c>
      <c r="K1656" s="2" t="s">
        <v>6921</v>
      </c>
      <c r="L1656" s="2"/>
      <c r="M1656" s="2" t="s">
        <v>468</v>
      </c>
      <c r="N1656" s="2" t="s">
        <v>406</v>
      </c>
      <c r="O1656" s="3">
        <v>0.5</v>
      </c>
      <c r="Q1656" s="3">
        <v>0.0</v>
      </c>
      <c r="U1656" s="141"/>
      <c r="X1656" s="172">
        <v>46057.64278284722</v>
      </c>
      <c r="Y1656" s="172"/>
      <c r="Z1656" s="3">
        <v>46032.0</v>
      </c>
      <c r="AA1656" s="3"/>
    </row>
    <row r="1657">
      <c r="A1657" s="3">
        <v>6.860651593987E12</v>
      </c>
      <c r="B1657" s="2" t="s">
        <v>6922</v>
      </c>
      <c r="C1657" s="2" t="s">
        <v>6923</v>
      </c>
      <c r="D1657" s="169">
        <v>46032.0</v>
      </c>
      <c r="E1657" s="173" t="s">
        <v>6924</v>
      </c>
      <c r="F1657" s="2" t="s">
        <v>6925</v>
      </c>
      <c r="G1657" s="2" t="s">
        <v>493</v>
      </c>
      <c r="H1657" s="2">
        <v>249.0</v>
      </c>
      <c r="I1657" s="2">
        <v>2.012005002113E13</v>
      </c>
      <c r="J1657" s="3">
        <v>0.0</v>
      </c>
      <c r="K1657" s="2" t="s">
        <v>6926</v>
      </c>
      <c r="L1657" s="2"/>
      <c r="M1657" s="170" t="s">
        <v>455</v>
      </c>
      <c r="N1657" s="2" t="s">
        <v>406</v>
      </c>
      <c r="O1657" s="3">
        <v>0.5</v>
      </c>
      <c r="P1657" s="2" t="s">
        <v>363</v>
      </c>
      <c r="Q1657" s="3">
        <v>0.0</v>
      </c>
      <c r="U1657" s="141"/>
      <c r="W1657" s="3">
        <v>227.0</v>
      </c>
      <c r="X1657" s="172">
        <v>46074.95759921296</v>
      </c>
      <c r="Y1657" s="172"/>
      <c r="Z1657" s="3">
        <v>46032.0</v>
      </c>
      <c r="AA1657" s="3"/>
    </row>
    <row r="1658">
      <c r="A1658" s="3">
        <v>6.860662538499E12</v>
      </c>
      <c r="B1658" s="2" t="s">
        <v>6927</v>
      </c>
      <c r="C1658" s="2" t="s">
        <v>6928</v>
      </c>
      <c r="D1658" s="169">
        <v>46032.0</v>
      </c>
      <c r="E1658" s="2">
        <v>3.322482578E9</v>
      </c>
      <c r="F1658" s="2" t="s">
        <v>6929</v>
      </c>
      <c r="G1658" s="2" t="s">
        <v>493</v>
      </c>
      <c r="H1658" s="2">
        <v>0.0</v>
      </c>
      <c r="J1658" s="3">
        <v>0.0</v>
      </c>
      <c r="K1658" s="2" t="s">
        <v>6930</v>
      </c>
      <c r="L1658" s="2"/>
      <c r="M1658" s="2" t="s">
        <v>468</v>
      </c>
      <c r="N1658" s="2" t="s">
        <v>406</v>
      </c>
      <c r="O1658" s="3">
        <v>0.5</v>
      </c>
      <c r="Q1658" s="3">
        <v>0.0</v>
      </c>
      <c r="U1658" s="141"/>
      <c r="X1658" s="172">
        <v>46057.64278284722</v>
      </c>
      <c r="Y1658" s="172"/>
      <c r="Z1658" s="3">
        <v>46032.0</v>
      </c>
      <c r="AA1658" s="3"/>
    </row>
    <row r="1659">
      <c r="A1659" s="3">
        <v>6.860702023939E12</v>
      </c>
      <c r="B1659" s="2" t="s">
        <v>6931</v>
      </c>
      <c r="C1659" s="2" t="s">
        <v>6932</v>
      </c>
      <c r="D1659" s="169">
        <v>46032.0</v>
      </c>
      <c r="E1659" s="173" t="s">
        <v>6933</v>
      </c>
      <c r="F1659" s="2" t="s">
        <v>6934</v>
      </c>
      <c r="G1659" s="2" t="s">
        <v>6935</v>
      </c>
      <c r="H1659" s="2">
        <v>249.0</v>
      </c>
      <c r="I1659" s="2">
        <v>2.7120050021139E13</v>
      </c>
      <c r="J1659" s="3">
        <v>0.0</v>
      </c>
      <c r="K1659" s="2" t="s">
        <v>6936</v>
      </c>
      <c r="L1659" s="2"/>
      <c r="M1659" s="170" t="s">
        <v>455</v>
      </c>
      <c r="N1659" s="2" t="s">
        <v>406</v>
      </c>
      <c r="O1659" s="3">
        <v>0.5</v>
      </c>
      <c r="P1659" s="2" t="s">
        <v>363</v>
      </c>
      <c r="Q1659" s="3">
        <v>0.0</v>
      </c>
      <c r="T1659" s="2" t="s">
        <v>6123</v>
      </c>
      <c r="U1659" s="171">
        <v>0.0</v>
      </c>
      <c r="V1659" s="172">
        <v>46049.0</v>
      </c>
      <c r="W1659" s="3">
        <v>227.0</v>
      </c>
      <c r="X1659" s="172">
        <v>46046.82884259259</v>
      </c>
      <c r="Y1659" s="172"/>
      <c r="Z1659" s="3">
        <v>46032.0</v>
      </c>
      <c r="AA1659" s="3"/>
    </row>
    <row r="1660">
      <c r="A1660" s="3">
        <v>6.860771229955E12</v>
      </c>
      <c r="B1660" s="2" t="s">
        <v>6937</v>
      </c>
      <c r="C1660" s="2" t="s">
        <v>6938</v>
      </c>
      <c r="D1660" s="169">
        <v>46032.0</v>
      </c>
      <c r="E1660" s="2">
        <v>3.24998E9</v>
      </c>
      <c r="F1660" s="2" t="s">
        <v>6939</v>
      </c>
      <c r="G1660" s="2" t="s">
        <v>6940</v>
      </c>
      <c r="H1660" s="2">
        <v>2799.0</v>
      </c>
      <c r="I1660" s="2">
        <v>2.2120050021121E13</v>
      </c>
      <c r="J1660" s="3">
        <v>1.0</v>
      </c>
      <c r="K1660" s="2" t="s">
        <v>6941</v>
      </c>
      <c r="L1660" s="2" t="s">
        <v>557</v>
      </c>
      <c r="M1660" s="170" t="s">
        <v>455</v>
      </c>
      <c r="N1660" s="2" t="s">
        <v>406</v>
      </c>
      <c r="O1660" s="3">
        <v>0.5</v>
      </c>
      <c r="P1660" s="2" t="s">
        <v>363</v>
      </c>
      <c r="Q1660" s="3">
        <v>850.0</v>
      </c>
      <c r="T1660" s="2" t="s">
        <v>4910</v>
      </c>
      <c r="U1660" s="171">
        <v>0.0</v>
      </c>
      <c r="V1660" s="172">
        <v>46042.0</v>
      </c>
      <c r="W1660" s="3">
        <v>220.11</v>
      </c>
      <c r="X1660" s="172">
        <v>46041.93976851852</v>
      </c>
      <c r="Y1660" s="172"/>
      <c r="Z1660" s="3">
        <v>46032.0</v>
      </c>
      <c r="AA1660" s="3"/>
    </row>
    <row r="1661">
      <c r="A1661" s="3">
        <v>6.860783026435E12</v>
      </c>
      <c r="B1661" s="2" t="s">
        <v>6942</v>
      </c>
      <c r="C1661" s="2" t="s">
        <v>6943</v>
      </c>
      <c r="D1661" s="169">
        <v>46032.0</v>
      </c>
      <c r="E1661" s="2">
        <v>3.014485688E9</v>
      </c>
      <c r="F1661" s="2" t="s">
        <v>6944</v>
      </c>
      <c r="G1661" s="2" t="s">
        <v>368</v>
      </c>
      <c r="H1661" s="2">
        <v>3739.0</v>
      </c>
      <c r="I1661" s="2">
        <v>2.4120050021122E13</v>
      </c>
      <c r="J1661" s="3">
        <v>2.0</v>
      </c>
      <c r="K1661" s="2" t="s">
        <v>6945</v>
      </c>
      <c r="L1661" s="2" t="s">
        <v>913</v>
      </c>
      <c r="M1661" s="170" t="s">
        <v>455</v>
      </c>
      <c r="N1661" s="2" t="s">
        <v>406</v>
      </c>
      <c r="O1661" s="3">
        <v>0.5</v>
      </c>
      <c r="P1661" s="2" t="s">
        <v>363</v>
      </c>
      <c r="Q1661" s="3">
        <v>1700.0</v>
      </c>
      <c r="T1661" s="2" t="s">
        <v>4910</v>
      </c>
      <c r="U1661" s="171">
        <v>0.0</v>
      </c>
      <c r="V1661" s="172">
        <v>46042.0</v>
      </c>
      <c r="W1661" s="3">
        <v>186.76</v>
      </c>
      <c r="X1661" s="172">
        <v>46041.93976851852</v>
      </c>
      <c r="Y1661" s="172"/>
      <c r="Z1661" s="3">
        <v>46032.0</v>
      </c>
      <c r="AA1661" s="3"/>
    </row>
    <row r="1662">
      <c r="A1662" s="3">
        <v>6.860820119811E12</v>
      </c>
      <c r="B1662" s="2" t="s">
        <v>6946</v>
      </c>
      <c r="C1662" s="2" t="s">
        <v>6947</v>
      </c>
      <c r="D1662" s="169">
        <v>46032.0</v>
      </c>
      <c r="E1662" s="2">
        <v>3.482998035E9</v>
      </c>
      <c r="F1662" s="2" t="s">
        <v>6948</v>
      </c>
      <c r="G1662" s="2" t="s">
        <v>493</v>
      </c>
      <c r="H1662" s="2">
        <v>0.0</v>
      </c>
      <c r="J1662" s="3">
        <v>0.0</v>
      </c>
      <c r="K1662" s="2" t="s">
        <v>6949</v>
      </c>
      <c r="L1662" s="2"/>
      <c r="M1662" s="2" t="s">
        <v>468</v>
      </c>
      <c r="N1662" s="2" t="s">
        <v>406</v>
      </c>
      <c r="O1662" s="3">
        <v>0.5</v>
      </c>
      <c r="Q1662" s="3">
        <v>0.0</v>
      </c>
      <c r="U1662" s="141"/>
      <c r="X1662" s="172">
        <v>46057.64278284722</v>
      </c>
      <c r="Y1662" s="172"/>
      <c r="Z1662" s="3">
        <v>46032.0</v>
      </c>
      <c r="AA1662" s="3"/>
    </row>
    <row r="1663">
      <c r="A1663" s="3">
        <v>6.860935266563E12</v>
      </c>
      <c r="B1663" s="2" t="s">
        <v>6950</v>
      </c>
      <c r="C1663" s="2" t="s">
        <v>6951</v>
      </c>
      <c r="D1663" s="169">
        <v>46032.0</v>
      </c>
      <c r="E1663" s="2">
        <v>3.153829573E9</v>
      </c>
      <c r="F1663" s="2" t="s">
        <v>6952</v>
      </c>
      <c r="G1663" s="2" t="s">
        <v>6953</v>
      </c>
      <c r="H1663" s="2">
        <v>0.0</v>
      </c>
      <c r="J1663" s="3">
        <v>0.0</v>
      </c>
      <c r="K1663" s="2" t="s">
        <v>6954</v>
      </c>
      <c r="L1663" s="2"/>
      <c r="M1663" s="2" t="s">
        <v>468</v>
      </c>
      <c r="N1663" s="2" t="s">
        <v>406</v>
      </c>
      <c r="O1663" s="3">
        <v>0.5</v>
      </c>
      <c r="Q1663" s="3">
        <v>0.0</v>
      </c>
      <c r="U1663" s="141"/>
      <c r="X1663" s="172">
        <v>46057.64278284722</v>
      </c>
      <c r="Y1663" s="172"/>
      <c r="Z1663" s="3">
        <v>46032.0</v>
      </c>
      <c r="AA1663" s="3"/>
    </row>
    <row r="1664">
      <c r="A1664" s="3">
        <v>6.860980486403E12</v>
      </c>
      <c r="B1664" s="2" t="s">
        <v>6955</v>
      </c>
      <c r="C1664" s="2" t="s">
        <v>6956</v>
      </c>
      <c r="D1664" s="169">
        <v>46032.0</v>
      </c>
      <c r="E1664" s="2">
        <v>3.163555471E9</v>
      </c>
      <c r="F1664" s="2" t="s">
        <v>6957</v>
      </c>
      <c r="G1664" s="2" t="s">
        <v>506</v>
      </c>
      <c r="H1664" s="2">
        <v>249.0</v>
      </c>
      <c r="I1664" s="2">
        <v>2.9120050021123E13</v>
      </c>
      <c r="J1664" s="3">
        <v>0.0</v>
      </c>
      <c r="K1664" s="2" t="s">
        <v>6958</v>
      </c>
      <c r="L1664" s="2"/>
      <c r="M1664" s="170" t="s">
        <v>455</v>
      </c>
      <c r="N1664" s="2" t="s">
        <v>406</v>
      </c>
      <c r="O1664" s="3">
        <v>0.5</v>
      </c>
      <c r="P1664" s="2" t="s">
        <v>363</v>
      </c>
      <c r="Q1664" s="3">
        <v>0.0</v>
      </c>
      <c r="T1664" s="2" t="s">
        <v>6123</v>
      </c>
      <c r="U1664" s="171">
        <v>0.0</v>
      </c>
      <c r="V1664" s="172">
        <v>46049.0</v>
      </c>
      <c r="W1664" s="3">
        <v>200.0</v>
      </c>
      <c r="X1664" s="172">
        <v>46048.90520833334</v>
      </c>
      <c r="Y1664" s="172"/>
      <c r="Z1664" s="3">
        <v>46032.0</v>
      </c>
      <c r="AA1664" s="3"/>
    </row>
    <row r="1665">
      <c r="A1665" s="3">
        <v>6.861015286019E12</v>
      </c>
      <c r="B1665" s="2" t="s">
        <v>6959</v>
      </c>
      <c r="C1665" s="2" t="s">
        <v>2555</v>
      </c>
      <c r="D1665" s="169">
        <v>46032.0</v>
      </c>
      <c r="E1665" s="2">
        <v>3.21510202E9</v>
      </c>
      <c r="F1665" s="2" t="s">
        <v>6960</v>
      </c>
      <c r="G1665" s="2" t="s">
        <v>366</v>
      </c>
      <c r="H1665" s="2">
        <v>249.0</v>
      </c>
      <c r="I1665" s="2">
        <v>2.5120050021125E13</v>
      </c>
      <c r="J1665" s="3">
        <v>0.0</v>
      </c>
      <c r="K1665" s="2" t="s">
        <v>6961</v>
      </c>
      <c r="L1665" s="2"/>
      <c r="M1665" s="170" t="s">
        <v>455</v>
      </c>
      <c r="N1665" s="2" t="s">
        <v>406</v>
      </c>
      <c r="O1665" s="3">
        <v>0.5</v>
      </c>
      <c r="P1665" s="2" t="s">
        <v>363</v>
      </c>
      <c r="Q1665" s="3">
        <v>0.0</v>
      </c>
      <c r="T1665" s="2" t="s">
        <v>6123</v>
      </c>
      <c r="U1665" s="171">
        <v>0.0</v>
      </c>
      <c r="V1665" s="172">
        <v>46049.0</v>
      </c>
      <c r="W1665" s="3">
        <v>220.0</v>
      </c>
      <c r="X1665" s="172">
        <v>46046.82884259259</v>
      </c>
      <c r="Y1665" s="172"/>
      <c r="Z1665" s="3">
        <v>46032.0</v>
      </c>
      <c r="AA1665" s="3"/>
    </row>
    <row r="1666">
      <c r="A1666" s="3">
        <v>6.861096386819E12</v>
      </c>
      <c r="B1666" s="2" t="s">
        <v>6962</v>
      </c>
      <c r="C1666" s="2" t="s">
        <v>6704</v>
      </c>
      <c r="D1666" s="169">
        <v>46032.0</v>
      </c>
      <c r="E1666" s="2">
        <v>3.270622032E9</v>
      </c>
      <c r="F1666" s="2" t="s">
        <v>6963</v>
      </c>
      <c r="G1666" s="2" t="s">
        <v>6964</v>
      </c>
      <c r="H1666" s="2">
        <v>2849.0</v>
      </c>
      <c r="I1666" s="2" t="s">
        <v>6965</v>
      </c>
      <c r="J1666" s="3">
        <v>2.0</v>
      </c>
      <c r="K1666" s="2" t="s">
        <v>6966</v>
      </c>
      <c r="L1666" s="2" t="s">
        <v>2324</v>
      </c>
      <c r="M1666" s="174" t="s">
        <v>409</v>
      </c>
      <c r="N1666" s="2" t="s">
        <v>462</v>
      </c>
      <c r="O1666" s="3">
        <v>0.5</v>
      </c>
      <c r="P1666" s="2" t="s">
        <v>640</v>
      </c>
      <c r="Q1666" s="3">
        <v>920.0</v>
      </c>
      <c r="T1666" s="2" t="s">
        <v>6967</v>
      </c>
      <c r="U1666" s="171">
        <v>2849.0</v>
      </c>
      <c r="V1666" s="172">
        <v>46023.0</v>
      </c>
      <c r="W1666" s="3">
        <v>289.94</v>
      </c>
      <c r="X1666" s="172">
        <v>46057.64982835648</v>
      </c>
      <c r="Y1666" s="172"/>
      <c r="Z1666" s="3">
        <v>46032.0</v>
      </c>
      <c r="AA1666" s="3"/>
    </row>
    <row r="1667">
      <c r="A1667" s="3">
        <v>6.861174833411E12</v>
      </c>
      <c r="B1667" s="2" t="s">
        <v>6968</v>
      </c>
      <c r="C1667" s="2" t="s">
        <v>6969</v>
      </c>
      <c r="D1667" s="169">
        <v>46032.0</v>
      </c>
      <c r="E1667" s="173" t="s">
        <v>6970</v>
      </c>
      <c r="F1667" s="2" t="s">
        <v>6971</v>
      </c>
      <c r="G1667" s="2" t="s">
        <v>493</v>
      </c>
      <c r="H1667" s="2">
        <v>3739.0</v>
      </c>
      <c r="I1667" s="2">
        <v>2.4120050021124E13</v>
      </c>
      <c r="J1667" s="3">
        <v>2.0</v>
      </c>
      <c r="K1667" s="2" t="s">
        <v>6708</v>
      </c>
      <c r="L1667" s="2" t="s">
        <v>913</v>
      </c>
      <c r="M1667" s="174" t="s">
        <v>409</v>
      </c>
      <c r="N1667" s="2" t="s">
        <v>462</v>
      </c>
      <c r="O1667" s="3">
        <v>0.5</v>
      </c>
      <c r="P1667" s="2" t="s">
        <v>363</v>
      </c>
      <c r="Q1667" s="3">
        <v>1700.0</v>
      </c>
      <c r="T1667" s="2" t="s">
        <v>3674</v>
      </c>
      <c r="U1667" s="171">
        <v>3739.0</v>
      </c>
      <c r="V1667" s="172">
        <v>46038.0</v>
      </c>
      <c r="W1667" s="3">
        <v>470.0</v>
      </c>
      <c r="X1667" s="172">
        <v>46035.618981481486</v>
      </c>
      <c r="Y1667" s="172"/>
      <c r="Z1667" s="3">
        <v>46032.0</v>
      </c>
      <c r="AA1667" s="3"/>
    </row>
    <row r="1668">
      <c r="A1668" s="3">
        <v>6.861196361987E12</v>
      </c>
      <c r="B1668" s="2" t="s">
        <v>6972</v>
      </c>
      <c r="C1668" s="2" t="s">
        <v>6211</v>
      </c>
      <c r="D1668" s="169">
        <v>46032.0</v>
      </c>
      <c r="E1668" s="2">
        <v>3.33322764E9</v>
      </c>
      <c r="F1668" s="2" t="s">
        <v>6973</v>
      </c>
      <c r="G1668" s="2" t="s">
        <v>672</v>
      </c>
      <c r="H1668" s="2">
        <v>3739.0</v>
      </c>
      <c r="I1668" s="2">
        <v>1.73009901367E11</v>
      </c>
      <c r="J1668" s="3">
        <v>2.0</v>
      </c>
      <c r="K1668" s="2" t="s">
        <v>6974</v>
      </c>
      <c r="L1668" s="2" t="s">
        <v>479</v>
      </c>
      <c r="M1668" s="174" t="s">
        <v>409</v>
      </c>
      <c r="N1668" s="2" t="s">
        <v>462</v>
      </c>
      <c r="O1668" s="3">
        <v>0.5</v>
      </c>
      <c r="P1668" s="2" t="s">
        <v>501</v>
      </c>
      <c r="Q1668" s="3">
        <v>1700.0</v>
      </c>
      <c r="T1668" s="2" t="s">
        <v>6967</v>
      </c>
      <c r="U1668" s="171">
        <v>3739.0</v>
      </c>
      <c r="V1668" s="172">
        <v>46023.0</v>
      </c>
      <c r="W1668" s="3">
        <v>260.94</v>
      </c>
      <c r="X1668" s="172">
        <v>46057.64984371528</v>
      </c>
      <c r="Y1668" s="172"/>
      <c r="Z1668" s="3">
        <v>46032.0</v>
      </c>
      <c r="AA1668" s="3"/>
    </row>
    <row r="1669">
      <c r="A1669" s="3">
        <v>6.861213335811E12</v>
      </c>
      <c r="B1669" s="2" t="s">
        <v>6975</v>
      </c>
      <c r="C1669" s="2" t="s">
        <v>6976</v>
      </c>
      <c r="D1669" s="169">
        <v>46032.0</v>
      </c>
      <c r="E1669" s="2">
        <v>3.303714549E9</v>
      </c>
      <c r="F1669" s="2" t="s">
        <v>6977</v>
      </c>
      <c r="G1669" s="2" t="s">
        <v>493</v>
      </c>
      <c r="H1669" s="2">
        <v>2749.0</v>
      </c>
      <c r="I1669" s="2">
        <v>2.2120050021131E13</v>
      </c>
      <c r="J1669" s="3">
        <v>2.0</v>
      </c>
      <c r="K1669" s="2" t="s">
        <v>6834</v>
      </c>
      <c r="L1669" s="2" t="s">
        <v>926</v>
      </c>
      <c r="M1669" s="174" t="s">
        <v>409</v>
      </c>
      <c r="N1669" s="2" t="s">
        <v>462</v>
      </c>
      <c r="O1669" s="3">
        <v>0.5</v>
      </c>
      <c r="P1669" s="2" t="s">
        <v>363</v>
      </c>
      <c r="Q1669" s="3">
        <v>980.0</v>
      </c>
      <c r="T1669" s="2" t="s">
        <v>3674</v>
      </c>
      <c r="U1669" s="171">
        <v>2749.0</v>
      </c>
      <c r="V1669" s="172">
        <v>46038.0</v>
      </c>
      <c r="W1669" s="3">
        <v>337.0</v>
      </c>
      <c r="X1669" s="172">
        <v>46036.48351851852</v>
      </c>
      <c r="Y1669" s="172"/>
      <c r="Z1669" s="3">
        <v>46032.0</v>
      </c>
      <c r="AA1669" s="3"/>
    </row>
    <row r="1670">
      <c r="A1670" s="3">
        <v>6.861246824707E12</v>
      </c>
      <c r="B1670" s="2" t="s">
        <v>6978</v>
      </c>
      <c r="C1670" s="2" t="s">
        <v>6979</v>
      </c>
      <c r="D1670" s="169">
        <v>46032.0</v>
      </c>
      <c r="E1670" s="173" t="s">
        <v>6980</v>
      </c>
      <c r="F1670" s="2" t="s">
        <v>6981</v>
      </c>
      <c r="G1670" s="2" t="s">
        <v>2608</v>
      </c>
      <c r="H1670" s="2">
        <v>2250.0</v>
      </c>
      <c r="I1670" s="2">
        <v>2.1120050021133E13</v>
      </c>
      <c r="J1670" s="3">
        <v>2.0</v>
      </c>
      <c r="K1670" s="2" t="s">
        <v>6982</v>
      </c>
      <c r="L1670" s="2" t="s">
        <v>6983</v>
      </c>
      <c r="M1670" s="174" t="s">
        <v>409</v>
      </c>
      <c r="N1670" s="2" t="s">
        <v>462</v>
      </c>
      <c r="O1670" s="3">
        <v>0.5</v>
      </c>
      <c r="P1670" s="2" t="s">
        <v>73</v>
      </c>
      <c r="Q1670" s="3">
        <v>985.0</v>
      </c>
      <c r="T1670" s="2" t="s">
        <v>3674</v>
      </c>
      <c r="U1670" s="171">
        <v>2250.0</v>
      </c>
      <c r="V1670" s="172">
        <v>46038.0</v>
      </c>
      <c r="W1670" s="3">
        <v>300.0</v>
      </c>
      <c r="X1670" s="172">
        <v>46035.606469907405</v>
      </c>
      <c r="Y1670" s="172"/>
      <c r="Z1670" s="3">
        <v>46032.0</v>
      </c>
      <c r="AA1670" s="3"/>
    </row>
    <row r="1671">
      <c r="A1671" s="3">
        <v>6.861251248387E12</v>
      </c>
      <c r="B1671" s="2" t="s">
        <v>6984</v>
      </c>
      <c r="C1671" s="2" t="s">
        <v>6985</v>
      </c>
      <c r="D1671" s="169">
        <v>46032.0</v>
      </c>
      <c r="E1671" s="173" t="s">
        <v>6986</v>
      </c>
      <c r="F1671" s="2" t="s">
        <v>6987</v>
      </c>
      <c r="G1671" s="2" t="s">
        <v>493</v>
      </c>
      <c r="H1671" s="2">
        <v>2449.0</v>
      </c>
      <c r="I1671" s="2">
        <v>2.1120050021132E13</v>
      </c>
      <c r="J1671" s="3">
        <v>2.0</v>
      </c>
      <c r="K1671" s="2" t="s">
        <v>6988</v>
      </c>
      <c r="L1671" s="2" t="s">
        <v>6989</v>
      </c>
      <c r="M1671" s="174" t="s">
        <v>409</v>
      </c>
      <c r="N1671" s="2" t="s">
        <v>462</v>
      </c>
      <c r="O1671" s="3">
        <v>0.5</v>
      </c>
      <c r="P1671" s="2" t="s">
        <v>73</v>
      </c>
      <c r="Q1671" s="3">
        <v>940.0</v>
      </c>
      <c r="T1671" s="2" t="s">
        <v>3674</v>
      </c>
      <c r="U1671" s="171">
        <v>2449.0</v>
      </c>
      <c r="V1671" s="172">
        <v>46038.0</v>
      </c>
      <c r="W1671" s="3">
        <v>311.0</v>
      </c>
      <c r="X1671" s="172">
        <v>46035.58357638889</v>
      </c>
      <c r="Y1671" s="172"/>
      <c r="Z1671" s="3">
        <v>46032.0</v>
      </c>
      <c r="AA1671" s="3"/>
    </row>
    <row r="1672">
      <c r="A1672" s="3">
        <v>6.861251444995E12</v>
      </c>
      <c r="B1672" s="2" t="s">
        <v>6990</v>
      </c>
      <c r="C1672" s="2" t="s">
        <v>6991</v>
      </c>
      <c r="D1672" s="169">
        <v>46032.0</v>
      </c>
      <c r="E1672" s="173" t="s">
        <v>6992</v>
      </c>
      <c r="F1672" s="2" t="s">
        <v>6993</v>
      </c>
      <c r="G1672" s="2" t="s">
        <v>6994</v>
      </c>
      <c r="H1672" s="2">
        <v>2699.0</v>
      </c>
      <c r="I1672" s="2" t="s">
        <v>6995</v>
      </c>
      <c r="J1672" s="3">
        <v>1.0</v>
      </c>
      <c r="K1672" s="2" t="s">
        <v>6996</v>
      </c>
      <c r="L1672" s="2" t="s">
        <v>4497</v>
      </c>
      <c r="M1672" s="174" t="s">
        <v>409</v>
      </c>
      <c r="N1672" s="2" t="s">
        <v>462</v>
      </c>
      <c r="O1672" s="3">
        <v>0.5</v>
      </c>
      <c r="P1672" s="2" t="s">
        <v>640</v>
      </c>
      <c r="Q1672" s="3">
        <v>1075.0</v>
      </c>
      <c r="T1672" s="2" t="s">
        <v>6967</v>
      </c>
      <c r="U1672" s="171">
        <v>2699.0</v>
      </c>
      <c r="V1672" s="172">
        <v>46023.0</v>
      </c>
      <c r="W1672" s="3">
        <v>498.74</v>
      </c>
      <c r="X1672" s="172">
        <v>46057.649868946755</v>
      </c>
      <c r="Y1672" s="172"/>
      <c r="Z1672" s="3">
        <v>46032.0</v>
      </c>
      <c r="AA1672" s="3"/>
    </row>
    <row r="1673">
      <c r="A1673" s="3">
        <v>6.861260718339E12</v>
      </c>
      <c r="B1673" s="2" t="s">
        <v>6997</v>
      </c>
      <c r="C1673" s="2" t="s">
        <v>2555</v>
      </c>
      <c r="D1673" s="169">
        <v>46032.0</v>
      </c>
      <c r="E1673" s="173" t="s">
        <v>6998</v>
      </c>
      <c r="F1673" s="2" t="s">
        <v>6999</v>
      </c>
      <c r="G1673" s="2" t="s">
        <v>4362</v>
      </c>
      <c r="H1673" s="2">
        <v>3100.0</v>
      </c>
      <c r="I1673" s="2">
        <v>2.7120050021137E13</v>
      </c>
      <c r="J1673" s="3">
        <v>3.0</v>
      </c>
      <c r="K1673" s="2" t="s">
        <v>7000</v>
      </c>
      <c r="L1673" s="2" t="s">
        <v>7001</v>
      </c>
      <c r="M1673" s="174" t="s">
        <v>409</v>
      </c>
      <c r="N1673" s="2" t="s">
        <v>462</v>
      </c>
      <c r="O1673" s="3">
        <v>0.5</v>
      </c>
      <c r="P1673" s="2" t="s">
        <v>363</v>
      </c>
      <c r="Q1673" s="3">
        <v>1570.0</v>
      </c>
      <c r="T1673" s="2" t="s">
        <v>3674</v>
      </c>
      <c r="U1673" s="171">
        <v>3100.0</v>
      </c>
      <c r="V1673" s="172">
        <v>46038.0</v>
      </c>
      <c r="W1673" s="3">
        <v>351.0</v>
      </c>
      <c r="X1673" s="172">
        <v>46037.65824074074</v>
      </c>
      <c r="Y1673" s="172"/>
      <c r="Z1673" s="3">
        <v>46032.0</v>
      </c>
      <c r="AA1673" s="3"/>
    </row>
    <row r="1674">
      <c r="A1674" s="3">
        <v>6.861288112387E12</v>
      </c>
      <c r="B1674" s="2" t="s">
        <v>7002</v>
      </c>
      <c r="C1674" s="2" t="s">
        <v>3333</v>
      </c>
      <c r="D1674" s="169">
        <v>46032.0</v>
      </c>
      <c r="E1674" s="173" t="s">
        <v>7003</v>
      </c>
      <c r="F1674" s="2" t="s">
        <v>7004</v>
      </c>
      <c r="G1674" s="2" t="s">
        <v>2807</v>
      </c>
      <c r="H1674" s="2">
        <v>2749.0</v>
      </c>
      <c r="I1674" s="2">
        <v>2.8120050021138E13</v>
      </c>
      <c r="J1674" s="3">
        <v>2.0</v>
      </c>
      <c r="K1674" s="2" t="s">
        <v>7005</v>
      </c>
      <c r="L1674" s="2" t="s">
        <v>7006</v>
      </c>
      <c r="M1674" s="174" t="s">
        <v>409</v>
      </c>
      <c r="N1674" s="2" t="s">
        <v>462</v>
      </c>
      <c r="O1674" s="3">
        <v>0.5</v>
      </c>
      <c r="P1674" s="2" t="s">
        <v>73</v>
      </c>
      <c r="Q1674" s="3">
        <v>1580.0</v>
      </c>
      <c r="T1674" s="2" t="s">
        <v>3701</v>
      </c>
      <c r="U1674" s="171">
        <v>2749.0</v>
      </c>
      <c r="V1674" s="172">
        <v>46035.0</v>
      </c>
      <c r="W1674" s="3">
        <v>220.0</v>
      </c>
      <c r="X1674" s="172">
        <v>46035.46616898148</v>
      </c>
      <c r="Y1674" s="172"/>
      <c r="Z1674" s="3">
        <v>46032.0</v>
      </c>
      <c r="AA1674" s="3"/>
    </row>
    <row r="1675">
      <c r="A1675" s="3">
        <v>6.861299155203E12</v>
      </c>
      <c r="B1675" s="2" t="s">
        <v>7007</v>
      </c>
      <c r="C1675" s="2" t="s">
        <v>7008</v>
      </c>
      <c r="D1675" s="169">
        <v>46032.0</v>
      </c>
      <c r="E1675" s="2">
        <v>3.129881696E9</v>
      </c>
      <c r="F1675" s="2" t="s">
        <v>7009</v>
      </c>
      <c r="G1675" s="2" t="s">
        <v>7010</v>
      </c>
      <c r="H1675" s="2">
        <v>3099.0</v>
      </c>
      <c r="I1675" s="2">
        <v>1.73009901273E11</v>
      </c>
      <c r="J1675" s="3">
        <v>2.0</v>
      </c>
      <c r="K1675" s="2" t="s">
        <v>7011</v>
      </c>
      <c r="L1675" s="2" t="s">
        <v>662</v>
      </c>
      <c r="M1675" s="174" t="s">
        <v>409</v>
      </c>
      <c r="N1675" s="2" t="s">
        <v>462</v>
      </c>
      <c r="O1675" s="3">
        <v>0.5</v>
      </c>
      <c r="P1675" s="2" t="s">
        <v>501</v>
      </c>
      <c r="Q1675" s="3">
        <v>960.0</v>
      </c>
      <c r="T1675" s="2" t="s">
        <v>7012</v>
      </c>
      <c r="U1675" s="171">
        <v>3099.0</v>
      </c>
      <c r="V1675" s="172">
        <v>46023.0</v>
      </c>
      <c r="W1675" s="3">
        <v>289.94</v>
      </c>
      <c r="X1675" s="172">
        <v>46057.649892002315</v>
      </c>
      <c r="Y1675" s="172"/>
      <c r="Z1675" s="3">
        <v>46032.0</v>
      </c>
      <c r="AA1675" s="3"/>
    </row>
    <row r="1676">
      <c r="A1676" s="3">
        <v>6.861356237059E12</v>
      </c>
      <c r="B1676" s="2" t="s">
        <v>7013</v>
      </c>
      <c r="C1676" s="2" t="s">
        <v>6561</v>
      </c>
      <c r="D1676" s="169">
        <v>46032.0</v>
      </c>
      <c r="E1676" s="173" t="s">
        <v>6562</v>
      </c>
      <c r="F1676" s="2" t="s">
        <v>6563</v>
      </c>
      <c r="G1676" s="2" t="s">
        <v>1323</v>
      </c>
      <c r="H1676" s="2">
        <v>2500.0</v>
      </c>
      <c r="I1676" s="2">
        <v>2.1120050021288E13</v>
      </c>
      <c r="J1676" s="3">
        <v>2.0</v>
      </c>
      <c r="K1676" s="2"/>
      <c r="L1676" s="2" t="s">
        <v>1869</v>
      </c>
      <c r="M1676" s="2" t="s">
        <v>409</v>
      </c>
      <c r="N1676" s="2" t="s">
        <v>406</v>
      </c>
      <c r="O1676" s="3">
        <v>0.5</v>
      </c>
      <c r="P1676" s="2" t="s">
        <v>73</v>
      </c>
      <c r="Q1676" s="3">
        <v>980.0</v>
      </c>
      <c r="U1676" s="171">
        <v>2500.0</v>
      </c>
      <c r="X1676" s="172">
        <v>46079.68344631944</v>
      </c>
      <c r="Y1676" s="172"/>
      <c r="Z1676" s="3">
        <v>46032.0</v>
      </c>
      <c r="AA1676" s="3"/>
    </row>
    <row r="1677">
      <c r="A1677" s="3">
        <v>6.861384319235E12</v>
      </c>
      <c r="B1677" s="2" t="s">
        <v>7014</v>
      </c>
      <c r="C1677" s="2" t="s">
        <v>7015</v>
      </c>
      <c r="D1677" s="169">
        <v>46032.0</v>
      </c>
      <c r="E1677" s="2">
        <v>3.115392314E9</v>
      </c>
      <c r="F1677" s="2" t="s">
        <v>7016</v>
      </c>
      <c r="G1677" s="2" t="s">
        <v>366</v>
      </c>
      <c r="H1677" s="2">
        <v>3099.0</v>
      </c>
      <c r="I1677" s="2">
        <v>2.5120050021172E13</v>
      </c>
      <c r="J1677" s="3">
        <v>2.0</v>
      </c>
      <c r="K1677" s="2" t="s">
        <v>6752</v>
      </c>
      <c r="L1677" s="2" t="s">
        <v>50</v>
      </c>
      <c r="M1677" s="174" t="s">
        <v>409</v>
      </c>
      <c r="N1677" s="2" t="s">
        <v>462</v>
      </c>
      <c r="O1677" s="3">
        <v>0.5</v>
      </c>
      <c r="P1677" s="2" t="s">
        <v>363</v>
      </c>
      <c r="Q1677" s="3">
        <v>920.0</v>
      </c>
      <c r="T1677" s="2" t="s">
        <v>3674</v>
      </c>
      <c r="U1677" s="171">
        <v>3099.0</v>
      </c>
      <c r="V1677" s="172">
        <v>46038.0</v>
      </c>
      <c r="W1677" s="3">
        <v>324.0</v>
      </c>
      <c r="X1677" s="172">
        <v>46036.634976851856</v>
      </c>
      <c r="Y1677" s="172"/>
      <c r="Z1677" s="3">
        <v>46032.0</v>
      </c>
      <c r="AA1677" s="3"/>
    </row>
    <row r="1678">
      <c r="A1678" s="3">
        <v>6.861402177795E12</v>
      </c>
      <c r="B1678" s="2" t="s">
        <v>7017</v>
      </c>
      <c r="C1678" s="2" t="s">
        <v>7018</v>
      </c>
      <c r="D1678" s="169">
        <v>46032.0</v>
      </c>
      <c r="E1678" s="2">
        <v>3.337325207E9</v>
      </c>
      <c r="F1678" s="2" t="s">
        <v>7019</v>
      </c>
      <c r="G1678" s="2" t="s">
        <v>3305</v>
      </c>
      <c r="H1678" s="2">
        <v>249.0</v>
      </c>
      <c r="I1678" s="2">
        <v>2.1120050021171E13</v>
      </c>
      <c r="J1678" s="3">
        <v>0.0</v>
      </c>
      <c r="K1678" s="2" t="s">
        <v>7020</v>
      </c>
      <c r="L1678" s="2"/>
      <c r="M1678" s="170" t="s">
        <v>455</v>
      </c>
      <c r="N1678" s="2" t="s">
        <v>406</v>
      </c>
      <c r="O1678" s="3">
        <v>0.5</v>
      </c>
      <c r="P1678" s="2" t="s">
        <v>73</v>
      </c>
      <c r="Q1678" s="3">
        <v>0.0</v>
      </c>
      <c r="U1678" s="141"/>
      <c r="W1678" s="3">
        <v>220.0</v>
      </c>
      <c r="X1678" s="172">
        <v>46044.65791666666</v>
      </c>
      <c r="Y1678" s="172"/>
      <c r="Z1678" s="3">
        <v>46032.0</v>
      </c>
      <c r="AA1678" s="3"/>
    </row>
    <row r="1679">
      <c r="A1679" s="3">
        <v>6.861514735875E12</v>
      </c>
      <c r="B1679" s="2" t="s">
        <v>7021</v>
      </c>
      <c r="C1679" s="2" t="s">
        <v>7022</v>
      </c>
      <c r="D1679" s="169">
        <v>46032.0</v>
      </c>
      <c r="E1679" s="2">
        <v>3.35574758E9</v>
      </c>
      <c r="F1679" s="2" t="s">
        <v>7023</v>
      </c>
      <c r="G1679" s="2" t="s">
        <v>506</v>
      </c>
      <c r="H1679" s="2">
        <v>3099.0</v>
      </c>
      <c r="I1679" s="2">
        <v>2.712005002117E13</v>
      </c>
      <c r="J1679" s="3">
        <v>2.0</v>
      </c>
      <c r="K1679" s="2" t="s">
        <v>7024</v>
      </c>
      <c r="L1679" s="2" t="s">
        <v>27</v>
      </c>
      <c r="M1679" s="170" t="s">
        <v>455</v>
      </c>
      <c r="N1679" s="2" t="s">
        <v>406</v>
      </c>
      <c r="O1679" s="3">
        <v>0.5</v>
      </c>
      <c r="P1679" s="2" t="s">
        <v>363</v>
      </c>
      <c r="Q1679" s="3">
        <v>920.0</v>
      </c>
      <c r="T1679" s="2" t="s">
        <v>4910</v>
      </c>
      <c r="U1679" s="171">
        <v>0.0</v>
      </c>
      <c r="V1679" s="172">
        <v>46042.0</v>
      </c>
      <c r="W1679" s="3">
        <v>200.1</v>
      </c>
      <c r="X1679" s="172">
        <v>46041.93976851852</v>
      </c>
      <c r="Y1679" s="172"/>
      <c r="Z1679" s="3">
        <v>46032.0</v>
      </c>
      <c r="AA1679" s="3"/>
    </row>
    <row r="1680">
      <c r="A1680" s="3">
        <v>6.861573161219E12</v>
      </c>
      <c r="B1680" s="2" t="s">
        <v>7025</v>
      </c>
      <c r="C1680" s="2" t="s">
        <v>7026</v>
      </c>
      <c r="D1680" s="169">
        <v>46032.0</v>
      </c>
      <c r="E1680" s="173" t="s">
        <v>7027</v>
      </c>
      <c r="F1680" s="2" t="s">
        <v>7028</v>
      </c>
      <c r="G1680" s="2" t="s">
        <v>368</v>
      </c>
      <c r="H1680" s="2">
        <v>249.0</v>
      </c>
      <c r="I1680" s="2">
        <v>2.3120050021255E13</v>
      </c>
      <c r="J1680" s="3">
        <v>0.0</v>
      </c>
      <c r="K1680" s="2" t="s">
        <v>7029</v>
      </c>
      <c r="L1680" s="2"/>
      <c r="M1680" s="170" t="s">
        <v>455</v>
      </c>
      <c r="N1680" s="2" t="s">
        <v>406</v>
      </c>
      <c r="O1680" s="3">
        <v>0.5</v>
      </c>
      <c r="P1680" s="2" t="s">
        <v>363</v>
      </c>
      <c r="Q1680" s="3">
        <v>0.0</v>
      </c>
      <c r="T1680" s="2" t="s">
        <v>6123</v>
      </c>
      <c r="U1680" s="171">
        <v>0.0</v>
      </c>
      <c r="V1680" s="172">
        <v>46049.0</v>
      </c>
      <c r="W1680" s="3">
        <v>107.0</v>
      </c>
      <c r="X1680" s="172">
        <v>46045.75103009259</v>
      </c>
      <c r="Y1680" s="172"/>
      <c r="Z1680" s="3">
        <v>46032.0</v>
      </c>
      <c r="AA1680" s="3"/>
    </row>
    <row r="1681">
      <c r="A1681" s="3">
        <v>6.861591019779E12</v>
      </c>
      <c r="B1681" s="2" t="s">
        <v>7030</v>
      </c>
      <c r="C1681" s="2" t="s">
        <v>7031</v>
      </c>
      <c r="D1681" s="169">
        <v>46032.0</v>
      </c>
      <c r="E1681" s="2">
        <v>3.197564612E9</v>
      </c>
      <c r="F1681" s="2" t="s">
        <v>7032</v>
      </c>
      <c r="G1681" s="2" t="s">
        <v>7033</v>
      </c>
      <c r="H1681" s="2">
        <v>0.0</v>
      </c>
      <c r="J1681" s="3">
        <v>0.0</v>
      </c>
      <c r="K1681" s="2" t="s">
        <v>760</v>
      </c>
      <c r="L1681" s="2"/>
      <c r="M1681" s="2" t="s">
        <v>468</v>
      </c>
      <c r="N1681" s="2" t="s">
        <v>406</v>
      </c>
      <c r="O1681" s="3">
        <v>0.5</v>
      </c>
      <c r="Q1681" s="3">
        <v>0.0</v>
      </c>
      <c r="U1681" s="141"/>
      <c r="X1681" s="172">
        <v>46057.64278284722</v>
      </c>
      <c r="Y1681" s="172"/>
      <c r="Z1681" s="3">
        <v>46032.0</v>
      </c>
      <c r="AA1681" s="3"/>
    </row>
    <row r="1682">
      <c r="A1682" s="3">
        <v>6.861620347139E12</v>
      </c>
      <c r="B1682" s="2" t="s">
        <v>7034</v>
      </c>
      <c r="C1682" s="2" t="s">
        <v>508</v>
      </c>
      <c r="D1682" s="169">
        <v>46032.0</v>
      </c>
      <c r="E1682" s="173" t="s">
        <v>7035</v>
      </c>
      <c r="F1682" s="2" t="s">
        <v>7036</v>
      </c>
      <c r="G1682" s="2" t="s">
        <v>366</v>
      </c>
      <c r="H1682" s="2">
        <v>1499.0</v>
      </c>
      <c r="I1682" s="2">
        <v>2.0120050021169E13</v>
      </c>
      <c r="J1682" s="3">
        <v>1.0</v>
      </c>
      <c r="K1682" s="173" t="s">
        <v>7037</v>
      </c>
      <c r="L1682" s="2" t="s">
        <v>2574</v>
      </c>
      <c r="M1682" s="174" t="s">
        <v>409</v>
      </c>
      <c r="N1682" s="2" t="s">
        <v>462</v>
      </c>
      <c r="O1682" s="3">
        <v>0.5</v>
      </c>
      <c r="P1682" s="2" t="s">
        <v>363</v>
      </c>
      <c r="Q1682" s="3">
        <v>750.0</v>
      </c>
      <c r="T1682" s="2" t="s">
        <v>3674</v>
      </c>
      <c r="U1682" s="171">
        <v>1499.0</v>
      </c>
      <c r="V1682" s="172">
        <v>46038.0</v>
      </c>
      <c r="W1682" s="3">
        <v>200.0</v>
      </c>
      <c r="X1682" s="172">
        <v>46036.58493055556</v>
      </c>
      <c r="Y1682" s="172"/>
      <c r="Z1682" s="3">
        <v>46032.0</v>
      </c>
      <c r="AA1682" s="3"/>
    </row>
    <row r="1683">
      <c r="A1683" s="3">
        <v>6.861671334147E12</v>
      </c>
      <c r="B1683" s="2" t="s">
        <v>7038</v>
      </c>
      <c r="C1683" s="2" t="s">
        <v>7039</v>
      </c>
      <c r="D1683" s="169">
        <v>46032.0</v>
      </c>
      <c r="E1683" s="173" t="s">
        <v>7040</v>
      </c>
      <c r="F1683" s="2" t="s">
        <v>7041</v>
      </c>
      <c r="G1683" s="2" t="s">
        <v>493</v>
      </c>
      <c r="H1683" s="2">
        <v>2849.0</v>
      </c>
      <c r="I1683" s="2">
        <v>2.6120050021168E13</v>
      </c>
      <c r="J1683" s="3">
        <v>2.0</v>
      </c>
      <c r="K1683" s="2" t="s">
        <v>7042</v>
      </c>
      <c r="L1683" s="2" t="s">
        <v>1446</v>
      </c>
      <c r="M1683" s="174" t="s">
        <v>409</v>
      </c>
      <c r="N1683" s="2" t="s">
        <v>462</v>
      </c>
      <c r="O1683" s="3">
        <v>0.5</v>
      </c>
      <c r="P1683" s="2" t="s">
        <v>363</v>
      </c>
      <c r="Q1683" s="3">
        <v>920.0</v>
      </c>
      <c r="U1683" s="171">
        <v>2849.0</v>
      </c>
      <c r="W1683" s="3">
        <v>341.0</v>
      </c>
      <c r="X1683" s="172">
        <v>46043.61070601852</v>
      </c>
      <c r="Y1683" s="172"/>
      <c r="Z1683" s="3">
        <v>46032.0</v>
      </c>
      <c r="AA1683" s="3"/>
    </row>
    <row r="1684">
      <c r="A1684" s="3">
        <v>6.861686440195E12</v>
      </c>
      <c r="B1684" s="2" t="s">
        <v>7043</v>
      </c>
      <c r="C1684" s="2" t="s">
        <v>7044</v>
      </c>
      <c r="D1684" s="169">
        <v>46032.0</v>
      </c>
      <c r="E1684" s="2">
        <v>3.418957839E9</v>
      </c>
      <c r="F1684" s="2" t="s">
        <v>7045</v>
      </c>
      <c r="G1684" s="2" t="s">
        <v>506</v>
      </c>
      <c r="H1684" s="2">
        <v>3099.0</v>
      </c>
      <c r="I1684" s="2">
        <v>2.8120050021167E13</v>
      </c>
      <c r="J1684" s="3">
        <v>2.0</v>
      </c>
      <c r="K1684" s="2" t="s">
        <v>6682</v>
      </c>
      <c r="L1684" s="2" t="s">
        <v>1285</v>
      </c>
      <c r="M1684" s="174" t="s">
        <v>409</v>
      </c>
      <c r="N1684" s="2" t="s">
        <v>462</v>
      </c>
      <c r="O1684" s="3">
        <v>0.5</v>
      </c>
      <c r="P1684" s="2" t="s">
        <v>73</v>
      </c>
      <c r="Q1684" s="3">
        <v>920.0</v>
      </c>
      <c r="T1684" s="2" t="s">
        <v>4910</v>
      </c>
      <c r="U1684" s="171">
        <v>3099.0</v>
      </c>
      <c r="V1684" s="172">
        <v>46042.0</v>
      </c>
      <c r="W1684" s="3">
        <v>324.06</v>
      </c>
      <c r="X1684" s="172">
        <v>46039.5987962963</v>
      </c>
      <c r="Y1684" s="172"/>
      <c r="Z1684" s="3">
        <v>46032.0</v>
      </c>
      <c r="AA1684" s="3"/>
    </row>
    <row r="1685">
      <c r="A1685" s="3">
        <v>6.861706887427E12</v>
      </c>
      <c r="B1685" s="2" t="s">
        <v>7046</v>
      </c>
      <c r="C1685" s="2" t="s">
        <v>7047</v>
      </c>
      <c r="D1685" s="169">
        <v>46032.0</v>
      </c>
      <c r="E1685" s="2">
        <v>3.154747777E9</v>
      </c>
      <c r="F1685" s="2" t="s">
        <v>7048</v>
      </c>
      <c r="G1685" s="2" t="s">
        <v>368</v>
      </c>
      <c r="H1685" s="2">
        <v>3739.0</v>
      </c>
      <c r="I1685" s="2">
        <v>2.1120050021185E13</v>
      </c>
      <c r="J1685" s="3">
        <v>2.0</v>
      </c>
      <c r="K1685" s="2" t="s">
        <v>6708</v>
      </c>
      <c r="L1685" s="2" t="s">
        <v>994</v>
      </c>
      <c r="M1685" s="174" t="s">
        <v>409</v>
      </c>
      <c r="N1685" s="2" t="s">
        <v>462</v>
      </c>
      <c r="O1685" s="3">
        <v>0.5</v>
      </c>
      <c r="P1685" s="2" t="s">
        <v>73</v>
      </c>
      <c r="Q1685" s="3">
        <v>1700.0</v>
      </c>
      <c r="T1685" s="2" t="s">
        <v>3674</v>
      </c>
      <c r="U1685" s="171">
        <v>3739.0</v>
      </c>
      <c r="V1685" s="172">
        <v>46038.0</v>
      </c>
      <c r="W1685" s="3">
        <v>270.0</v>
      </c>
      <c r="X1685" s="172">
        <v>46035.59190972222</v>
      </c>
      <c r="Y1685" s="172"/>
      <c r="Z1685" s="3">
        <v>46032.0</v>
      </c>
      <c r="AA1685" s="3"/>
    </row>
    <row r="1686">
      <c r="A1686" s="3">
        <v>6.861717045507E12</v>
      </c>
      <c r="B1686" s="2" t="s">
        <v>7049</v>
      </c>
      <c r="C1686" s="2" t="s">
        <v>7050</v>
      </c>
      <c r="D1686" s="169">
        <v>46032.0</v>
      </c>
      <c r="E1686" s="173" t="s">
        <v>7051</v>
      </c>
      <c r="F1686" s="2" t="s">
        <v>7052</v>
      </c>
      <c r="G1686" s="2" t="s">
        <v>374</v>
      </c>
      <c r="H1686" s="2">
        <v>3739.0</v>
      </c>
      <c r="I1686" s="2">
        <v>2.5120050021256E13</v>
      </c>
      <c r="J1686" s="3">
        <v>2.0</v>
      </c>
      <c r="K1686" s="2" t="s">
        <v>7053</v>
      </c>
      <c r="L1686" s="2" t="s">
        <v>913</v>
      </c>
      <c r="M1686" s="174" t="s">
        <v>409</v>
      </c>
      <c r="N1686" s="2" t="s">
        <v>462</v>
      </c>
      <c r="O1686" s="3">
        <v>0.5</v>
      </c>
      <c r="P1686" s="2" t="s">
        <v>363</v>
      </c>
      <c r="Q1686" s="3">
        <v>1700.0</v>
      </c>
      <c r="T1686" s="2" t="s">
        <v>4910</v>
      </c>
      <c r="U1686" s="171">
        <v>3739.0</v>
      </c>
      <c r="V1686" s="172">
        <v>46042.0</v>
      </c>
      <c r="W1686" s="3">
        <v>369.67</v>
      </c>
      <c r="X1686" s="172">
        <v>46038.542546296296</v>
      </c>
      <c r="Y1686" s="172"/>
      <c r="Z1686" s="3">
        <v>46032.0</v>
      </c>
      <c r="AA1686" s="3"/>
    </row>
    <row r="1687">
      <c r="A1687" s="3">
        <v>6.861720781059E12</v>
      </c>
      <c r="B1687" s="2" t="s">
        <v>7054</v>
      </c>
      <c r="C1687" s="2" t="s">
        <v>7055</v>
      </c>
      <c r="D1687" s="169">
        <v>46032.0</v>
      </c>
      <c r="E1687" s="2">
        <v>3.00619244E9</v>
      </c>
      <c r="F1687" s="2" t="s">
        <v>7056</v>
      </c>
      <c r="G1687" s="2" t="s">
        <v>688</v>
      </c>
      <c r="H1687" s="2">
        <v>2799.0</v>
      </c>
      <c r="I1687" s="2">
        <v>2.8120050021166E13</v>
      </c>
      <c r="J1687" s="3">
        <v>1.0</v>
      </c>
      <c r="K1687" s="2" t="s">
        <v>7057</v>
      </c>
      <c r="L1687" s="2" t="s">
        <v>519</v>
      </c>
      <c r="M1687" s="174" t="s">
        <v>409</v>
      </c>
      <c r="N1687" s="2" t="s">
        <v>462</v>
      </c>
      <c r="O1687" s="3">
        <v>0.5</v>
      </c>
      <c r="P1687" s="2" t="s">
        <v>73</v>
      </c>
      <c r="Q1687" s="3">
        <v>850.0</v>
      </c>
      <c r="T1687" s="2" t="s">
        <v>3674</v>
      </c>
      <c r="U1687" s="171">
        <v>2799.0</v>
      </c>
      <c r="V1687" s="172">
        <v>46038.0</v>
      </c>
      <c r="W1687" s="3">
        <v>332.0</v>
      </c>
      <c r="X1687" s="172">
        <v>46036.53842592593</v>
      </c>
      <c r="Y1687" s="172"/>
      <c r="Z1687" s="3">
        <v>46032.0</v>
      </c>
      <c r="AA1687" s="3"/>
    </row>
    <row r="1688">
      <c r="A1688" s="3">
        <v>6.861730644227E12</v>
      </c>
      <c r="B1688" s="2" t="s">
        <v>7058</v>
      </c>
      <c r="C1688" s="2" t="s">
        <v>7059</v>
      </c>
      <c r="D1688" s="169">
        <v>46032.0</v>
      </c>
      <c r="E1688" s="173" t="s">
        <v>7060</v>
      </c>
      <c r="F1688" s="2" t="s">
        <v>7061</v>
      </c>
      <c r="G1688" s="2" t="s">
        <v>672</v>
      </c>
      <c r="H1688" s="2">
        <v>249.0</v>
      </c>
      <c r="I1688" s="2">
        <v>2.0120050021165E13</v>
      </c>
      <c r="J1688" s="3">
        <v>0.0</v>
      </c>
      <c r="K1688" s="2" t="s">
        <v>7062</v>
      </c>
      <c r="L1688" s="2"/>
      <c r="M1688" s="170" t="s">
        <v>455</v>
      </c>
      <c r="N1688" s="2" t="s">
        <v>406</v>
      </c>
      <c r="O1688" s="3">
        <v>0.5</v>
      </c>
      <c r="P1688" s="2" t="s">
        <v>363</v>
      </c>
      <c r="Q1688" s="3">
        <v>0.0</v>
      </c>
      <c r="T1688" s="2" t="s">
        <v>6123</v>
      </c>
      <c r="U1688" s="171">
        <v>0.0</v>
      </c>
      <c r="V1688" s="172">
        <v>46049.0</v>
      </c>
      <c r="W1688" s="3">
        <v>227.0</v>
      </c>
      <c r="X1688" s="172">
        <v>46046.82884259259</v>
      </c>
      <c r="Y1688" s="172"/>
      <c r="Z1688" s="3">
        <v>46032.0</v>
      </c>
      <c r="AA1688" s="3"/>
    </row>
    <row r="1689">
      <c r="A1689" s="3">
        <v>6.861769539843E12</v>
      </c>
      <c r="B1689" s="2" t="s">
        <v>7063</v>
      </c>
      <c r="C1689" s="2" t="s">
        <v>7031</v>
      </c>
      <c r="D1689" s="169">
        <v>46032.0</v>
      </c>
      <c r="E1689" s="173" t="s">
        <v>7064</v>
      </c>
      <c r="F1689" s="2" t="s">
        <v>7032</v>
      </c>
      <c r="G1689" s="2" t="s">
        <v>7033</v>
      </c>
      <c r="H1689" s="2">
        <v>0.0</v>
      </c>
      <c r="J1689" s="3">
        <v>0.0</v>
      </c>
      <c r="K1689" s="2" t="s">
        <v>760</v>
      </c>
      <c r="L1689" s="2"/>
      <c r="M1689" s="2" t="s">
        <v>468</v>
      </c>
      <c r="N1689" s="2" t="s">
        <v>406</v>
      </c>
      <c r="O1689" s="3">
        <v>0.5</v>
      </c>
      <c r="Q1689" s="3">
        <v>0.0</v>
      </c>
      <c r="U1689" s="141"/>
      <c r="X1689" s="172">
        <v>46057.64278284722</v>
      </c>
      <c r="Y1689" s="172"/>
      <c r="Z1689" s="3">
        <v>46032.0</v>
      </c>
      <c r="AA1689" s="3"/>
    </row>
    <row r="1690">
      <c r="A1690" s="3">
        <v>6.861776158979E12</v>
      </c>
      <c r="B1690" s="2" t="s">
        <v>7065</v>
      </c>
      <c r="C1690" s="2" t="s">
        <v>7066</v>
      </c>
      <c r="D1690" s="169">
        <v>46032.0</v>
      </c>
      <c r="E1690" s="2">
        <v>3.335858154E9</v>
      </c>
      <c r="F1690" s="2" t="s">
        <v>7067</v>
      </c>
      <c r="G1690" s="2" t="s">
        <v>7068</v>
      </c>
      <c r="H1690" s="2">
        <v>249.0</v>
      </c>
      <c r="I1690" s="2">
        <v>2.1120050021164E13</v>
      </c>
      <c r="J1690" s="3">
        <v>0.0</v>
      </c>
      <c r="K1690" s="2" t="s">
        <v>7020</v>
      </c>
      <c r="L1690" s="2"/>
      <c r="M1690" s="170" t="s">
        <v>455</v>
      </c>
      <c r="N1690" s="2" t="s">
        <v>406</v>
      </c>
      <c r="O1690" s="3">
        <v>0.5</v>
      </c>
      <c r="P1690" s="2" t="s">
        <v>73</v>
      </c>
      <c r="Q1690" s="3">
        <v>0.0</v>
      </c>
      <c r="U1690" s="141"/>
      <c r="W1690" s="3">
        <v>220.0</v>
      </c>
      <c r="X1690" s="172">
        <v>46042.83430555556</v>
      </c>
      <c r="Y1690" s="172"/>
      <c r="Z1690" s="3">
        <v>46032.0</v>
      </c>
      <c r="AA1690" s="3"/>
    </row>
    <row r="1691">
      <c r="A1691" s="3">
        <v>6.861811187971E12</v>
      </c>
      <c r="B1691" s="2" t="s">
        <v>7069</v>
      </c>
      <c r="C1691" s="2" t="s">
        <v>7070</v>
      </c>
      <c r="D1691" s="169">
        <v>46032.0</v>
      </c>
      <c r="E1691" s="2">
        <v>3.414184285E9</v>
      </c>
      <c r="F1691" s="2" t="s">
        <v>7071</v>
      </c>
      <c r="G1691" s="2" t="s">
        <v>461</v>
      </c>
      <c r="H1691" s="2">
        <v>249.0</v>
      </c>
      <c r="I1691" s="2">
        <v>2.1120050021163E13</v>
      </c>
      <c r="J1691" s="3">
        <v>0.0</v>
      </c>
      <c r="K1691" s="2" t="s">
        <v>7072</v>
      </c>
      <c r="L1691" s="2"/>
      <c r="M1691" s="170" t="s">
        <v>455</v>
      </c>
      <c r="N1691" s="2" t="s">
        <v>406</v>
      </c>
      <c r="O1691" s="3">
        <v>0.5</v>
      </c>
      <c r="P1691" s="2" t="s">
        <v>73</v>
      </c>
      <c r="Q1691" s="3">
        <v>0.0</v>
      </c>
      <c r="U1691" s="141"/>
      <c r="W1691" s="3">
        <v>200.0</v>
      </c>
      <c r="X1691" s="172">
        <v>46042.83430555556</v>
      </c>
      <c r="Y1691" s="172"/>
      <c r="Z1691" s="3">
        <v>46032.0</v>
      </c>
      <c r="AA1691" s="3"/>
    </row>
    <row r="1692">
      <c r="A1692" s="3">
        <v>6.861814399235E12</v>
      </c>
      <c r="B1692" s="2" t="s">
        <v>7073</v>
      </c>
      <c r="C1692" s="2" t="s">
        <v>7074</v>
      </c>
      <c r="D1692" s="169">
        <v>46033.0</v>
      </c>
      <c r="E1692" s="2">
        <v>3.008413585E9</v>
      </c>
      <c r="F1692" s="2" t="s">
        <v>7075</v>
      </c>
      <c r="G1692" s="2" t="s">
        <v>368</v>
      </c>
      <c r="H1692" s="2">
        <v>2799.0</v>
      </c>
      <c r="I1692" s="2">
        <v>2.8120050021162E13</v>
      </c>
      <c r="J1692" s="3">
        <v>1.0</v>
      </c>
      <c r="K1692" s="2" t="s">
        <v>7076</v>
      </c>
      <c r="L1692" s="2" t="s">
        <v>557</v>
      </c>
      <c r="M1692" s="170" t="s">
        <v>455</v>
      </c>
      <c r="N1692" s="2" t="s">
        <v>406</v>
      </c>
      <c r="O1692" s="3">
        <v>0.5</v>
      </c>
      <c r="P1692" s="2" t="s">
        <v>73</v>
      </c>
      <c r="Q1692" s="3">
        <v>850.0</v>
      </c>
      <c r="T1692" s="2" t="s">
        <v>4910</v>
      </c>
      <c r="U1692" s="171">
        <v>0.0</v>
      </c>
      <c r="V1692" s="172">
        <v>46042.0</v>
      </c>
      <c r="W1692" s="3">
        <v>120.06</v>
      </c>
      <c r="X1692" s="172">
        <v>46039.835868055554</v>
      </c>
      <c r="Y1692" s="172"/>
      <c r="Z1692" s="3">
        <v>46033.0</v>
      </c>
      <c r="AA1692" s="3"/>
    </row>
    <row r="1693">
      <c r="A1693" s="3">
        <v>6.861831078147E12</v>
      </c>
      <c r="B1693" s="2" t="s">
        <v>7077</v>
      </c>
      <c r="C1693" s="2" t="s">
        <v>5704</v>
      </c>
      <c r="D1693" s="169">
        <v>46033.0</v>
      </c>
      <c r="E1693" s="173" t="s">
        <v>7078</v>
      </c>
      <c r="F1693" s="2" t="s">
        <v>5705</v>
      </c>
      <c r="G1693" s="2" t="s">
        <v>5706</v>
      </c>
      <c r="H1693" s="2">
        <v>2699.0</v>
      </c>
      <c r="I1693" s="2">
        <v>2.7120050021232E13</v>
      </c>
      <c r="J1693" s="3">
        <v>1.0</v>
      </c>
      <c r="K1693" s="2" t="s">
        <v>7079</v>
      </c>
      <c r="L1693" s="2" t="s">
        <v>7080</v>
      </c>
      <c r="M1693" s="174" t="s">
        <v>409</v>
      </c>
      <c r="N1693" s="2" t="s">
        <v>462</v>
      </c>
      <c r="O1693" s="3">
        <v>0.5</v>
      </c>
      <c r="P1693" s="2" t="s">
        <v>363</v>
      </c>
      <c r="Q1693" s="3">
        <v>1075.0</v>
      </c>
      <c r="T1693" s="2" t="s">
        <v>4910</v>
      </c>
      <c r="U1693" s="171">
        <v>2699.0</v>
      </c>
      <c r="V1693" s="172">
        <v>46042.0</v>
      </c>
      <c r="W1693" s="3">
        <v>328.07</v>
      </c>
      <c r="X1693" s="172">
        <v>46038.62310185185</v>
      </c>
      <c r="Y1693" s="172"/>
      <c r="Z1693" s="3">
        <v>46033.0</v>
      </c>
      <c r="AA1693" s="3"/>
    </row>
    <row r="1694">
      <c r="A1694" s="3">
        <v>6.861866795267E12</v>
      </c>
      <c r="B1694" s="2" t="s">
        <v>7081</v>
      </c>
      <c r="C1694" s="2" t="s">
        <v>7082</v>
      </c>
      <c r="D1694" s="169">
        <v>46033.0</v>
      </c>
      <c r="E1694" s="2">
        <v>3.489782289E9</v>
      </c>
      <c r="F1694" s="2" t="s">
        <v>7083</v>
      </c>
      <c r="G1694" s="2" t="s">
        <v>7084</v>
      </c>
      <c r="H1694" s="2">
        <v>0.0</v>
      </c>
      <c r="J1694" s="3">
        <v>0.0</v>
      </c>
      <c r="K1694" s="2" t="s">
        <v>571</v>
      </c>
      <c r="L1694" s="2"/>
      <c r="M1694" s="2" t="s">
        <v>468</v>
      </c>
      <c r="N1694" s="2" t="s">
        <v>406</v>
      </c>
      <c r="O1694" s="3">
        <v>0.5</v>
      </c>
      <c r="Q1694" s="3">
        <v>0.0</v>
      </c>
      <c r="U1694" s="141"/>
      <c r="X1694" s="172">
        <v>46057.64278284722</v>
      </c>
      <c r="Y1694" s="172"/>
      <c r="Z1694" s="3">
        <v>46033.0</v>
      </c>
      <c r="AA1694" s="3"/>
    </row>
    <row r="1695">
      <c r="A1695" s="3">
        <v>6.861884621059E12</v>
      </c>
      <c r="B1695" s="2" t="s">
        <v>7085</v>
      </c>
      <c r="C1695" s="2" t="s">
        <v>7086</v>
      </c>
      <c r="D1695" s="169">
        <v>46033.0</v>
      </c>
      <c r="E1695" s="2">
        <v>3.218418212E9</v>
      </c>
      <c r="F1695" s="2" t="s">
        <v>7087</v>
      </c>
      <c r="G1695" s="2" t="s">
        <v>368</v>
      </c>
      <c r="H1695" s="2">
        <v>2799.0</v>
      </c>
      <c r="I1695" s="2">
        <v>2.3120050021161E13</v>
      </c>
      <c r="J1695" s="3">
        <v>1.0</v>
      </c>
      <c r="K1695" s="2" t="s">
        <v>7057</v>
      </c>
      <c r="L1695" s="2" t="s">
        <v>512</v>
      </c>
      <c r="M1695" s="174" t="s">
        <v>409</v>
      </c>
      <c r="N1695" s="2" t="s">
        <v>462</v>
      </c>
      <c r="O1695" s="3">
        <v>0.5</v>
      </c>
      <c r="P1695" s="2" t="s">
        <v>363</v>
      </c>
      <c r="Q1695" s="3">
        <v>850.0</v>
      </c>
      <c r="T1695" s="2" t="s">
        <v>3674</v>
      </c>
      <c r="U1695" s="171">
        <v>2799.0</v>
      </c>
      <c r="V1695" s="172">
        <v>46038.0</v>
      </c>
      <c r="W1695" s="3">
        <v>232.0</v>
      </c>
      <c r="X1695" s="172">
        <v>46035.71741898148</v>
      </c>
      <c r="Y1695" s="172"/>
      <c r="Z1695" s="3">
        <v>46033.0</v>
      </c>
      <c r="AA1695" s="3"/>
    </row>
    <row r="1696">
      <c r="A1696" s="3">
        <v>6.862074118403E12</v>
      </c>
      <c r="B1696" s="2" t="s">
        <v>7088</v>
      </c>
      <c r="C1696" s="2" t="s">
        <v>7089</v>
      </c>
      <c r="D1696" s="169">
        <v>46033.0</v>
      </c>
      <c r="E1696" s="173" t="s">
        <v>7090</v>
      </c>
      <c r="F1696" s="2" t="s">
        <v>7091</v>
      </c>
      <c r="G1696" s="2" t="s">
        <v>1111</v>
      </c>
      <c r="H1696" s="2">
        <v>249.0</v>
      </c>
      <c r="I1696" s="2">
        <v>2.3120050021251E13</v>
      </c>
      <c r="J1696" s="3">
        <v>0.0</v>
      </c>
      <c r="K1696" s="2" t="s">
        <v>7092</v>
      </c>
      <c r="L1696" s="2"/>
      <c r="M1696" s="170" t="s">
        <v>455</v>
      </c>
      <c r="N1696" s="2" t="s">
        <v>406</v>
      </c>
      <c r="O1696" s="3">
        <v>0.5</v>
      </c>
      <c r="P1696" s="2" t="s">
        <v>363</v>
      </c>
      <c r="Q1696" s="3">
        <v>0.0</v>
      </c>
      <c r="U1696" s="141"/>
      <c r="W1696" s="3">
        <v>220.0</v>
      </c>
      <c r="X1696" s="172">
        <v>46042.83430555556</v>
      </c>
      <c r="Y1696" s="172"/>
      <c r="Z1696" s="3">
        <v>46033.0</v>
      </c>
      <c r="AA1696" s="3"/>
    </row>
    <row r="1697">
      <c r="A1697" s="3">
        <v>6.862220427523E12</v>
      </c>
      <c r="B1697" s="2" t="s">
        <v>7093</v>
      </c>
      <c r="C1697" s="2" t="s">
        <v>7094</v>
      </c>
      <c r="D1697" s="169">
        <v>46033.0</v>
      </c>
      <c r="E1697" s="2">
        <v>3.32255895E9</v>
      </c>
      <c r="F1697" s="2" t="s">
        <v>7095</v>
      </c>
      <c r="G1697" s="2" t="s">
        <v>493</v>
      </c>
      <c r="H1697" s="2">
        <v>249.0</v>
      </c>
      <c r="I1697" s="2">
        <v>2.312005002116E13</v>
      </c>
      <c r="J1697" s="3">
        <v>0.0</v>
      </c>
      <c r="K1697" s="2" t="s">
        <v>7096</v>
      </c>
      <c r="L1697" s="2"/>
      <c r="M1697" s="170" t="s">
        <v>455</v>
      </c>
      <c r="N1697" s="2" t="s">
        <v>406</v>
      </c>
      <c r="O1697" s="3">
        <v>0.5</v>
      </c>
      <c r="P1697" s="2" t="s">
        <v>363</v>
      </c>
      <c r="Q1697" s="3">
        <v>0.0</v>
      </c>
      <c r="U1697" s="141"/>
      <c r="W1697" s="3">
        <v>227.0</v>
      </c>
      <c r="X1697" s="172">
        <v>46044.65791666666</v>
      </c>
      <c r="Y1697" s="172"/>
      <c r="Z1697" s="3">
        <v>46033.0</v>
      </c>
      <c r="AA1697" s="3"/>
    </row>
    <row r="1698">
      <c r="A1698" s="3">
        <v>6.862312866051E12</v>
      </c>
      <c r="B1698" s="2" t="s">
        <v>7097</v>
      </c>
      <c r="C1698" s="2" t="s">
        <v>7098</v>
      </c>
      <c r="D1698" s="169">
        <v>46033.0</v>
      </c>
      <c r="E1698" s="2">
        <v>3.138243805E9</v>
      </c>
      <c r="F1698" s="2" t="s">
        <v>7099</v>
      </c>
      <c r="G1698" s="2" t="s">
        <v>672</v>
      </c>
      <c r="H1698" s="2">
        <v>249.0</v>
      </c>
      <c r="I1698" s="2">
        <v>2.0120050021159E13</v>
      </c>
      <c r="J1698" s="3">
        <v>0.0</v>
      </c>
      <c r="K1698" s="2" t="s">
        <v>7100</v>
      </c>
      <c r="L1698" s="2"/>
      <c r="M1698" s="170" t="s">
        <v>455</v>
      </c>
      <c r="N1698" s="2" t="s">
        <v>406</v>
      </c>
      <c r="O1698" s="3">
        <v>0.5</v>
      </c>
      <c r="P1698" s="2" t="s">
        <v>363</v>
      </c>
      <c r="Q1698" s="3">
        <v>0.0</v>
      </c>
      <c r="T1698" s="2" t="s">
        <v>6193</v>
      </c>
      <c r="U1698" s="141"/>
      <c r="W1698" s="3">
        <v>213.0</v>
      </c>
      <c r="X1698" s="172">
        <v>46052.83976851852</v>
      </c>
      <c r="Y1698" s="172"/>
      <c r="Z1698" s="3">
        <v>46033.0</v>
      </c>
      <c r="AA1698" s="3"/>
    </row>
    <row r="1699">
      <c r="A1699" s="3">
        <v>6.862340849923E12</v>
      </c>
      <c r="B1699" s="2" t="s">
        <v>7101</v>
      </c>
      <c r="C1699" s="2" t="s">
        <v>7102</v>
      </c>
      <c r="D1699" s="169">
        <v>46033.0</v>
      </c>
      <c r="E1699" s="2">
        <v>3.003510606E9</v>
      </c>
      <c r="F1699" s="175" t="s">
        <v>7103</v>
      </c>
      <c r="G1699" s="2" t="s">
        <v>7104</v>
      </c>
      <c r="H1699" s="2">
        <v>0.0</v>
      </c>
      <c r="J1699" s="3">
        <v>0.0</v>
      </c>
      <c r="K1699" s="2" t="s">
        <v>760</v>
      </c>
      <c r="L1699" s="2"/>
      <c r="M1699" s="2" t="s">
        <v>468</v>
      </c>
      <c r="N1699" s="2" t="s">
        <v>406</v>
      </c>
      <c r="O1699" s="3">
        <v>0.5</v>
      </c>
      <c r="Q1699" s="3">
        <v>0.0</v>
      </c>
      <c r="U1699" s="141"/>
      <c r="X1699" s="172">
        <v>46057.64278284722</v>
      </c>
      <c r="Y1699" s="172"/>
      <c r="Z1699" s="3">
        <v>46033.0</v>
      </c>
      <c r="AA1699" s="3"/>
    </row>
    <row r="1700">
      <c r="A1700" s="3">
        <v>6.862390493443E12</v>
      </c>
      <c r="B1700" s="2" t="s">
        <v>7105</v>
      </c>
      <c r="C1700" s="2" t="s">
        <v>5225</v>
      </c>
      <c r="D1700" s="169">
        <v>46033.0</v>
      </c>
      <c r="E1700" s="2">
        <v>3.334269658E9</v>
      </c>
      <c r="F1700" s="2" t="s">
        <v>5226</v>
      </c>
      <c r="G1700" s="2" t="s">
        <v>368</v>
      </c>
      <c r="H1700" s="2">
        <v>4248.0</v>
      </c>
      <c r="I1700" s="2">
        <v>2.9120050021184E13</v>
      </c>
      <c r="J1700" s="3">
        <v>2.0</v>
      </c>
      <c r="K1700" s="2" t="s">
        <v>7106</v>
      </c>
      <c r="L1700" s="2" t="s">
        <v>479</v>
      </c>
      <c r="M1700" s="174" t="s">
        <v>409</v>
      </c>
      <c r="N1700" s="2" t="s">
        <v>462</v>
      </c>
      <c r="O1700" s="3">
        <v>0.5</v>
      </c>
      <c r="P1700" s="2" t="s">
        <v>363</v>
      </c>
      <c r="Q1700" s="3">
        <v>1700.0</v>
      </c>
      <c r="T1700" s="2" t="s">
        <v>3674</v>
      </c>
      <c r="U1700" s="171">
        <v>4248.0</v>
      </c>
      <c r="V1700" s="172">
        <v>46038.0</v>
      </c>
      <c r="W1700" s="3">
        <v>290.0</v>
      </c>
      <c r="X1700" s="172">
        <v>46035.577951388885</v>
      </c>
      <c r="Y1700" s="172"/>
      <c r="Z1700" s="3">
        <v>46033.0</v>
      </c>
      <c r="AA1700" s="3"/>
    </row>
    <row r="1701">
      <c r="A1701" s="3">
        <v>6.862420476163E12</v>
      </c>
      <c r="B1701" s="2" t="s">
        <v>7107</v>
      </c>
      <c r="C1701" s="2" t="s">
        <v>7108</v>
      </c>
      <c r="D1701" s="169">
        <v>46033.0</v>
      </c>
      <c r="E1701" s="2">
        <v>3.218995532E9</v>
      </c>
      <c r="F1701" s="2" t="s">
        <v>7109</v>
      </c>
      <c r="G1701" s="2" t="s">
        <v>493</v>
      </c>
      <c r="H1701" s="2">
        <v>2799.0</v>
      </c>
      <c r="I1701" s="2">
        <v>2.0120050021158E13</v>
      </c>
      <c r="J1701" s="3">
        <v>1.0</v>
      </c>
      <c r="K1701" s="2" t="s">
        <v>7057</v>
      </c>
      <c r="L1701" s="2" t="s">
        <v>557</v>
      </c>
      <c r="M1701" s="174" t="s">
        <v>409</v>
      </c>
      <c r="N1701" s="2" t="s">
        <v>462</v>
      </c>
      <c r="O1701" s="3">
        <v>0.5</v>
      </c>
      <c r="P1701" s="2" t="s">
        <v>363</v>
      </c>
      <c r="Q1701" s="3">
        <v>850.0</v>
      </c>
      <c r="T1701" s="2" t="s">
        <v>3674</v>
      </c>
      <c r="U1701" s="171">
        <v>2799.0</v>
      </c>
      <c r="V1701" s="172">
        <v>46038.0</v>
      </c>
      <c r="W1701" s="3">
        <v>339.0</v>
      </c>
      <c r="X1701" s="172">
        <v>46037.70450231481</v>
      </c>
      <c r="Y1701" s="172"/>
      <c r="Z1701" s="3">
        <v>46033.0</v>
      </c>
      <c r="AA1701" s="3"/>
    </row>
    <row r="1702">
      <c r="A1702" s="3">
        <v>6.862468808963E12</v>
      </c>
      <c r="B1702" s="2" t="s">
        <v>7110</v>
      </c>
      <c r="C1702" s="2" t="s">
        <v>3244</v>
      </c>
      <c r="D1702" s="169">
        <v>46033.0</v>
      </c>
      <c r="E1702" s="173" t="s">
        <v>7111</v>
      </c>
      <c r="F1702" s="2" t="s">
        <v>6707</v>
      </c>
      <c r="G1702" s="2" t="s">
        <v>3237</v>
      </c>
      <c r="H1702" s="2">
        <v>0.0</v>
      </c>
      <c r="J1702" s="3">
        <v>0.0</v>
      </c>
      <c r="K1702" s="2" t="s">
        <v>7112</v>
      </c>
      <c r="L1702" s="2"/>
      <c r="M1702" s="2" t="s">
        <v>468</v>
      </c>
      <c r="N1702" s="2" t="s">
        <v>406</v>
      </c>
      <c r="O1702" s="3">
        <v>0.5</v>
      </c>
      <c r="Q1702" s="3">
        <v>0.0</v>
      </c>
      <c r="U1702" s="141"/>
      <c r="X1702" s="172">
        <v>46057.64278284722</v>
      </c>
      <c r="Y1702" s="172"/>
      <c r="Z1702" s="3">
        <v>46033.0</v>
      </c>
      <c r="AA1702" s="3"/>
    </row>
    <row r="1703">
      <c r="A1703" s="3">
        <v>6.862514028803E12</v>
      </c>
      <c r="B1703" s="2" t="s">
        <v>7113</v>
      </c>
      <c r="C1703" s="2" t="s">
        <v>7114</v>
      </c>
      <c r="D1703" s="169">
        <v>46033.0</v>
      </c>
      <c r="E1703" s="2">
        <v>3.334441095E9</v>
      </c>
      <c r="F1703" s="2" t="s">
        <v>7115</v>
      </c>
      <c r="G1703" s="2" t="s">
        <v>368</v>
      </c>
      <c r="H1703" s="2">
        <v>4248.0</v>
      </c>
      <c r="I1703" s="2">
        <v>2.2120050021157E13</v>
      </c>
      <c r="J1703" s="3">
        <v>2.0</v>
      </c>
      <c r="L1703" s="2" t="s">
        <v>913</v>
      </c>
      <c r="M1703" s="174" t="s">
        <v>409</v>
      </c>
      <c r="N1703" s="2" t="s">
        <v>462</v>
      </c>
      <c r="O1703" s="3">
        <v>0.5</v>
      </c>
      <c r="P1703" s="2" t="s">
        <v>363</v>
      </c>
      <c r="Q1703" s="3">
        <v>1700.0</v>
      </c>
      <c r="T1703" s="2" t="s">
        <v>3701</v>
      </c>
      <c r="U1703" s="171">
        <v>4248.0</v>
      </c>
      <c r="V1703" s="172">
        <v>46035.0</v>
      </c>
      <c r="W1703" s="3">
        <v>357.0</v>
      </c>
      <c r="X1703" s="172">
        <v>46035.43006944444</v>
      </c>
      <c r="Y1703" s="172"/>
      <c r="Z1703" s="3">
        <v>46033.0</v>
      </c>
      <c r="AA1703" s="3"/>
    </row>
    <row r="1704">
      <c r="A1704" s="3">
        <v>6.862550892803E12</v>
      </c>
      <c r="B1704" s="2" t="s">
        <v>7116</v>
      </c>
      <c r="C1704" s="2" t="s">
        <v>7117</v>
      </c>
      <c r="D1704" s="169">
        <v>46033.0</v>
      </c>
      <c r="E1704" s="2">
        <v>3.022003737E9</v>
      </c>
      <c r="F1704" s="2" t="s">
        <v>7118</v>
      </c>
      <c r="G1704" s="2" t="s">
        <v>781</v>
      </c>
      <c r="H1704" s="2">
        <v>5400.0</v>
      </c>
      <c r="I1704" s="2">
        <v>2.0120050021156E13</v>
      </c>
      <c r="J1704" s="3">
        <v>3.0</v>
      </c>
      <c r="K1704" s="2" t="s">
        <v>7119</v>
      </c>
      <c r="L1704" s="2" t="s">
        <v>7120</v>
      </c>
      <c r="M1704" s="174" t="s">
        <v>409</v>
      </c>
      <c r="N1704" s="2" t="s">
        <v>462</v>
      </c>
      <c r="O1704" s="3">
        <v>0.5</v>
      </c>
      <c r="P1704" s="2" t="s">
        <v>363</v>
      </c>
      <c r="Q1704" s="3">
        <v>1770.0</v>
      </c>
      <c r="T1704" s="2" t="s">
        <v>4910</v>
      </c>
      <c r="U1704" s="171">
        <v>5400.0</v>
      </c>
      <c r="V1704" s="172">
        <v>46042.0</v>
      </c>
      <c r="W1704" s="3">
        <v>442.78</v>
      </c>
      <c r="X1704" s="172">
        <v>46039.63091435185</v>
      </c>
      <c r="Y1704" s="172"/>
      <c r="Z1704" s="3">
        <v>46033.0</v>
      </c>
      <c r="AA1704" s="3"/>
    </row>
    <row r="1705">
      <c r="A1705" s="3">
        <v>6.862570488067E12</v>
      </c>
      <c r="B1705" s="2" t="s">
        <v>7121</v>
      </c>
      <c r="C1705" s="2" t="s">
        <v>7122</v>
      </c>
      <c r="D1705" s="169">
        <v>46033.0</v>
      </c>
      <c r="E1705" s="2">
        <v>3.212991686E9</v>
      </c>
      <c r="F1705" s="2" t="s">
        <v>7123</v>
      </c>
      <c r="G1705" s="2" t="s">
        <v>817</v>
      </c>
      <c r="H1705" s="2">
        <v>3099.0</v>
      </c>
      <c r="I1705" s="2">
        <v>2.812005002119E13</v>
      </c>
      <c r="J1705" s="3">
        <v>2.0</v>
      </c>
      <c r="K1705" s="2" t="s">
        <v>6682</v>
      </c>
      <c r="L1705" s="2" t="s">
        <v>296</v>
      </c>
      <c r="M1705" s="174" t="s">
        <v>409</v>
      </c>
      <c r="N1705" s="2" t="s">
        <v>462</v>
      </c>
      <c r="O1705" s="3">
        <v>0.5</v>
      </c>
      <c r="P1705" s="2" t="s">
        <v>73</v>
      </c>
      <c r="Q1705" s="3">
        <v>920.0</v>
      </c>
      <c r="T1705" s="2" t="s">
        <v>4910</v>
      </c>
      <c r="U1705" s="171">
        <v>3099.0</v>
      </c>
      <c r="V1705" s="172">
        <v>46042.0</v>
      </c>
      <c r="W1705" s="3">
        <v>337.4</v>
      </c>
      <c r="X1705" s="172">
        <v>46038.62449074074</v>
      </c>
      <c r="Y1705" s="172"/>
      <c r="Z1705" s="3">
        <v>46033.0</v>
      </c>
      <c r="AA1705" s="3"/>
    </row>
    <row r="1706">
      <c r="A1706" s="3">
        <v>6.862585823491E12</v>
      </c>
      <c r="B1706" s="2" t="s">
        <v>7124</v>
      </c>
      <c r="C1706" s="2" t="s">
        <v>7125</v>
      </c>
      <c r="D1706" s="169">
        <v>46033.0</v>
      </c>
      <c r="E1706" s="2">
        <v>3.338545658E9</v>
      </c>
      <c r="F1706" s="2" t="s">
        <v>7126</v>
      </c>
      <c r="G1706" s="2" t="s">
        <v>7068</v>
      </c>
      <c r="H1706" s="2">
        <v>4248.0</v>
      </c>
      <c r="I1706" s="2">
        <v>2.0120050021304E13</v>
      </c>
      <c r="J1706" s="3">
        <v>2.0</v>
      </c>
      <c r="K1706" s="2" t="s">
        <v>7127</v>
      </c>
      <c r="L1706" s="2" t="s">
        <v>994</v>
      </c>
      <c r="M1706" s="2" t="s">
        <v>409</v>
      </c>
      <c r="N1706" s="2" t="s">
        <v>462</v>
      </c>
      <c r="O1706" s="3">
        <v>0.5</v>
      </c>
      <c r="P1706" s="2"/>
      <c r="Q1706" s="3">
        <v>1700.0</v>
      </c>
      <c r="T1706" s="2" t="s">
        <v>7128</v>
      </c>
      <c r="U1706" s="171">
        <v>4248.0</v>
      </c>
      <c r="V1706" s="172">
        <v>46045.0</v>
      </c>
      <c r="W1706" s="3">
        <v>390.0</v>
      </c>
      <c r="X1706" s="172">
        <v>46068.64940596065</v>
      </c>
      <c r="Y1706" s="172"/>
      <c r="Z1706" s="3">
        <v>46033.0</v>
      </c>
      <c r="AA1706" s="3"/>
    </row>
    <row r="1707">
      <c r="A1707" s="3">
        <v>6.862608269571E12</v>
      </c>
      <c r="B1707" s="2" t="s">
        <v>7129</v>
      </c>
      <c r="C1707" s="2" t="s">
        <v>7130</v>
      </c>
      <c r="D1707" s="169">
        <v>46033.0</v>
      </c>
      <c r="E1707" s="2">
        <v>3.156555447E9</v>
      </c>
      <c r="F1707" s="2" t="s">
        <v>7131</v>
      </c>
      <c r="G1707" s="2" t="s">
        <v>506</v>
      </c>
      <c r="H1707" s="2">
        <v>0.0</v>
      </c>
      <c r="J1707" s="3">
        <v>0.0</v>
      </c>
      <c r="K1707" s="2" t="s">
        <v>760</v>
      </c>
      <c r="L1707" s="2"/>
      <c r="M1707" s="2" t="s">
        <v>468</v>
      </c>
      <c r="N1707" s="2" t="s">
        <v>406</v>
      </c>
      <c r="O1707" s="3">
        <v>0.5</v>
      </c>
      <c r="Q1707" s="3">
        <v>0.0</v>
      </c>
      <c r="U1707" s="141"/>
      <c r="X1707" s="172">
        <v>46057.64278284722</v>
      </c>
      <c r="Y1707" s="172"/>
      <c r="Z1707" s="3">
        <v>46033.0</v>
      </c>
      <c r="AA1707" s="3"/>
    </row>
    <row r="1708">
      <c r="A1708" s="3">
        <v>6.862612267267E12</v>
      </c>
      <c r="B1708" s="2" t="s">
        <v>7132</v>
      </c>
      <c r="C1708" s="2" t="s">
        <v>7133</v>
      </c>
      <c r="D1708" s="169">
        <v>46033.0</v>
      </c>
      <c r="E1708" s="173" t="s">
        <v>7134</v>
      </c>
      <c r="F1708" s="2" t="s">
        <v>7135</v>
      </c>
      <c r="G1708" s="2" t="s">
        <v>7136</v>
      </c>
      <c r="H1708" s="2">
        <v>6147.0</v>
      </c>
      <c r="I1708" s="2">
        <v>2.412005002125E13</v>
      </c>
      <c r="J1708" s="3">
        <v>3.0</v>
      </c>
      <c r="K1708" s="2" t="s">
        <v>7137</v>
      </c>
      <c r="L1708" s="2" t="s">
        <v>7138</v>
      </c>
      <c r="M1708" s="174" t="s">
        <v>409</v>
      </c>
      <c r="N1708" s="2" t="s">
        <v>462</v>
      </c>
      <c r="O1708" s="3">
        <v>0.5</v>
      </c>
      <c r="P1708" s="2" t="s">
        <v>363</v>
      </c>
      <c r="Q1708" s="3">
        <v>2550.0</v>
      </c>
      <c r="U1708" s="171">
        <v>6147.0</v>
      </c>
      <c r="W1708" s="3">
        <v>566.0</v>
      </c>
      <c r="X1708" s="172">
        <v>46042.64394675926</v>
      </c>
      <c r="Y1708" s="172"/>
      <c r="Z1708" s="3">
        <v>46033.0</v>
      </c>
      <c r="AA1708" s="3"/>
    </row>
    <row r="1709">
      <c r="A1709" s="3">
        <v>6.862614626563E12</v>
      </c>
      <c r="B1709" s="2" t="s">
        <v>7139</v>
      </c>
      <c r="C1709" s="2" t="s">
        <v>7140</v>
      </c>
      <c r="D1709" s="169">
        <v>46033.0</v>
      </c>
      <c r="E1709" s="2">
        <v>3.203285039E9</v>
      </c>
      <c r="F1709" s="2" t="s">
        <v>7141</v>
      </c>
      <c r="G1709" s="2" t="s">
        <v>493</v>
      </c>
      <c r="H1709" s="2">
        <v>249.0</v>
      </c>
      <c r="I1709" s="2">
        <v>2.9120050021155E13</v>
      </c>
      <c r="J1709" s="3">
        <v>0.0</v>
      </c>
      <c r="K1709" s="2" t="s">
        <v>7142</v>
      </c>
      <c r="L1709" s="2"/>
      <c r="M1709" s="170" t="s">
        <v>455</v>
      </c>
      <c r="N1709" s="2" t="s">
        <v>406</v>
      </c>
      <c r="O1709" s="3">
        <v>0.5</v>
      </c>
      <c r="P1709" s="2" t="s">
        <v>363</v>
      </c>
      <c r="Q1709" s="3">
        <v>0.0</v>
      </c>
      <c r="T1709" s="2" t="s">
        <v>6123</v>
      </c>
      <c r="U1709" s="171">
        <v>0.0</v>
      </c>
      <c r="V1709" s="172">
        <v>46049.0</v>
      </c>
      <c r="W1709" s="3">
        <v>213.0</v>
      </c>
      <c r="X1709" s="172">
        <v>46048.90520833334</v>
      </c>
      <c r="Y1709" s="172"/>
      <c r="Z1709" s="3">
        <v>46033.0</v>
      </c>
      <c r="AA1709" s="3"/>
    </row>
    <row r="1710">
      <c r="A1710" s="3">
        <v>6.862617936131E12</v>
      </c>
      <c r="B1710" s="2" t="s">
        <v>7143</v>
      </c>
      <c r="C1710" s="2" t="s">
        <v>7144</v>
      </c>
      <c r="D1710" s="169">
        <v>46033.0</v>
      </c>
      <c r="E1710" s="2">
        <v>3.08609043E9</v>
      </c>
      <c r="F1710" s="2" t="s">
        <v>7145</v>
      </c>
      <c r="G1710" s="2" t="s">
        <v>688</v>
      </c>
      <c r="H1710" s="2">
        <v>5700.0</v>
      </c>
      <c r="I1710" s="2">
        <v>2.8120050021154E13</v>
      </c>
      <c r="J1710" s="3">
        <v>3.0</v>
      </c>
      <c r="K1710" s="2" t="s">
        <v>7146</v>
      </c>
      <c r="L1710" s="2" t="s">
        <v>7147</v>
      </c>
      <c r="M1710" s="170" t="s">
        <v>455</v>
      </c>
      <c r="N1710" s="2" t="s">
        <v>406</v>
      </c>
      <c r="O1710" s="3">
        <v>0.5</v>
      </c>
      <c r="P1710" s="2" t="s">
        <v>73</v>
      </c>
      <c r="Q1710" s="3">
        <v>2220.0</v>
      </c>
      <c r="T1710" s="2" t="s">
        <v>4910</v>
      </c>
      <c r="U1710" s="171">
        <v>0.0</v>
      </c>
      <c r="V1710" s="172">
        <v>46042.0</v>
      </c>
      <c r="W1710" s="3">
        <v>220.11</v>
      </c>
      <c r="X1710" s="172">
        <v>46041.93976851852</v>
      </c>
      <c r="Y1710" s="172"/>
      <c r="Z1710" s="3">
        <v>46033.0</v>
      </c>
      <c r="AA1710" s="3"/>
    </row>
    <row r="1711">
      <c r="A1711" s="3">
        <v>6.862625702147E12</v>
      </c>
      <c r="B1711" s="2" t="s">
        <v>7148</v>
      </c>
      <c r="C1711" s="2" t="s">
        <v>7149</v>
      </c>
      <c r="D1711" s="169">
        <v>46033.0</v>
      </c>
      <c r="E1711" s="2">
        <v>3.33754922E9</v>
      </c>
      <c r="F1711" s="2" t="s">
        <v>7150</v>
      </c>
      <c r="G1711" s="2" t="s">
        <v>493</v>
      </c>
      <c r="H1711" s="2">
        <v>1799.0</v>
      </c>
      <c r="I1711" s="2">
        <v>2.3120050021153E13</v>
      </c>
      <c r="J1711" s="3">
        <v>1.0</v>
      </c>
      <c r="K1711" s="2" t="s">
        <v>7151</v>
      </c>
      <c r="L1711" s="2" t="s">
        <v>1185</v>
      </c>
      <c r="M1711" s="174" t="s">
        <v>409</v>
      </c>
      <c r="N1711" s="2" t="s">
        <v>462</v>
      </c>
      <c r="O1711" s="3">
        <v>0.5</v>
      </c>
      <c r="P1711" s="2" t="s">
        <v>363</v>
      </c>
      <c r="Q1711" s="3">
        <v>490.0</v>
      </c>
      <c r="T1711" s="2" t="s">
        <v>4910</v>
      </c>
      <c r="U1711" s="171">
        <v>1799.0</v>
      </c>
      <c r="V1711" s="172">
        <v>46042.0</v>
      </c>
      <c r="W1711" s="3">
        <v>285.4</v>
      </c>
      <c r="X1711" s="172">
        <v>46039.73709490741</v>
      </c>
      <c r="Y1711" s="172"/>
      <c r="Z1711" s="3">
        <v>46033.0</v>
      </c>
      <c r="AA1711" s="3"/>
    </row>
    <row r="1712">
      <c r="A1712" s="3">
        <v>6.862660894979E12</v>
      </c>
      <c r="B1712" s="2" t="s">
        <v>7152</v>
      </c>
      <c r="C1712" s="2" t="s">
        <v>7153</v>
      </c>
      <c r="D1712" s="169">
        <v>46033.0</v>
      </c>
      <c r="E1712" s="2">
        <v>3.022461405E9</v>
      </c>
      <c r="F1712" s="2" t="s">
        <v>7154</v>
      </c>
      <c r="G1712" s="2" t="s">
        <v>506</v>
      </c>
      <c r="H1712" s="2">
        <v>3099.0</v>
      </c>
      <c r="I1712" s="2">
        <v>2.0120050021152E13</v>
      </c>
      <c r="J1712" s="3">
        <v>2.0</v>
      </c>
      <c r="K1712" s="2" t="s">
        <v>7155</v>
      </c>
      <c r="L1712" s="2" t="s">
        <v>50</v>
      </c>
      <c r="M1712" s="170" t="s">
        <v>455</v>
      </c>
      <c r="N1712" s="2" t="s">
        <v>406</v>
      </c>
      <c r="O1712" s="3">
        <v>0.5</v>
      </c>
      <c r="P1712" s="2" t="s">
        <v>363</v>
      </c>
      <c r="Q1712" s="3">
        <v>920.0</v>
      </c>
      <c r="T1712" s="2" t="s">
        <v>4910</v>
      </c>
      <c r="U1712" s="171">
        <v>0.0</v>
      </c>
      <c r="V1712" s="172">
        <v>46042.0</v>
      </c>
      <c r="W1712" s="3">
        <v>200.1</v>
      </c>
      <c r="X1712" s="172">
        <v>46041.93976851852</v>
      </c>
      <c r="Y1712" s="172"/>
      <c r="Z1712" s="3">
        <v>46033.0</v>
      </c>
      <c r="AA1712" s="3"/>
    </row>
    <row r="1713">
      <c r="A1713" s="3">
        <v>6.862676001027E12</v>
      </c>
      <c r="B1713" s="2" t="s">
        <v>7156</v>
      </c>
      <c r="C1713" s="2" t="s">
        <v>7157</v>
      </c>
      <c r="D1713" s="169">
        <v>46033.0</v>
      </c>
      <c r="E1713" s="173" t="s">
        <v>7158</v>
      </c>
      <c r="F1713" s="2" t="s">
        <v>7159</v>
      </c>
      <c r="G1713" s="2" t="s">
        <v>7160</v>
      </c>
      <c r="H1713" s="2">
        <v>0.0</v>
      </c>
      <c r="J1713" s="3">
        <v>0.0</v>
      </c>
      <c r="K1713" s="2" t="s">
        <v>7161</v>
      </c>
      <c r="L1713" s="2"/>
      <c r="M1713" s="2" t="s">
        <v>468</v>
      </c>
      <c r="N1713" s="2" t="s">
        <v>406</v>
      </c>
      <c r="O1713" s="3">
        <v>0.5</v>
      </c>
      <c r="Q1713" s="3">
        <v>0.0</v>
      </c>
      <c r="U1713" s="141"/>
      <c r="X1713" s="172">
        <v>46057.64278284722</v>
      </c>
      <c r="Y1713" s="172"/>
      <c r="Z1713" s="3">
        <v>46033.0</v>
      </c>
      <c r="AA1713" s="3"/>
    </row>
    <row r="1714">
      <c r="A1714" s="3">
        <v>6.862685012227E12</v>
      </c>
      <c r="B1714" s="2" t="s">
        <v>7162</v>
      </c>
      <c r="C1714" s="2" t="s">
        <v>7163</v>
      </c>
      <c r="D1714" s="169">
        <v>46033.0</v>
      </c>
      <c r="E1714" s="173" t="s">
        <v>7164</v>
      </c>
      <c r="F1714" s="2" t="s">
        <v>7165</v>
      </c>
      <c r="G1714" s="2" t="s">
        <v>7166</v>
      </c>
      <c r="H1714" s="2">
        <v>3099.0</v>
      </c>
      <c r="I1714" s="2">
        <v>2.7120050021188E13</v>
      </c>
      <c r="J1714" s="3">
        <v>2.0</v>
      </c>
      <c r="K1714" s="2" t="s">
        <v>7167</v>
      </c>
      <c r="L1714" s="2" t="s">
        <v>906</v>
      </c>
      <c r="M1714" s="174" t="s">
        <v>409</v>
      </c>
      <c r="N1714" s="2" t="s">
        <v>462</v>
      </c>
      <c r="O1714" s="3">
        <v>0.5</v>
      </c>
      <c r="P1714" s="2" t="s">
        <v>363</v>
      </c>
      <c r="Q1714" s="3">
        <v>920.0</v>
      </c>
      <c r="T1714" s="2" t="s">
        <v>3674</v>
      </c>
      <c r="U1714" s="171">
        <v>3099.0</v>
      </c>
      <c r="V1714" s="172">
        <v>46038.0</v>
      </c>
      <c r="W1714" s="3">
        <v>324.0</v>
      </c>
      <c r="X1714" s="172">
        <v>46037.62248842593</v>
      </c>
      <c r="Y1714" s="172"/>
      <c r="Z1714" s="3">
        <v>46033.0</v>
      </c>
      <c r="AA1714" s="3"/>
    </row>
    <row r="1715">
      <c r="A1715" s="3">
        <v>6.862704869635E12</v>
      </c>
      <c r="B1715" s="2" t="s">
        <v>7168</v>
      </c>
      <c r="C1715" s="2" t="s">
        <v>7169</v>
      </c>
      <c r="D1715" s="169">
        <v>46033.0</v>
      </c>
      <c r="E1715" s="2">
        <v>3.350639393E9</v>
      </c>
      <c r="F1715" s="2" t="s">
        <v>7170</v>
      </c>
      <c r="G1715" s="2" t="s">
        <v>781</v>
      </c>
      <c r="H1715" s="2">
        <v>3099.0</v>
      </c>
      <c r="I1715" s="2">
        <v>2.2120050021151E13</v>
      </c>
      <c r="J1715" s="3">
        <v>2.0</v>
      </c>
      <c r="K1715" s="2" t="s">
        <v>6752</v>
      </c>
      <c r="L1715" s="2" t="s">
        <v>50</v>
      </c>
      <c r="M1715" s="174" t="s">
        <v>409</v>
      </c>
      <c r="N1715" s="2" t="s">
        <v>462</v>
      </c>
      <c r="O1715" s="3">
        <v>0.5</v>
      </c>
      <c r="P1715" s="2" t="s">
        <v>363</v>
      </c>
      <c r="Q1715" s="3">
        <v>920.0</v>
      </c>
      <c r="T1715" s="2" t="s">
        <v>3674</v>
      </c>
      <c r="U1715" s="171">
        <v>3099.0</v>
      </c>
      <c r="V1715" s="172">
        <v>46038.0</v>
      </c>
      <c r="W1715" s="3">
        <v>337.0</v>
      </c>
      <c r="X1715" s="172">
        <v>46036.50090277778</v>
      </c>
      <c r="Y1715" s="172"/>
      <c r="Z1715" s="3">
        <v>46033.0</v>
      </c>
      <c r="AA1715" s="3"/>
    </row>
    <row r="1716">
      <c r="A1716" s="3">
        <v>6.862730854659E12</v>
      </c>
      <c r="B1716" s="2" t="s">
        <v>7171</v>
      </c>
      <c r="C1716" s="2" t="s">
        <v>7172</v>
      </c>
      <c r="D1716" s="169">
        <v>46033.0</v>
      </c>
      <c r="E1716" s="2">
        <v>9.23439811247E11</v>
      </c>
      <c r="F1716" s="2" t="s">
        <v>7173</v>
      </c>
      <c r="G1716" s="2" t="s">
        <v>1271</v>
      </c>
      <c r="H1716" s="2">
        <v>249.0</v>
      </c>
      <c r="I1716" s="2">
        <v>2.512005002115E13</v>
      </c>
      <c r="J1716" s="3">
        <v>0.0</v>
      </c>
      <c r="K1716" s="2" t="s">
        <v>7174</v>
      </c>
      <c r="L1716" s="2"/>
      <c r="M1716" s="170" t="s">
        <v>455</v>
      </c>
      <c r="N1716" s="2" t="s">
        <v>406</v>
      </c>
      <c r="O1716" s="3">
        <v>0.5</v>
      </c>
      <c r="P1716" s="2" t="s">
        <v>363</v>
      </c>
      <c r="Q1716" s="3">
        <v>0.0</v>
      </c>
      <c r="U1716" s="141"/>
      <c r="W1716" s="3">
        <v>213.0</v>
      </c>
      <c r="X1716" s="172">
        <v>46044.65791666666</v>
      </c>
      <c r="Y1716" s="172"/>
      <c r="Z1716" s="3">
        <v>46033.0</v>
      </c>
      <c r="AA1716" s="3"/>
    </row>
    <row r="1717">
      <c r="A1717" s="3">
        <v>6.862736228611E12</v>
      </c>
      <c r="B1717" s="2" t="s">
        <v>7175</v>
      </c>
      <c r="C1717" s="2" t="s">
        <v>7176</v>
      </c>
      <c r="D1717" s="169">
        <v>46033.0</v>
      </c>
      <c r="E1717" s="2">
        <v>3.175858934E9</v>
      </c>
      <c r="F1717" s="2" t="s">
        <v>7177</v>
      </c>
      <c r="G1717" s="2" t="s">
        <v>2966</v>
      </c>
      <c r="H1717" s="2">
        <v>4598.0</v>
      </c>
      <c r="I1717" s="2">
        <v>2.2120050021149E13</v>
      </c>
      <c r="J1717" s="3">
        <v>3.0</v>
      </c>
      <c r="K1717" s="2" t="s">
        <v>7178</v>
      </c>
      <c r="L1717" s="2" t="s">
        <v>7179</v>
      </c>
      <c r="M1717" s="174" t="s">
        <v>409</v>
      </c>
      <c r="N1717" s="2" t="s">
        <v>462</v>
      </c>
      <c r="O1717" s="3">
        <v>0.5</v>
      </c>
      <c r="P1717" s="2" t="s">
        <v>363</v>
      </c>
      <c r="Q1717" s="3">
        <v>1520.0</v>
      </c>
      <c r="T1717" s="2" t="s">
        <v>3674</v>
      </c>
      <c r="U1717" s="171">
        <v>4598.0</v>
      </c>
      <c r="V1717" s="172">
        <v>46038.0</v>
      </c>
      <c r="W1717" s="3">
        <v>404.0</v>
      </c>
      <c r="X1717" s="172">
        <v>46036.84190972222</v>
      </c>
      <c r="Y1717" s="172"/>
      <c r="Z1717" s="3">
        <v>46033.0</v>
      </c>
      <c r="AA1717" s="3"/>
    </row>
    <row r="1718">
      <c r="A1718" s="3">
        <v>6.862853734659E12</v>
      </c>
      <c r="B1718" s="2" t="s">
        <v>7180</v>
      </c>
      <c r="C1718" s="2" t="s">
        <v>7181</v>
      </c>
      <c r="D1718" s="169">
        <v>46033.0</v>
      </c>
      <c r="E1718" s="2">
        <v>3.242630721E9</v>
      </c>
      <c r="F1718" s="2" t="s">
        <v>7182</v>
      </c>
      <c r="G1718" s="2" t="s">
        <v>749</v>
      </c>
      <c r="H1718" s="2">
        <v>0.0</v>
      </c>
      <c r="J1718" s="3">
        <v>0.0</v>
      </c>
      <c r="K1718" s="2" t="s">
        <v>7183</v>
      </c>
      <c r="L1718" s="2"/>
      <c r="M1718" s="2" t="s">
        <v>468</v>
      </c>
      <c r="N1718" s="2" t="s">
        <v>406</v>
      </c>
      <c r="O1718" s="3">
        <v>0.5</v>
      </c>
      <c r="Q1718" s="3">
        <v>0.0</v>
      </c>
      <c r="U1718" s="141"/>
      <c r="X1718" s="172">
        <v>46057.64278284722</v>
      </c>
      <c r="Y1718" s="172"/>
      <c r="Z1718" s="3">
        <v>46033.0</v>
      </c>
      <c r="AA1718" s="3"/>
    </row>
    <row r="1719">
      <c r="A1719" s="3">
        <v>6.862861107459E12</v>
      </c>
      <c r="B1719" s="2" t="s">
        <v>7184</v>
      </c>
      <c r="C1719" s="2" t="s">
        <v>770</v>
      </c>
      <c r="D1719" s="169">
        <v>46033.0</v>
      </c>
      <c r="E1719" s="2">
        <v>3.003387843E9</v>
      </c>
      <c r="F1719" s="2" t="s">
        <v>771</v>
      </c>
      <c r="G1719" s="2" t="s">
        <v>772</v>
      </c>
      <c r="H1719" s="2">
        <v>0.0</v>
      </c>
      <c r="I1719" s="2">
        <v>2.2120050021148E13</v>
      </c>
      <c r="J1719" s="3">
        <v>0.0</v>
      </c>
      <c r="K1719" s="2" t="s">
        <v>7185</v>
      </c>
      <c r="L1719" s="2"/>
      <c r="M1719" s="170" t="s">
        <v>455</v>
      </c>
      <c r="N1719" s="2" t="s">
        <v>406</v>
      </c>
      <c r="O1719" s="3">
        <v>0.5</v>
      </c>
      <c r="P1719" s="2" t="s">
        <v>363</v>
      </c>
      <c r="Q1719" s="3">
        <v>0.0</v>
      </c>
      <c r="U1719" s="141"/>
      <c r="W1719" s="3">
        <v>213.0</v>
      </c>
      <c r="X1719" s="172">
        <v>46044.65791666666</v>
      </c>
      <c r="Y1719" s="172"/>
      <c r="Z1719" s="3">
        <v>46033.0</v>
      </c>
      <c r="AA1719" s="3"/>
    </row>
    <row r="1720">
      <c r="A1720" s="3">
        <v>6.862892007683E12</v>
      </c>
      <c r="B1720" s="2" t="s">
        <v>7186</v>
      </c>
      <c r="C1720" s="2" t="s">
        <v>7187</v>
      </c>
      <c r="D1720" s="169">
        <v>46033.0</v>
      </c>
      <c r="E1720" s="2">
        <v>3.353048461E9</v>
      </c>
      <c r="F1720" s="2" t="s">
        <v>7188</v>
      </c>
      <c r="G1720" s="2" t="s">
        <v>493</v>
      </c>
      <c r="H1720" s="2">
        <v>4248.0</v>
      </c>
      <c r="I1720" s="2">
        <v>2.2120050021183E13</v>
      </c>
      <c r="J1720" s="3">
        <v>2.0</v>
      </c>
      <c r="K1720" s="2" t="s">
        <v>7189</v>
      </c>
      <c r="L1720" s="2" t="s">
        <v>994</v>
      </c>
      <c r="M1720" s="174" t="s">
        <v>409</v>
      </c>
      <c r="N1720" s="2" t="s">
        <v>462</v>
      </c>
      <c r="O1720" s="3">
        <v>0.5</v>
      </c>
      <c r="P1720" s="2" t="s">
        <v>363</v>
      </c>
      <c r="Q1720" s="3">
        <v>1700.0</v>
      </c>
      <c r="T1720" s="2" t="s">
        <v>4910</v>
      </c>
      <c r="U1720" s="171">
        <v>4248.0</v>
      </c>
      <c r="V1720" s="172">
        <v>46042.0</v>
      </c>
      <c r="W1720" s="3">
        <v>396.7</v>
      </c>
      <c r="X1720" s="172">
        <v>46038.590462962966</v>
      </c>
      <c r="Y1720" s="172"/>
      <c r="Z1720" s="3">
        <v>46033.0</v>
      </c>
      <c r="AA1720" s="3"/>
    </row>
    <row r="1721">
      <c r="A1721" s="3">
        <v>6.863031763203E12</v>
      </c>
      <c r="B1721" s="2" t="s">
        <v>7190</v>
      </c>
      <c r="C1721" s="2" t="s">
        <v>7191</v>
      </c>
      <c r="D1721" s="169">
        <v>46033.0</v>
      </c>
      <c r="E1721" s="2">
        <v>3.013491918E9</v>
      </c>
      <c r="F1721" s="2" t="s">
        <v>7192</v>
      </c>
      <c r="G1721" s="2">
        <v>4.150603945553E12</v>
      </c>
      <c r="H1721" s="2">
        <v>0.0</v>
      </c>
      <c r="J1721" s="3">
        <v>0.0</v>
      </c>
      <c r="K1721" s="2" t="s">
        <v>1426</v>
      </c>
      <c r="L1721" s="2"/>
      <c r="M1721" s="2" t="s">
        <v>468</v>
      </c>
      <c r="N1721" s="2" t="s">
        <v>406</v>
      </c>
      <c r="O1721" s="3">
        <v>0.5</v>
      </c>
      <c r="Q1721" s="3">
        <v>0.0</v>
      </c>
      <c r="U1721" s="141"/>
      <c r="X1721" s="172">
        <v>46057.64278284722</v>
      </c>
      <c r="Y1721" s="172"/>
      <c r="Z1721" s="3">
        <v>46033.0</v>
      </c>
      <c r="AA1721" s="3"/>
    </row>
    <row r="1722">
      <c r="A1722" s="3">
        <v>6.863049949443E12</v>
      </c>
      <c r="B1722" s="2" t="s">
        <v>7193</v>
      </c>
      <c r="C1722" s="2" t="s">
        <v>7194</v>
      </c>
      <c r="D1722" s="169">
        <v>46034.0</v>
      </c>
      <c r="E1722" s="173" t="s">
        <v>7195</v>
      </c>
      <c r="F1722" s="2" t="s">
        <v>7196</v>
      </c>
      <c r="G1722" s="2" t="s">
        <v>7197</v>
      </c>
      <c r="H1722" s="2">
        <v>249.0</v>
      </c>
      <c r="I1722" s="2">
        <v>2.5120050021182E13</v>
      </c>
      <c r="J1722" s="3">
        <v>0.0</v>
      </c>
      <c r="K1722" s="2" t="s">
        <v>7198</v>
      </c>
      <c r="L1722" s="2"/>
      <c r="M1722" s="170" t="s">
        <v>455</v>
      </c>
      <c r="N1722" s="2" t="s">
        <v>406</v>
      </c>
      <c r="O1722" s="3">
        <v>0.5</v>
      </c>
      <c r="P1722" s="2" t="s">
        <v>363</v>
      </c>
      <c r="Q1722" s="3">
        <v>0.0</v>
      </c>
      <c r="U1722" s="141"/>
      <c r="W1722" s="3">
        <v>220.0</v>
      </c>
      <c r="X1722" s="172">
        <v>46042.83430555556</v>
      </c>
      <c r="Y1722" s="172"/>
      <c r="Z1722" s="3">
        <v>46034.0</v>
      </c>
      <c r="AA1722" s="3"/>
    </row>
    <row r="1723">
      <c r="A1723" s="3">
        <v>6.863073804547E12</v>
      </c>
      <c r="B1723" s="2" t="s">
        <v>7199</v>
      </c>
      <c r="C1723" s="175" t="s">
        <v>7200</v>
      </c>
      <c r="D1723" s="169">
        <v>46034.0</v>
      </c>
      <c r="E1723" s="173" t="s">
        <v>7201</v>
      </c>
      <c r="F1723" s="2" t="s">
        <v>7202</v>
      </c>
      <c r="G1723" s="2" t="s">
        <v>4949</v>
      </c>
      <c r="H1723" s="2">
        <v>3099.0</v>
      </c>
      <c r="I1723" s="2">
        <v>2.1120050021189E13</v>
      </c>
      <c r="J1723" s="3">
        <v>2.0</v>
      </c>
      <c r="K1723" s="2" t="s">
        <v>7203</v>
      </c>
      <c r="L1723" s="2" t="s">
        <v>275</v>
      </c>
      <c r="M1723" s="170" t="s">
        <v>455</v>
      </c>
      <c r="N1723" s="2" t="s">
        <v>406</v>
      </c>
      <c r="O1723" s="3">
        <v>0.5</v>
      </c>
      <c r="P1723" s="2" t="s">
        <v>73</v>
      </c>
      <c r="Q1723" s="3">
        <v>960.0</v>
      </c>
      <c r="T1723" s="2" t="s">
        <v>4910</v>
      </c>
      <c r="U1723" s="171">
        <v>0.0</v>
      </c>
      <c r="V1723" s="172">
        <v>46042.0</v>
      </c>
      <c r="W1723" s="3">
        <v>220.11</v>
      </c>
      <c r="X1723" s="172">
        <v>46039.835868055554</v>
      </c>
      <c r="Y1723" s="172"/>
      <c r="Z1723" s="3">
        <v>46034.0</v>
      </c>
      <c r="AA1723" s="3"/>
    </row>
    <row r="1724">
      <c r="A1724" s="3">
        <v>6.863132197123E12</v>
      </c>
      <c r="B1724" s="2" t="s">
        <v>7204</v>
      </c>
      <c r="C1724" s="2" t="s">
        <v>7205</v>
      </c>
      <c r="D1724" s="169">
        <v>46034.0</v>
      </c>
      <c r="E1724" s="2">
        <v>3.00340941E9</v>
      </c>
      <c r="F1724" s="2" t="s">
        <v>7206</v>
      </c>
      <c r="G1724" s="2" t="s">
        <v>368</v>
      </c>
      <c r="H1724" s="2">
        <v>3099.0</v>
      </c>
      <c r="I1724" s="2">
        <v>2.2120050021147E13</v>
      </c>
      <c r="J1724" s="3">
        <v>2.0</v>
      </c>
      <c r="K1724" s="2" t="s">
        <v>6752</v>
      </c>
      <c r="L1724" s="2" t="s">
        <v>7207</v>
      </c>
      <c r="M1724" s="174" t="s">
        <v>409</v>
      </c>
      <c r="N1724" s="2" t="s">
        <v>462</v>
      </c>
      <c r="O1724" s="3">
        <v>0.5</v>
      </c>
      <c r="P1724" s="2" t="s">
        <v>363</v>
      </c>
      <c r="Q1724" s="3">
        <v>960.0</v>
      </c>
      <c r="T1724" s="2" t="s">
        <v>3674</v>
      </c>
      <c r="U1724" s="171">
        <v>3099.0</v>
      </c>
      <c r="V1724" s="172">
        <v>46038.0</v>
      </c>
      <c r="W1724" s="3">
        <v>244.0</v>
      </c>
      <c r="X1724" s="172">
        <v>46035.52803240741</v>
      </c>
      <c r="Y1724" s="172"/>
      <c r="Z1724" s="3">
        <v>46034.0</v>
      </c>
      <c r="AA1724" s="3"/>
    </row>
    <row r="1725">
      <c r="A1725" s="3">
        <v>6.863166669059E12</v>
      </c>
      <c r="B1725" s="2" t="s">
        <v>7208</v>
      </c>
      <c r="C1725" s="2" t="s">
        <v>7209</v>
      </c>
      <c r="D1725" s="169">
        <v>46034.0</v>
      </c>
      <c r="E1725" s="173" t="s">
        <v>7210</v>
      </c>
      <c r="F1725" s="2" t="s">
        <v>7211</v>
      </c>
      <c r="G1725" s="2" t="s">
        <v>7212</v>
      </c>
      <c r="H1725" s="2">
        <v>249.0</v>
      </c>
      <c r="I1725" s="2" t="s">
        <v>7213</v>
      </c>
      <c r="J1725" s="3">
        <v>0.0</v>
      </c>
      <c r="K1725" s="2" t="s">
        <v>7214</v>
      </c>
      <c r="L1725" s="2"/>
      <c r="M1725" s="170" t="s">
        <v>455</v>
      </c>
      <c r="N1725" s="2" t="s">
        <v>406</v>
      </c>
      <c r="O1725" s="3">
        <v>0.5</v>
      </c>
      <c r="P1725" s="2" t="s">
        <v>640</v>
      </c>
      <c r="Q1725" s="3">
        <v>0.0</v>
      </c>
      <c r="U1725" s="141"/>
      <c r="W1725" s="3">
        <v>289.94</v>
      </c>
      <c r="X1725" s="172">
        <v>46067.00502560185</v>
      </c>
      <c r="Y1725" s="172"/>
      <c r="Z1725" s="3">
        <v>46034.0</v>
      </c>
      <c r="AA1725" s="3"/>
    </row>
    <row r="1726">
      <c r="A1726" s="3">
        <v>6.863167947011E12</v>
      </c>
      <c r="B1726" s="2" t="s">
        <v>7215</v>
      </c>
      <c r="C1726" s="2" t="s">
        <v>7216</v>
      </c>
      <c r="D1726" s="169">
        <v>46034.0</v>
      </c>
      <c r="E1726" s="2">
        <v>3.000899991E9</v>
      </c>
      <c r="F1726" s="2" t="s">
        <v>7217</v>
      </c>
      <c r="G1726" s="2" t="s">
        <v>374</v>
      </c>
      <c r="H1726" s="2">
        <v>4998.0</v>
      </c>
      <c r="I1726" s="2">
        <v>2.8120050021181E13</v>
      </c>
      <c r="J1726" s="3">
        <v>3.0</v>
      </c>
      <c r="K1726" s="2" t="s">
        <v>7218</v>
      </c>
      <c r="L1726" s="2" t="s">
        <v>7219</v>
      </c>
      <c r="M1726" s="174" t="s">
        <v>409</v>
      </c>
      <c r="N1726" s="2" t="s">
        <v>462</v>
      </c>
      <c r="O1726" s="3">
        <v>0.5</v>
      </c>
      <c r="P1726" s="2" t="s">
        <v>73</v>
      </c>
      <c r="Q1726" s="3">
        <v>1650.0</v>
      </c>
      <c r="T1726" s="2" t="s">
        <v>4910</v>
      </c>
      <c r="U1726" s="171">
        <v>4998.0</v>
      </c>
      <c r="V1726" s="172">
        <v>46042.0</v>
      </c>
      <c r="W1726" s="3">
        <v>420.03</v>
      </c>
      <c r="X1726" s="172">
        <v>46039.59469907408</v>
      </c>
      <c r="Y1726" s="172"/>
      <c r="Z1726" s="3">
        <v>46034.0</v>
      </c>
      <c r="AA1726" s="3"/>
    </row>
    <row r="1727">
      <c r="A1727" s="3">
        <v>6.863193407747E12</v>
      </c>
      <c r="B1727" s="2" t="s">
        <v>7220</v>
      </c>
      <c r="C1727" s="2" t="s">
        <v>7221</v>
      </c>
      <c r="D1727" s="169">
        <v>46034.0</v>
      </c>
      <c r="E1727" s="2">
        <v>3.184032013E9</v>
      </c>
      <c r="F1727" s="2" t="s">
        <v>7222</v>
      </c>
      <c r="G1727" s="2" t="s">
        <v>368</v>
      </c>
      <c r="H1727" s="2">
        <v>249.0</v>
      </c>
      <c r="I1727" s="2" t="s">
        <v>7223</v>
      </c>
      <c r="J1727" s="3">
        <v>0.0</v>
      </c>
      <c r="K1727" s="2" t="s">
        <v>7224</v>
      </c>
      <c r="L1727" s="2"/>
      <c r="M1727" s="170" t="s">
        <v>455</v>
      </c>
      <c r="N1727" s="2" t="s">
        <v>406</v>
      </c>
      <c r="O1727" s="3">
        <v>0.5</v>
      </c>
      <c r="P1727" s="2" t="s">
        <v>640</v>
      </c>
      <c r="Q1727" s="3">
        <v>0.0</v>
      </c>
      <c r="U1727" s="141"/>
      <c r="W1727" s="3">
        <v>168.14</v>
      </c>
      <c r="X1727" s="172">
        <v>46057.67034636574</v>
      </c>
      <c r="Y1727" s="172"/>
      <c r="Z1727" s="3">
        <v>46034.0</v>
      </c>
      <c r="AA1727" s="3"/>
    </row>
    <row r="1728">
      <c r="A1728" s="3">
        <v>6.863210348803E12</v>
      </c>
      <c r="B1728" s="2" t="s">
        <v>7225</v>
      </c>
      <c r="C1728" s="2" t="s">
        <v>7226</v>
      </c>
      <c r="D1728" s="169">
        <v>46034.0</v>
      </c>
      <c r="E1728" s="2">
        <v>3.02533312E9</v>
      </c>
      <c r="F1728" s="2" t="s">
        <v>7227</v>
      </c>
      <c r="G1728" s="2" t="s">
        <v>368</v>
      </c>
      <c r="H1728" s="2">
        <v>249.0</v>
      </c>
      <c r="I1728" s="2" t="s">
        <v>7228</v>
      </c>
      <c r="J1728" s="3">
        <v>0.0</v>
      </c>
      <c r="K1728" s="2" t="s">
        <v>7229</v>
      </c>
      <c r="L1728" s="2"/>
      <c r="M1728" s="170" t="s">
        <v>455</v>
      </c>
      <c r="N1728" s="2" t="s">
        <v>406</v>
      </c>
      <c r="O1728" s="3">
        <v>0.5</v>
      </c>
      <c r="P1728" s="2" t="s">
        <v>640</v>
      </c>
      <c r="Q1728" s="3">
        <v>0.0</v>
      </c>
      <c r="U1728" s="141"/>
      <c r="W1728" s="3">
        <v>168.14</v>
      </c>
      <c r="X1728" s="172">
        <v>46067.00503170139</v>
      </c>
      <c r="Y1728" s="172"/>
      <c r="Z1728" s="3">
        <v>46034.0</v>
      </c>
      <c r="AA1728" s="3"/>
    </row>
    <row r="1729">
      <c r="A1729" s="3">
        <v>6.863304851715E12</v>
      </c>
      <c r="B1729" s="2" t="s">
        <v>7230</v>
      </c>
      <c r="C1729" s="2" t="s">
        <v>7031</v>
      </c>
      <c r="D1729" s="169">
        <v>46034.0</v>
      </c>
      <c r="E1729" s="173" t="s">
        <v>7064</v>
      </c>
      <c r="F1729" s="2" t="s">
        <v>7231</v>
      </c>
      <c r="G1729" s="2" t="s">
        <v>2807</v>
      </c>
      <c r="H1729" s="2">
        <v>249.0</v>
      </c>
      <c r="I1729" s="2" t="s">
        <v>7232</v>
      </c>
      <c r="J1729" s="3">
        <v>0.0</v>
      </c>
      <c r="K1729" s="2" t="s">
        <v>7233</v>
      </c>
      <c r="L1729" s="2"/>
      <c r="M1729" s="170" t="s">
        <v>455</v>
      </c>
      <c r="N1729" s="2" t="s">
        <v>406</v>
      </c>
      <c r="O1729" s="3">
        <v>0.5</v>
      </c>
      <c r="P1729" s="2" t="s">
        <v>640</v>
      </c>
      <c r="Q1729" s="3">
        <v>0.0</v>
      </c>
      <c r="U1729" s="141"/>
      <c r="W1729" s="3">
        <v>498.74</v>
      </c>
      <c r="X1729" s="172">
        <v>46067.00504263889</v>
      </c>
      <c r="Y1729" s="172"/>
      <c r="Z1729" s="3">
        <v>46034.0</v>
      </c>
      <c r="AA1729" s="3"/>
    </row>
    <row r="1730">
      <c r="A1730" s="3">
        <v>6.863318384899E12</v>
      </c>
      <c r="B1730" s="2" t="s">
        <v>7234</v>
      </c>
      <c r="C1730" s="2" t="s">
        <v>7235</v>
      </c>
      <c r="D1730" s="169">
        <v>46034.0</v>
      </c>
      <c r="E1730" s="2">
        <v>9.23009233874E11</v>
      </c>
      <c r="F1730" s="2" t="s">
        <v>7236</v>
      </c>
      <c r="G1730" s="2" t="s">
        <v>493</v>
      </c>
      <c r="H1730" s="2">
        <v>2849.0</v>
      </c>
      <c r="I1730" s="2">
        <v>2.9120050021146E13</v>
      </c>
      <c r="J1730" s="3">
        <v>2.0</v>
      </c>
      <c r="K1730" s="2" t="s">
        <v>7237</v>
      </c>
      <c r="L1730" s="2" t="s">
        <v>593</v>
      </c>
      <c r="M1730" s="174" t="s">
        <v>409</v>
      </c>
      <c r="N1730" s="2" t="s">
        <v>462</v>
      </c>
      <c r="O1730" s="3">
        <v>0.5</v>
      </c>
      <c r="P1730" s="2" t="s">
        <v>363</v>
      </c>
      <c r="Q1730" s="3">
        <v>1050.0</v>
      </c>
      <c r="T1730" s="2" t="s">
        <v>3674</v>
      </c>
      <c r="U1730" s="171">
        <v>2849.0</v>
      </c>
      <c r="V1730" s="172">
        <v>46038.0</v>
      </c>
      <c r="W1730" s="3">
        <v>327.0</v>
      </c>
      <c r="X1730" s="172">
        <v>46037.63217592593</v>
      </c>
      <c r="Y1730" s="172"/>
      <c r="Z1730" s="3">
        <v>46034.0</v>
      </c>
      <c r="AA1730" s="3"/>
    </row>
    <row r="1731">
      <c r="A1731" s="3">
        <v>6.863416262915E12</v>
      </c>
      <c r="B1731" s="2" t="s">
        <v>7238</v>
      </c>
      <c r="C1731" s="2" t="s">
        <v>7239</v>
      </c>
      <c r="D1731" s="169">
        <v>46034.0</v>
      </c>
      <c r="E1731" s="2">
        <v>3.211620519E9</v>
      </c>
      <c r="F1731" s="2" t="s">
        <v>7240</v>
      </c>
      <c r="G1731" s="2" t="s">
        <v>1257</v>
      </c>
      <c r="H1731" s="2">
        <v>1499.0</v>
      </c>
      <c r="I1731" s="2">
        <v>2.4120050021145E13</v>
      </c>
      <c r="J1731" s="3">
        <v>1.0</v>
      </c>
      <c r="K1731" s="2" t="s">
        <v>7241</v>
      </c>
      <c r="L1731" s="2" t="s">
        <v>6873</v>
      </c>
      <c r="M1731" s="174" t="s">
        <v>409</v>
      </c>
      <c r="N1731" s="2" t="s">
        <v>462</v>
      </c>
      <c r="O1731" s="3">
        <v>0.5</v>
      </c>
      <c r="P1731" s="2" t="s">
        <v>363</v>
      </c>
      <c r="Q1731" s="3">
        <v>750.0</v>
      </c>
      <c r="T1731" s="2" t="s">
        <v>3674</v>
      </c>
      <c r="U1731" s="171">
        <v>1499.0</v>
      </c>
      <c r="V1731" s="172">
        <v>46038.0</v>
      </c>
      <c r="W1731" s="3">
        <v>260.0</v>
      </c>
      <c r="X1731" s="172">
        <v>46035.68355324074</v>
      </c>
      <c r="Y1731" s="172"/>
      <c r="Z1731" s="3">
        <v>46034.0</v>
      </c>
      <c r="AA1731" s="3"/>
    </row>
    <row r="1732">
      <c r="A1732" s="3">
        <v>6.863422390531E12</v>
      </c>
      <c r="B1732" s="2" t="s">
        <v>7242</v>
      </c>
      <c r="C1732" s="2" t="s">
        <v>7243</v>
      </c>
      <c r="D1732" s="169">
        <v>46034.0</v>
      </c>
      <c r="E1732" s="2">
        <v>3.418185803E9</v>
      </c>
      <c r="F1732" s="2" t="s">
        <v>7244</v>
      </c>
      <c r="G1732" s="2" t="s">
        <v>368</v>
      </c>
      <c r="H1732" s="2">
        <v>3099.0</v>
      </c>
      <c r="I1732" s="2">
        <v>2.6120050021177E13</v>
      </c>
      <c r="J1732" s="3">
        <v>2.0</v>
      </c>
      <c r="K1732" s="2" t="s">
        <v>7245</v>
      </c>
      <c r="L1732" s="2" t="s">
        <v>1143</v>
      </c>
      <c r="M1732" s="170" t="s">
        <v>455</v>
      </c>
      <c r="N1732" s="2" t="s">
        <v>406</v>
      </c>
      <c r="O1732" s="3">
        <v>0.5</v>
      </c>
      <c r="P1732" s="2" t="s">
        <v>363</v>
      </c>
      <c r="Q1732" s="3">
        <v>960.0</v>
      </c>
      <c r="T1732" s="2" t="s">
        <v>4910</v>
      </c>
      <c r="U1732" s="171">
        <v>0.0</v>
      </c>
      <c r="V1732" s="172">
        <v>46042.0</v>
      </c>
      <c r="W1732" s="3">
        <v>106.72</v>
      </c>
      <c r="X1732" s="172">
        <v>46039.835868055554</v>
      </c>
      <c r="Y1732" s="172"/>
      <c r="Z1732" s="3">
        <v>46034.0</v>
      </c>
      <c r="AA1732" s="3"/>
    </row>
    <row r="1733">
      <c r="A1733" s="3">
        <v>6.863506538755E12</v>
      </c>
      <c r="B1733" s="2" t="s">
        <v>7246</v>
      </c>
      <c r="C1733" s="2" t="s">
        <v>7247</v>
      </c>
      <c r="D1733" s="169">
        <v>46034.0</v>
      </c>
      <c r="E1733" s="2">
        <v>3.332609083E9</v>
      </c>
      <c r="F1733" s="2" t="s">
        <v>7248</v>
      </c>
      <c r="G1733" s="2" t="s">
        <v>7249</v>
      </c>
      <c r="H1733" s="2">
        <v>2749.0</v>
      </c>
      <c r="I1733" s="2">
        <v>2.1120050021178E13</v>
      </c>
      <c r="J1733" s="3">
        <v>2.0</v>
      </c>
      <c r="K1733" s="2" t="s">
        <v>6834</v>
      </c>
      <c r="L1733" s="2" t="s">
        <v>16</v>
      </c>
      <c r="M1733" s="174" t="s">
        <v>409</v>
      </c>
      <c r="N1733" s="2" t="s">
        <v>462</v>
      </c>
      <c r="O1733" s="3">
        <v>0.5</v>
      </c>
      <c r="P1733" s="2" t="s">
        <v>73</v>
      </c>
      <c r="Q1733" s="3">
        <v>980.0</v>
      </c>
      <c r="T1733" s="2" t="s">
        <v>3674</v>
      </c>
      <c r="U1733" s="171">
        <v>2749.0</v>
      </c>
      <c r="V1733" s="172">
        <v>46038.0</v>
      </c>
      <c r="W1733" s="3">
        <v>337.0</v>
      </c>
      <c r="X1733" s="172">
        <v>46037.50439814814</v>
      </c>
      <c r="Y1733" s="172"/>
      <c r="Z1733" s="3">
        <v>46034.0</v>
      </c>
      <c r="AA1733" s="3"/>
    </row>
    <row r="1734">
      <c r="A1734" s="3">
        <v>6.863547891971E12</v>
      </c>
      <c r="B1734" s="2" t="s">
        <v>7250</v>
      </c>
      <c r="C1734" s="2" t="s">
        <v>7251</v>
      </c>
      <c r="D1734" s="169">
        <v>46034.0</v>
      </c>
      <c r="E1734" s="173" t="s">
        <v>7252</v>
      </c>
      <c r="F1734" s="2" t="s">
        <v>7253</v>
      </c>
      <c r="G1734" s="2" t="s">
        <v>855</v>
      </c>
      <c r="H1734" s="2">
        <v>249.0</v>
      </c>
      <c r="I1734" s="2">
        <v>2.9120050021227E13</v>
      </c>
      <c r="J1734" s="3">
        <v>0.0</v>
      </c>
      <c r="K1734" s="2" t="s">
        <v>7254</v>
      </c>
      <c r="L1734" s="2"/>
      <c r="M1734" s="170" t="s">
        <v>455</v>
      </c>
      <c r="N1734" s="2" t="s">
        <v>406</v>
      </c>
      <c r="O1734" s="3">
        <v>0.5</v>
      </c>
      <c r="P1734" s="2" t="s">
        <v>363</v>
      </c>
      <c r="Q1734" s="3">
        <v>0.0</v>
      </c>
      <c r="U1734" s="141"/>
      <c r="W1734" s="3">
        <v>220.0</v>
      </c>
      <c r="X1734" s="172">
        <v>46044.92327546296</v>
      </c>
      <c r="Y1734" s="172"/>
      <c r="Z1734" s="3">
        <v>46034.0</v>
      </c>
      <c r="AA1734" s="3"/>
    </row>
    <row r="1735">
      <c r="A1735" s="3">
        <v>6.863645802755E12</v>
      </c>
      <c r="B1735" s="2" t="s">
        <v>7255</v>
      </c>
      <c r="C1735" s="2" t="s">
        <v>7256</v>
      </c>
      <c r="D1735" s="169">
        <v>46034.0</v>
      </c>
      <c r="E1735" s="2">
        <v>3.037502556E9</v>
      </c>
      <c r="F1735" s="2" t="s">
        <v>7257</v>
      </c>
      <c r="G1735" s="2" t="s">
        <v>7258</v>
      </c>
      <c r="H1735" s="2">
        <v>2799.0</v>
      </c>
      <c r="I1735" s="2">
        <v>2.912005002118E13</v>
      </c>
      <c r="J1735" s="3">
        <v>1.0</v>
      </c>
      <c r="K1735" s="2" t="s">
        <v>7259</v>
      </c>
      <c r="L1735" s="2" t="s">
        <v>512</v>
      </c>
      <c r="M1735" s="174" t="s">
        <v>409</v>
      </c>
      <c r="N1735" s="2" t="s">
        <v>462</v>
      </c>
      <c r="O1735" s="3">
        <v>0.5</v>
      </c>
      <c r="P1735" s="2" t="s">
        <v>363</v>
      </c>
      <c r="Q1735" s="3">
        <v>850.0</v>
      </c>
      <c r="T1735" s="2" t="s">
        <v>4910</v>
      </c>
      <c r="U1735" s="171">
        <v>2799.0</v>
      </c>
      <c r="V1735" s="172">
        <v>46042.0</v>
      </c>
      <c r="W1735" s="3">
        <v>232.02</v>
      </c>
      <c r="X1735" s="172">
        <v>46038.562685185185</v>
      </c>
      <c r="Y1735" s="172"/>
      <c r="Z1735" s="3">
        <v>46034.0</v>
      </c>
      <c r="AA1735" s="3"/>
    </row>
    <row r="1736">
      <c r="A1736" s="3">
        <v>6.863708750083E12</v>
      </c>
      <c r="B1736" s="2" t="s">
        <v>7260</v>
      </c>
      <c r="C1736" s="2" t="s">
        <v>7261</v>
      </c>
      <c r="D1736" s="169">
        <v>46034.0</v>
      </c>
      <c r="E1736" s="173" t="s">
        <v>7262</v>
      </c>
      <c r="F1736" s="2" t="s">
        <v>7263</v>
      </c>
      <c r="G1736" s="2" t="s">
        <v>493</v>
      </c>
      <c r="H1736" s="2">
        <v>0.0</v>
      </c>
      <c r="J1736" s="3">
        <v>0.0</v>
      </c>
      <c r="K1736" s="2" t="s">
        <v>7264</v>
      </c>
      <c r="L1736" s="2"/>
      <c r="M1736" s="2" t="s">
        <v>468</v>
      </c>
      <c r="N1736" s="2" t="s">
        <v>406</v>
      </c>
      <c r="O1736" s="3">
        <v>0.5</v>
      </c>
      <c r="Q1736" s="3">
        <v>0.0</v>
      </c>
      <c r="U1736" s="141"/>
      <c r="X1736" s="172">
        <v>46057.64278284722</v>
      </c>
      <c r="Y1736" s="172"/>
      <c r="Z1736" s="3">
        <v>46034.0</v>
      </c>
      <c r="AA1736" s="3"/>
    </row>
    <row r="1737">
      <c r="A1737" s="3">
        <v>6.863710945539E12</v>
      </c>
      <c r="B1737" s="2" t="s">
        <v>7265</v>
      </c>
      <c r="C1737" s="2" t="s">
        <v>7261</v>
      </c>
      <c r="D1737" s="169">
        <v>46034.0</v>
      </c>
      <c r="E1737" s="173" t="s">
        <v>7262</v>
      </c>
      <c r="F1737" s="2" t="s">
        <v>7266</v>
      </c>
      <c r="G1737" s="2" t="s">
        <v>493</v>
      </c>
      <c r="H1737" s="2">
        <v>3949.0</v>
      </c>
      <c r="I1737" s="2">
        <v>2.3120050021144E13</v>
      </c>
      <c r="J1737" s="3">
        <v>2.0</v>
      </c>
      <c r="K1737" s="2" t="s">
        <v>4675</v>
      </c>
      <c r="L1737" s="2" t="s">
        <v>532</v>
      </c>
      <c r="M1737" s="174" t="s">
        <v>409</v>
      </c>
      <c r="N1737" s="2" t="s">
        <v>406</v>
      </c>
      <c r="O1737" s="3">
        <v>0.5</v>
      </c>
      <c r="P1737" s="2" t="s">
        <v>363</v>
      </c>
      <c r="Q1737" s="3">
        <v>1700.0</v>
      </c>
      <c r="U1737" s="171">
        <v>3949.0</v>
      </c>
      <c r="X1737" s="172">
        <v>46037.730729166666</v>
      </c>
      <c r="Y1737" s="172"/>
      <c r="Z1737" s="3">
        <v>46034.0</v>
      </c>
      <c r="AA1737" s="3"/>
    </row>
    <row r="1738">
      <c r="A1738" s="3">
        <v>6.863742238979E12</v>
      </c>
      <c r="B1738" s="2" t="s">
        <v>7267</v>
      </c>
      <c r="C1738" s="2" t="s">
        <v>7268</v>
      </c>
      <c r="D1738" s="169">
        <v>46034.0</v>
      </c>
      <c r="E1738" s="2">
        <v>3.1692844E9</v>
      </c>
      <c r="F1738" s="2" t="s">
        <v>7269</v>
      </c>
      <c r="G1738" s="2" t="s">
        <v>366</v>
      </c>
      <c r="H1738" s="2">
        <v>3099.0</v>
      </c>
      <c r="I1738" s="2">
        <v>2.2120050021143E13</v>
      </c>
      <c r="J1738" s="3">
        <v>2.0</v>
      </c>
      <c r="K1738" s="2" t="s">
        <v>7270</v>
      </c>
      <c r="L1738" s="2" t="s">
        <v>40</v>
      </c>
      <c r="M1738" s="174" t="s">
        <v>409</v>
      </c>
      <c r="N1738" s="2" t="s">
        <v>462</v>
      </c>
      <c r="O1738" s="3">
        <v>0.5</v>
      </c>
      <c r="P1738" s="2" t="s">
        <v>363</v>
      </c>
      <c r="Q1738" s="3">
        <v>920.0</v>
      </c>
      <c r="T1738" s="2" t="s">
        <v>4910</v>
      </c>
      <c r="U1738" s="171">
        <v>3099.0</v>
      </c>
      <c r="V1738" s="172">
        <v>46042.0</v>
      </c>
      <c r="W1738" s="3">
        <v>324.06</v>
      </c>
      <c r="X1738" s="172">
        <v>46039.60296296296</v>
      </c>
      <c r="Y1738" s="172"/>
      <c r="Z1738" s="3">
        <v>46034.0</v>
      </c>
      <c r="AA1738" s="3"/>
    </row>
    <row r="1739">
      <c r="A1739" s="3">
        <v>6.863766094083E12</v>
      </c>
      <c r="B1739" s="2" t="s">
        <v>7271</v>
      </c>
      <c r="C1739" s="2" t="s">
        <v>7272</v>
      </c>
      <c r="D1739" s="169">
        <v>46034.0</v>
      </c>
      <c r="E1739" s="173" t="s">
        <v>7273</v>
      </c>
      <c r="F1739" s="2" t="s">
        <v>7274</v>
      </c>
      <c r="G1739" s="2" t="s">
        <v>678</v>
      </c>
      <c r="H1739" s="2">
        <v>0.0</v>
      </c>
      <c r="J1739" s="3">
        <v>0.0</v>
      </c>
      <c r="K1739" s="2" t="s">
        <v>7275</v>
      </c>
      <c r="L1739" s="2"/>
      <c r="M1739" s="2" t="s">
        <v>468</v>
      </c>
      <c r="N1739" s="2" t="s">
        <v>406</v>
      </c>
      <c r="O1739" s="3">
        <v>0.5</v>
      </c>
      <c r="Q1739" s="3">
        <v>0.0</v>
      </c>
      <c r="U1739" s="141"/>
      <c r="X1739" s="172">
        <v>46057.64278284722</v>
      </c>
      <c r="Y1739" s="172"/>
      <c r="Z1739" s="3">
        <v>46034.0</v>
      </c>
      <c r="AA1739" s="3"/>
    </row>
    <row r="1740">
      <c r="A1740" s="3">
        <v>6.863796830467E12</v>
      </c>
      <c r="B1740" s="2" t="s">
        <v>7276</v>
      </c>
      <c r="C1740" s="2" t="s">
        <v>7277</v>
      </c>
      <c r="D1740" s="169">
        <v>46034.0</v>
      </c>
      <c r="E1740" s="2">
        <v>3.253157993E9</v>
      </c>
      <c r="F1740" s="2" t="s">
        <v>7278</v>
      </c>
      <c r="G1740" s="2" t="s">
        <v>2124</v>
      </c>
      <c r="H1740" s="2">
        <v>249.0</v>
      </c>
      <c r="I1740" s="2">
        <v>2.5120050021207E13</v>
      </c>
      <c r="J1740" s="3">
        <v>0.0</v>
      </c>
      <c r="K1740" s="2" t="s">
        <v>7279</v>
      </c>
      <c r="L1740" s="2"/>
      <c r="M1740" s="170" t="s">
        <v>455</v>
      </c>
      <c r="N1740" s="2" t="s">
        <v>406</v>
      </c>
      <c r="O1740" s="3">
        <v>0.5</v>
      </c>
      <c r="P1740" s="2" t="s">
        <v>363</v>
      </c>
      <c r="Q1740" s="3">
        <v>0.0</v>
      </c>
      <c r="U1740" s="141"/>
      <c r="W1740" s="3">
        <v>227.0</v>
      </c>
      <c r="X1740" s="172">
        <v>46044.65791666666</v>
      </c>
      <c r="Y1740" s="172"/>
      <c r="Z1740" s="3">
        <v>46034.0</v>
      </c>
      <c r="AA1740" s="3"/>
    </row>
    <row r="1741">
      <c r="A1741" s="3">
        <v>6.863856828675E12</v>
      </c>
      <c r="B1741" s="2" t="s">
        <v>7280</v>
      </c>
      <c r="C1741" s="2" t="s">
        <v>7281</v>
      </c>
      <c r="D1741" s="169">
        <v>46034.0</v>
      </c>
      <c r="E1741" s="2">
        <v>3.211380518E9</v>
      </c>
      <c r="F1741" s="2" t="s">
        <v>7282</v>
      </c>
      <c r="G1741" s="2" t="s">
        <v>5543</v>
      </c>
      <c r="H1741" s="2">
        <v>249.0</v>
      </c>
      <c r="I1741" s="2" t="s">
        <v>7283</v>
      </c>
      <c r="J1741" s="3">
        <v>0.0</v>
      </c>
      <c r="K1741" s="2" t="s">
        <v>7284</v>
      </c>
      <c r="L1741" s="2"/>
      <c r="M1741" s="170" t="s">
        <v>455</v>
      </c>
      <c r="N1741" s="2" t="s">
        <v>406</v>
      </c>
      <c r="O1741" s="3">
        <v>0.5</v>
      </c>
      <c r="P1741" s="2" t="s">
        <v>640</v>
      </c>
      <c r="Q1741" s="3">
        <v>0.0</v>
      </c>
      <c r="U1741" s="141"/>
      <c r="W1741" s="3">
        <v>289.94</v>
      </c>
      <c r="X1741" s="172">
        <v>46067.0050475926</v>
      </c>
      <c r="Y1741" s="172"/>
      <c r="Z1741" s="3">
        <v>46034.0</v>
      </c>
      <c r="AA1741" s="3"/>
    </row>
    <row r="1742">
      <c r="A1742" s="3">
        <v>6.863895691523E12</v>
      </c>
      <c r="B1742" s="2" t="s">
        <v>7285</v>
      </c>
      <c r="C1742" s="2" t="s">
        <v>6083</v>
      </c>
      <c r="D1742" s="169">
        <v>46034.0</v>
      </c>
      <c r="E1742" s="2">
        <v>3.205734425E9</v>
      </c>
      <c r="F1742" s="2" t="s">
        <v>6084</v>
      </c>
      <c r="G1742" s="2" t="s">
        <v>368</v>
      </c>
      <c r="H1742" s="2">
        <v>3750.0</v>
      </c>
      <c r="I1742" s="2">
        <v>2.812005002121E13</v>
      </c>
      <c r="J1742" s="3">
        <v>2.0</v>
      </c>
      <c r="K1742" s="2" t="s">
        <v>7286</v>
      </c>
      <c r="L1742" s="2" t="s">
        <v>913</v>
      </c>
      <c r="M1742" s="174" t="s">
        <v>409</v>
      </c>
      <c r="N1742" s="2" t="s">
        <v>462</v>
      </c>
      <c r="O1742" s="3">
        <v>0.5</v>
      </c>
      <c r="P1742" s="2" t="s">
        <v>73</v>
      </c>
      <c r="Q1742" s="3">
        <v>1700.0</v>
      </c>
      <c r="T1742" s="2" t="s">
        <v>3674</v>
      </c>
      <c r="U1742" s="171">
        <v>3750.0</v>
      </c>
      <c r="V1742" s="172">
        <v>46038.0</v>
      </c>
      <c r="W1742" s="3">
        <v>120.0</v>
      </c>
      <c r="X1742" s="172">
        <v>46036.55163194444</v>
      </c>
      <c r="Y1742" s="172"/>
      <c r="Z1742" s="3">
        <v>46034.0</v>
      </c>
      <c r="AA1742" s="3"/>
    </row>
    <row r="1743">
      <c r="A1743" s="3">
        <v>6.863915254019E12</v>
      </c>
      <c r="B1743" s="2" t="s">
        <v>7287</v>
      </c>
      <c r="C1743" s="2" t="s">
        <v>7288</v>
      </c>
      <c r="D1743" s="169">
        <v>46034.0</v>
      </c>
      <c r="E1743" s="2">
        <v>3.343637343E9</v>
      </c>
      <c r="F1743" s="2" t="s">
        <v>7289</v>
      </c>
      <c r="G1743" s="2" t="s">
        <v>493</v>
      </c>
      <c r="H1743" s="2">
        <v>5898.0</v>
      </c>
      <c r="I1743" s="2">
        <v>2.8120050021206E13</v>
      </c>
      <c r="J1743" s="3">
        <v>3.0</v>
      </c>
      <c r="K1743" s="2" t="s">
        <v>7290</v>
      </c>
      <c r="L1743" s="2" t="s">
        <v>7291</v>
      </c>
      <c r="M1743" s="174" t="s">
        <v>409</v>
      </c>
      <c r="N1743" s="2" t="s">
        <v>462</v>
      </c>
      <c r="O1743" s="3">
        <v>0.5</v>
      </c>
      <c r="P1743" s="2" t="s">
        <v>73</v>
      </c>
      <c r="Q1743" s="3">
        <v>2550.0</v>
      </c>
      <c r="T1743" s="2" t="s">
        <v>4910</v>
      </c>
      <c r="U1743" s="171">
        <v>5898.0</v>
      </c>
      <c r="V1743" s="172">
        <v>46042.0</v>
      </c>
      <c r="W1743" s="3">
        <v>556.08</v>
      </c>
      <c r="X1743" s="172">
        <v>46038.51761574074</v>
      </c>
      <c r="Y1743" s="172"/>
      <c r="Z1743" s="3">
        <v>46034.0</v>
      </c>
      <c r="AA1743" s="3"/>
    </row>
    <row r="1744">
      <c r="A1744" s="3">
        <v>6.863947366659E12</v>
      </c>
      <c r="B1744" s="2" t="s">
        <v>7292</v>
      </c>
      <c r="C1744" s="2" t="s">
        <v>3694</v>
      </c>
      <c r="D1744" s="169">
        <v>46034.0</v>
      </c>
      <c r="E1744" s="173" t="s">
        <v>7293</v>
      </c>
      <c r="F1744" s="2" t="s">
        <v>7294</v>
      </c>
      <c r="G1744" s="2" t="s">
        <v>5348</v>
      </c>
      <c r="H1744" s="2">
        <v>249.0</v>
      </c>
      <c r="I1744" s="2">
        <v>2.3120050021205E13</v>
      </c>
      <c r="J1744" s="3">
        <v>0.0</v>
      </c>
      <c r="K1744" s="2" t="s">
        <v>7295</v>
      </c>
      <c r="L1744" s="2"/>
      <c r="M1744" s="170" t="s">
        <v>455</v>
      </c>
      <c r="N1744" s="2" t="s">
        <v>406</v>
      </c>
      <c r="O1744" s="3">
        <v>0.5</v>
      </c>
      <c r="P1744" s="2" t="s">
        <v>363</v>
      </c>
      <c r="Q1744" s="3">
        <v>0.0</v>
      </c>
      <c r="U1744" s="141"/>
      <c r="W1744" s="3">
        <v>200.0</v>
      </c>
      <c r="X1744" s="172">
        <v>46044.65791666666</v>
      </c>
      <c r="Y1744" s="172"/>
      <c r="Z1744" s="3">
        <v>46034.0</v>
      </c>
      <c r="AA1744" s="3"/>
    </row>
    <row r="1745">
      <c r="A1745" s="3">
        <v>6.864011591939E12</v>
      </c>
      <c r="B1745" s="2" t="s">
        <v>7296</v>
      </c>
      <c r="C1745" s="2" t="s">
        <v>7070</v>
      </c>
      <c r="D1745" s="169">
        <v>46034.0</v>
      </c>
      <c r="E1745" s="2">
        <v>3.450168998E9</v>
      </c>
      <c r="F1745" s="2" t="s">
        <v>7297</v>
      </c>
      <c r="G1745" s="2" t="s">
        <v>7298</v>
      </c>
      <c r="H1745" s="2">
        <v>249.0</v>
      </c>
      <c r="I1745" s="2">
        <v>2.3120050021211E13</v>
      </c>
      <c r="J1745" s="3">
        <v>0.0</v>
      </c>
      <c r="K1745" s="2" t="s">
        <v>6830</v>
      </c>
      <c r="L1745" s="2"/>
      <c r="M1745" s="170" t="s">
        <v>455</v>
      </c>
      <c r="N1745" s="2" t="s">
        <v>406</v>
      </c>
      <c r="O1745" s="3">
        <v>0.5</v>
      </c>
      <c r="P1745" s="2" t="s">
        <v>363</v>
      </c>
      <c r="Q1745" s="3">
        <v>0.0</v>
      </c>
      <c r="U1745" s="141"/>
      <c r="W1745" s="3">
        <v>213.0</v>
      </c>
      <c r="X1745" s="172">
        <v>46044.92327546296</v>
      </c>
      <c r="Y1745" s="172"/>
      <c r="Z1745" s="3">
        <v>46034.0</v>
      </c>
      <c r="AA1745" s="3"/>
    </row>
    <row r="1746">
      <c r="A1746" s="3">
        <v>6.864030564611E12</v>
      </c>
      <c r="B1746" s="2" t="s">
        <v>7299</v>
      </c>
      <c r="C1746" s="2" t="s">
        <v>7300</v>
      </c>
      <c r="D1746" s="169">
        <v>46034.0</v>
      </c>
      <c r="E1746" s="173" t="s">
        <v>7301</v>
      </c>
      <c r="F1746" s="2" t="s">
        <v>7302</v>
      </c>
      <c r="G1746" s="2" t="s">
        <v>2608</v>
      </c>
      <c r="H1746" s="2">
        <v>4248.0</v>
      </c>
      <c r="I1746" s="2">
        <v>2.9120050021303E13</v>
      </c>
      <c r="J1746" s="3">
        <v>2.0</v>
      </c>
      <c r="K1746" s="2" t="s">
        <v>7303</v>
      </c>
      <c r="L1746" s="2" t="s">
        <v>994</v>
      </c>
      <c r="M1746" s="2" t="s">
        <v>409</v>
      </c>
      <c r="N1746" s="2" t="s">
        <v>462</v>
      </c>
      <c r="O1746" s="3">
        <v>0.5</v>
      </c>
      <c r="P1746" s="2"/>
      <c r="Q1746" s="3">
        <v>1700.0</v>
      </c>
      <c r="T1746" s="2" t="s">
        <v>7128</v>
      </c>
      <c r="U1746" s="171">
        <v>4248.0</v>
      </c>
      <c r="V1746" s="172">
        <v>46045.0</v>
      </c>
      <c r="W1746" s="3">
        <v>390.0</v>
      </c>
      <c r="X1746" s="172">
        <v>46068.64940597222</v>
      </c>
      <c r="Y1746" s="172"/>
      <c r="Z1746" s="3">
        <v>46034.0</v>
      </c>
      <c r="AA1746" s="3"/>
    </row>
    <row r="1747">
      <c r="A1747" s="3">
        <v>6.864038134019E12</v>
      </c>
      <c r="B1747" s="2" t="s">
        <v>7304</v>
      </c>
      <c r="C1747" s="2" t="s">
        <v>7082</v>
      </c>
      <c r="D1747" s="169">
        <v>46034.0</v>
      </c>
      <c r="E1747" s="173" t="s">
        <v>7305</v>
      </c>
      <c r="F1747" s="2" t="s">
        <v>7306</v>
      </c>
      <c r="G1747" s="2" t="s">
        <v>802</v>
      </c>
      <c r="H1747" s="2">
        <v>0.0</v>
      </c>
      <c r="J1747" s="3">
        <v>0.0</v>
      </c>
      <c r="K1747" s="2" t="s">
        <v>7307</v>
      </c>
      <c r="L1747" s="2"/>
      <c r="M1747" s="2" t="s">
        <v>468</v>
      </c>
      <c r="N1747" s="2" t="s">
        <v>406</v>
      </c>
      <c r="O1747" s="3">
        <v>0.5</v>
      </c>
      <c r="Q1747" s="3">
        <v>0.0</v>
      </c>
      <c r="U1747" s="141"/>
      <c r="X1747" s="172">
        <v>46057.64278284722</v>
      </c>
      <c r="Y1747" s="172"/>
      <c r="Z1747" s="3">
        <v>46034.0</v>
      </c>
      <c r="AA1747" s="3"/>
    </row>
    <row r="1748">
      <c r="A1748" s="3">
        <v>6.864072245507E12</v>
      </c>
      <c r="B1748" s="2" t="s">
        <v>7308</v>
      </c>
      <c r="C1748" s="2" t="s">
        <v>7309</v>
      </c>
      <c r="D1748" s="169">
        <v>46034.0</v>
      </c>
      <c r="E1748" s="2">
        <v>3.469407136E9</v>
      </c>
      <c r="F1748" s="2" t="s">
        <v>7310</v>
      </c>
      <c r="G1748" s="2" t="s">
        <v>7311</v>
      </c>
      <c r="H1748" s="2">
        <v>249.0</v>
      </c>
      <c r="I1748" s="2">
        <v>2.4120050021192E13</v>
      </c>
      <c r="J1748" s="3">
        <v>0.0</v>
      </c>
      <c r="K1748" s="2" t="s">
        <v>7142</v>
      </c>
      <c r="L1748" s="2"/>
      <c r="M1748" s="170" t="s">
        <v>455</v>
      </c>
      <c r="N1748" s="2" t="s">
        <v>406</v>
      </c>
      <c r="O1748" s="3">
        <v>0.5</v>
      </c>
      <c r="P1748" s="2" t="s">
        <v>363</v>
      </c>
      <c r="Q1748" s="3">
        <v>0.0</v>
      </c>
      <c r="T1748" s="2" t="s">
        <v>6123</v>
      </c>
      <c r="U1748" s="171">
        <v>0.0</v>
      </c>
      <c r="V1748" s="172">
        <v>46049.0</v>
      </c>
      <c r="W1748" s="3">
        <v>213.0</v>
      </c>
      <c r="X1748" s="172">
        <v>46048.90520833334</v>
      </c>
      <c r="Y1748" s="172"/>
      <c r="Z1748" s="3">
        <v>46034.0</v>
      </c>
      <c r="AA1748" s="3"/>
    </row>
    <row r="1749">
      <c r="A1749" s="3">
        <v>6.864094593283E12</v>
      </c>
      <c r="B1749" s="2" t="s">
        <v>7312</v>
      </c>
      <c r="C1749" s="2" t="s">
        <v>7313</v>
      </c>
      <c r="D1749" s="169">
        <v>46034.0</v>
      </c>
      <c r="E1749" s="2">
        <v>3.009489496E9</v>
      </c>
      <c r="F1749" s="2" t="s">
        <v>7314</v>
      </c>
      <c r="G1749" s="2" t="s">
        <v>368</v>
      </c>
      <c r="H1749" s="2">
        <v>2148.0</v>
      </c>
      <c r="I1749" s="2">
        <v>2.2120050021204E13</v>
      </c>
      <c r="J1749" s="3">
        <v>1.0</v>
      </c>
      <c r="K1749" s="2" t="s">
        <v>7315</v>
      </c>
      <c r="L1749" s="2" t="s">
        <v>6441</v>
      </c>
      <c r="M1749" s="174" t="s">
        <v>409</v>
      </c>
      <c r="N1749" s="2" t="s">
        <v>462</v>
      </c>
      <c r="O1749" s="3">
        <v>0.5</v>
      </c>
      <c r="P1749" s="2" t="s">
        <v>363</v>
      </c>
      <c r="Q1749" s="3">
        <v>730.0</v>
      </c>
      <c r="T1749" s="2" t="s">
        <v>3674</v>
      </c>
      <c r="U1749" s="171">
        <v>2148.0</v>
      </c>
      <c r="V1749" s="172">
        <v>46038.0</v>
      </c>
      <c r="W1749" s="3">
        <v>193.0</v>
      </c>
      <c r="X1749" s="172">
        <v>46036.575949074075</v>
      </c>
      <c r="Y1749" s="172"/>
      <c r="Z1749" s="3">
        <v>46034.0</v>
      </c>
      <c r="AA1749" s="3"/>
    </row>
    <row r="1750">
      <c r="A1750" s="3">
        <v>6.864097870083E12</v>
      </c>
      <c r="B1750" s="2" t="s">
        <v>7316</v>
      </c>
      <c r="C1750" s="2" t="s">
        <v>7317</v>
      </c>
      <c r="D1750" s="169">
        <v>46034.0</v>
      </c>
      <c r="E1750" s="2">
        <v>3.555458053E9</v>
      </c>
      <c r="F1750" s="2" t="s">
        <v>7318</v>
      </c>
      <c r="G1750" s="2" t="s">
        <v>1180</v>
      </c>
      <c r="H1750" s="2">
        <v>0.0</v>
      </c>
      <c r="J1750" s="3">
        <v>0.0</v>
      </c>
      <c r="K1750" s="2" t="s">
        <v>760</v>
      </c>
      <c r="L1750" s="2"/>
      <c r="M1750" s="2" t="s">
        <v>468</v>
      </c>
      <c r="N1750" s="2" t="s">
        <v>406</v>
      </c>
      <c r="O1750" s="3">
        <v>0.5</v>
      </c>
      <c r="Q1750" s="3">
        <v>0.0</v>
      </c>
      <c r="U1750" s="141"/>
      <c r="X1750" s="172">
        <v>46057.64278284722</v>
      </c>
      <c r="Y1750" s="172"/>
      <c r="Z1750" s="3">
        <v>46034.0</v>
      </c>
      <c r="AA1750" s="3"/>
    </row>
    <row r="1751">
      <c r="A1751" s="3">
        <v>6.864100294915E12</v>
      </c>
      <c r="B1751" s="2" t="s">
        <v>7319</v>
      </c>
      <c r="C1751" s="2" t="s">
        <v>7317</v>
      </c>
      <c r="D1751" s="169">
        <v>46034.0</v>
      </c>
      <c r="E1751" s="173" t="s">
        <v>7320</v>
      </c>
      <c r="F1751" s="2" t="s">
        <v>7321</v>
      </c>
      <c r="G1751" s="2" t="s">
        <v>1180</v>
      </c>
      <c r="H1751" s="2">
        <v>4698.0</v>
      </c>
      <c r="I1751" s="2">
        <v>2.5120050021234E13</v>
      </c>
      <c r="J1751" s="3">
        <v>3.0</v>
      </c>
      <c r="K1751" s="2" t="s">
        <v>7322</v>
      </c>
      <c r="L1751" s="2" t="s">
        <v>7323</v>
      </c>
      <c r="M1751" s="174" t="s">
        <v>409</v>
      </c>
      <c r="N1751" s="2" t="s">
        <v>462</v>
      </c>
      <c r="O1751" s="3">
        <v>0.5</v>
      </c>
      <c r="P1751" s="2" t="s">
        <v>363</v>
      </c>
      <c r="Q1751" s="3">
        <v>1650.0</v>
      </c>
      <c r="U1751" s="171">
        <v>4698.0</v>
      </c>
      <c r="W1751" s="3">
        <v>415.0</v>
      </c>
      <c r="X1751" s="172">
        <v>46042.51200231482</v>
      </c>
      <c r="Y1751" s="172"/>
      <c r="Z1751" s="3">
        <v>46034.0</v>
      </c>
      <c r="AA1751" s="3"/>
    </row>
    <row r="1752">
      <c r="A1752" s="3">
        <v>6.864128672003E12</v>
      </c>
      <c r="B1752" s="2" t="s">
        <v>7324</v>
      </c>
      <c r="C1752" s="2" t="s">
        <v>7325</v>
      </c>
      <c r="D1752" s="169">
        <v>46034.0</v>
      </c>
      <c r="E1752" s="2">
        <v>3.189194472E9</v>
      </c>
      <c r="F1752" s="2" t="s">
        <v>7326</v>
      </c>
      <c r="G1752" s="2" t="s">
        <v>917</v>
      </c>
      <c r="H1752" s="2">
        <v>249.0</v>
      </c>
      <c r="I1752" s="2">
        <v>1.73009908818E11</v>
      </c>
      <c r="J1752" s="3">
        <v>0.0</v>
      </c>
      <c r="K1752" s="2" t="s">
        <v>7327</v>
      </c>
      <c r="L1752" s="2"/>
      <c r="M1752" s="170" t="s">
        <v>455</v>
      </c>
      <c r="N1752" s="2" t="s">
        <v>406</v>
      </c>
      <c r="O1752" s="3">
        <v>0.5</v>
      </c>
      <c r="P1752" s="2" t="s">
        <v>501</v>
      </c>
      <c r="Q1752" s="3">
        <v>0.0</v>
      </c>
      <c r="U1752" s="141"/>
      <c r="W1752" s="3">
        <v>289.94</v>
      </c>
      <c r="X1752" s="172">
        <v>46067.00506038194</v>
      </c>
      <c r="Y1752" s="172"/>
      <c r="Z1752" s="3">
        <v>46034.0</v>
      </c>
      <c r="AA1752" s="3"/>
    </row>
    <row r="1753">
      <c r="A1753" s="3">
        <v>6.864134373635E12</v>
      </c>
      <c r="B1753" s="2" t="s">
        <v>7328</v>
      </c>
      <c r="C1753" s="2" t="s">
        <v>7329</v>
      </c>
      <c r="D1753" s="169">
        <v>46034.0</v>
      </c>
      <c r="E1753" s="2">
        <v>3.017032124E9</v>
      </c>
      <c r="F1753" s="2" t="s">
        <v>7330</v>
      </c>
      <c r="G1753" s="2" t="s">
        <v>374</v>
      </c>
      <c r="H1753" s="2">
        <v>4248.0</v>
      </c>
      <c r="I1753" s="2">
        <v>2.0120050021302E13</v>
      </c>
      <c r="J1753" s="3">
        <v>2.0</v>
      </c>
      <c r="K1753" s="2" t="s">
        <v>7331</v>
      </c>
      <c r="L1753" s="2" t="s">
        <v>994</v>
      </c>
      <c r="M1753" s="2" t="s">
        <v>409</v>
      </c>
      <c r="N1753" s="2" t="s">
        <v>406</v>
      </c>
      <c r="O1753" s="3">
        <v>0.5</v>
      </c>
      <c r="P1753" s="2"/>
      <c r="Q1753" s="3">
        <v>1700.0</v>
      </c>
      <c r="U1753" s="171">
        <v>4248.0</v>
      </c>
      <c r="X1753" s="172">
        <v>46068.65068789352</v>
      </c>
      <c r="Y1753" s="172"/>
      <c r="Z1753" s="3">
        <v>46034.0</v>
      </c>
      <c r="AA1753" s="3"/>
    </row>
    <row r="1754">
      <c r="A1754" s="3">
        <v>6.864141123843E12</v>
      </c>
      <c r="B1754" s="2" t="s">
        <v>7332</v>
      </c>
      <c r="C1754" s="2" t="s">
        <v>7333</v>
      </c>
      <c r="D1754" s="169">
        <v>46034.0</v>
      </c>
      <c r="E1754" s="173" t="s">
        <v>7334</v>
      </c>
      <c r="F1754" s="2" t="s">
        <v>7335</v>
      </c>
      <c r="G1754" s="2" t="s">
        <v>855</v>
      </c>
      <c r="H1754" s="2">
        <v>10089.0</v>
      </c>
      <c r="I1754" s="2">
        <v>2.0120050021212E13</v>
      </c>
      <c r="J1754" s="3">
        <v>5.0</v>
      </c>
      <c r="K1754" s="2" t="s">
        <v>7336</v>
      </c>
      <c r="L1754" s="2" t="s">
        <v>7337</v>
      </c>
      <c r="M1754" s="174" t="s">
        <v>409</v>
      </c>
      <c r="N1754" s="2" t="s">
        <v>462</v>
      </c>
      <c r="O1754" s="3">
        <v>0.5</v>
      </c>
      <c r="P1754" s="2" t="s">
        <v>363</v>
      </c>
      <c r="Q1754" s="3">
        <v>4400.0</v>
      </c>
      <c r="T1754" s="2" t="s">
        <v>4910</v>
      </c>
      <c r="U1754" s="171">
        <v>10089.0</v>
      </c>
      <c r="V1754" s="172">
        <v>46042.0</v>
      </c>
      <c r="W1754" s="3">
        <v>903.81</v>
      </c>
      <c r="X1754" s="172">
        <v>46038.73707175926</v>
      </c>
      <c r="Y1754" s="172"/>
      <c r="Z1754" s="3">
        <v>46034.0</v>
      </c>
      <c r="AA1754" s="3"/>
    </row>
    <row r="1755">
      <c r="A1755" s="3">
        <v>6.864157868291E12</v>
      </c>
      <c r="B1755" s="2" t="s">
        <v>7338</v>
      </c>
      <c r="C1755" s="2" t="s">
        <v>7181</v>
      </c>
      <c r="D1755" s="169">
        <v>46034.0</v>
      </c>
      <c r="E1755" s="2">
        <v>3.368298888E9</v>
      </c>
      <c r="F1755" s="2" t="s">
        <v>7339</v>
      </c>
      <c r="G1755" s="2" t="s">
        <v>541</v>
      </c>
      <c r="H1755" s="2">
        <v>249.0</v>
      </c>
      <c r="I1755" s="2">
        <v>2.6120050021193E13</v>
      </c>
      <c r="J1755" s="3">
        <v>0.0</v>
      </c>
      <c r="K1755" s="2" t="s">
        <v>7340</v>
      </c>
      <c r="L1755" s="2"/>
      <c r="M1755" s="170" t="s">
        <v>455</v>
      </c>
      <c r="N1755" s="2" t="s">
        <v>406</v>
      </c>
      <c r="O1755" s="3">
        <v>0.5</v>
      </c>
      <c r="P1755" s="2" t="s">
        <v>363</v>
      </c>
      <c r="Q1755" s="3">
        <v>0.0</v>
      </c>
      <c r="T1755" s="2" t="s">
        <v>3674</v>
      </c>
      <c r="U1755" s="171">
        <v>249.0</v>
      </c>
      <c r="V1755" s="172">
        <v>46038.0</v>
      </c>
      <c r="W1755" s="3">
        <v>344.0</v>
      </c>
      <c r="X1755" s="172">
        <v>46037.69123842593</v>
      </c>
      <c r="Y1755" s="172"/>
      <c r="Z1755" s="3">
        <v>46034.0</v>
      </c>
      <c r="AA1755" s="3"/>
    </row>
    <row r="1756">
      <c r="A1756" s="3">
        <v>6.864210166019E12</v>
      </c>
      <c r="B1756" s="2" t="s">
        <v>7341</v>
      </c>
      <c r="C1756" s="2" t="s">
        <v>7342</v>
      </c>
      <c r="D1756" s="169">
        <v>46034.0</v>
      </c>
      <c r="E1756" s="2">
        <v>3.336161617E9</v>
      </c>
      <c r="F1756" s="2" t="s">
        <v>7343</v>
      </c>
      <c r="G1756" s="2" t="s">
        <v>493</v>
      </c>
      <c r="H1756" s="2">
        <v>249.0</v>
      </c>
      <c r="I1756" s="2">
        <v>2.0120050021203E13</v>
      </c>
      <c r="J1756" s="3">
        <v>0.0</v>
      </c>
      <c r="K1756" s="2" t="s">
        <v>7344</v>
      </c>
      <c r="L1756" s="2"/>
      <c r="M1756" s="170" t="s">
        <v>455</v>
      </c>
      <c r="N1756" s="2" t="s">
        <v>406</v>
      </c>
      <c r="O1756" s="3">
        <v>0.5</v>
      </c>
      <c r="P1756" s="2" t="s">
        <v>363</v>
      </c>
      <c r="Q1756" s="3">
        <v>0.0</v>
      </c>
      <c r="T1756" s="2" t="s">
        <v>6123</v>
      </c>
      <c r="U1756" s="171">
        <v>0.0</v>
      </c>
      <c r="V1756" s="172">
        <v>46049.0</v>
      </c>
      <c r="W1756" s="3">
        <v>227.0</v>
      </c>
      <c r="X1756" s="172">
        <v>46045.75103009259</v>
      </c>
      <c r="Y1756" s="172"/>
      <c r="Z1756" s="3">
        <v>46034.0</v>
      </c>
      <c r="AA1756" s="3"/>
    </row>
    <row r="1757">
      <c r="A1757" s="3">
        <v>6.864230973699E12</v>
      </c>
      <c r="B1757" s="2" t="s">
        <v>7345</v>
      </c>
      <c r="C1757" s="2" t="s">
        <v>7130</v>
      </c>
      <c r="D1757" s="169">
        <v>46034.0</v>
      </c>
      <c r="E1757" s="173" t="s">
        <v>7346</v>
      </c>
      <c r="F1757" s="2" t="s">
        <v>7343</v>
      </c>
      <c r="G1757" s="2" t="s">
        <v>506</v>
      </c>
      <c r="H1757" s="2">
        <v>249.0</v>
      </c>
      <c r="I1757" s="2">
        <v>2.2120050021469E13</v>
      </c>
      <c r="J1757" s="3">
        <v>0.0</v>
      </c>
      <c r="K1757" s="2" t="s">
        <v>7347</v>
      </c>
      <c r="L1757" s="2"/>
      <c r="M1757" s="170" t="s">
        <v>455</v>
      </c>
      <c r="N1757" s="2" t="s">
        <v>406</v>
      </c>
      <c r="O1757" s="3">
        <v>0.5</v>
      </c>
      <c r="P1757" s="2" t="s">
        <v>73</v>
      </c>
      <c r="Q1757" s="3">
        <v>0.0</v>
      </c>
      <c r="T1757" s="2" t="s">
        <v>6193</v>
      </c>
      <c r="U1757" s="141"/>
      <c r="W1757" s="3">
        <v>220.0</v>
      </c>
      <c r="X1757" s="172">
        <v>46055.96199074074</v>
      </c>
      <c r="Y1757" s="172"/>
      <c r="Z1757" s="3">
        <v>46034.0</v>
      </c>
      <c r="AA1757" s="3"/>
    </row>
    <row r="1758">
      <c r="A1758" s="3">
        <v>6.864267280643E12</v>
      </c>
      <c r="B1758" s="2" t="s">
        <v>7348</v>
      </c>
      <c r="C1758" s="2" t="s">
        <v>7333</v>
      </c>
      <c r="D1758" s="169">
        <v>46034.0</v>
      </c>
      <c r="E1758" s="173" t="s">
        <v>7334</v>
      </c>
      <c r="F1758" s="2" t="s">
        <v>7335</v>
      </c>
      <c r="G1758" s="2" t="s">
        <v>855</v>
      </c>
      <c r="H1758" s="2">
        <v>0.0</v>
      </c>
      <c r="J1758" s="3">
        <v>0.0</v>
      </c>
      <c r="K1758" s="2" t="s">
        <v>760</v>
      </c>
      <c r="L1758" s="2"/>
      <c r="M1758" s="2" t="s">
        <v>468</v>
      </c>
      <c r="N1758" s="2" t="s">
        <v>406</v>
      </c>
      <c r="O1758" s="3">
        <v>0.5</v>
      </c>
      <c r="Q1758" s="3">
        <v>0.0</v>
      </c>
      <c r="U1758" s="141"/>
      <c r="X1758" s="172">
        <v>46057.64278284722</v>
      </c>
      <c r="Y1758" s="172"/>
      <c r="Z1758" s="3">
        <v>46034.0</v>
      </c>
      <c r="AA1758" s="3"/>
    </row>
    <row r="1759">
      <c r="A1759" s="3">
        <v>6.864273408259E12</v>
      </c>
      <c r="B1759" s="2" t="s">
        <v>7349</v>
      </c>
      <c r="C1759" s="2" t="s">
        <v>7350</v>
      </c>
      <c r="D1759" s="169">
        <v>46034.0</v>
      </c>
      <c r="E1759" s="173" t="s">
        <v>7334</v>
      </c>
      <c r="F1759" s="2" t="s">
        <v>7351</v>
      </c>
      <c r="G1759" s="2" t="s">
        <v>493</v>
      </c>
      <c r="H1759" s="2">
        <v>4647.0</v>
      </c>
      <c r="I1759" s="2">
        <v>2.8120050021194E13</v>
      </c>
      <c r="J1759" s="3">
        <v>2.0</v>
      </c>
      <c r="K1759" s="2" t="s">
        <v>7352</v>
      </c>
      <c r="L1759" s="2" t="s">
        <v>7353</v>
      </c>
      <c r="M1759" s="174" t="s">
        <v>409</v>
      </c>
      <c r="N1759" s="2" t="s">
        <v>462</v>
      </c>
      <c r="O1759" s="3">
        <v>0.5</v>
      </c>
      <c r="P1759" s="2" t="s">
        <v>73</v>
      </c>
      <c r="Q1759" s="3">
        <v>1800.0</v>
      </c>
      <c r="T1759" s="2" t="s">
        <v>4910</v>
      </c>
      <c r="U1759" s="171">
        <v>4647.0</v>
      </c>
      <c r="V1759" s="172">
        <v>46042.0</v>
      </c>
      <c r="W1759" s="3">
        <v>412.66</v>
      </c>
      <c r="X1759" s="172">
        <v>46038.83990740741</v>
      </c>
      <c r="Y1759" s="172"/>
      <c r="Z1759" s="3">
        <v>46034.0</v>
      </c>
      <c r="AA1759" s="3"/>
    </row>
    <row r="1760">
      <c r="A1760" s="3">
        <v>6.864311189763E12</v>
      </c>
      <c r="B1760" s="2" t="s">
        <v>7354</v>
      </c>
      <c r="C1760" s="2" t="s">
        <v>7355</v>
      </c>
      <c r="D1760" s="169">
        <v>46034.0</v>
      </c>
      <c r="E1760" s="2">
        <v>3.004144303E9</v>
      </c>
      <c r="F1760" s="2" t="s">
        <v>7356</v>
      </c>
      <c r="G1760" s="2" t="s">
        <v>7357</v>
      </c>
      <c r="H1760" s="2">
        <v>249.0</v>
      </c>
      <c r="I1760" s="2">
        <v>2.9120050021235E13</v>
      </c>
      <c r="J1760" s="3">
        <v>0.0</v>
      </c>
      <c r="K1760" s="2" t="s">
        <v>7358</v>
      </c>
      <c r="L1760" s="2"/>
      <c r="M1760" s="170" t="s">
        <v>455</v>
      </c>
      <c r="N1760" s="2" t="s">
        <v>406</v>
      </c>
      <c r="O1760" s="3">
        <v>0.5</v>
      </c>
      <c r="P1760" s="2" t="s">
        <v>363</v>
      </c>
      <c r="Q1760" s="3">
        <v>0.0</v>
      </c>
      <c r="U1760" s="141"/>
      <c r="W1760" s="3">
        <v>107.0</v>
      </c>
      <c r="X1760" s="172">
        <v>46044.65791666666</v>
      </c>
      <c r="Y1760" s="172"/>
      <c r="Z1760" s="3">
        <v>46034.0</v>
      </c>
      <c r="AA1760" s="3"/>
    </row>
    <row r="1761">
      <c r="A1761" s="3">
        <v>6.864318103811E12</v>
      </c>
      <c r="B1761" s="2" t="s">
        <v>7359</v>
      </c>
      <c r="C1761" s="2" t="s">
        <v>7360</v>
      </c>
      <c r="D1761" s="169">
        <v>46034.0</v>
      </c>
      <c r="E1761" s="2">
        <v>3.455315012E9</v>
      </c>
      <c r="F1761" s="2" t="s">
        <v>7361</v>
      </c>
      <c r="G1761" s="2" t="s">
        <v>506</v>
      </c>
      <c r="H1761" s="2">
        <v>3739.0</v>
      </c>
      <c r="I1761" s="2">
        <v>2.3120050021202E13</v>
      </c>
      <c r="J1761" s="3">
        <v>2.0</v>
      </c>
      <c r="K1761" s="2" t="s">
        <v>6708</v>
      </c>
      <c r="L1761" s="2" t="s">
        <v>5370</v>
      </c>
      <c r="M1761" s="174" t="s">
        <v>409</v>
      </c>
      <c r="N1761" s="2" t="s">
        <v>462</v>
      </c>
      <c r="O1761" s="3">
        <v>0.5</v>
      </c>
      <c r="P1761" s="2" t="s">
        <v>363</v>
      </c>
      <c r="Q1761" s="3">
        <v>1580.0</v>
      </c>
      <c r="T1761" s="2" t="s">
        <v>3674</v>
      </c>
      <c r="U1761" s="171">
        <v>3739.0</v>
      </c>
      <c r="V1761" s="172">
        <v>46038.0</v>
      </c>
      <c r="W1761" s="3">
        <v>370.0</v>
      </c>
      <c r="X1761" s="172">
        <v>46037.584282407406</v>
      </c>
      <c r="Y1761" s="172"/>
      <c r="Z1761" s="3">
        <v>46034.0</v>
      </c>
      <c r="AA1761" s="3"/>
    </row>
    <row r="1762">
      <c r="A1762" s="3">
        <v>6.864320037123E12</v>
      </c>
      <c r="B1762" s="2" t="s">
        <v>7362</v>
      </c>
      <c r="C1762" s="2" t="s">
        <v>7363</v>
      </c>
      <c r="D1762" s="169">
        <v>46034.0</v>
      </c>
      <c r="E1762" s="2">
        <v>3.362443669E9</v>
      </c>
      <c r="F1762" s="2" t="s">
        <v>7364</v>
      </c>
      <c r="G1762" s="2" t="s">
        <v>4135</v>
      </c>
      <c r="H1762" s="2">
        <v>249.0</v>
      </c>
      <c r="I1762" s="2" t="s">
        <v>7365</v>
      </c>
      <c r="J1762" s="3">
        <v>0.0</v>
      </c>
      <c r="L1762" s="2"/>
      <c r="M1762" s="170" t="s">
        <v>455</v>
      </c>
      <c r="N1762" s="2" t="s">
        <v>406</v>
      </c>
      <c r="O1762" s="3">
        <v>0.5</v>
      </c>
      <c r="P1762" s="2" t="s">
        <v>640</v>
      </c>
      <c r="Q1762" s="3">
        <v>0.0</v>
      </c>
      <c r="U1762" s="141"/>
      <c r="W1762" s="3">
        <v>289.94</v>
      </c>
      <c r="X1762" s="172">
        <v>46057.670393402776</v>
      </c>
      <c r="Y1762" s="172"/>
      <c r="Z1762" s="3">
        <v>46034.0</v>
      </c>
      <c r="AA1762" s="3"/>
    </row>
    <row r="1763">
      <c r="A1763" s="3">
        <v>6.864325378307E12</v>
      </c>
      <c r="B1763" s="2" t="s">
        <v>7366</v>
      </c>
      <c r="C1763" s="2" t="s">
        <v>7367</v>
      </c>
      <c r="D1763" s="169">
        <v>46035.0</v>
      </c>
      <c r="E1763" s="2">
        <v>3.133347919E9</v>
      </c>
      <c r="F1763" s="2" t="s">
        <v>7368</v>
      </c>
      <c r="G1763" s="2" t="s">
        <v>693</v>
      </c>
      <c r="H1763" s="2">
        <v>249.0</v>
      </c>
      <c r="I1763" s="2">
        <v>2.6120050021201E13</v>
      </c>
      <c r="J1763" s="3">
        <v>0.0</v>
      </c>
      <c r="K1763" s="2" t="s">
        <v>7344</v>
      </c>
      <c r="L1763" s="2"/>
      <c r="M1763" s="170" t="s">
        <v>455</v>
      </c>
      <c r="N1763" s="2" t="s">
        <v>406</v>
      </c>
      <c r="O1763" s="3">
        <v>0.5</v>
      </c>
      <c r="P1763" s="2" t="s">
        <v>363</v>
      </c>
      <c r="Q1763" s="3">
        <v>0.0</v>
      </c>
      <c r="T1763" s="2" t="s">
        <v>6123</v>
      </c>
      <c r="U1763" s="171">
        <v>0.0</v>
      </c>
      <c r="V1763" s="172">
        <v>46049.0</v>
      </c>
      <c r="W1763" s="3">
        <v>227.0</v>
      </c>
      <c r="X1763" s="172">
        <v>46046.82884259259</v>
      </c>
      <c r="Y1763" s="172"/>
      <c r="Z1763" s="3">
        <v>46035.0</v>
      </c>
      <c r="AA1763" s="3"/>
    </row>
    <row r="1764">
      <c r="A1764" s="3">
        <v>6.864343597315E12</v>
      </c>
      <c r="B1764" s="2" t="s">
        <v>7369</v>
      </c>
      <c r="C1764" s="2" t="s">
        <v>7370</v>
      </c>
      <c r="D1764" s="169">
        <v>46035.0</v>
      </c>
      <c r="E1764" s="2">
        <v>3.009575186E9</v>
      </c>
      <c r="F1764" s="2" t="s">
        <v>7371</v>
      </c>
      <c r="G1764" s="2" t="s">
        <v>368</v>
      </c>
      <c r="H1764" s="2">
        <v>0.0</v>
      </c>
      <c r="I1764" s="2">
        <v>2.6120050021301E13</v>
      </c>
      <c r="J1764" s="3">
        <v>0.0</v>
      </c>
      <c r="K1764" s="2" t="s">
        <v>7372</v>
      </c>
      <c r="L1764" s="2"/>
      <c r="M1764" s="170" t="s">
        <v>455</v>
      </c>
      <c r="N1764" s="2" t="s">
        <v>406</v>
      </c>
      <c r="O1764" s="3">
        <v>0.5</v>
      </c>
      <c r="P1764" s="2"/>
      <c r="Q1764" s="3">
        <v>0.0</v>
      </c>
      <c r="T1764" s="2" t="s">
        <v>6123</v>
      </c>
      <c r="U1764" s="171">
        <v>0.0</v>
      </c>
      <c r="V1764" s="172">
        <v>46049.0</v>
      </c>
      <c r="W1764" s="3">
        <v>120.0</v>
      </c>
      <c r="X1764" s="172">
        <v>46045.75103009259</v>
      </c>
      <c r="Y1764" s="172"/>
      <c r="Z1764" s="3">
        <v>46035.0</v>
      </c>
      <c r="AA1764" s="3"/>
    </row>
    <row r="1765">
      <c r="A1765" s="3">
        <v>6.864356442371E12</v>
      </c>
      <c r="B1765" s="2" t="s">
        <v>7373</v>
      </c>
      <c r="C1765" s="2" t="s">
        <v>7374</v>
      </c>
      <c r="D1765" s="169">
        <v>46035.0</v>
      </c>
      <c r="E1765" s="2">
        <v>3.45220802E9</v>
      </c>
      <c r="F1765" s="2" t="s">
        <v>7375</v>
      </c>
      <c r="G1765" s="2" t="s">
        <v>493</v>
      </c>
      <c r="H1765" s="2">
        <v>2550.0</v>
      </c>
      <c r="I1765" s="2">
        <v>2.21200500212E13</v>
      </c>
      <c r="J1765" s="3">
        <v>1.0</v>
      </c>
      <c r="K1765" s="2" t="s">
        <v>7119</v>
      </c>
      <c r="L1765" s="2" t="s">
        <v>557</v>
      </c>
      <c r="M1765" s="174" t="s">
        <v>409</v>
      </c>
      <c r="N1765" s="2" t="s">
        <v>462</v>
      </c>
      <c r="O1765" s="3">
        <v>0.5</v>
      </c>
      <c r="P1765" s="2" t="s">
        <v>363</v>
      </c>
      <c r="Q1765" s="3">
        <v>850.0</v>
      </c>
      <c r="T1765" s="2" t="s">
        <v>4910</v>
      </c>
      <c r="U1765" s="171">
        <v>2550.0</v>
      </c>
      <c r="V1765" s="172">
        <v>46042.0</v>
      </c>
      <c r="W1765" s="3">
        <v>442.78</v>
      </c>
      <c r="X1765" s="172">
        <v>46038.512708333335</v>
      </c>
      <c r="Y1765" s="172"/>
      <c r="Z1765" s="3">
        <v>46035.0</v>
      </c>
      <c r="AA1765" s="3"/>
    </row>
    <row r="1766">
      <c r="A1766" s="3">
        <v>6.864393732355E12</v>
      </c>
      <c r="B1766" s="2" t="s">
        <v>7376</v>
      </c>
      <c r="C1766" s="2" t="s">
        <v>7377</v>
      </c>
      <c r="D1766" s="169">
        <v>46035.0</v>
      </c>
      <c r="E1766" s="2">
        <v>3.014593111E9</v>
      </c>
      <c r="F1766" s="2" t="s">
        <v>7378</v>
      </c>
      <c r="G1766" s="2" t="s">
        <v>850</v>
      </c>
      <c r="H1766" s="2">
        <v>0.0</v>
      </c>
      <c r="J1766" s="3">
        <v>0.0</v>
      </c>
      <c r="K1766" s="2" t="s">
        <v>6199</v>
      </c>
      <c r="L1766" s="2"/>
      <c r="M1766" s="2" t="s">
        <v>468</v>
      </c>
      <c r="N1766" s="2" t="s">
        <v>406</v>
      </c>
      <c r="O1766" s="3">
        <v>0.5</v>
      </c>
      <c r="Q1766" s="3">
        <v>0.0</v>
      </c>
      <c r="U1766" s="141"/>
      <c r="X1766" s="172">
        <v>46057.64278284722</v>
      </c>
      <c r="Y1766" s="172"/>
      <c r="Z1766" s="3">
        <v>46035.0</v>
      </c>
      <c r="AA1766" s="3"/>
    </row>
    <row r="1767">
      <c r="A1767" s="3">
        <v>6.864403235075E12</v>
      </c>
      <c r="B1767" s="2" t="s">
        <v>7379</v>
      </c>
      <c r="C1767" s="2" t="s">
        <v>7377</v>
      </c>
      <c r="D1767" s="169">
        <v>46035.0</v>
      </c>
      <c r="E1767" s="173" t="s">
        <v>7380</v>
      </c>
      <c r="F1767" s="2" t="s">
        <v>7381</v>
      </c>
      <c r="G1767" s="2" t="s">
        <v>850</v>
      </c>
      <c r="H1767" s="2">
        <v>1749.0</v>
      </c>
      <c r="I1767" s="2">
        <v>2.9120050021226E13</v>
      </c>
      <c r="J1767" s="3">
        <v>2.0</v>
      </c>
      <c r="K1767" s="2" t="s">
        <v>7382</v>
      </c>
      <c r="L1767" s="2" t="s">
        <v>7383</v>
      </c>
      <c r="M1767" s="174" t="s">
        <v>409</v>
      </c>
      <c r="N1767" s="2" t="s">
        <v>462</v>
      </c>
      <c r="O1767" s="3">
        <v>0.5</v>
      </c>
      <c r="P1767" s="2" t="s">
        <v>363</v>
      </c>
      <c r="Q1767" s="3">
        <v>980.0</v>
      </c>
      <c r="T1767" s="2" t="s">
        <v>4910</v>
      </c>
      <c r="U1767" s="171">
        <v>1749.0</v>
      </c>
      <c r="V1767" s="172">
        <v>46042.0</v>
      </c>
      <c r="W1767" s="3">
        <v>270.06</v>
      </c>
      <c r="X1767" s="172">
        <v>46038.55299768518</v>
      </c>
      <c r="Y1767" s="172"/>
      <c r="Z1767" s="3">
        <v>46035.0</v>
      </c>
      <c r="AA1767" s="3"/>
    </row>
    <row r="1768">
      <c r="A1768" s="3">
        <v>6.864420012291E12</v>
      </c>
      <c r="B1768" s="2" t="s">
        <v>7384</v>
      </c>
      <c r="C1768" s="2" t="s">
        <v>508</v>
      </c>
      <c r="D1768" s="169">
        <v>46035.0</v>
      </c>
      <c r="E1768" s="2">
        <v>3.171650309E9</v>
      </c>
      <c r="F1768" s="2" t="s">
        <v>7385</v>
      </c>
      <c r="G1768" s="2" t="s">
        <v>1012</v>
      </c>
      <c r="H1768" s="2">
        <v>3099.0</v>
      </c>
      <c r="I1768" s="2" t="s">
        <v>7386</v>
      </c>
      <c r="J1768" s="3">
        <v>2.0</v>
      </c>
      <c r="K1768" s="2" t="s">
        <v>7387</v>
      </c>
      <c r="L1768" s="2" t="s">
        <v>1143</v>
      </c>
      <c r="M1768" s="174" t="s">
        <v>409</v>
      </c>
      <c r="N1768" s="2" t="s">
        <v>462</v>
      </c>
      <c r="O1768" s="3">
        <v>0.5</v>
      </c>
      <c r="P1768" s="2" t="s">
        <v>640</v>
      </c>
      <c r="Q1768" s="3">
        <v>960.0</v>
      </c>
      <c r="T1768" s="2" t="s">
        <v>6967</v>
      </c>
      <c r="U1768" s="171">
        <v>3099.0</v>
      </c>
      <c r="V1768" s="172">
        <v>46023.0</v>
      </c>
      <c r="W1768" s="3">
        <v>289.94</v>
      </c>
      <c r="X1768" s="172">
        <v>46057.6503650463</v>
      </c>
      <c r="Y1768" s="172"/>
      <c r="Z1768" s="3">
        <v>46035.0</v>
      </c>
      <c r="AA1768" s="3"/>
    </row>
    <row r="1769">
      <c r="A1769" s="3">
        <v>6.864523493635E12</v>
      </c>
      <c r="B1769" s="2" t="s">
        <v>7388</v>
      </c>
      <c r="C1769" s="2" t="s">
        <v>7389</v>
      </c>
      <c r="D1769" s="169">
        <v>46035.0</v>
      </c>
      <c r="E1769" s="2">
        <v>3.21831306E9</v>
      </c>
      <c r="F1769" s="2" t="s">
        <v>7390</v>
      </c>
      <c r="G1769" s="2" t="s">
        <v>368</v>
      </c>
      <c r="H1769" s="2">
        <v>249.0</v>
      </c>
      <c r="I1769" s="2">
        <v>2.2120050021195E13</v>
      </c>
      <c r="J1769" s="3">
        <v>0.0</v>
      </c>
      <c r="K1769" s="2" t="s">
        <v>7391</v>
      </c>
      <c r="L1769" s="2"/>
      <c r="M1769" s="170" t="s">
        <v>455</v>
      </c>
      <c r="N1769" s="2" t="s">
        <v>406</v>
      </c>
      <c r="O1769" s="3">
        <v>0.5</v>
      </c>
      <c r="P1769" s="2" t="s">
        <v>363</v>
      </c>
      <c r="Q1769" s="3">
        <v>0.0</v>
      </c>
      <c r="U1769" s="141"/>
      <c r="W1769" s="3">
        <v>107.0</v>
      </c>
      <c r="X1769" s="172">
        <v>46042.83430555556</v>
      </c>
      <c r="Y1769" s="172"/>
      <c r="Z1769" s="3">
        <v>46035.0</v>
      </c>
      <c r="AA1769" s="3"/>
    </row>
    <row r="1770">
      <c r="A1770" s="3">
        <v>6.864808313091E12</v>
      </c>
      <c r="B1770" s="2" t="s">
        <v>7392</v>
      </c>
      <c r="C1770" s="2" t="s">
        <v>7393</v>
      </c>
      <c r="D1770" s="169">
        <v>46035.0</v>
      </c>
      <c r="E1770" s="2">
        <v>3.454569882E9</v>
      </c>
      <c r="F1770" s="2" t="s">
        <v>7394</v>
      </c>
      <c r="G1770" s="2" t="s">
        <v>626</v>
      </c>
      <c r="H1770" s="2">
        <v>249.0</v>
      </c>
      <c r="I1770" s="2">
        <v>2.3120050021196E13</v>
      </c>
      <c r="J1770" s="3">
        <v>0.0</v>
      </c>
      <c r="K1770" s="2" t="s">
        <v>7395</v>
      </c>
      <c r="L1770" s="2"/>
      <c r="M1770" s="170" t="s">
        <v>455</v>
      </c>
      <c r="N1770" s="2" t="s">
        <v>406</v>
      </c>
      <c r="O1770" s="3">
        <v>0.5</v>
      </c>
      <c r="P1770" s="2" t="s">
        <v>363</v>
      </c>
      <c r="Q1770" s="3">
        <v>0.0</v>
      </c>
      <c r="T1770" s="2" t="s">
        <v>6123</v>
      </c>
      <c r="U1770" s="171">
        <v>0.0</v>
      </c>
      <c r="V1770" s="172">
        <v>46049.0</v>
      </c>
      <c r="W1770" s="3">
        <v>200.0</v>
      </c>
      <c r="X1770" s="172">
        <v>46046.82884259259</v>
      </c>
      <c r="Y1770" s="172"/>
      <c r="Z1770" s="3">
        <v>46035.0</v>
      </c>
      <c r="AA1770" s="3"/>
    </row>
    <row r="1771">
      <c r="A1771" s="3">
        <v>6.864913989891E12</v>
      </c>
      <c r="B1771" s="2" t="s">
        <v>7396</v>
      </c>
      <c r="C1771" s="2" t="s">
        <v>7397</v>
      </c>
      <c r="D1771" s="169">
        <v>46035.0</v>
      </c>
      <c r="E1771" s="2">
        <v>3.004036202E9</v>
      </c>
      <c r="F1771" s="2" t="s">
        <v>7398</v>
      </c>
      <c r="G1771" s="2" t="s">
        <v>374</v>
      </c>
      <c r="H1771" s="2">
        <v>3099.0</v>
      </c>
      <c r="I1771" s="2">
        <v>2.9120050021197E13</v>
      </c>
      <c r="J1771" s="3">
        <v>2.0</v>
      </c>
      <c r="K1771" s="2" t="s">
        <v>7399</v>
      </c>
      <c r="L1771" s="2" t="s">
        <v>296</v>
      </c>
      <c r="M1771" s="174" t="s">
        <v>409</v>
      </c>
      <c r="N1771" s="2" t="s">
        <v>462</v>
      </c>
      <c r="O1771" s="3">
        <v>0.5</v>
      </c>
      <c r="P1771" s="2" t="s">
        <v>363</v>
      </c>
      <c r="Q1771" s="3">
        <v>920.0</v>
      </c>
      <c r="T1771" s="2" t="s">
        <v>3674</v>
      </c>
      <c r="U1771" s="171">
        <v>3099.0</v>
      </c>
      <c r="V1771" s="172">
        <v>46038.0</v>
      </c>
      <c r="W1771" s="3">
        <v>324.0</v>
      </c>
      <c r="X1771" s="172">
        <v>46036.70247685185</v>
      </c>
      <c r="Y1771" s="172"/>
      <c r="Z1771" s="3">
        <v>46035.0</v>
      </c>
      <c r="AA1771" s="3"/>
    </row>
    <row r="1772">
      <c r="A1772" s="3">
        <v>6.864926867715E12</v>
      </c>
      <c r="B1772" s="2" t="s">
        <v>7400</v>
      </c>
      <c r="C1772" s="2" t="s">
        <v>7401</v>
      </c>
      <c r="D1772" s="169">
        <v>46035.0</v>
      </c>
      <c r="E1772" s="2">
        <v>3.222294871E9</v>
      </c>
      <c r="F1772" s="2" t="s">
        <v>7402</v>
      </c>
      <c r="G1772" s="2" t="s">
        <v>368</v>
      </c>
      <c r="H1772" s="2">
        <v>2799.0</v>
      </c>
      <c r="I1772" s="2">
        <v>2.3120050021199E13</v>
      </c>
      <c r="J1772" s="3">
        <v>1.0</v>
      </c>
      <c r="K1772" s="2" t="s">
        <v>7057</v>
      </c>
      <c r="L1772" s="2" t="s">
        <v>946</v>
      </c>
      <c r="M1772" s="174" t="s">
        <v>409</v>
      </c>
      <c r="N1772" s="2" t="s">
        <v>462</v>
      </c>
      <c r="O1772" s="3">
        <v>0.5</v>
      </c>
      <c r="P1772" s="2" t="s">
        <v>363</v>
      </c>
      <c r="Q1772" s="3">
        <v>850.0</v>
      </c>
      <c r="T1772" s="2" t="s">
        <v>3674</v>
      </c>
      <c r="U1772" s="171">
        <v>2799.0</v>
      </c>
      <c r="V1772" s="172">
        <v>46038.0</v>
      </c>
      <c r="W1772" s="3">
        <v>219.0</v>
      </c>
      <c r="X1772" s="172">
        <v>46036.60376157408</v>
      </c>
      <c r="Y1772" s="172"/>
      <c r="Z1772" s="3">
        <v>46035.0</v>
      </c>
      <c r="AA1772" s="3"/>
    </row>
    <row r="1773">
      <c r="A1773" s="3">
        <v>6.864973955331E12</v>
      </c>
      <c r="B1773" s="2" t="s">
        <v>7403</v>
      </c>
      <c r="C1773" s="2" t="s">
        <v>7404</v>
      </c>
      <c r="D1773" s="169">
        <v>46035.0</v>
      </c>
      <c r="E1773" s="173" t="s">
        <v>7405</v>
      </c>
      <c r="F1773" s="2" t="s">
        <v>7406</v>
      </c>
      <c r="G1773" s="2" t="s">
        <v>493</v>
      </c>
      <c r="H1773" s="2">
        <v>8100.0</v>
      </c>
      <c r="I1773" s="2">
        <v>2.6120050021213E13</v>
      </c>
      <c r="J1773" s="3">
        <v>3.0</v>
      </c>
      <c r="K1773" s="2" t="s">
        <v>7407</v>
      </c>
      <c r="L1773" s="2" t="s">
        <v>7408</v>
      </c>
      <c r="M1773" s="174" t="s">
        <v>409</v>
      </c>
      <c r="N1773" s="2" t="s">
        <v>462</v>
      </c>
      <c r="O1773" s="3">
        <v>0.5</v>
      </c>
      <c r="P1773" s="2" t="s">
        <v>363</v>
      </c>
      <c r="Q1773" s="3">
        <v>4700.0</v>
      </c>
      <c r="T1773" s="2" t="s">
        <v>4910</v>
      </c>
      <c r="U1773" s="171">
        <v>8100.0</v>
      </c>
      <c r="V1773" s="172">
        <v>46042.0</v>
      </c>
      <c r="W1773" s="3">
        <v>550.78</v>
      </c>
      <c r="X1773" s="172">
        <v>46038.68293981481</v>
      </c>
      <c r="Y1773" s="172"/>
      <c r="Z1773" s="3">
        <v>46035.0</v>
      </c>
      <c r="AA1773" s="3"/>
    </row>
    <row r="1774">
      <c r="A1774" s="3">
        <v>6.864989978883E12</v>
      </c>
      <c r="B1774" s="2" t="s">
        <v>7409</v>
      </c>
      <c r="C1774" s="2" t="s">
        <v>3690</v>
      </c>
      <c r="D1774" s="169">
        <v>46035.0</v>
      </c>
      <c r="E1774" s="173" t="s">
        <v>7410</v>
      </c>
      <c r="F1774" s="2" t="s">
        <v>7411</v>
      </c>
      <c r="G1774" s="2" t="s">
        <v>2316</v>
      </c>
      <c r="H1774" s="2">
        <v>2799.0</v>
      </c>
      <c r="I1774" s="2" t="s">
        <v>7412</v>
      </c>
      <c r="J1774" s="3">
        <v>1.0</v>
      </c>
      <c r="K1774" s="2" t="s">
        <v>7413</v>
      </c>
      <c r="L1774" s="2" t="s">
        <v>500</v>
      </c>
      <c r="M1774" s="174" t="s">
        <v>409</v>
      </c>
      <c r="N1774" s="2" t="s">
        <v>462</v>
      </c>
      <c r="O1774" s="3">
        <v>0.5</v>
      </c>
      <c r="P1774" s="2" t="s">
        <v>640</v>
      </c>
      <c r="Q1774" s="3">
        <v>850.0</v>
      </c>
      <c r="T1774" s="2" t="s">
        <v>6699</v>
      </c>
      <c r="U1774" s="171">
        <v>2799.0</v>
      </c>
      <c r="V1774" s="172">
        <v>46023.0</v>
      </c>
      <c r="W1774" s="3">
        <v>289.94</v>
      </c>
      <c r="X1774" s="172">
        <v>46057.650399872684</v>
      </c>
      <c r="Y1774" s="172"/>
      <c r="Z1774" s="3">
        <v>46035.0</v>
      </c>
      <c r="AA1774" s="3"/>
    </row>
    <row r="1775">
      <c r="A1775" s="3">
        <v>6.865002922243E12</v>
      </c>
      <c r="B1775" s="2" t="s">
        <v>7414</v>
      </c>
      <c r="C1775" s="2" t="s">
        <v>7415</v>
      </c>
      <c r="D1775" s="169">
        <v>46035.0</v>
      </c>
      <c r="E1775" s="173" t="s">
        <v>7416</v>
      </c>
      <c r="F1775" s="2" t="s">
        <v>7417</v>
      </c>
      <c r="G1775" s="2" t="s">
        <v>7418</v>
      </c>
      <c r="H1775" s="2">
        <v>249.0</v>
      </c>
      <c r="I1775" s="2" t="s">
        <v>7419</v>
      </c>
      <c r="J1775" s="3">
        <v>0.0</v>
      </c>
      <c r="K1775" s="2" t="s">
        <v>7420</v>
      </c>
      <c r="L1775" s="2"/>
      <c r="M1775" s="170" t="s">
        <v>455</v>
      </c>
      <c r="N1775" s="2" t="s">
        <v>406</v>
      </c>
      <c r="O1775" s="3">
        <v>0.5</v>
      </c>
      <c r="P1775" s="2" t="s">
        <v>640</v>
      </c>
      <c r="Q1775" s="3">
        <v>0.0</v>
      </c>
      <c r="U1775" s="141"/>
      <c r="W1775" s="3">
        <v>289.94</v>
      </c>
      <c r="X1775" s="172">
        <v>46057.67039784722</v>
      </c>
      <c r="Y1775" s="172"/>
      <c r="Z1775" s="3">
        <v>46035.0</v>
      </c>
      <c r="AA1775" s="3"/>
    </row>
    <row r="1776">
      <c r="A1776" s="3">
        <v>6.865054925059E12</v>
      </c>
      <c r="B1776" s="2" t="s">
        <v>7421</v>
      </c>
      <c r="C1776" s="2" t="s">
        <v>5038</v>
      </c>
      <c r="D1776" s="169">
        <v>46035.0</v>
      </c>
      <c r="E1776" s="2">
        <v>3.009090322E9</v>
      </c>
      <c r="F1776" s="2" t="s">
        <v>6842</v>
      </c>
      <c r="G1776" s="2" t="s">
        <v>5041</v>
      </c>
      <c r="H1776" s="2">
        <v>0.0</v>
      </c>
      <c r="J1776" s="3">
        <v>0.0</v>
      </c>
      <c r="K1776" s="2" t="s">
        <v>571</v>
      </c>
      <c r="L1776" s="2"/>
      <c r="M1776" s="2" t="s">
        <v>468</v>
      </c>
      <c r="N1776" s="2" t="s">
        <v>406</v>
      </c>
      <c r="O1776" s="3">
        <v>0.5</v>
      </c>
      <c r="Q1776" s="3">
        <v>0.0</v>
      </c>
      <c r="U1776" s="141"/>
      <c r="X1776" s="172">
        <v>46057.64278284722</v>
      </c>
      <c r="Y1776" s="172"/>
      <c r="Z1776" s="3">
        <v>46035.0</v>
      </c>
      <c r="AA1776" s="3"/>
    </row>
    <row r="1777">
      <c r="A1777" s="3">
        <v>6.865071571203E12</v>
      </c>
      <c r="B1777" s="2" t="s">
        <v>7422</v>
      </c>
      <c r="C1777" s="2" t="s">
        <v>7423</v>
      </c>
      <c r="D1777" s="169">
        <v>46035.0</v>
      </c>
      <c r="E1777" s="2">
        <v>3.21453333E9</v>
      </c>
      <c r="F1777" s="2" t="s">
        <v>7424</v>
      </c>
      <c r="G1777" s="2" t="s">
        <v>817</v>
      </c>
      <c r="H1777" s="2">
        <v>3099.0</v>
      </c>
      <c r="I1777" s="2">
        <v>2.1120050021215E13</v>
      </c>
      <c r="J1777" s="3">
        <v>2.0</v>
      </c>
      <c r="K1777" s="2" t="s">
        <v>6682</v>
      </c>
      <c r="L1777" s="2" t="s">
        <v>50</v>
      </c>
      <c r="M1777" s="174" t="s">
        <v>409</v>
      </c>
      <c r="N1777" s="2" t="s">
        <v>462</v>
      </c>
      <c r="O1777" s="3">
        <v>0.5</v>
      </c>
      <c r="P1777" s="2" t="s">
        <v>73</v>
      </c>
      <c r="Q1777" s="3">
        <v>920.0</v>
      </c>
      <c r="T1777" s="2" t="s">
        <v>4910</v>
      </c>
      <c r="U1777" s="171">
        <v>3099.0</v>
      </c>
      <c r="V1777" s="172">
        <v>46042.0</v>
      </c>
      <c r="W1777" s="3">
        <v>337.4</v>
      </c>
      <c r="X1777" s="172">
        <v>46039.881643518514</v>
      </c>
      <c r="Y1777" s="172"/>
      <c r="Z1777" s="3">
        <v>46035.0</v>
      </c>
      <c r="AA1777" s="3"/>
    </row>
    <row r="1778">
      <c r="A1778" s="3">
        <v>6.865301373187E12</v>
      </c>
      <c r="B1778" s="2" t="s">
        <v>7425</v>
      </c>
      <c r="C1778" s="2" t="s">
        <v>7426</v>
      </c>
      <c r="D1778" s="169">
        <v>46035.0</v>
      </c>
      <c r="E1778" s="2">
        <v>3.013638077E9</v>
      </c>
      <c r="F1778" s="2" t="s">
        <v>7427</v>
      </c>
      <c r="G1778" s="2" t="s">
        <v>2391</v>
      </c>
      <c r="H1778" s="2">
        <v>3099.0</v>
      </c>
      <c r="I1778" s="2">
        <v>1.73009959366E11</v>
      </c>
      <c r="J1778" s="3">
        <v>2.0</v>
      </c>
      <c r="K1778" s="2" t="s">
        <v>7428</v>
      </c>
      <c r="L1778" s="2" t="s">
        <v>1116</v>
      </c>
      <c r="M1778" s="174" t="s">
        <v>409</v>
      </c>
      <c r="N1778" s="2" t="s">
        <v>462</v>
      </c>
      <c r="O1778" s="3">
        <v>0.5</v>
      </c>
      <c r="P1778" s="2" t="s">
        <v>501</v>
      </c>
      <c r="Q1778" s="3">
        <v>960.0</v>
      </c>
      <c r="T1778" s="2" t="s">
        <v>6699</v>
      </c>
      <c r="U1778" s="171">
        <v>3099.0</v>
      </c>
      <c r="V1778" s="172">
        <v>46023.0</v>
      </c>
      <c r="W1778" s="3">
        <v>289.94</v>
      </c>
      <c r="X1778" s="172">
        <v>46057.65041625</v>
      </c>
      <c r="Y1778" s="172"/>
      <c r="Z1778" s="3">
        <v>46035.0</v>
      </c>
      <c r="AA1778" s="3"/>
    </row>
    <row r="1779">
      <c r="A1779" s="3">
        <v>6.865330929923E12</v>
      </c>
      <c r="B1779" s="2" t="s">
        <v>7429</v>
      </c>
      <c r="C1779" s="2" t="s">
        <v>7430</v>
      </c>
      <c r="D1779" s="169">
        <v>46035.0</v>
      </c>
      <c r="E1779" s="2">
        <v>3.459137601E9</v>
      </c>
      <c r="F1779" s="2" t="s">
        <v>7431</v>
      </c>
      <c r="G1779" s="2" t="s">
        <v>781</v>
      </c>
      <c r="H1779" s="2">
        <v>2799.0</v>
      </c>
      <c r="I1779" s="2">
        <v>2.9120050021217E13</v>
      </c>
      <c r="J1779" s="3">
        <v>1.0</v>
      </c>
      <c r="K1779" s="2" t="s">
        <v>7432</v>
      </c>
      <c r="L1779" s="2" t="s">
        <v>519</v>
      </c>
      <c r="M1779" s="174" t="s">
        <v>409</v>
      </c>
      <c r="N1779" s="2" t="s">
        <v>462</v>
      </c>
      <c r="O1779" s="3">
        <v>0.5</v>
      </c>
      <c r="P1779" s="2" t="s">
        <v>363</v>
      </c>
      <c r="Q1779" s="3">
        <v>850.0</v>
      </c>
      <c r="T1779" s="2" t="s">
        <v>4910</v>
      </c>
      <c r="U1779" s="171">
        <v>2799.0</v>
      </c>
      <c r="V1779" s="172">
        <v>46042.0</v>
      </c>
      <c r="W1779" s="3">
        <v>325.4</v>
      </c>
      <c r="X1779" s="172">
        <v>46038.50716435185</v>
      </c>
      <c r="Y1779" s="172"/>
      <c r="Z1779" s="3">
        <v>46035.0</v>
      </c>
      <c r="AA1779" s="3"/>
    </row>
    <row r="1780">
      <c r="A1780" s="3">
        <v>6.865359307011E12</v>
      </c>
      <c r="B1780" s="2" t="s">
        <v>7433</v>
      </c>
      <c r="C1780" s="2" t="s">
        <v>7434</v>
      </c>
      <c r="D1780" s="169">
        <v>46035.0</v>
      </c>
      <c r="E1780" s="2">
        <v>3.148521004E9</v>
      </c>
      <c r="F1780" s="2" t="s">
        <v>6418</v>
      </c>
      <c r="G1780" s="2" t="s">
        <v>6419</v>
      </c>
      <c r="H1780" s="2">
        <v>249.0</v>
      </c>
      <c r="I1780" s="2">
        <v>1.73009959244E11</v>
      </c>
      <c r="J1780" s="3">
        <v>0.0</v>
      </c>
      <c r="K1780" s="2" t="s">
        <v>499</v>
      </c>
      <c r="L1780" s="2"/>
      <c r="M1780" s="170" t="s">
        <v>455</v>
      </c>
      <c r="N1780" s="2" t="s">
        <v>406</v>
      </c>
      <c r="O1780" s="3">
        <v>0.5</v>
      </c>
      <c r="P1780" s="2" t="s">
        <v>501</v>
      </c>
      <c r="Q1780" s="3">
        <v>0.0</v>
      </c>
      <c r="U1780" s="141"/>
      <c r="W1780" s="3">
        <v>289.94</v>
      </c>
      <c r="X1780" s="172">
        <v>46067.005070949075</v>
      </c>
      <c r="Y1780" s="172"/>
      <c r="Z1780" s="3">
        <v>46035.0</v>
      </c>
      <c r="AA1780" s="3"/>
    </row>
    <row r="1781">
      <c r="A1781" s="3">
        <v>6.865423663363E12</v>
      </c>
      <c r="B1781" s="2" t="s">
        <v>7435</v>
      </c>
      <c r="C1781" s="2" t="s">
        <v>7436</v>
      </c>
      <c r="D1781" s="169">
        <v>46035.0</v>
      </c>
      <c r="E1781" s="2">
        <v>3.152972361E9</v>
      </c>
      <c r="F1781" s="2" t="s">
        <v>7437</v>
      </c>
      <c r="G1781" s="2" t="s">
        <v>493</v>
      </c>
      <c r="H1781" s="2">
        <v>2749.0</v>
      </c>
      <c r="I1781" s="2">
        <v>2.2120050021225E13</v>
      </c>
      <c r="J1781" s="3">
        <v>2.0</v>
      </c>
      <c r="K1781" s="2" t="s">
        <v>7438</v>
      </c>
      <c r="L1781" s="2" t="s">
        <v>35</v>
      </c>
      <c r="M1781" s="174" t="s">
        <v>409</v>
      </c>
      <c r="N1781" s="2" t="s">
        <v>462</v>
      </c>
      <c r="O1781" s="3">
        <v>0.5</v>
      </c>
      <c r="P1781" s="2" t="s">
        <v>363</v>
      </c>
      <c r="Q1781" s="3">
        <v>980.0</v>
      </c>
      <c r="T1781" s="2" t="s">
        <v>4910</v>
      </c>
      <c r="U1781" s="171">
        <v>2749.0</v>
      </c>
      <c r="V1781" s="172">
        <v>46042.0</v>
      </c>
      <c r="W1781" s="3">
        <v>323.4</v>
      </c>
      <c r="X1781" s="172">
        <v>46041.65375</v>
      </c>
      <c r="Y1781" s="172"/>
      <c r="Z1781" s="3">
        <v>46035.0</v>
      </c>
      <c r="AA1781" s="3"/>
    </row>
    <row r="1782">
      <c r="A1782" s="3">
        <v>6.865435066627E12</v>
      </c>
      <c r="B1782" s="2" t="s">
        <v>7439</v>
      </c>
      <c r="C1782" s="2" t="s">
        <v>7440</v>
      </c>
      <c r="D1782" s="169">
        <v>46035.0</v>
      </c>
      <c r="E1782" s="173" t="s">
        <v>7441</v>
      </c>
      <c r="F1782" s="2" t="s">
        <v>7442</v>
      </c>
      <c r="G1782" s="2" t="s">
        <v>802</v>
      </c>
      <c r="H1782" s="2">
        <v>249.0</v>
      </c>
      <c r="I1782" s="2" t="s">
        <v>7443</v>
      </c>
      <c r="J1782" s="3">
        <v>0.0</v>
      </c>
      <c r="K1782" s="2" t="s">
        <v>7444</v>
      </c>
      <c r="L1782" s="2"/>
      <c r="M1782" s="170" t="s">
        <v>455</v>
      </c>
      <c r="N1782" s="2" t="s">
        <v>406</v>
      </c>
      <c r="O1782" s="3">
        <v>0.5</v>
      </c>
      <c r="P1782" s="2" t="s">
        <v>640</v>
      </c>
      <c r="Q1782" s="3">
        <v>0.0</v>
      </c>
      <c r="U1782" s="141"/>
      <c r="W1782" s="3">
        <v>289.94</v>
      </c>
      <c r="X1782" s="172">
        <v>46057.670425358796</v>
      </c>
      <c r="Y1782" s="172"/>
      <c r="Z1782" s="3">
        <v>46035.0</v>
      </c>
      <c r="AA1782" s="3"/>
    </row>
    <row r="1783">
      <c r="A1783" s="3">
        <v>6.865680302339E12</v>
      </c>
      <c r="B1783" s="2" t="s">
        <v>7445</v>
      </c>
      <c r="C1783" s="2" t="s">
        <v>7446</v>
      </c>
      <c r="D1783" s="169">
        <v>46036.0</v>
      </c>
      <c r="E1783" s="173" t="s">
        <v>7447</v>
      </c>
      <c r="F1783" s="2" t="s">
        <v>7448</v>
      </c>
      <c r="G1783" s="2" t="s">
        <v>993</v>
      </c>
      <c r="H1783" s="2">
        <v>3099.0</v>
      </c>
      <c r="I1783" s="2">
        <v>2.8120050021224E13</v>
      </c>
      <c r="J1783" s="3">
        <v>2.0</v>
      </c>
      <c r="K1783" s="2" t="s">
        <v>6682</v>
      </c>
      <c r="L1783" s="2" t="s">
        <v>906</v>
      </c>
      <c r="M1783" s="174" t="s">
        <v>409</v>
      </c>
      <c r="N1783" s="2" t="s">
        <v>462</v>
      </c>
      <c r="O1783" s="3">
        <v>0.5</v>
      </c>
      <c r="P1783" s="2" t="s">
        <v>73</v>
      </c>
      <c r="Q1783" s="3">
        <v>920.0</v>
      </c>
      <c r="T1783" s="2" t="s">
        <v>4910</v>
      </c>
      <c r="U1783" s="171">
        <v>3099.0</v>
      </c>
      <c r="V1783" s="172">
        <v>46042.0</v>
      </c>
      <c r="W1783" s="3">
        <v>324.06</v>
      </c>
      <c r="X1783" s="172">
        <v>46038.494050925925</v>
      </c>
      <c r="Y1783" s="172"/>
      <c r="Z1783" s="3">
        <v>46036.0</v>
      </c>
      <c r="AA1783" s="3"/>
    </row>
    <row r="1784">
      <c r="A1784" s="3">
        <v>6.865725915395E12</v>
      </c>
      <c r="B1784" s="2" t="s">
        <v>7449</v>
      </c>
      <c r="C1784" s="2" t="s">
        <v>4890</v>
      </c>
      <c r="D1784" s="169">
        <v>46036.0</v>
      </c>
      <c r="E1784" s="2">
        <v>3.183051987E9</v>
      </c>
      <c r="F1784" s="2" t="s">
        <v>7450</v>
      </c>
      <c r="G1784" s="2" t="s">
        <v>672</v>
      </c>
      <c r="H1784" s="2">
        <v>249.0</v>
      </c>
      <c r="I1784" s="2">
        <v>2.6120050021218E13</v>
      </c>
      <c r="J1784" s="3">
        <v>0.0</v>
      </c>
      <c r="K1784" s="2" t="s">
        <v>241</v>
      </c>
      <c r="L1784" s="2"/>
      <c r="M1784" s="170" t="s">
        <v>455</v>
      </c>
      <c r="N1784" s="2" t="s">
        <v>406</v>
      </c>
      <c r="O1784" s="3">
        <v>0.5</v>
      </c>
      <c r="P1784" s="2" t="s">
        <v>363</v>
      </c>
      <c r="Q1784" s="3">
        <v>0.0</v>
      </c>
      <c r="T1784" s="2" t="s">
        <v>6336</v>
      </c>
      <c r="U1784" s="171">
        <v>0.0</v>
      </c>
      <c r="V1784" s="172">
        <v>46052.0</v>
      </c>
      <c r="W1784" s="3">
        <v>213.0</v>
      </c>
      <c r="X1784" s="172">
        <v>46050.84106481481</v>
      </c>
      <c r="Y1784" s="172"/>
      <c r="Z1784" s="3">
        <v>46036.0</v>
      </c>
      <c r="AA1784" s="3"/>
    </row>
    <row r="1785">
      <c r="A1785" s="3">
        <v>6.865734205699E12</v>
      </c>
      <c r="B1785" s="2" t="s">
        <v>7451</v>
      </c>
      <c r="C1785" s="2" t="s">
        <v>7452</v>
      </c>
      <c r="D1785" s="169">
        <v>46036.0</v>
      </c>
      <c r="E1785" s="2">
        <v>3.22844514E9</v>
      </c>
      <c r="F1785" s="2" t="s">
        <v>7453</v>
      </c>
      <c r="G1785" s="2" t="s">
        <v>2241</v>
      </c>
      <c r="H1785" s="2">
        <v>249.0</v>
      </c>
      <c r="I1785" s="2">
        <v>2.4120050021219E13</v>
      </c>
      <c r="J1785" s="3">
        <v>0.0</v>
      </c>
      <c r="K1785" s="2" t="s">
        <v>7454</v>
      </c>
      <c r="L1785" s="2"/>
      <c r="M1785" s="170" t="s">
        <v>455</v>
      </c>
      <c r="N1785" s="2" t="s">
        <v>406</v>
      </c>
      <c r="O1785" s="3">
        <v>0.5</v>
      </c>
      <c r="P1785" s="2" t="s">
        <v>363</v>
      </c>
      <c r="Q1785" s="3">
        <v>0.0</v>
      </c>
      <c r="U1785" s="141"/>
      <c r="W1785" s="3">
        <v>220.0</v>
      </c>
      <c r="X1785" s="172">
        <v>46044.65791666666</v>
      </c>
      <c r="Y1785" s="172"/>
      <c r="Z1785" s="3">
        <v>46036.0</v>
      </c>
      <c r="AA1785" s="3"/>
    </row>
    <row r="1786">
      <c r="A1786" s="3">
        <v>6.865752260867E12</v>
      </c>
      <c r="B1786" s="2" t="s">
        <v>7455</v>
      </c>
      <c r="C1786" s="2" t="s">
        <v>7456</v>
      </c>
      <c r="D1786" s="169">
        <v>46036.0</v>
      </c>
      <c r="E1786" s="2">
        <v>3.116450243E9</v>
      </c>
      <c r="F1786" s="2" t="s">
        <v>7457</v>
      </c>
      <c r="G1786" s="2" t="s">
        <v>493</v>
      </c>
      <c r="H1786" s="2">
        <v>249.0</v>
      </c>
      <c r="I1786" s="2">
        <v>2.612005002122E13</v>
      </c>
      <c r="J1786" s="3">
        <v>0.0</v>
      </c>
      <c r="K1786" s="2" t="s">
        <v>7458</v>
      </c>
      <c r="L1786" s="2"/>
      <c r="M1786" s="170" t="s">
        <v>455</v>
      </c>
      <c r="N1786" s="2" t="s">
        <v>406</v>
      </c>
      <c r="O1786" s="3">
        <v>0.5</v>
      </c>
      <c r="P1786" s="2" t="s">
        <v>363</v>
      </c>
      <c r="Q1786" s="3">
        <v>0.0</v>
      </c>
      <c r="T1786" s="2" t="s">
        <v>6123</v>
      </c>
      <c r="U1786" s="171">
        <v>0.0</v>
      </c>
      <c r="V1786" s="172">
        <v>46049.0</v>
      </c>
      <c r="W1786" s="3">
        <v>213.0</v>
      </c>
      <c r="X1786" s="172">
        <v>46046.82884259259</v>
      </c>
      <c r="Y1786" s="172"/>
      <c r="Z1786" s="3">
        <v>46036.0</v>
      </c>
      <c r="AA1786" s="3"/>
    </row>
    <row r="1787">
      <c r="A1787" s="3">
        <v>6.865763238147E12</v>
      </c>
      <c r="B1787" s="2" t="s">
        <v>7459</v>
      </c>
      <c r="C1787" s="2" t="s">
        <v>7460</v>
      </c>
      <c r="D1787" s="169">
        <v>46036.0</v>
      </c>
      <c r="E1787" s="173" t="s">
        <v>7461</v>
      </c>
      <c r="F1787" s="2" t="s">
        <v>7462</v>
      </c>
      <c r="G1787" s="2" t="s">
        <v>7463</v>
      </c>
      <c r="H1787" s="2">
        <v>3099.0</v>
      </c>
      <c r="I1787" s="2">
        <v>2.6120050021221E13</v>
      </c>
      <c r="J1787" s="3">
        <v>2.0</v>
      </c>
      <c r="K1787" s="2" t="s">
        <v>7464</v>
      </c>
      <c r="L1787" s="2" t="s">
        <v>50</v>
      </c>
      <c r="M1787" s="174" t="s">
        <v>409</v>
      </c>
      <c r="N1787" s="2" t="s">
        <v>462</v>
      </c>
      <c r="O1787" s="3">
        <v>0.5</v>
      </c>
      <c r="P1787" s="2" t="s">
        <v>363</v>
      </c>
      <c r="Q1787" s="3">
        <v>920.0</v>
      </c>
      <c r="U1787" s="171">
        <v>3099.0</v>
      </c>
      <c r="W1787" s="3">
        <v>324.0</v>
      </c>
      <c r="X1787" s="172">
        <v>46042.646250000005</v>
      </c>
      <c r="Y1787" s="172"/>
      <c r="Z1787" s="3">
        <v>46036.0</v>
      </c>
      <c r="AA1787" s="3"/>
    </row>
    <row r="1788">
      <c r="A1788" s="3">
        <v>6.865829003523E12</v>
      </c>
      <c r="B1788" s="2" t="s">
        <v>7465</v>
      </c>
      <c r="C1788" s="2" t="s">
        <v>6526</v>
      </c>
      <c r="D1788" s="169">
        <v>46036.0</v>
      </c>
      <c r="E1788" s="2">
        <v>3.313900412E9</v>
      </c>
      <c r="F1788" s="2" t="s">
        <v>7466</v>
      </c>
      <c r="G1788" s="2" t="s">
        <v>493</v>
      </c>
      <c r="H1788" s="2">
        <v>0.0</v>
      </c>
      <c r="J1788" s="3">
        <v>0.0</v>
      </c>
      <c r="K1788" s="2" t="s">
        <v>7467</v>
      </c>
      <c r="L1788" s="2"/>
      <c r="M1788" s="2" t="s">
        <v>468</v>
      </c>
      <c r="N1788" s="2" t="s">
        <v>406</v>
      </c>
      <c r="O1788" s="3">
        <v>0.5</v>
      </c>
      <c r="Q1788" s="3">
        <v>0.0</v>
      </c>
      <c r="U1788" s="141"/>
      <c r="X1788" s="172">
        <v>46057.64278284722</v>
      </c>
      <c r="Y1788" s="172"/>
      <c r="Z1788" s="3">
        <v>46036.0</v>
      </c>
      <c r="AA1788" s="3"/>
    </row>
    <row r="1789">
      <c r="A1789" s="3">
        <v>6.865931174147E12</v>
      </c>
      <c r="B1789" s="2" t="s">
        <v>7468</v>
      </c>
      <c r="C1789" s="2" t="s">
        <v>7469</v>
      </c>
      <c r="D1789" s="169">
        <v>46036.0</v>
      </c>
      <c r="E1789" s="173" t="s">
        <v>7470</v>
      </c>
      <c r="F1789" s="2" t="s">
        <v>7471</v>
      </c>
      <c r="G1789" s="2" t="s">
        <v>688</v>
      </c>
      <c r="H1789" s="2">
        <v>2749.0</v>
      </c>
      <c r="I1789" s="2">
        <v>2.4120050021257E13</v>
      </c>
      <c r="J1789" s="3">
        <v>2.0</v>
      </c>
      <c r="K1789" s="2" t="s">
        <v>7472</v>
      </c>
      <c r="L1789" s="2" t="s">
        <v>35</v>
      </c>
      <c r="M1789" s="174" t="s">
        <v>409</v>
      </c>
      <c r="N1789" s="2" t="s">
        <v>462</v>
      </c>
      <c r="O1789" s="3">
        <v>0.5</v>
      </c>
      <c r="P1789" s="2" t="s">
        <v>363</v>
      </c>
      <c r="Q1789" s="3">
        <v>980.0</v>
      </c>
      <c r="T1789" s="2" t="s">
        <v>4910</v>
      </c>
      <c r="U1789" s="171">
        <v>2749.0</v>
      </c>
      <c r="V1789" s="172">
        <v>46042.0</v>
      </c>
      <c r="W1789" s="3">
        <v>310.06</v>
      </c>
      <c r="X1789" s="172">
        <v>46038.73425925926</v>
      </c>
      <c r="Y1789" s="172"/>
      <c r="Z1789" s="3">
        <v>46036.0</v>
      </c>
      <c r="AA1789" s="3"/>
    </row>
    <row r="1790">
      <c r="A1790" s="3">
        <v>6.866209440003E12</v>
      </c>
      <c r="B1790" s="2" t="s">
        <v>7473</v>
      </c>
      <c r="C1790" s="2" t="s">
        <v>7474</v>
      </c>
      <c r="D1790" s="169">
        <v>46036.0</v>
      </c>
      <c r="E1790" s="2">
        <v>3.004888628E9</v>
      </c>
      <c r="F1790" s="2" t="s">
        <v>7475</v>
      </c>
      <c r="G1790" s="2" t="s">
        <v>368</v>
      </c>
      <c r="H1790" s="2">
        <v>3099.0</v>
      </c>
      <c r="I1790" s="2">
        <v>2.0120050021236E13</v>
      </c>
      <c r="J1790" s="3">
        <v>2.0</v>
      </c>
      <c r="K1790" s="2" t="s">
        <v>6682</v>
      </c>
      <c r="L1790" s="2" t="s">
        <v>40</v>
      </c>
      <c r="M1790" s="174" t="s">
        <v>409</v>
      </c>
      <c r="N1790" s="2" t="s">
        <v>462</v>
      </c>
      <c r="O1790" s="3">
        <v>0.5</v>
      </c>
      <c r="P1790" s="2" t="s">
        <v>363</v>
      </c>
      <c r="Q1790" s="3">
        <v>920.0</v>
      </c>
      <c r="T1790" s="2" t="s">
        <v>4910</v>
      </c>
      <c r="U1790" s="171">
        <v>3099.0</v>
      </c>
      <c r="V1790" s="172">
        <v>46042.0</v>
      </c>
      <c r="W1790" s="3">
        <v>230.68</v>
      </c>
      <c r="X1790" s="172">
        <v>46038.64469907407</v>
      </c>
      <c r="Y1790" s="172"/>
      <c r="Z1790" s="3">
        <v>46036.0</v>
      </c>
      <c r="AA1790" s="3"/>
    </row>
    <row r="1791">
      <c r="A1791" s="3">
        <v>6.866402607363E12</v>
      </c>
      <c r="B1791" s="2" t="s">
        <v>7476</v>
      </c>
      <c r="C1791" s="2" t="s">
        <v>7477</v>
      </c>
      <c r="D1791" s="169">
        <v>46036.0</v>
      </c>
      <c r="E1791" s="173" t="s">
        <v>7478</v>
      </c>
      <c r="F1791" s="2" t="s">
        <v>7479</v>
      </c>
      <c r="G1791" s="2" t="s">
        <v>7480</v>
      </c>
      <c r="H1791" s="2">
        <v>2450.0</v>
      </c>
      <c r="I1791" s="2">
        <v>2.1120050021223E13</v>
      </c>
      <c r="J1791" s="3">
        <v>2.0</v>
      </c>
      <c r="K1791" s="2" t="s">
        <v>7481</v>
      </c>
      <c r="L1791" s="2" t="s">
        <v>7482</v>
      </c>
      <c r="M1791" s="174" t="s">
        <v>409</v>
      </c>
      <c r="N1791" s="2" t="s">
        <v>462</v>
      </c>
      <c r="O1791" s="3">
        <v>0.5</v>
      </c>
      <c r="P1791" s="2" t="s">
        <v>73</v>
      </c>
      <c r="Q1791" s="3">
        <v>985.0</v>
      </c>
      <c r="T1791" s="2" t="s">
        <v>4910</v>
      </c>
      <c r="U1791" s="171">
        <v>2450.0</v>
      </c>
      <c r="V1791" s="172">
        <v>46042.0</v>
      </c>
      <c r="W1791" s="3">
        <v>311.44</v>
      </c>
      <c r="X1791" s="172">
        <v>46040.72101851852</v>
      </c>
      <c r="Y1791" s="172"/>
      <c r="Z1791" s="3">
        <v>46036.0</v>
      </c>
      <c r="AA1791" s="3"/>
    </row>
    <row r="1792">
      <c r="A1792" s="3">
        <v>6.866410897667E12</v>
      </c>
      <c r="B1792" s="2" t="s">
        <v>7483</v>
      </c>
      <c r="C1792" s="2" t="s">
        <v>6456</v>
      </c>
      <c r="D1792" s="169">
        <v>46036.0</v>
      </c>
      <c r="E1792" s="173" t="s">
        <v>6457</v>
      </c>
      <c r="F1792" s="2" t="s">
        <v>6458</v>
      </c>
      <c r="G1792" s="2" t="s">
        <v>688</v>
      </c>
      <c r="H1792" s="2">
        <v>3099.0</v>
      </c>
      <c r="I1792" s="2">
        <v>2.5120050021222E13</v>
      </c>
      <c r="J1792" s="3">
        <v>1.0</v>
      </c>
      <c r="K1792" s="2" t="s">
        <v>7484</v>
      </c>
      <c r="L1792" s="2" t="s">
        <v>4463</v>
      </c>
      <c r="M1792" s="174" t="s">
        <v>409</v>
      </c>
      <c r="N1792" s="2" t="s">
        <v>462</v>
      </c>
      <c r="O1792" s="3">
        <v>0.5</v>
      </c>
      <c r="P1792" s="2" t="s">
        <v>363</v>
      </c>
      <c r="Q1792" s="3">
        <v>1300.0</v>
      </c>
      <c r="T1792" s="2" t="s">
        <v>4910</v>
      </c>
      <c r="U1792" s="171">
        <v>3099.0</v>
      </c>
      <c r="V1792" s="172">
        <v>46042.0</v>
      </c>
      <c r="W1792" s="3">
        <v>220.11</v>
      </c>
      <c r="X1792" s="172">
        <v>46039.67811342592</v>
      </c>
      <c r="Y1792" s="172"/>
      <c r="Z1792" s="3">
        <v>46036.0</v>
      </c>
      <c r="AA1792" s="3"/>
    </row>
    <row r="1793">
      <c r="A1793" s="3">
        <v>6.866415747331E12</v>
      </c>
      <c r="B1793" s="2" t="s">
        <v>7485</v>
      </c>
      <c r="C1793" s="2" t="s">
        <v>7486</v>
      </c>
      <c r="D1793" s="169">
        <v>46036.0</v>
      </c>
      <c r="E1793" s="173" t="s">
        <v>7487</v>
      </c>
      <c r="F1793" s="2" t="s">
        <v>7488</v>
      </c>
      <c r="G1793" s="2" t="s">
        <v>802</v>
      </c>
      <c r="H1793" s="2">
        <v>2749.0</v>
      </c>
      <c r="I1793" s="2" t="s">
        <v>7489</v>
      </c>
      <c r="J1793" s="3">
        <v>2.0</v>
      </c>
      <c r="K1793" s="2" t="s">
        <v>7490</v>
      </c>
      <c r="L1793" s="2" t="s">
        <v>926</v>
      </c>
      <c r="M1793" s="174" t="s">
        <v>409</v>
      </c>
      <c r="N1793" s="2" t="s">
        <v>462</v>
      </c>
      <c r="O1793" s="3">
        <v>0.5</v>
      </c>
      <c r="P1793" s="2" t="s">
        <v>640</v>
      </c>
      <c r="Q1793" s="3">
        <v>980.0</v>
      </c>
      <c r="T1793" s="2" t="s">
        <v>6699</v>
      </c>
      <c r="U1793" s="171">
        <v>2749.0</v>
      </c>
      <c r="V1793" s="172">
        <v>46023.0</v>
      </c>
      <c r="W1793" s="3">
        <v>289.94</v>
      </c>
      <c r="X1793" s="172">
        <v>46057.65050643518</v>
      </c>
      <c r="Y1793" s="172"/>
      <c r="Z1793" s="3">
        <v>46036.0</v>
      </c>
      <c r="AA1793" s="3"/>
    </row>
    <row r="1794">
      <c r="A1794" s="3">
        <v>6.866422726915E12</v>
      </c>
      <c r="B1794" s="2" t="s">
        <v>7491</v>
      </c>
      <c r="C1794" s="2" t="s">
        <v>7492</v>
      </c>
      <c r="D1794" s="169">
        <v>46036.0</v>
      </c>
      <c r="E1794" s="2">
        <v>3.28301082E9</v>
      </c>
      <c r="F1794" s="2" t="s">
        <v>7493</v>
      </c>
      <c r="G1794" s="2" t="s">
        <v>2457</v>
      </c>
      <c r="H1794" s="2">
        <v>249.0</v>
      </c>
      <c r="I1794" s="2">
        <v>2.5120050021231E13</v>
      </c>
      <c r="J1794" s="3">
        <v>0.0</v>
      </c>
      <c r="K1794" s="2" t="s">
        <v>7494</v>
      </c>
      <c r="L1794" s="2"/>
      <c r="M1794" s="170" t="s">
        <v>455</v>
      </c>
      <c r="N1794" s="2" t="s">
        <v>406</v>
      </c>
      <c r="O1794" s="3">
        <v>0.5</v>
      </c>
      <c r="P1794" s="2" t="s">
        <v>363</v>
      </c>
      <c r="Q1794" s="3">
        <v>0.0</v>
      </c>
      <c r="T1794" s="2" t="s">
        <v>6123</v>
      </c>
      <c r="U1794" s="171">
        <v>0.0</v>
      </c>
      <c r="V1794" s="172">
        <v>46049.0</v>
      </c>
      <c r="W1794" s="3">
        <v>213.0</v>
      </c>
      <c r="X1794" s="172">
        <v>46046.82884259259</v>
      </c>
      <c r="Y1794" s="172"/>
      <c r="Z1794" s="3">
        <v>46036.0</v>
      </c>
      <c r="AA1794" s="3"/>
    </row>
    <row r="1795">
      <c r="A1795" s="3">
        <v>6.866433573123E12</v>
      </c>
      <c r="B1795" s="2" t="s">
        <v>7495</v>
      </c>
      <c r="C1795" s="2" t="s">
        <v>1416</v>
      </c>
      <c r="D1795" s="169">
        <v>46036.0</v>
      </c>
      <c r="E1795" s="2">
        <v>3.11657474E9</v>
      </c>
      <c r="F1795" s="2" t="s">
        <v>7496</v>
      </c>
      <c r="G1795" s="2" t="s">
        <v>7497</v>
      </c>
      <c r="H1795" s="2">
        <v>0.0</v>
      </c>
      <c r="J1795" s="3">
        <v>0.0</v>
      </c>
      <c r="K1795" s="2" t="s">
        <v>7498</v>
      </c>
      <c r="L1795" s="2"/>
      <c r="M1795" s="2" t="s">
        <v>468</v>
      </c>
      <c r="N1795" s="2" t="s">
        <v>406</v>
      </c>
      <c r="O1795" s="3">
        <v>0.5</v>
      </c>
      <c r="Q1795" s="3">
        <v>0.0</v>
      </c>
      <c r="U1795" s="141"/>
      <c r="X1795" s="172">
        <v>46057.64278285879</v>
      </c>
      <c r="Y1795" s="172"/>
      <c r="Z1795" s="3">
        <v>46036.0</v>
      </c>
      <c r="AA1795" s="3"/>
    </row>
    <row r="1796">
      <c r="A1796" s="3">
        <v>6.866441339139E12</v>
      </c>
      <c r="B1796" s="2" t="s">
        <v>7499</v>
      </c>
      <c r="C1796" s="2" t="s">
        <v>7500</v>
      </c>
      <c r="D1796" s="169">
        <v>46036.0</v>
      </c>
      <c r="E1796" s="2">
        <v>3.26186582E9</v>
      </c>
      <c r="F1796" s="175" t="s">
        <v>7501</v>
      </c>
      <c r="G1796" s="175" t="s">
        <v>7502</v>
      </c>
      <c r="H1796" s="2">
        <v>0.0</v>
      </c>
      <c r="J1796" s="3">
        <v>0.0</v>
      </c>
      <c r="K1796" s="2" t="s">
        <v>7503</v>
      </c>
      <c r="L1796" s="2"/>
      <c r="M1796" s="2" t="s">
        <v>468</v>
      </c>
      <c r="N1796" s="2" t="s">
        <v>406</v>
      </c>
      <c r="O1796" s="3">
        <v>0.5</v>
      </c>
      <c r="Q1796" s="3">
        <v>0.0</v>
      </c>
      <c r="U1796" s="141"/>
      <c r="X1796" s="172">
        <v>46057.64278285879</v>
      </c>
      <c r="Y1796" s="172"/>
      <c r="Z1796" s="3">
        <v>46036.0</v>
      </c>
      <c r="AA1796" s="3"/>
    </row>
    <row r="1797">
      <c r="A1797" s="3">
        <v>6.866494456067E12</v>
      </c>
      <c r="B1797" s="2" t="s">
        <v>7504</v>
      </c>
      <c r="C1797" s="2" t="s">
        <v>7505</v>
      </c>
      <c r="D1797" s="169">
        <v>46036.0</v>
      </c>
      <c r="E1797" s="173" t="s">
        <v>7506</v>
      </c>
      <c r="F1797" s="2" t="s">
        <v>7507</v>
      </c>
      <c r="G1797" s="2" t="s">
        <v>3148</v>
      </c>
      <c r="H1797" s="2">
        <v>3751.0</v>
      </c>
      <c r="I1797" s="2">
        <v>2.2120050021228E13</v>
      </c>
      <c r="J1797" s="3">
        <v>2.0</v>
      </c>
      <c r="K1797" s="2" t="s">
        <v>7508</v>
      </c>
      <c r="L1797" s="2" t="s">
        <v>2324</v>
      </c>
      <c r="M1797" s="174" t="s">
        <v>409</v>
      </c>
      <c r="N1797" s="2" t="s">
        <v>462</v>
      </c>
      <c r="O1797" s="3">
        <v>0.5</v>
      </c>
      <c r="P1797" s="2" t="s">
        <v>363</v>
      </c>
      <c r="Q1797" s="3">
        <v>920.0</v>
      </c>
      <c r="T1797" s="2" t="s">
        <v>4910</v>
      </c>
      <c r="U1797" s="171">
        <v>3751.0</v>
      </c>
      <c r="V1797" s="172">
        <v>46042.0</v>
      </c>
      <c r="W1797" s="3">
        <v>350.14</v>
      </c>
      <c r="X1797" s="172">
        <v>46040.71615740741</v>
      </c>
      <c r="Y1797" s="172"/>
      <c r="Z1797" s="3">
        <v>46036.0</v>
      </c>
      <c r="AA1797" s="3"/>
    </row>
    <row r="1798">
      <c r="A1798" s="3">
        <v>6.866536726787E12</v>
      </c>
      <c r="B1798" s="2" t="s">
        <v>7509</v>
      </c>
      <c r="C1798" s="2" t="s">
        <v>7510</v>
      </c>
      <c r="D1798" s="169">
        <v>46036.0</v>
      </c>
      <c r="E1798" s="2">
        <v>3.231587484E9</v>
      </c>
      <c r="F1798" s="2" t="s">
        <v>7511</v>
      </c>
      <c r="G1798" s="2" t="s">
        <v>366</v>
      </c>
      <c r="H1798" s="2">
        <v>1748.0</v>
      </c>
      <c r="I1798" s="2">
        <v>2.912005002123E13</v>
      </c>
      <c r="J1798" s="3">
        <v>1.0</v>
      </c>
      <c r="K1798" s="2" t="s">
        <v>7512</v>
      </c>
      <c r="L1798" s="2" t="s">
        <v>7513</v>
      </c>
      <c r="M1798" s="174" t="s">
        <v>409</v>
      </c>
      <c r="N1798" s="2" t="s">
        <v>462</v>
      </c>
      <c r="O1798" s="3">
        <v>0.5</v>
      </c>
      <c r="P1798" s="2" t="s">
        <v>363</v>
      </c>
      <c r="Q1798" s="3">
        <v>600.0</v>
      </c>
      <c r="T1798" s="2" t="s">
        <v>4910</v>
      </c>
      <c r="U1798" s="171">
        <v>1748.0</v>
      </c>
      <c r="V1798" s="172">
        <v>46042.0</v>
      </c>
      <c r="W1798" s="3">
        <v>270.02</v>
      </c>
      <c r="X1798" s="172">
        <v>46039.92810185185</v>
      </c>
      <c r="Y1798" s="172"/>
      <c r="Z1798" s="3">
        <v>46036.0</v>
      </c>
      <c r="AA1798" s="3"/>
    </row>
    <row r="1799">
      <c r="A1799" s="3">
        <v>6.866611831043E12</v>
      </c>
      <c r="B1799" s="2" t="s">
        <v>7514</v>
      </c>
      <c r="C1799" s="2" t="s">
        <v>7022</v>
      </c>
      <c r="D1799" s="169">
        <v>46036.0</v>
      </c>
      <c r="E1799" s="2">
        <v>3.35574758E9</v>
      </c>
      <c r="F1799" s="2" t="s">
        <v>7023</v>
      </c>
      <c r="G1799" s="2" t="s">
        <v>506</v>
      </c>
      <c r="H1799" s="2">
        <v>2749.0</v>
      </c>
      <c r="I1799" s="2">
        <v>2.5120050021286E13</v>
      </c>
      <c r="J1799" s="3">
        <v>2.0</v>
      </c>
      <c r="K1799" s="2" t="s">
        <v>7331</v>
      </c>
      <c r="L1799" s="2" t="s">
        <v>16</v>
      </c>
      <c r="M1799" s="2" t="s">
        <v>409</v>
      </c>
      <c r="N1799" s="2" t="s">
        <v>406</v>
      </c>
      <c r="O1799" s="3">
        <v>0.5</v>
      </c>
      <c r="P1799" s="2"/>
      <c r="Q1799" s="3">
        <v>980.0</v>
      </c>
      <c r="U1799" s="141"/>
      <c r="X1799" s="172">
        <v>46068.64940599537</v>
      </c>
      <c r="Y1799" s="172"/>
      <c r="Z1799" s="3">
        <v>46036.0</v>
      </c>
      <c r="AA1799" s="3"/>
    </row>
    <row r="1800">
      <c r="A1800" s="3">
        <v>6.866640535811E12</v>
      </c>
      <c r="B1800" s="2" t="s">
        <v>7515</v>
      </c>
      <c r="C1800" s="2" t="s">
        <v>7516</v>
      </c>
      <c r="D1800" s="169">
        <v>46036.0</v>
      </c>
      <c r="E1800" s="173" t="s">
        <v>7517</v>
      </c>
      <c r="F1800" s="2" t="s">
        <v>7518</v>
      </c>
      <c r="G1800" s="2" t="s">
        <v>493</v>
      </c>
      <c r="H1800" s="2">
        <v>1999.0</v>
      </c>
      <c r="I1800" s="2">
        <v>2.7120050021258E13</v>
      </c>
      <c r="J1800" s="3">
        <v>1.0</v>
      </c>
      <c r="K1800" s="2" t="s">
        <v>7519</v>
      </c>
      <c r="L1800" s="2" t="s">
        <v>7520</v>
      </c>
      <c r="M1800" s="174" t="s">
        <v>409</v>
      </c>
      <c r="N1800" s="2" t="s">
        <v>462</v>
      </c>
      <c r="O1800" s="3">
        <v>0.5</v>
      </c>
      <c r="P1800" s="2" t="s">
        <v>363</v>
      </c>
      <c r="Q1800" s="3">
        <v>1000.0</v>
      </c>
      <c r="T1800" s="2" t="s">
        <v>6123</v>
      </c>
      <c r="U1800" s="171">
        <v>1999.0</v>
      </c>
      <c r="V1800" s="172">
        <v>46049.0</v>
      </c>
      <c r="W1800" s="3">
        <v>293.0</v>
      </c>
      <c r="X1800" s="172">
        <v>46045.53701388889</v>
      </c>
      <c r="Y1800" s="172"/>
      <c r="Z1800" s="3">
        <v>46036.0</v>
      </c>
      <c r="AA1800" s="3"/>
    </row>
    <row r="1801">
      <c r="A1801" s="3">
        <v>6.867397673219E12</v>
      </c>
      <c r="B1801" s="2" t="s">
        <v>7521</v>
      </c>
      <c r="C1801" s="2" t="s">
        <v>7522</v>
      </c>
      <c r="D1801" s="169">
        <v>46037.0</v>
      </c>
      <c r="E1801" s="2">
        <v>3.467721495E9</v>
      </c>
      <c r="F1801" s="2" t="s">
        <v>7523</v>
      </c>
      <c r="G1801" s="2" t="s">
        <v>1395</v>
      </c>
      <c r="H1801" s="2">
        <v>3099.0</v>
      </c>
      <c r="I1801" s="2">
        <v>2.8120050021252E13</v>
      </c>
      <c r="J1801" s="3">
        <v>2.0</v>
      </c>
      <c r="K1801" s="2" t="s">
        <v>7524</v>
      </c>
      <c r="L1801" s="2" t="s">
        <v>228</v>
      </c>
      <c r="M1801" s="174" t="s">
        <v>409</v>
      </c>
      <c r="N1801" s="2" t="s">
        <v>462</v>
      </c>
      <c r="O1801" s="3">
        <v>0.5</v>
      </c>
      <c r="P1801" s="2" t="s">
        <v>73</v>
      </c>
      <c r="Q1801" s="3">
        <v>920.0</v>
      </c>
      <c r="T1801" s="2" t="s">
        <v>4910</v>
      </c>
      <c r="U1801" s="171">
        <v>3099.0</v>
      </c>
      <c r="V1801" s="172">
        <v>46042.0</v>
      </c>
      <c r="W1801" s="3">
        <v>350.74</v>
      </c>
      <c r="X1801" s="172">
        <v>46041.61969907407</v>
      </c>
      <c r="Y1801" s="172"/>
      <c r="Z1801" s="3">
        <v>46037.0</v>
      </c>
      <c r="AA1801" s="3"/>
    </row>
    <row r="1802">
      <c r="A1802" s="3">
        <v>6.867423330563E12</v>
      </c>
      <c r="B1802" s="2" t="s">
        <v>7525</v>
      </c>
      <c r="C1802" s="2" t="s">
        <v>7526</v>
      </c>
      <c r="D1802" s="169">
        <v>46037.0</v>
      </c>
      <c r="E1802" s="2">
        <v>3.218208758E9</v>
      </c>
      <c r="F1802" s="2" t="s">
        <v>7527</v>
      </c>
      <c r="G1802" s="2" t="s">
        <v>817</v>
      </c>
      <c r="H1802" s="2">
        <v>249.0</v>
      </c>
      <c r="I1802" s="2">
        <v>2.9120050021249E13</v>
      </c>
      <c r="J1802" s="3">
        <v>0.0</v>
      </c>
      <c r="K1802" s="2" t="s">
        <v>7528</v>
      </c>
      <c r="L1802" s="2"/>
      <c r="M1802" s="170" t="s">
        <v>455</v>
      </c>
      <c r="N1802" s="2" t="s">
        <v>406</v>
      </c>
      <c r="O1802" s="3">
        <v>0.5</v>
      </c>
      <c r="P1802" s="2" t="s">
        <v>363</v>
      </c>
      <c r="Q1802" s="3">
        <v>0.0</v>
      </c>
      <c r="T1802" s="2" t="s">
        <v>6193</v>
      </c>
      <c r="U1802" s="141"/>
      <c r="W1802" s="3">
        <v>414.0</v>
      </c>
      <c r="X1802" s="172">
        <v>46053.874826388885</v>
      </c>
      <c r="Y1802" s="172"/>
      <c r="Z1802" s="3">
        <v>46037.0</v>
      </c>
      <c r="AA1802" s="3"/>
    </row>
    <row r="1803">
      <c r="A1803" s="3">
        <v>6.867436503299E12</v>
      </c>
      <c r="B1803" s="2" t="s">
        <v>7529</v>
      </c>
      <c r="C1803" s="2" t="s">
        <v>7530</v>
      </c>
      <c r="D1803" s="169">
        <v>46037.0</v>
      </c>
      <c r="E1803" s="2">
        <v>3.335216549E9</v>
      </c>
      <c r="F1803" s="2" t="s">
        <v>7531</v>
      </c>
      <c r="G1803" s="2" t="s">
        <v>781</v>
      </c>
      <c r="H1803" s="2">
        <v>2199.0</v>
      </c>
      <c r="I1803" s="2">
        <v>2.1120050021237E13</v>
      </c>
      <c r="J1803" s="3">
        <v>1.0</v>
      </c>
      <c r="K1803" s="2" t="s">
        <v>7532</v>
      </c>
      <c r="L1803" s="2" t="s">
        <v>7533</v>
      </c>
      <c r="M1803" s="174" t="s">
        <v>409</v>
      </c>
      <c r="N1803" s="2" t="s">
        <v>462</v>
      </c>
      <c r="O1803" s="3">
        <v>0.5</v>
      </c>
      <c r="P1803" s="2" t="s">
        <v>73</v>
      </c>
      <c r="Q1803" s="3">
        <v>650.0</v>
      </c>
      <c r="T1803" s="2" t="s">
        <v>4910</v>
      </c>
      <c r="U1803" s="171">
        <v>2199.0</v>
      </c>
      <c r="V1803" s="172">
        <v>46042.0</v>
      </c>
      <c r="W1803" s="3">
        <v>301.4</v>
      </c>
      <c r="X1803" s="172">
        <v>46039.51615740741</v>
      </c>
      <c r="Y1803" s="172"/>
      <c r="Z1803" s="3">
        <v>46037.0</v>
      </c>
      <c r="AA1803" s="3"/>
    </row>
    <row r="1804">
      <c r="A1804" s="3">
        <v>6.867486179587E12</v>
      </c>
      <c r="B1804" s="2" t="s">
        <v>7534</v>
      </c>
      <c r="C1804" s="2" t="s">
        <v>7535</v>
      </c>
      <c r="D1804" s="169">
        <v>46037.0</v>
      </c>
      <c r="E1804" s="2">
        <v>3.311214433E9</v>
      </c>
      <c r="F1804" s="2" t="s">
        <v>7536</v>
      </c>
      <c r="G1804" s="2" t="s">
        <v>688</v>
      </c>
      <c r="H1804" s="2">
        <v>249.0</v>
      </c>
      <c r="I1804" s="2">
        <v>2.9120050021253E13</v>
      </c>
      <c r="J1804" s="3">
        <v>0.0</v>
      </c>
      <c r="K1804" s="2" t="s">
        <v>7537</v>
      </c>
      <c r="L1804" s="2"/>
      <c r="M1804" s="170" t="s">
        <v>455</v>
      </c>
      <c r="N1804" s="2" t="s">
        <v>406</v>
      </c>
      <c r="O1804" s="3">
        <v>0.5</v>
      </c>
      <c r="P1804" s="2" t="s">
        <v>363</v>
      </c>
      <c r="Q1804" s="3">
        <v>0.0</v>
      </c>
      <c r="T1804" s="2" t="s">
        <v>6123</v>
      </c>
      <c r="U1804" s="171">
        <v>0.0</v>
      </c>
      <c r="V1804" s="172">
        <v>46049.0</v>
      </c>
      <c r="W1804" s="3">
        <v>200.0</v>
      </c>
      <c r="X1804" s="172">
        <v>46046.82884259259</v>
      </c>
      <c r="Y1804" s="172"/>
      <c r="Z1804" s="3">
        <v>46037.0</v>
      </c>
      <c r="AA1804" s="3"/>
    </row>
    <row r="1805">
      <c r="A1805" s="3">
        <v>6.867498926339E12</v>
      </c>
      <c r="B1805" s="2" t="s">
        <v>7538</v>
      </c>
      <c r="C1805" s="2" t="s">
        <v>7539</v>
      </c>
      <c r="D1805" s="169">
        <v>46037.0</v>
      </c>
      <c r="E1805" s="2">
        <v>3.334101064E9</v>
      </c>
      <c r="F1805" s="2" t="s">
        <v>7540</v>
      </c>
      <c r="G1805" s="2" t="s">
        <v>368</v>
      </c>
      <c r="H1805" s="2">
        <v>2799.0</v>
      </c>
      <c r="I1805" s="2">
        <v>2.0120050021248E13</v>
      </c>
      <c r="J1805" s="3">
        <v>1.0</v>
      </c>
      <c r="K1805" s="2" t="s">
        <v>7432</v>
      </c>
      <c r="L1805" s="2" t="s">
        <v>557</v>
      </c>
      <c r="M1805" s="174" t="s">
        <v>409</v>
      </c>
      <c r="N1805" s="2" t="s">
        <v>462</v>
      </c>
      <c r="O1805" s="3">
        <v>0.5</v>
      </c>
      <c r="P1805" s="2" t="s">
        <v>363</v>
      </c>
      <c r="Q1805" s="3">
        <v>850.0</v>
      </c>
      <c r="T1805" s="2" t="s">
        <v>4910</v>
      </c>
      <c r="U1805" s="171">
        <v>2799.0</v>
      </c>
      <c r="V1805" s="172">
        <v>46042.0</v>
      </c>
      <c r="W1805" s="3">
        <v>232.02</v>
      </c>
      <c r="X1805" s="172">
        <v>46038.53908564815</v>
      </c>
      <c r="Y1805" s="172"/>
      <c r="Z1805" s="3">
        <v>46037.0</v>
      </c>
      <c r="AA1805" s="3"/>
    </row>
    <row r="1806">
      <c r="A1806" s="3">
        <v>6.867525075203E12</v>
      </c>
      <c r="B1806" s="2" t="s">
        <v>7541</v>
      </c>
      <c r="C1806" s="2" t="s">
        <v>3710</v>
      </c>
      <c r="D1806" s="169">
        <v>46037.0</v>
      </c>
      <c r="E1806" s="173" t="s">
        <v>3711</v>
      </c>
      <c r="F1806" s="2" t="s">
        <v>3712</v>
      </c>
      <c r="G1806" s="2" t="s">
        <v>672</v>
      </c>
      <c r="H1806" s="2">
        <v>3099.0</v>
      </c>
      <c r="I1806" s="2">
        <v>2.2120050021254E13</v>
      </c>
      <c r="J1806" s="3">
        <v>2.0</v>
      </c>
      <c r="K1806" s="2" t="s">
        <v>7542</v>
      </c>
      <c r="L1806" s="2" t="s">
        <v>7543</v>
      </c>
      <c r="M1806" s="174" t="s">
        <v>409</v>
      </c>
      <c r="N1806" s="2" t="s">
        <v>462</v>
      </c>
      <c r="O1806" s="3">
        <v>0.5</v>
      </c>
      <c r="P1806" s="2" t="s">
        <v>363</v>
      </c>
      <c r="Q1806" s="3">
        <v>940.0</v>
      </c>
      <c r="U1806" s="171">
        <v>3099.0</v>
      </c>
      <c r="W1806" s="3">
        <v>337.0</v>
      </c>
      <c r="X1806" s="172">
        <v>46042.77112268518</v>
      </c>
      <c r="Y1806" s="172"/>
      <c r="Z1806" s="3">
        <v>46037.0</v>
      </c>
      <c r="AA1806" s="3"/>
    </row>
    <row r="1807">
      <c r="A1807" s="3">
        <v>6.867540607235E12</v>
      </c>
      <c r="B1807" s="2" t="s">
        <v>7544</v>
      </c>
      <c r="C1807" s="2" t="s">
        <v>3694</v>
      </c>
      <c r="D1807" s="169">
        <v>46037.0</v>
      </c>
      <c r="E1807" s="173" t="s">
        <v>7293</v>
      </c>
      <c r="F1807" s="2" t="s">
        <v>7294</v>
      </c>
      <c r="G1807" s="2" t="s">
        <v>5348</v>
      </c>
      <c r="H1807" s="2">
        <v>0.0</v>
      </c>
      <c r="J1807" s="3">
        <v>0.0</v>
      </c>
      <c r="K1807" s="2" t="s">
        <v>7545</v>
      </c>
      <c r="L1807" s="2"/>
      <c r="M1807" s="2" t="s">
        <v>468</v>
      </c>
      <c r="N1807" s="2" t="s">
        <v>406</v>
      </c>
      <c r="O1807" s="3">
        <v>0.5</v>
      </c>
      <c r="Q1807" s="3">
        <v>0.0</v>
      </c>
      <c r="U1807" s="141"/>
      <c r="X1807" s="172">
        <v>46057.64278285879</v>
      </c>
      <c r="Y1807" s="172"/>
      <c r="Z1807" s="3">
        <v>46037.0</v>
      </c>
      <c r="AA1807" s="3"/>
    </row>
    <row r="1808">
      <c r="A1808" s="3">
        <v>6.867556368643E12</v>
      </c>
      <c r="B1808" s="2" t="s">
        <v>7546</v>
      </c>
      <c r="C1808" s="2" t="s">
        <v>6704</v>
      </c>
      <c r="D1808" s="169">
        <v>46037.0</v>
      </c>
      <c r="E1808" s="2">
        <v>3.015100482E9</v>
      </c>
      <c r="F1808" s="2" t="s">
        <v>7547</v>
      </c>
      <c r="G1808" s="2" t="s">
        <v>3725</v>
      </c>
      <c r="H1808" s="2">
        <v>3099.0</v>
      </c>
      <c r="I1808" s="2">
        <v>2.4120050021238E13</v>
      </c>
      <c r="J1808" s="3">
        <v>2.0</v>
      </c>
      <c r="K1808" s="2" t="s">
        <v>6682</v>
      </c>
      <c r="L1808" s="2" t="s">
        <v>296</v>
      </c>
      <c r="M1808" s="174" t="s">
        <v>409</v>
      </c>
      <c r="N1808" s="2" t="s">
        <v>462</v>
      </c>
      <c r="O1808" s="3">
        <v>0.5</v>
      </c>
      <c r="P1808" s="2" t="s">
        <v>363</v>
      </c>
      <c r="Q1808" s="3">
        <v>920.0</v>
      </c>
      <c r="T1808" s="2" t="s">
        <v>4910</v>
      </c>
      <c r="U1808" s="171">
        <v>3099.0</v>
      </c>
      <c r="V1808" s="172">
        <v>46042.0</v>
      </c>
      <c r="W1808" s="3">
        <v>324.06</v>
      </c>
      <c r="X1808" s="172">
        <v>46038.821064814816</v>
      </c>
      <c r="Y1808" s="172"/>
      <c r="Z1808" s="3">
        <v>46037.0</v>
      </c>
      <c r="AA1808" s="3"/>
    </row>
    <row r="1809">
      <c r="A1809" s="3">
        <v>6.867557974275E12</v>
      </c>
      <c r="B1809" s="2" t="s">
        <v>7548</v>
      </c>
      <c r="C1809" s="2" t="s">
        <v>7268</v>
      </c>
      <c r="D1809" s="169">
        <v>46037.0</v>
      </c>
      <c r="E1809" s="2">
        <v>3.1692844E9</v>
      </c>
      <c r="F1809" s="2" t="s">
        <v>7269</v>
      </c>
      <c r="G1809" s="2" t="s">
        <v>366</v>
      </c>
      <c r="H1809" s="2">
        <v>0.0</v>
      </c>
      <c r="J1809" s="3">
        <v>0.0</v>
      </c>
      <c r="K1809" s="2" t="s">
        <v>7549</v>
      </c>
      <c r="L1809" s="2"/>
      <c r="M1809" s="2" t="s">
        <v>468</v>
      </c>
      <c r="N1809" s="2" t="s">
        <v>406</v>
      </c>
      <c r="O1809" s="3">
        <v>0.5</v>
      </c>
      <c r="Q1809" s="3">
        <v>0.0</v>
      </c>
      <c r="U1809" s="141"/>
      <c r="X1809" s="172">
        <v>46057.64278285879</v>
      </c>
      <c r="Y1809" s="172"/>
      <c r="Z1809" s="3">
        <v>46037.0</v>
      </c>
      <c r="AA1809" s="3"/>
    </row>
    <row r="1810">
      <c r="A1810" s="3">
        <v>6.867565052163E12</v>
      </c>
      <c r="B1810" s="2" t="s">
        <v>7550</v>
      </c>
      <c r="C1810" s="2" t="s">
        <v>7551</v>
      </c>
      <c r="D1810" s="169">
        <v>46037.0</v>
      </c>
      <c r="E1810" s="2">
        <v>3.452859186E9</v>
      </c>
      <c r="F1810" s="2" t="s">
        <v>7552</v>
      </c>
      <c r="G1810" s="2" t="s">
        <v>493</v>
      </c>
      <c r="H1810" s="2">
        <v>3099.0</v>
      </c>
      <c r="I1810" s="2">
        <v>2.5120050021285E13</v>
      </c>
      <c r="J1810" s="3">
        <v>2.0</v>
      </c>
      <c r="K1810" s="2" t="s">
        <v>7553</v>
      </c>
      <c r="L1810" s="2" t="s">
        <v>50</v>
      </c>
      <c r="M1810" s="174" t="s">
        <v>409</v>
      </c>
      <c r="N1810" s="2" t="s">
        <v>462</v>
      </c>
      <c r="O1810" s="3">
        <v>0.5</v>
      </c>
      <c r="P1810" s="2" t="s">
        <v>73</v>
      </c>
      <c r="Q1810" s="3">
        <v>920.0</v>
      </c>
      <c r="T1810" s="2" t="s">
        <v>4910</v>
      </c>
      <c r="U1810" s="171">
        <v>3099.0</v>
      </c>
      <c r="V1810" s="172">
        <v>46042.0</v>
      </c>
      <c r="W1810" s="3">
        <v>337.4</v>
      </c>
      <c r="X1810" s="172">
        <v>46041.53076388889</v>
      </c>
      <c r="Y1810" s="172"/>
      <c r="Z1810" s="3">
        <v>46037.0</v>
      </c>
      <c r="AA1810" s="3"/>
    </row>
    <row r="1811">
      <c r="A1811" s="3">
        <v>6.867592020227E12</v>
      </c>
      <c r="B1811" s="2" t="s">
        <v>7554</v>
      </c>
      <c r="C1811" s="2" t="s">
        <v>7555</v>
      </c>
      <c r="D1811" s="169">
        <v>46037.0</v>
      </c>
      <c r="E1811" s="173" t="s">
        <v>7556</v>
      </c>
      <c r="F1811" s="2" t="s">
        <v>7557</v>
      </c>
      <c r="G1811" s="2" t="s">
        <v>3016</v>
      </c>
      <c r="H1811" s="2">
        <v>249.0</v>
      </c>
      <c r="I1811" s="2">
        <v>1.73010061848E11</v>
      </c>
      <c r="J1811" s="3">
        <v>0.0</v>
      </c>
      <c r="K1811" s="2" t="s">
        <v>499</v>
      </c>
      <c r="L1811" s="2"/>
      <c r="M1811" s="170" t="s">
        <v>455</v>
      </c>
      <c r="N1811" s="2" t="s">
        <v>406</v>
      </c>
      <c r="O1811" s="3">
        <v>0.5</v>
      </c>
      <c r="P1811" s="2" t="s">
        <v>501</v>
      </c>
      <c r="Q1811" s="3">
        <v>0.0</v>
      </c>
      <c r="U1811" s="141"/>
      <c r="W1811" s="3">
        <v>289.94</v>
      </c>
      <c r="X1811" s="172">
        <v>46067.00508116898</v>
      </c>
      <c r="Y1811" s="172"/>
      <c r="Z1811" s="3">
        <v>46037.0</v>
      </c>
      <c r="AA1811" s="3"/>
    </row>
    <row r="1812">
      <c r="A1812" s="3">
        <v>6.867618234627E12</v>
      </c>
      <c r="B1812" s="2" t="s">
        <v>7558</v>
      </c>
      <c r="C1812" s="2" t="s">
        <v>7559</v>
      </c>
      <c r="D1812" s="169">
        <v>46037.0</v>
      </c>
      <c r="E1812" s="2">
        <v>3.027112763E9</v>
      </c>
      <c r="F1812" s="2" t="s">
        <v>7560</v>
      </c>
      <c r="G1812" s="2" t="s">
        <v>7561</v>
      </c>
      <c r="H1812" s="2">
        <v>249.0</v>
      </c>
      <c r="I1812" s="2">
        <v>2.5120050021247E13</v>
      </c>
      <c r="J1812" s="3">
        <v>0.0</v>
      </c>
      <c r="K1812" s="2" t="s">
        <v>7562</v>
      </c>
      <c r="L1812" s="2"/>
      <c r="M1812" s="170" t="s">
        <v>455</v>
      </c>
      <c r="N1812" s="2" t="s">
        <v>406</v>
      </c>
      <c r="O1812" s="3">
        <v>0.5</v>
      </c>
      <c r="P1812" s="2" t="s">
        <v>363</v>
      </c>
      <c r="Q1812" s="3">
        <v>0.0</v>
      </c>
      <c r="T1812" s="2" t="s">
        <v>6123</v>
      </c>
      <c r="U1812" s="171">
        <v>0.0</v>
      </c>
      <c r="V1812" s="172">
        <v>46049.0</v>
      </c>
      <c r="W1812" s="3">
        <v>220.0</v>
      </c>
      <c r="X1812" s="172">
        <v>46048.31921296296</v>
      </c>
      <c r="Y1812" s="172"/>
      <c r="Z1812" s="3">
        <v>46037.0</v>
      </c>
      <c r="AA1812" s="3"/>
    </row>
    <row r="1813">
      <c r="A1813" s="3">
        <v>6.867624362243E12</v>
      </c>
      <c r="B1813" s="2" t="s">
        <v>7563</v>
      </c>
      <c r="C1813" s="2" t="s">
        <v>7564</v>
      </c>
      <c r="D1813" s="169">
        <v>46037.0</v>
      </c>
      <c r="E1813" s="2">
        <v>3.318502999E9</v>
      </c>
      <c r="F1813" s="2" t="s">
        <v>7565</v>
      </c>
      <c r="G1813" s="2" t="s">
        <v>493</v>
      </c>
      <c r="H1813" s="2">
        <v>3099.0</v>
      </c>
      <c r="I1813" s="2">
        <v>2.4120050021242E13</v>
      </c>
      <c r="J1813" s="3">
        <v>2.0</v>
      </c>
      <c r="K1813" s="2" t="s">
        <v>6682</v>
      </c>
      <c r="L1813" s="2" t="s">
        <v>228</v>
      </c>
      <c r="M1813" s="174" t="s">
        <v>409</v>
      </c>
      <c r="N1813" s="2" t="s">
        <v>462</v>
      </c>
      <c r="O1813" s="3">
        <v>0.5</v>
      </c>
      <c r="P1813" s="2" t="s">
        <v>363</v>
      </c>
      <c r="Q1813" s="3">
        <v>920.0</v>
      </c>
      <c r="T1813" s="2" t="s">
        <v>4910</v>
      </c>
      <c r="U1813" s="171">
        <v>3099.0</v>
      </c>
      <c r="V1813" s="172">
        <v>46042.0</v>
      </c>
      <c r="W1813" s="3">
        <v>337.4</v>
      </c>
      <c r="X1813" s="172">
        <v>46041.511296296296</v>
      </c>
      <c r="Y1813" s="172"/>
      <c r="Z1813" s="3">
        <v>46037.0</v>
      </c>
      <c r="AA1813" s="3"/>
    </row>
    <row r="1814">
      <c r="A1814" s="3">
        <v>6.867748454659E12</v>
      </c>
      <c r="B1814" s="2" t="s">
        <v>7566</v>
      </c>
      <c r="C1814" s="2" t="s">
        <v>7567</v>
      </c>
      <c r="D1814" s="169">
        <v>46037.0</v>
      </c>
      <c r="E1814" s="173" t="s">
        <v>7568</v>
      </c>
      <c r="F1814" s="2" t="s">
        <v>7569</v>
      </c>
      <c r="G1814" s="2" t="s">
        <v>506</v>
      </c>
      <c r="H1814" s="2">
        <v>3099.0</v>
      </c>
      <c r="I1814" s="2">
        <v>2.8120050021243E13</v>
      </c>
      <c r="J1814" s="3">
        <v>2.0</v>
      </c>
      <c r="K1814" s="2" t="s">
        <v>6682</v>
      </c>
      <c r="L1814" s="2" t="s">
        <v>1116</v>
      </c>
      <c r="M1814" s="174" t="s">
        <v>409</v>
      </c>
      <c r="N1814" s="2" t="s">
        <v>462</v>
      </c>
      <c r="O1814" s="3">
        <v>0.5</v>
      </c>
      <c r="P1814" s="2" t="s">
        <v>73</v>
      </c>
      <c r="Q1814" s="3">
        <v>960.0</v>
      </c>
      <c r="T1814" s="2" t="s">
        <v>4910</v>
      </c>
      <c r="U1814" s="171">
        <v>3099.0</v>
      </c>
      <c r="V1814" s="172">
        <v>46042.0</v>
      </c>
      <c r="W1814" s="3">
        <v>324.06</v>
      </c>
      <c r="X1814" s="172">
        <v>46039.625173611115</v>
      </c>
      <c r="Y1814" s="172"/>
      <c r="Z1814" s="3">
        <v>46037.0</v>
      </c>
      <c r="AA1814" s="3"/>
    </row>
    <row r="1815">
      <c r="A1815" s="3">
        <v>6.867751796995E12</v>
      </c>
      <c r="B1815" s="2" t="s">
        <v>7570</v>
      </c>
      <c r="C1815" s="2" t="s">
        <v>7571</v>
      </c>
      <c r="D1815" s="169">
        <v>46037.0</v>
      </c>
      <c r="E1815" s="173" t="s">
        <v>7572</v>
      </c>
      <c r="F1815" s="2" t="s">
        <v>7573</v>
      </c>
      <c r="G1815" s="2" t="s">
        <v>366</v>
      </c>
      <c r="H1815" s="2">
        <v>3100.0</v>
      </c>
      <c r="I1815" s="2">
        <v>2.7120050021246E13</v>
      </c>
      <c r="J1815" s="3">
        <v>2.0</v>
      </c>
      <c r="K1815" s="2" t="s">
        <v>7574</v>
      </c>
      <c r="L1815" s="2" t="s">
        <v>7575</v>
      </c>
      <c r="M1815" s="174" t="s">
        <v>409</v>
      </c>
      <c r="N1815" s="2" t="s">
        <v>462</v>
      </c>
      <c r="O1815" s="3">
        <v>0.5</v>
      </c>
      <c r="P1815" s="2" t="s">
        <v>363</v>
      </c>
      <c r="Q1815" s="3">
        <v>920.0</v>
      </c>
      <c r="T1815" s="2" t="s">
        <v>4910</v>
      </c>
      <c r="U1815" s="171">
        <v>3100.0</v>
      </c>
      <c r="V1815" s="172">
        <v>46042.0</v>
      </c>
      <c r="W1815" s="3">
        <v>344.11</v>
      </c>
      <c r="X1815" s="172">
        <v>46039.530752314815</v>
      </c>
      <c r="Y1815" s="172"/>
      <c r="Z1815" s="3">
        <v>46037.0</v>
      </c>
      <c r="AA1815" s="3"/>
    </row>
    <row r="1816">
      <c r="A1816" s="3">
        <v>6.867773063427E12</v>
      </c>
      <c r="B1816" s="2" t="s">
        <v>7576</v>
      </c>
      <c r="C1816" s="2" t="s">
        <v>7577</v>
      </c>
      <c r="D1816" s="169">
        <v>46037.0</v>
      </c>
      <c r="E1816" s="2">
        <v>3.339244423E9</v>
      </c>
      <c r="F1816" s="2" t="s">
        <v>7578</v>
      </c>
      <c r="G1816" s="2" t="s">
        <v>368</v>
      </c>
      <c r="H1816" s="2">
        <v>3099.0</v>
      </c>
      <c r="I1816" s="2">
        <v>2.7120050021244E13</v>
      </c>
      <c r="J1816" s="3">
        <v>2.0</v>
      </c>
      <c r="K1816" s="2" t="s">
        <v>6682</v>
      </c>
      <c r="L1816" s="2" t="s">
        <v>296</v>
      </c>
      <c r="M1816" s="174" t="s">
        <v>409</v>
      </c>
      <c r="N1816" s="2" t="s">
        <v>462</v>
      </c>
      <c r="O1816" s="3">
        <v>0.5</v>
      </c>
      <c r="P1816" s="2" t="s">
        <v>363</v>
      </c>
      <c r="Q1816" s="3">
        <v>920.0</v>
      </c>
      <c r="T1816" s="2" t="s">
        <v>4910</v>
      </c>
      <c r="U1816" s="171">
        <v>3099.0</v>
      </c>
      <c r="V1816" s="172">
        <v>46042.0</v>
      </c>
      <c r="W1816" s="3">
        <v>230.68</v>
      </c>
      <c r="X1816" s="172">
        <v>46039.51832175926</v>
      </c>
      <c r="Y1816" s="172"/>
      <c r="Z1816" s="3">
        <v>46037.0</v>
      </c>
      <c r="AA1816" s="3"/>
    </row>
    <row r="1817">
      <c r="A1817" s="3">
        <v>6.867800391939E12</v>
      </c>
      <c r="B1817" s="2" t="s">
        <v>7579</v>
      </c>
      <c r="C1817" s="2" t="s">
        <v>7580</v>
      </c>
      <c r="D1817" s="169">
        <v>46037.0</v>
      </c>
      <c r="E1817" s="173" t="s">
        <v>7581</v>
      </c>
      <c r="F1817" s="2" t="s">
        <v>7582</v>
      </c>
      <c r="G1817" s="2" t="s">
        <v>1619</v>
      </c>
      <c r="H1817" s="2">
        <v>2790.0</v>
      </c>
      <c r="I1817" s="2">
        <v>2.5120050021245E13</v>
      </c>
      <c r="J1817" s="3">
        <v>2.0</v>
      </c>
      <c r="K1817" s="2" t="s">
        <v>1989</v>
      </c>
      <c r="L1817" s="2" t="s">
        <v>7583</v>
      </c>
      <c r="M1817" s="174" t="s">
        <v>409</v>
      </c>
      <c r="N1817" s="2" t="s">
        <v>462</v>
      </c>
      <c r="O1817" s="3">
        <v>0.5</v>
      </c>
      <c r="P1817" s="2" t="s">
        <v>363</v>
      </c>
      <c r="Q1817" s="3">
        <v>920.0</v>
      </c>
      <c r="T1817" s="2" t="s">
        <v>3674</v>
      </c>
      <c r="U1817" s="19">
        <v>2790.0</v>
      </c>
      <c r="V1817" s="172">
        <v>46038.0</v>
      </c>
      <c r="W1817" s="3">
        <v>107.0</v>
      </c>
      <c r="X1817" s="172">
        <v>46038.4065162037</v>
      </c>
      <c r="Y1817" s="172"/>
      <c r="Z1817" s="3">
        <v>46037.0</v>
      </c>
      <c r="AA1817" s="3"/>
    </row>
    <row r="1818">
      <c r="A1818" s="3">
        <v>6.867830440195E12</v>
      </c>
      <c r="B1818" s="2" t="s">
        <v>7584</v>
      </c>
      <c r="C1818" s="2" t="s">
        <v>7585</v>
      </c>
      <c r="D1818" s="169">
        <v>46037.0</v>
      </c>
      <c r="E1818" s="173" t="s">
        <v>7586</v>
      </c>
      <c r="F1818" s="2" t="s">
        <v>7587</v>
      </c>
      <c r="G1818" s="2" t="s">
        <v>5915</v>
      </c>
      <c r="H1818" s="2">
        <v>249.0</v>
      </c>
      <c r="I1818" s="2">
        <v>2.0120050021284E13</v>
      </c>
      <c r="J1818" s="3">
        <v>0.0</v>
      </c>
      <c r="K1818" s="2" t="s">
        <v>7588</v>
      </c>
      <c r="L1818" s="2"/>
      <c r="M1818" s="170" t="s">
        <v>455</v>
      </c>
      <c r="N1818" s="2" t="s">
        <v>406</v>
      </c>
      <c r="O1818" s="3">
        <v>0.5</v>
      </c>
      <c r="P1818" s="2"/>
      <c r="Q1818" s="3">
        <v>0.0</v>
      </c>
      <c r="T1818" s="2" t="s">
        <v>6336</v>
      </c>
      <c r="U1818" s="171">
        <v>0.0</v>
      </c>
      <c r="V1818" s="172">
        <v>46052.0</v>
      </c>
      <c r="W1818" s="3">
        <v>200.0</v>
      </c>
      <c r="X1818" s="172">
        <v>46050.84106481481</v>
      </c>
      <c r="Y1818" s="172"/>
      <c r="Z1818" s="3">
        <v>46037.0</v>
      </c>
      <c r="AA1818" s="3"/>
    </row>
    <row r="1819">
      <c r="A1819" s="3">
        <v>6.867838861571E12</v>
      </c>
      <c r="B1819" s="2" t="s">
        <v>7589</v>
      </c>
      <c r="C1819" s="2" t="s">
        <v>3124</v>
      </c>
      <c r="D1819" s="169">
        <v>46037.0</v>
      </c>
      <c r="E1819" s="2">
        <v>3.214442478E9</v>
      </c>
      <c r="F1819" s="2" t="s">
        <v>3125</v>
      </c>
      <c r="G1819" s="2" t="s">
        <v>368</v>
      </c>
      <c r="H1819" s="2">
        <v>2799.0</v>
      </c>
      <c r="I1819" s="2">
        <v>2.71200500213E13</v>
      </c>
      <c r="J1819" s="3">
        <v>1.0</v>
      </c>
      <c r="K1819" s="2" t="s">
        <v>7590</v>
      </c>
      <c r="L1819" s="2" t="s">
        <v>1289</v>
      </c>
      <c r="M1819" s="174" t="s">
        <v>409</v>
      </c>
      <c r="N1819" s="2" t="s">
        <v>462</v>
      </c>
      <c r="O1819" s="3">
        <v>0.5</v>
      </c>
      <c r="P1819" s="2"/>
      <c r="Q1819" s="3">
        <v>850.0</v>
      </c>
      <c r="T1819" s="2" t="s">
        <v>4910</v>
      </c>
      <c r="U1819" s="171">
        <v>2799.0</v>
      </c>
      <c r="V1819" s="172">
        <v>46042.0</v>
      </c>
      <c r="W1819" s="3">
        <v>218.68</v>
      </c>
      <c r="X1819" s="172">
        <v>46041.72386574074</v>
      </c>
      <c r="Y1819" s="172"/>
      <c r="Z1819" s="3">
        <v>46037.0</v>
      </c>
      <c r="AA1819" s="3"/>
    </row>
    <row r="1820">
      <c r="A1820" s="3">
        <v>6.867852919043E12</v>
      </c>
      <c r="B1820" s="2" t="s">
        <v>7591</v>
      </c>
      <c r="C1820" s="2" t="s">
        <v>7592</v>
      </c>
      <c r="D1820" s="169">
        <v>46037.0</v>
      </c>
      <c r="E1820" s="2">
        <v>3.360880933E9</v>
      </c>
      <c r="F1820" s="2" t="s">
        <v>7593</v>
      </c>
      <c r="G1820" s="2" t="s">
        <v>493</v>
      </c>
      <c r="H1820" s="2">
        <v>3099.0</v>
      </c>
      <c r="I1820" s="2">
        <v>2.2120050021273E13</v>
      </c>
      <c r="J1820" s="3">
        <v>2.0</v>
      </c>
      <c r="K1820" s="2" t="s">
        <v>7594</v>
      </c>
      <c r="L1820" s="2" t="s">
        <v>1116</v>
      </c>
      <c r="M1820" s="174" t="s">
        <v>409</v>
      </c>
      <c r="N1820" s="2" t="s">
        <v>462</v>
      </c>
      <c r="O1820" s="3">
        <v>0.5</v>
      </c>
      <c r="P1820" s="2"/>
      <c r="Q1820" s="3">
        <v>960.0</v>
      </c>
      <c r="U1820" s="171">
        <v>3099.0</v>
      </c>
      <c r="W1820" s="3">
        <v>337.0</v>
      </c>
      <c r="X1820" s="172">
        <v>46043.682129629626</v>
      </c>
      <c r="Y1820" s="172"/>
      <c r="Z1820" s="3">
        <v>46037.0</v>
      </c>
      <c r="AA1820" s="3"/>
    </row>
    <row r="1821">
      <c r="A1821" s="3">
        <v>6.867884474627E12</v>
      </c>
      <c r="B1821" s="2" t="s">
        <v>7595</v>
      </c>
      <c r="C1821" s="2" t="s">
        <v>7596</v>
      </c>
      <c r="D1821" s="169">
        <v>46037.0</v>
      </c>
      <c r="E1821" s="173" t="s">
        <v>7597</v>
      </c>
      <c r="F1821" s="2" t="s">
        <v>7598</v>
      </c>
      <c r="G1821" s="2" t="s">
        <v>781</v>
      </c>
      <c r="H1821" s="2">
        <v>6698.0</v>
      </c>
      <c r="I1821" s="2">
        <v>1.73010062158E11</v>
      </c>
      <c r="J1821" s="3">
        <v>4.0</v>
      </c>
      <c r="K1821" s="2" t="s">
        <v>7599</v>
      </c>
      <c r="L1821" s="2" t="s">
        <v>7600</v>
      </c>
      <c r="M1821" s="174" t="s">
        <v>409</v>
      </c>
      <c r="N1821" s="2" t="s">
        <v>462</v>
      </c>
      <c r="O1821" s="3">
        <v>0.5</v>
      </c>
      <c r="P1821" s="2" t="s">
        <v>501</v>
      </c>
      <c r="Q1821" s="3">
        <v>2660.0</v>
      </c>
      <c r="T1821" s="2" t="s">
        <v>7012</v>
      </c>
      <c r="U1821" s="19">
        <v>6698.0</v>
      </c>
      <c r="V1821" s="172">
        <v>46023.0</v>
      </c>
      <c r="W1821" s="3">
        <v>498.74</v>
      </c>
      <c r="X1821" s="172">
        <v>46057.6506594213</v>
      </c>
      <c r="Y1821" s="172"/>
      <c r="Z1821" s="3">
        <v>46037.0</v>
      </c>
      <c r="AA1821" s="3"/>
    </row>
    <row r="1822">
      <c r="A1822" s="3">
        <v>6.867885162755E12</v>
      </c>
      <c r="B1822" s="2" t="s">
        <v>7601</v>
      </c>
      <c r="C1822" s="2" t="s">
        <v>7602</v>
      </c>
      <c r="D1822" s="169">
        <v>46037.0</v>
      </c>
      <c r="E1822" s="173" t="s">
        <v>7603</v>
      </c>
      <c r="F1822" s="2" t="s">
        <v>7604</v>
      </c>
      <c r="G1822" s="2" t="s">
        <v>493</v>
      </c>
      <c r="H1822" s="2">
        <v>1449.0</v>
      </c>
      <c r="I1822" s="2">
        <v>2.2120050021272E13</v>
      </c>
      <c r="J1822" s="3">
        <v>1.0</v>
      </c>
      <c r="K1822" s="2" t="s">
        <v>7605</v>
      </c>
      <c r="L1822" s="2" t="s">
        <v>1324</v>
      </c>
      <c r="M1822" s="174" t="s">
        <v>409</v>
      </c>
      <c r="N1822" s="2" t="s">
        <v>462</v>
      </c>
      <c r="O1822" s="3">
        <v>0.5</v>
      </c>
      <c r="P1822" s="2"/>
      <c r="Q1822" s="3">
        <v>550.0</v>
      </c>
      <c r="T1822" s="2" t="s">
        <v>4910</v>
      </c>
      <c r="U1822" s="171">
        <v>1449.0</v>
      </c>
      <c r="V1822" s="172">
        <v>46042.0</v>
      </c>
      <c r="W1822" s="3">
        <v>271.4</v>
      </c>
      <c r="X1822" s="172">
        <v>46041.66893518518</v>
      </c>
      <c r="Y1822" s="172"/>
      <c r="Z1822" s="3">
        <v>46037.0</v>
      </c>
      <c r="AA1822" s="3"/>
    </row>
    <row r="1823">
      <c r="A1823" s="3">
        <v>6.867888275715E12</v>
      </c>
      <c r="B1823" s="2" t="s">
        <v>7606</v>
      </c>
      <c r="C1823" s="2" t="s">
        <v>7596</v>
      </c>
      <c r="D1823" s="169">
        <v>46037.0</v>
      </c>
      <c r="E1823" s="2">
        <v>3.400943776E9</v>
      </c>
      <c r="F1823" s="2" t="s">
        <v>7607</v>
      </c>
      <c r="G1823" s="2" t="s">
        <v>781</v>
      </c>
      <c r="H1823" s="2">
        <v>0.0</v>
      </c>
      <c r="J1823" s="3">
        <v>0.0</v>
      </c>
      <c r="K1823" s="2" t="s">
        <v>760</v>
      </c>
      <c r="L1823" s="2"/>
      <c r="M1823" s="2" t="s">
        <v>468</v>
      </c>
      <c r="N1823" s="2" t="s">
        <v>406</v>
      </c>
      <c r="O1823" s="3">
        <v>0.5</v>
      </c>
      <c r="Q1823" s="3">
        <v>0.0</v>
      </c>
      <c r="U1823" s="141"/>
      <c r="X1823" s="172">
        <v>46057.64278285879</v>
      </c>
      <c r="Y1823" s="172"/>
      <c r="Z1823" s="3">
        <v>46037.0</v>
      </c>
      <c r="AA1823" s="3"/>
    </row>
    <row r="1824">
      <c r="A1824" s="3">
        <v>6.867920388355E12</v>
      </c>
      <c r="B1824" s="2" t="s">
        <v>7608</v>
      </c>
      <c r="C1824" s="2" t="s">
        <v>7609</v>
      </c>
      <c r="D1824" s="169">
        <v>46037.0</v>
      </c>
      <c r="E1824" s="2">
        <v>3.459399888E9</v>
      </c>
      <c r="F1824" s="2" t="s">
        <v>7610</v>
      </c>
      <c r="G1824" s="2" t="s">
        <v>7611</v>
      </c>
      <c r="H1824" s="2">
        <v>249.0</v>
      </c>
      <c r="I1824" s="2">
        <v>1.73010063128E11</v>
      </c>
      <c r="J1824" s="3">
        <v>0.0</v>
      </c>
      <c r="K1824" s="2" t="s">
        <v>7612</v>
      </c>
      <c r="L1824" s="2"/>
      <c r="M1824" s="170" t="s">
        <v>455</v>
      </c>
      <c r="N1824" s="2" t="s">
        <v>406</v>
      </c>
      <c r="O1824" s="3">
        <v>0.5</v>
      </c>
      <c r="P1824" s="2" t="s">
        <v>501</v>
      </c>
      <c r="Q1824" s="3">
        <v>0.0</v>
      </c>
      <c r="U1824" s="141"/>
      <c r="W1824" s="3">
        <v>289.94</v>
      </c>
      <c r="X1824" s="172">
        <v>46067.005090555554</v>
      </c>
      <c r="Y1824" s="172"/>
      <c r="Z1824" s="3">
        <v>46037.0</v>
      </c>
      <c r="AA1824" s="3"/>
    </row>
    <row r="1825">
      <c r="A1825" s="3">
        <v>6.867941687555E12</v>
      </c>
      <c r="B1825" s="2" t="s">
        <v>7613</v>
      </c>
      <c r="C1825" s="2" t="s">
        <v>7614</v>
      </c>
      <c r="D1825" s="169">
        <v>46037.0</v>
      </c>
      <c r="E1825" s="2">
        <v>3.212577113E9</v>
      </c>
      <c r="F1825" s="2" t="s">
        <v>7615</v>
      </c>
      <c r="G1825" s="2" t="s">
        <v>7616</v>
      </c>
      <c r="H1825" s="2">
        <v>249.0</v>
      </c>
      <c r="I1825" s="2">
        <v>2.6120050021279E13</v>
      </c>
      <c r="J1825" s="3">
        <v>0.0</v>
      </c>
      <c r="K1825" s="2" t="s">
        <v>7617</v>
      </c>
      <c r="L1825" s="2"/>
      <c r="M1825" s="170" t="s">
        <v>455</v>
      </c>
      <c r="N1825" s="2" t="s">
        <v>406</v>
      </c>
      <c r="O1825" s="3">
        <v>0.5</v>
      </c>
      <c r="P1825" s="2"/>
      <c r="Q1825" s="3">
        <v>0.0</v>
      </c>
      <c r="T1825" s="2" t="s">
        <v>6336</v>
      </c>
      <c r="U1825" s="171">
        <v>0.0</v>
      </c>
      <c r="V1825" s="172">
        <v>46052.0</v>
      </c>
      <c r="W1825" s="3">
        <v>227.0</v>
      </c>
      <c r="X1825" s="172">
        <v>46050.84106481481</v>
      </c>
      <c r="Y1825" s="172"/>
      <c r="Z1825" s="3">
        <v>46037.0</v>
      </c>
      <c r="AA1825" s="3"/>
    </row>
    <row r="1826">
      <c r="A1826" s="3">
        <v>6.867942080771E12</v>
      </c>
      <c r="B1826" s="2" t="s">
        <v>7618</v>
      </c>
      <c r="C1826" s="2" t="s">
        <v>7619</v>
      </c>
      <c r="D1826" s="169">
        <v>46037.0</v>
      </c>
      <c r="E1826" s="2">
        <v>3.058855255E9</v>
      </c>
      <c r="F1826" s="2" t="s">
        <v>7620</v>
      </c>
      <c r="G1826" s="2" t="s">
        <v>368</v>
      </c>
      <c r="H1826" s="2">
        <v>5900.0</v>
      </c>
      <c r="I1826" s="2">
        <v>2.4120050021271E13</v>
      </c>
      <c r="J1826" s="3">
        <v>3.0</v>
      </c>
      <c r="K1826" s="2" t="s">
        <v>7621</v>
      </c>
      <c r="L1826" s="2" t="s">
        <v>7622</v>
      </c>
      <c r="M1826" s="174" t="s">
        <v>409</v>
      </c>
      <c r="N1826" s="2" t="s">
        <v>462</v>
      </c>
      <c r="O1826" s="3">
        <v>0.5</v>
      </c>
      <c r="P1826" s="2"/>
      <c r="Q1826" s="3">
        <v>2400.0</v>
      </c>
      <c r="T1826" s="2" t="s">
        <v>4910</v>
      </c>
      <c r="U1826" s="171">
        <v>5900.0</v>
      </c>
      <c r="V1826" s="172">
        <v>46042.0</v>
      </c>
      <c r="W1826" s="3">
        <v>356.06</v>
      </c>
      <c r="X1826" s="172">
        <v>46039.55017361111</v>
      </c>
      <c r="Y1826" s="172"/>
      <c r="Z1826" s="3">
        <v>46037.0</v>
      </c>
      <c r="AA1826" s="3"/>
    </row>
    <row r="1827">
      <c r="A1827" s="3">
        <v>6.867965116675E12</v>
      </c>
      <c r="B1827" s="2" t="s">
        <v>7623</v>
      </c>
      <c r="C1827" s="2" t="s">
        <v>5038</v>
      </c>
      <c r="D1827" s="169">
        <v>46037.0</v>
      </c>
      <c r="E1827" s="173" t="s">
        <v>5039</v>
      </c>
      <c r="F1827" s="2" t="s">
        <v>6842</v>
      </c>
      <c r="G1827" s="2" t="s">
        <v>5041</v>
      </c>
      <c r="H1827" s="2">
        <v>2849.0</v>
      </c>
      <c r="I1827" s="2">
        <v>2.5120050021283E13</v>
      </c>
      <c r="J1827" s="3">
        <v>2.0</v>
      </c>
      <c r="K1827" s="2" t="s">
        <v>7624</v>
      </c>
      <c r="L1827" s="2" t="s">
        <v>5839</v>
      </c>
      <c r="M1827" s="174" t="s">
        <v>409</v>
      </c>
      <c r="N1827" s="2" t="s">
        <v>462</v>
      </c>
      <c r="O1827" s="3">
        <v>0.5</v>
      </c>
      <c r="P1827" s="2"/>
      <c r="Q1827" s="3">
        <v>1050.0</v>
      </c>
      <c r="T1827" s="2" t="s">
        <v>4910</v>
      </c>
      <c r="U1827" s="171">
        <v>2849.0</v>
      </c>
      <c r="V1827" s="172">
        <v>46042.0</v>
      </c>
      <c r="W1827" s="3">
        <v>327.4</v>
      </c>
      <c r="X1827" s="172">
        <v>46041.623831018514</v>
      </c>
      <c r="Y1827" s="172"/>
      <c r="Z1827" s="3">
        <v>46037.0</v>
      </c>
      <c r="AA1827" s="3"/>
    </row>
    <row r="1828">
      <c r="A1828" s="3">
        <v>6.868050772227E12</v>
      </c>
      <c r="B1828" s="2" t="s">
        <v>7625</v>
      </c>
      <c r="C1828" s="2" t="s">
        <v>7626</v>
      </c>
      <c r="D1828" s="169">
        <v>46037.0</v>
      </c>
      <c r="E1828" s="2">
        <v>3.339509302E9</v>
      </c>
      <c r="F1828" s="2" t="s">
        <v>7627</v>
      </c>
      <c r="G1828" s="2" t="s">
        <v>7298</v>
      </c>
      <c r="H1828" s="2">
        <v>0.0</v>
      </c>
      <c r="J1828" s="3">
        <v>0.0</v>
      </c>
      <c r="K1828" s="2" t="s">
        <v>7628</v>
      </c>
      <c r="L1828" s="2"/>
      <c r="M1828" s="2" t="s">
        <v>468</v>
      </c>
      <c r="N1828" s="2" t="s">
        <v>406</v>
      </c>
      <c r="O1828" s="3">
        <v>0.5</v>
      </c>
      <c r="Q1828" s="3">
        <v>0.0</v>
      </c>
      <c r="U1828" s="141"/>
      <c r="X1828" s="172">
        <v>46057.64278285879</v>
      </c>
      <c r="Y1828" s="172"/>
      <c r="Z1828" s="3">
        <v>46037.0</v>
      </c>
      <c r="AA1828" s="3"/>
    </row>
    <row r="1829">
      <c r="A1829" s="3">
        <v>6.868064534787E12</v>
      </c>
      <c r="B1829" s="2" t="s">
        <v>7629</v>
      </c>
      <c r="C1829" s="2" t="s">
        <v>7630</v>
      </c>
      <c r="D1829" s="169">
        <v>46037.0</v>
      </c>
      <c r="E1829" s="2">
        <v>3.346818886E9</v>
      </c>
      <c r="F1829" s="2" t="s">
        <v>7631</v>
      </c>
      <c r="G1829" s="2" t="s">
        <v>493</v>
      </c>
      <c r="H1829" s="2">
        <v>249.0</v>
      </c>
      <c r="I1829" s="2">
        <v>2.4120050021282E13</v>
      </c>
      <c r="J1829" s="3">
        <v>0.0</v>
      </c>
      <c r="K1829" s="2" t="s">
        <v>7632</v>
      </c>
      <c r="L1829" s="2"/>
      <c r="M1829" s="174" t="s">
        <v>409</v>
      </c>
      <c r="N1829" s="2" t="s">
        <v>406</v>
      </c>
      <c r="O1829" s="3">
        <v>0.5</v>
      </c>
      <c r="P1829" s="2"/>
      <c r="Q1829" s="3">
        <v>0.0</v>
      </c>
      <c r="T1829" s="2" t="s">
        <v>4910</v>
      </c>
      <c r="U1829" s="2">
        <v>249.0</v>
      </c>
      <c r="V1829" s="172">
        <v>46042.0</v>
      </c>
      <c r="W1829" s="3">
        <v>396.7</v>
      </c>
      <c r="X1829" s="172">
        <v>46041.53146990741</v>
      </c>
      <c r="Y1829" s="172"/>
      <c r="Z1829" s="3">
        <v>46037.0</v>
      </c>
      <c r="AA1829" s="3"/>
    </row>
    <row r="1830">
      <c r="A1830" s="3">
        <v>6.868147372291E12</v>
      </c>
      <c r="B1830" s="2" t="s">
        <v>7633</v>
      </c>
      <c r="C1830" s="2" t="s">
        <v>7634</v>
      </c>
      <c r="D1830" s="169">
        <v>46037.0</v>
      </c>
      <c r="E1830" s="2">
        <v>3.008663989E9</v>
      </c>
      <c r="F1830" s="2" t="s">
        <v>7635</v>
      </c>
      <c r="G1830" s="2" t="s">
        <v>7636</v>
      </c>
      <c r="H1830" s="2">
        <v>249.0</v>
      </c>
      <c r="I1830" s="2">
        <v>2.3120050021278E13</v>
      </c>
      <c r="J1830" s="3">
        <v>0.0</v>
      </c>
      <c r="K1830" s="2" t="s">
        <v>7637</v>
      </c>
      <c r="L1830" s="2"/>
      <c r="M1830" s="170" t="s">
        <v>455</v>
      </c>
      <c r="N1830" s="2" t="s">
        <v>406</v>
      </c>
      <c r="O1830" s="3">
        <v>0.5</v>
      </c>
      <c r="P1830" s="2"/>
      <c r="Q1830" s="3">
        <v>0.0</v>
      </c>
      <c r="T1830" s="2" t="s">
        <v>6123</v>
      </c>
      <c r="U1830" s="171">
        <v>0.0</v>
      </c>
      <c r="V1830" s="172">
        <v>46049.0</v>
      </c>
      <c r="W1830" s="3">
        <v>200.0</v>
      </c>
      <c r="X1830" s="172">
        <v>46046.82884259259</v>
      </c>
      <c r="Y1830" s="172"/>
      <c r="Z1830" s="3">
        <v>46037.0</v>
      </c>
      <c r="AA1830" s="3"/>
    </row>
    <row r="1831">
      <c r="A1831" s="3">
        <v>6.868197507331E12</v>
      </c>
      <c r="B1831" s="2" t="s">
        <v>7638</v>
      </c>
      <c r="C1831" s="2" t="s">
        <v>7639</v>
      </c>
      <c r="D1831" s="169">
        <v>46037.0</v>
      </c>
      <c r="E1831" s="173" t="s">
        <v>7640</v>
      </c>
      <c r="F1831" s="2" t="s">
        <v>7641</v>
      </c>
      <c r="G1831" s="2" t="s">
        <v>5915</v>
      </c>
      <c r="H1831" s="2">
        <v>249.0</v>
      </c>
      <c r="I1831" s="2">
        <v>1.73010063909E11</v>
      </c>
      <c r="J1831" s="3">
        <v>0.0</v>
      </c>
      <c r="K1831" s="2" t="s">
        <v>499</v>
      </c>
      <c r="L1831" s="2"/>
      <c r="M1831" s="170" t="s">
        <v>455</v>
      </c>
      <c r="N1831" s="2" t="s">
        <v>406</v>
      </c>
      <c r="O1831" s="3">
        <v>0.5</v>
      </c>
      <c r="P1831" s="2" t="s">
        <v>501</v>
      </c>
      <c r="Q1831" s="3">
        <v>0.0</v>
      </c>
      <c r="U1831" s="141"/>
      <c r="W1831" s="3">
        <v>289.94</v>
      </c>
      <c r="X1831" s="172">
        <v>46067.005098865746</v>
      </c>
      <c r="Y1831" s="172"/>
      <c r="Z1831" s="3">
        <v>46037.0</v>
      </c>
      <c r="AA1831" s="3"/>
    </row>
    <row r="1832">
      <c r="A1832" s="3">
        <v>6.868271759619E12</v>
      </c>
      <c r="B1832" s="2" t="s">
        <v>7642</v>
      </c>
      <c r="C1832" s="2" t="s">
        <v>7643</v>
      </c>
      <c r="D1832" s="169">
        <v>46037.0</v>
      </c>
      <c r="E1832" s="2">
        <v>3.498482751E9</v>
      </c>
      <c r="F1832" s="2" t="s">
        <v>7644</v>
      </c>
      <c r="G1832" s="2" t="s">
        <v>461</v>
      </c>
      <c r="H1832" s="2">
        <v>0.0</v>
      </c>
      <c r="J1832" s="3">
        <v>0.0</v>
      </c>
      <c r="K1832" s="2" t="s">
        <v>571</v>
      </c>
      <c r="L1832" s="2"/>
      <c r="M1832" s="2" t="s">
        <v>468</v>
      </c>
      <c r="N1832" s="2" t="s">
        <v>406</v>
      </c>
      <c r="O1832" s="3">
        <v>0.5</v>
      </c>
      <c r="Q1832" s="3">
        <v>0.0</v>
      </c>
      <c r="U1832" s="141"/>
      <c r="X1832" s="172">
        <v>46057.64278285879</v>
      </c>
      <c r="Y1832" s="172"/>
      <c r="Z1832" s="3">
        <v>46037.0</v>
      </c>
      <c r="AA1832" s="3"/>
    </row>
    <row r="1833">
      <c r="A1833" s="3">
        <v>6.868281786627E12</v>
      </c>
      <c r="B1833" s="2" t="s">
        <v>7645</v>
      </c>
      <c r="C1833" s="2" t="s">
        <v>7643</v>
      </c>
      <c r="D1833" s="169">
        <v>46037.0</v>
      </c>
      <c r="E1833" s="173" t="s">
        <v>7646</v>
      </c>
      <c r="F1833" s="2" t="s">
        <v>7644</v>
      </c>
      <c r="G1833" s="2" t="s">
        <v>461</v>
      </c>
      <c r="H1833" s="2">
        <v>249.0</v>
      </c>
      <c r="I1833" s="2">
        <v>2.0120050021299E13</v>
      </c>
      <c r="J1833" s="3">
        <v>0.0</v>
      </c>
      <c r="K1833" s="2" t="s">
        <v>7647</v>
      </c>
      <c r="L1833" s="2"/>
      <c r="M1833" s="170" t="s">
        <v>455</v>
      </c>
      <c r="N1833" s="2" t="s">
        <v>406</v>
      </c>
      <c r="O1833" s="3">
        <v>0.5</v>
      </c>
      <c r="P1833" s="2"/>
      <c r="Q1833" s="3">
        <v>0.0</v>
      </c>
      <c r="T1833" s="2" t="s">
        <v>6123</v>
      </c>
      <c r="U1833" s="171">
        <v>0.0</v>
      </c>
      <c r="V1833" s="172">
        <v>46049.0</v>
      </c>
      <c r="W1833" s="3">
        <v>220.0</v>
      </c>
      <c r="X1833" s="172">
        <v>46046.82884259259</v>
      </c>
      <c r="Y1833" s="172"/>
      <c r="Z1833" s="3">
        <v>46037.0</v>
      </c>
      <c r="AA1833" s="3"/>
    </row>
    <row r="1834">
      <c r="A1834" s="3">
        <v>6.868314587395E12</v>
      </c>
      <c r="B1834" s="2" t="s">
        <v>7648</v>
      </c>
      <c r="C1834" s="2" t="s">
        <v>7649</v>
      </c>
      <c r="D1834" s="169">
        <v>46037.0</v>
      </c>
      <c r="E1834" s="2">
        <v>3.008403114E9</v>
      </c>
      <c r="F1834" s="2" t="s">
        <v>7650</v>
      </c>
      <c r="G1834" s="2" t="s">
        <v>368</v>
      </c>
      <c r="H1834" s="2">
        <v>5049.0</v>
      </c>
      <c r="I1834" s="2">
        <v>2.412005002127E13</v>
      </c>
      <c r="J1834" s="3">
        <v>3.0</v>
      </c>
      <c r="K1834" s="2" t="s">
        <v>7651</v>
      </c>
      <c r="L1834" s="2" t="s">
        <v>7652</v>
      </c>
      <c r="M1834" s="174" t="s">
        <v>409</v>
      </c>
      <c r="N1834" s="2" t="s">
        <v>462</v>
      </c>
      <c r="O1834" s="3">
        <v>0.5</v>
      </c>
      <c r="P1834" s="2"/>
      <c r="Q1834" s="3">
        <v>1610.0</v>
      </c>
      <c r="T1834" s="2" t="s">
        <v>4910</v>
      </c>
      <c r="U1834" s="171">
        <v>5049.0</v>
      </c>
      <c r="V1834" s="172">
        <v>46042.0</v>
      </c>
      <c r="W1834" s="3">
        <v>322.02</v>
      </c>
      <c r="X1834" s="172">
        <v>46039.54119212963</v>
      </c>
      <c r="Y1834" s="172"/>
      <c r="Z1834" s="3">
        <v>46037.0</v>
      </c>
      <c r="AA1834" s="3"/>
    </row>
    <row r="1835">
      <c r="A1835" s="3">
        <v>6.868381401347E12</v>
      </c>
      <c r="B1835" s="2" t="s">
        <v>7653</v>
      </c>
      <c r="C1835" s="2" t="s">
        <v>7654</v>
      </c>
      <c r="D1835" s="169">
        <v>46038.0</v>
      </c>
      <c r="E1835" s="2">
        <v>3.19313667E9</v>
      </c>
      <c r="F1835" s="2" t="s">
        <v>7655</v>
      </c>
      <c r="G1835" s="2" t="s">
        <v>781</v>
      </c>
      <c r="H1835" s="2">
        <v>3099.0</v>
      </c>
      <c r="I1835" s="2">
        <v>2.4120050021281E13</v>
      </c>
      <c r="J1835" s="3">
        <v>2.0</v>
      </c>
      <c r="K1835" s="2" t="s">
        <v>7656</v>
      </c>
      <c r="L1835" s="2" t="s">
        <v>1143</v>
      </c>
      <c r="M1835" s="174" t="s">
        <v>409</v>
      </c>
      <c r="N1835" s="2" t="s">
        <v>462</v>
      </c>
      <c r="O1835" s="3">
        <v>0.5</v>
      </c>
      <c r="P1835" s="2"/>
      <c r="Q1835" s="3">
        <v>960.0</v>
      </c>
      <c r="U1835" s="171">
        <v>3099.0</v>
      </c>
      <c r="W1835" s="3">
        <v>337.0</v>
      </c>
      <c r="X1835" s="172">
        <v>46042.5328587963</v>
      </c>
      <c r="Y1835" s="172"/>
      <c r="Z1835" s="3">
        <v>46038.0</v>
      </c>
      <c r="AA1835" s="3"/>
    </row>
    <row r="1836">
      <c r="A1836" s="3">
        <v>6.868473544963E12</v>
      </c>
      <c r="B1836" s="2" t="s">
        <v>7657</v>
      </c>
      <c r="C1836" s="2" t="s">
        <v>5008</v>
      </c>
      <c r="D1836" s="169">
        <v>46038.0</v>
      </c>
      <c r="E1836" s="2">
        <v>3.235165353E9</v>
      </c>
      <c r="F1836" s="2" t="s">
        <v>7658</v>
      </c>
      <c r="G1836" s="2" t="s">
        <v>506</v>
      </c>
      <c r="H1836" s="2">
        <v>249.0</v>
      </c>
      <c r="I1836" s="2">
        <v>2.1120050021269E13</v>
      </c>
      <c r="J1836" s="3">
        <v>0.0</v>
      </c>
      <c r="K1836" s="2" t="s">
        <v>7659</v>
      </c>
      <c r="L1836" s="2"/>
      <c r="M1836" s="170" t="s">
        <v>455</v>
      </c>
      <c r="N1836" s="2" t="s">
        <v>406</v>
      </c>
      <c r="O1836" s="3">
        <v>0.5</v>
      </c>
      <c r="P1836" s="2" t="s">
        <v>73</v>
      </c>
      <c r="Q1836" s="3">
        <v>0.0</v>
      </c>
      <c r="T1836" s="2" t="s">
        <v>6123</v>
      </c>
      <c r="U1836" s="171">
        <v>0.0</v>
      </c>
      <c r="V1836" s="172">
        <v>46049.0</v>
      </c>
      <c r="W1836" s="3">
        <v>200.0</v>
      </c>
      <c r="X1836" s="172">
        <v>46046.82884259259</v>
      </c>
      <c r="Y1836" s="172"/>
      <c r="Z1836" s="3">
        <v>46038.0</v>
      </c>
      <c r="AA1836" s="3"/>
    </row>
    <row r="1837">
      <c r="A1837" s="3">
        <v>6.868487667971E12</v>
      </c>
      <c r="B1837" s="2" t="s">
        <v>7660</v>
      </c>
      <c r="C1837" s="2" t="s">
        <v>7661</v>
      </c>
      <c r="D1837" s="169">
        <v>46038.0</v>
      </c>
      <c r="E1837" s="2">
        <v>3.116934115E9</v>
      </c>
      <c r="F1837" s="2" t="s">
        <v>7662</v>
      </c>
      <c r="G1837" s="2" t="s">
        <v>368</v>
      </c>
      <c r="H1837" s="2">
        <v>249.0</v>
      </c>
      <c r="I1837" s="2">
        <v>2.4120050021268E13</v>
      </c>
      <c r="J1837" s="3">
        <v>0.0</v>
      </c>
      <c r="K1837" s="2" t="s">
        <v>7663</v>
      </c>
      <c r="L1837" s="2"/>
      <c r="M1837" s="170" t="s">
        <v>455</v>
      </c>
      <c r="N1837" s="2" t="s">
        <v>406</v>
      </c>
      <c r="O1837" s="3">
        <v>0.5</v>
      </c>
      <c r="P1837" s="2"/>
      <c r="Q1837" s="3">
        <v>0.0</v>
      </c>
      <c r="T1837" s="2" t="s">
        <v>6123</v>
      </c>
      <c r="U1837" s="171">
        <v>0.0</v>
      </c>
      <c r="V1837" s="172">
        <v>46049.0</v>
      </c>
      <c r="W1837" s="3">
        <v>107.0</v>
      </c>
      <c r="X1837" s="172">
        <v>46046.82884259259</v>
      </c>
      <c r="Y1837" s="172"/>
      <c r="Z1837" s="3">
        <v>46038.0</v>
      </c>
      <c r="AA1837" s="3"/>
    </row>
    <row r="1838">
      <c r="A1838" s="3">
        <v>6.868543045891E12</v>
      </c>
      <c r="B1838" s="2" t="s">
        <v>7664</v>
      </c>
      <c r="C1838" s="2" t="s">
        <v>7665</v>
      </c>
      <c r="D1838" s="169">
        <v>46038.0</v>
      </c>
      <c r="E1838" s="2">
        <v>3.474949491E9</v>
      </c>
      <c r="F1838" s="2" t="s">
        <v>7666</v>
      </c>
      <c r="G1838" s="2" t="s">
        <v>506</v>
      </c>
      <c r="H1838" s="2">
        <v>4248.0</v>
      </c>
      <c r="I1838" s="2">
        <v>2.2120050021298E13</v>
      </c>
      <c r="J1838" s="3">
        <v>2.0</v>
      </c>
      <c r="K1838" s="2" t="s">
        <v>7667</v>
      </c>
      <c r="L1838" s="2" t="s">
        <v>994</v>
      </c>
      <c r="M1838" s="174" t="s">
        <v>409</v>
      </c>
      <c r="N1838" s="2" t="s">
        <v>462</v>
      </c>
      <c r="O1838" s="3">
        <v>0.5</v>
      </c>
      <c r="P1838" s="2"/>
      <c r="Q1838" s="3">
        <v>1700.0</v>
      </c>
      <c r="T1838" s="2" t="s">
        <v>4910</v>
      </c>
      <c r="U1838" s="171">
        <v>4248.0</v>
      </c>
      <c r="V1838" s="172">
        <v>46042.0</v>
      </c>
      <c r="W1838" s="3">
        <v>390.03</v>
      </c>
      <c r="X1838" s="172">
        <v>46041.55991898148</v>
      </c>
      <c r="Y1838" s="172"/>
      <c r="Z1838" s="3">
        <v>46038.0</v>
      </c>
      <c r="AA1838" s="3"/>
    </row>
    <row r="1839">
      <c r="A1839" s="3">
        <v>6.868800569603E12</v>
      </c>
      <c r="B1839" s="2" t="s">
        <v>7668</v>
      </c>
      <c r="C1839" s="2" t="s">
        <v>7669</v>
      </c>
      <c r="D1839" s="169">
        <v>46038.0</v>
      </c>
      <c r="E1839" s="173" t="s">
        <v>7670</v>
      </c>
      <c r="F1839" s="2" t="s">
        <v>7671</v>
      </c>
      <c r="G1839" s="2" t="s">
        <v>506</v>
      </c>
      <c r="H1839" s="2">
        <v>249.0</v>
      </c>
      <c r="I1839" s="2">
        <v>2.6120050021277E13</v>
      </c>
      <c r="J1839" s="3">
        <v>0.0</v>
      </c>
      <c r="K1839" s="2" t="s">
        <v>7672</v>
      </c>
      <c r="L1839" s="2"/>
      <c r="M1839" s="170" t="s">
        <v>455</v>
      </c>
      <c r="N1839" s="2" t="s">
        <v>406</v>
      </c>
      <c r="O1839" s="3">
        <v>0.5</v>
      </c>
      <c r="P1839" s="2"/>
      <c r="Q1839" s="3">
        <v>0.0</v>
      </c>
      <c r="T1839" s="2" t="s">
        <v>6123</v>
      </c>
      <c r="U1839" s="171">
        <v>0.0</v>
      </c>
      <c r="V1839" s="172">
        <v>46049.0</v>
      </c>
      <c r="W1839" s="3">
        <v>313.0</v>
      </c>
      <c r="X1839" s="172">
        <v>46046.82884259259</v>
      </c>
      <c r="Y1839" s="172"/>
      <c r="Z1839" s="3">
        <v>46038.0</v>
      </c>
      <c r="AA1839" s="3"/>
    </row>
    <row r="1840">
      <c r="A1840" s="3">
        <v>6.868809842947E12</v>
      </c>
      <c r="B1840" s="2" t="s">
        <v>7673</v>
      </c>
      <c r="C1840" s="2" t="s">
        <v>7674</v>
      </c>
      <c r="D1840" s="169">
        <v>46038.0</v>
      </c>
      <c r="E1840" s="2">
        <v>3.21866667E9</v>
      </c>
      <c r="F1840" s="2" t="s">
        <v>7675</v>
      </c>
      <c r="G1840" s="2" t="s">
        <v>374</v>
      </c>
      <c r="H1840" s="2">
        <v>3099.0</v>
      </c>
      <c r="I1840" s="2" t="s">
        <v>7676</v>
      </c>
      <c r="J1840" s="3">
        <v>2.0</v>
      </c>
      <c r="K1840" s="2" t="s">
        <v>7677</v>
      </c>
      <c r="L1840" s="2" t="s">
        <v>296</v>
      </c>
      <c r="M1840" s="2" t="s">
        <v>409</v>
      </c>
      <c r="N1840" s="2" t="s">
        <v>406</v>
      </c>
      <c r="O1840" s="3">
        <v>0.5</v>
      </c>
      <c r="P1840" s="2" t="s">
        <v>640</v>
      </c>
      <c r="Q1840" s="3">
        <v>920.0</v>
      </c>
      <c r="U1840" s="141"/>
      <c r="X1840" s="172">
        <v>46068.64960290509</v>
      </c>
      <c r="Y1840" s="172"/>
      <c r="Z1840" s="3">
        <v>46038.0</v>
      </c>
      <c r="AA1840" s="3"/>
    </row>
    <row r="1841">
      <c r="A1841" s="3">
        <v>6.868812431619E12</v>
      </c>
      <c r="B1841" s="2" t="s">
        <v>7678</v>
      </c>
      <c r="C1841" s="2" t="s">
        <v>7082</v>
      </c>
      <c r="D1841" s="169">
        <v>46038.0</v>
      </c>
      <c r="E1841" s="173" t="s">
        <v>7305</v>
      </c>
      <c r="F1841" s="2" t="s">
        <v>7679</v>
      </c>
      <c r="G1841" s="2" t="s">
        <v>7680</v>
      </c>
      <c r="H1841" s="2">
        <v>27835.0</v>
      </c>
      <c r="I1841" s="2">
        <v>4.0615092311E10</v>
      </c>
      <c r="J1841" s="3">
        <v>15.0</v>
      </c>
      <c r="K1841" s="2" t="s">
        <v>511</v>
      </c>
      <c r="L1841" s="2" t="s">
        <v>7681</v>
      </c>
      <c r="M1841" s="174" t="s">
        <v>409</v>
      </c>
      <c r="N1841" s="2" t="s">
        <v>462</v>
      </c>
      <c r="O1841" s="3">
        <v>0.5</v>
      </c>
      <c r="P1841" s="2" t="s">
        <v>7682</v>
      </c>
      <c r="Q1841" s="3">
        <v>12380.0</v>
      </c>
      <c r="U1841" s="171">
        <v>27835.0</v>
      </c>
      <c r="X1841" s="172">
        <v>46059.316563333334</v>
      </c>
      <c r="Y1841" s="172"/>
      <c r="Z1841" s="3">
        <v>46038.0</v>
      </c>
      <c r="AA1841" s="3"/>
    </row>
    <row r="1842">
      <c r="A1842" s="3">
        <v>6.868822458627E12</v>
      </c>
      <c r="B1842" s="2" t="s">
        <v>7683</v>
      </c>
      <c r="C1842" s="2" t="s">
        <v>7559</v>
      </c>
      <c r="D1842" s="169">
        <v>46038.0</v>
      </c>
      <c r="E1842" s="173" t="s">
        <v>7684</v>
      </c>
      <c r="F1842" s="2" t="s">
        <v>7560</v>
      </c>
      <c r="G1842" s="2" t="s">
        <v>7561</v>
      </c>
      <c r="H1842" s="2">
        <v>249.0</v>
      </c>
      <c r="I1842" s="2">
        <v>2.8120050021297E13</v>
      </c>
      <c r="J1842" s="3">
        <v>0.0</v>
      </c>
      <c r="K1842" s="2" t="s">
        <v>7685</v>
      </c>
      <c r="L1842" s="2"/>
      <c r="M1842" s="170" t="s">
        <v>455</v>
      </c>
      <c r="N1842" s="2" t="s">
        <v>406</v>
      </c>
      <c r="O1842" s="3">
        <v>0.5</v>
      </c>
      <c r="P1842" s="2" t="s">
        <v>73</v>
      </c>
      <c r="Q1842" s="3">
        <v>0.0</v>
      </c>
      <c r="T1842" s="2" t="s">
        <v>6336</v>
      </c>
      <c r="U1842" s="171">
        <v>0.0</v>
      </c>
      <c r="V1842" s="172">
        <v>46052.0</v>
      </c>
      <c r="W1842" s="3">
        <v>200.0</v>
      </c>
      <c r="X1842" s="172">
        <v>46050.84106481481</v>
      </c>
      <c r="Y1842" s="172"/>
      <c r="Z1842" s="3">
        <v>46038.0</v>
      </c>
      <c r="AA1842" s="3"/>
    </row>
    <row r="1843">
      <c r="A1843" s="3">
        <v>6.868845625603E12</v>
      </c>
      <c r="B1843" s="2" t="s">
        <v>7686</v>
      </c>
      <c r="C1843" s="2" t="s">
        <v>2389</v>
      </c>
      <c r="D1843" s="169">
        <v>46038.0</v>
      </c>
      <c r="E1843" s="2">
        <v>3.446730413E9</v>
      </c>
      <c r="F1843" s="2" t="s">
        <v>7687</v>
      </c>
      <c r="G1843" s="2" t="s">
        <v>368</v>
      </c>
      <c r="H1843" s="2">
        <v>2749.0</v>
      </c>
      <c r="I1843" s="2">
        <v>2.1120050021267E13</v>
      </c>
      <c r="J1843" s="3">
        <v>2.0</v>
      </c>
      <c r="K1843" s="2" t="s">
        <v>7688</v>
      </c>
      <c r="L1843" s="2" t="s">
        <v>35</v>
      </c>
      <c r="M1843" s="174" t="s">
        <v>409</v>
      </c>
      <c r="N1843" s="2" t="s">
        <v>462</v>
      </c>
      <c r="O1843" s="3">
        <v>0.5</v>
      </c>
      <c r="P1843" s="2" t="s">
        <v>73</v>
      </c>
      <c r="Q1843" s="3">
        <v>980.0</v>
      </c>
      <c r="T1843" s="2" t="s">
        <v>4910</v>
      </c>
      <c r="U1843" s="171">
        <v>2749.0</v>
      </c>
      <c r="V1843" s="172">
        <v>46042.0</v>
      </c>
      <c r="W1843" s="3">
        <v>216.68</v>
      </c>
      <c r="X1843" s="172">
        <v>46041.66134259259</v>
      </c>
      <c r="Y1843" s="172"/>
      <c r="Z1843" s="3">
        <v>46038.0</v>
      </c>
      <c r="AA1843" s="3"/>
    </row>
    <row r="1844">
      <c r="A1844" s="3">
        <v>6.868865155331E12</v>
      </c>
      <c r="B1844" s="2" t="s">
        <v>7689</v>
      </c>
      <c r="C1844" s="2" t="s">
        <v>7690</v>
      </c>
      <c r="D1844" s="169">
        <v>46038.0</v>
      </c>
      <c r="E1844" s="2">
        <v>3.156612202E9</v>
      </c>
      <c r="F1844" s="2" t="s">
        <v>7691</v>
      </c>
      <c r="G1844" s="2" t="s">
        <v>493</v>
      </c>
      <c r="H1844" s="2">
        <v>5750.0</v>
      </c>
      <c r="I1844" s="2">
        <v>2.6120050021276E13</v>
      </c>
      <c r="J1844" s="3">
        <v>4.0</v>
      </c>
      <c r="K1844" s="2" t="s">
        <v>7692</v>
      </c>
      <c r="L1844" s="2" t="s">
        <v>7693</v>
      </c>
      <c r="M1844" s="174" t="s">
        <v>409</v>
      </c>
      <c r="N1844" s="2" t="s">
        <v>462</v>
      </c>
      <c r="O1844" s="3">
        <v>0.5</v>
      </c>
      <c r="P1844" s="2"/>
      <c r="Q1844" s="3">
        <v>2690.0</v>
      </c>
      <c r="U1844" s="171">
        <v>5750.0</v>
      </c>
      <c r="W1844" s="3">
        <v>550.0</v>
      </c>
      <c r="X1844" s="172">
        <v>46042.614178240736</v>
      </c>
      <c r="Y1844" s="172"/>
      <c r="Z1844" s="3">
        <v>46038.0</v>
      </c>
      <c r="AA1844" s="3"/>
    </row>
    <row r="1845">
      <c r="A1845" s="3">
        <v>6.868875084035E12</v>
      </c>
      <c r="B1845" s="2" t="s">
        <v>7694</v>
      </c>
      <c r="C1845" s="2" t="s">
        <v>7695</v>
      </c>
      <c r="D1845" s="169">
        <v>46038.0</v>
      </c>
      <c r="E1845" s="2">
        <v>3.118098993E9</v>
      </c>
      <c r="F1845" s="2" t="s">
        <v>7696</v>
      </c>
      <c r="G1845" s="2" t="s">
        <v>493</v>
      </c>
      <c r="H1845" s="2">
        <v>249.0</v>
      </c>
      <c r="I1845" s="2">
        <v>2.5120050021266E13</v>
      </c>
      <c r="J1845" s="3">
        <v>0.0</v>
      </c>
      <c r="K1845" s="2" t="s">
        <v>7697</v>
      </c>
      <c r="L1845" s="2"/>
      <c r="M1845" s="170" t="s">
        <v>455</v>
      </c>
      <c r="N1845" s="2" t="s">
        <v>406</v>
      </c>
      <c r="O1845" s="3">
        <v>0.5</v>
      </c>
      <c r="P1845" s="2"/>
      <c r="Q1845" s="3">
        <v>0.0</v>
      </c>
      <c r="T1845" s="2" t="s">
        <v>6336</v>
      </c>
      <c r="U1845" s="171">
        <v>0.0</v>
      </c>
      <c r="V1845" s="172">
        <v>46052.0</v>
      </c>
      <c r="W1845" s="3">
        <v>213.0</v>
      </c>
      <c r="X1845" s="172">
        <v>46049.86059027778</v>
      </c>
      <c r="Y1845" s="172"/>
      <c r="Z1845" s="3">
        <v>46038.0</v>
      </c>
      <c r="AA1845" s="3"/>
    </row>
    <row r="1846">
      <c r="A1846" s="3">
        <v>6.868891861251E12</v>
      </c>
      <c r="B1846" s="2" t="s">
        <v>7698</v>
      </c>
      <c r="C1846" s="2" t="s">
        <v>7699</v>
      </c>
      <c r="D1846" s="169">
        <v>46038.0</v>
      </c>
      <c r="E1846" s="2">
        <v>3.43623884E9</v>
      </c>
      <c r="F1846" s="2" t="s">
        <v>7700</v>
      </c>
      <c r="G1846" s="2" t="s">
        <v>688</v>
      </c>
      <c r="H1846" s="2">
        <v>2749.0</v>
      </c>
      <c r="I1846" s="2">
        <v>2.4120050021275E13</v>
      </c>
      <c r="J1846" s="3">
        <v>2.0</v>
      </c>
      <c r="K1846" s="2" t="s">
        <v>7701</v>
      </c>
      <c r="L1846" s="2" t="s">
        <v>35</v>
      </c>
      <c r="M1846" s="174" t="s">
        <v>409</v>
      </c>
      <c r="N1846" s="2" t="s">
        <v>462</v>
      </c>
      <c r="O1846" s="3">
        <v>0.5</v>
      </c>
      <c r="P1846" s="2"/>
      <c r="Q1846" s="3">
        <v>980.0</v>
      </c>
      <c r="T1846" s="2" t="s">
        <v>4910</v>
      </c>
      <c r="U1846" s="171">
        <v>2749.0</v>
      </c>
      <c r="V1846" s="172">
        <v>46042.0</v>
      </c>
      <c r="W1846" s="3">
        <v>310.06</v>
      </c>
      <c r="X1846" s="172">
        <v>46039.630798611106</v>
      </c>
      <c r="Y1846" s="172"/>
      <c r="Z1846" s="3">
        <v>46038.0</v>
      </c>
      <c r="AA1846" s="3"/>
    </row>
    <row r="1847">
      <c r="A1847" s="3">
        <v>6.868929249539E12</v>
      </c>
      <c r="B1847" s="2" t="s">
        <v>7702</v>
      </c>
      <c r="C1847" s="2" t="s">
        <v>7703</v>
      </c>
      <c r="D1847" s="169">
        <v>46038.0</v>
      </c>
      <c r="E1847" s="2">
        <v>3.1341322E9</v>
      </c>
      <c r="F1847" s="2" t="s">
        <v>7704</v>
      </c>
      <c r="G1847" s="2" t="s">
        <v>7705</v>
      </c>
      <c r="H1847" s="2">
        <v>2749.0</v>
      </c>
      <c r="I1847" s="2">
        <v>2.5120050021265E13</v>
      </c>
      <c r="J1847" s="3">
        <v>2.0</v>
      </c>
      <c r="K1847" s="2" t="s">
        <v>7706</v>
      </c>
      <c r="L1847" s="2" t="s">
        <v>16</v>
      </c>
      <c r="M1847" s="174" t="s">
        <v>409</v>
      </c>
      <c r="N1847" s="2" t="s">
        <v>462</v>
      </c>
      <c r="O1847" s="3">
        <v>0.5</v>
      </c>
      <c r="P1847" s="2"/>
      <c r="Q1847" s="3">
        <v>980.0</v>
      </c>
      <c r="T1847" s="2" t="s">
        <v>4910</v>
      </c>
      <c r="U1847" s="171">
        <v>2749.0</v>
      </c>
      <c r="V1847" s="172">
        <v>46042.0</v>
      </c>
      <c r="W1847" s="3">
        <v>310.06</v>
      </c>
      <c r="X1847" s="172">
        <v>46041.797418981485</v>
      </c>
      <c r="Y1847" s="172"/>
      <c r="Z1847" s="3">
        <v>46038.0</v>
      </c>
      <c r="AA1847" s="3"/>
    </row>
    <row r="1848">
      <c r="A1848" s="3">
        <v>6.868929609987E12</v>
      </c>
      <c r="B1848" s="2" t="s">
        <v>7707</v>
      </c>
      <c r="C1848" s="2" t="s">
        <v>7708</v>
      </c>
      <c r="D1848" s="169">
        <v>46038.0</v>
      </c>
      <c r="E1848" s="2">
        <v>3.224564964E9</v>
      </c>
      <c r="F1848" s="2" t="s">
        <v>7709</v>
      </c>
      <c r="G1848" s="2" t="s">
        <v>850</v>
      </c>
      <c r="H1848" s="2">
        <v>6648.0</v>
      </c>
      <c r="I1848" s="2">
        <v>2.9120050021264E13</v>
      </c>
      <c r="J1848" s="3">
        <v>4.0</v>
      </c>
      <c r="K1848" s="2" t="s">
        <v>7710</v>
      </c>
      <c r="L1848" s="2" t="s">
        <v>7711</v>
      </c>
      <c r="M1848" s="174" t="s">
        <v>409</v>
      </c>
      <c r="N1848" s="2" t="s">
        <v>462</v>
      </c>
      <c r="O1848" s="3">
        <v>0.5</v>
      </c>
      <c r="P1848" s="2"/>
      <c r="Q1848" s="3">
        <v>2470.0</v>
      </c>
      <c r="T1848" s="2" t="s">
        <v>4910</v>
      </c>
      <c r="U1848" s="171">
        <v>6648.0</v>
      </c>
      <c r="V1848" s="172">
        <v>46042.0</v>
      </c>
      <c r="W1848" s="3">
        <v>672.79</v>
      </c>
      <c r="X1848" s="172">
        <v>46039.57592592592</v>
      </c>
      <c r="Y1848" s="172"/>
      <c r="Z1848" s="3">
        <v>46038.0</v>
      </c>
      <c r="AA1848" s="3"/>
    </row>
    <row r="1849">
      <c r="A1849" s="3">
        <v>6.868947435779E12</v>
      </c>
      <c r="B1849" s="2" t="s">
        <v>7712</v>
      </c>
      <c r="C1849" s="2" t="s">
        <v>7713</v>
      </c>
      <c r="D1849" s="169">
        <v>46038.0</v>
      </c>
      <c r="E1849" s="2">
        <v>3.002074621E9</v>
      </c>
      <c r="F1849" s="2" t="s">
        <v>7714</v>
      </c>
      <c r="G1849" s="2">
        <v>3.002074621E9</v>
      </c>
      <c r="H1849" s="2">
        <v>2749.0</v>
      </c>
      <c r="I1849" s="2">
        <v>2.2120050021263E13</v>
      </c>
      <c r="J1849" s="3">
        <v>2.0</v>
      </c>
      <c r="K1849" s="2" t="s">
        <v>7715</v>
      </c>
      <c r="L1849" s="2" t="s">
        <v>926</v>
      </c>
      <c r="M1849" s="174" t="s">
        <v>409</v>
      </c>
      <c r="N1849" s="2" t="s">
        <v>462</v>
      </c>
      <c r="O1849" s="3">
        <v>0.5</v>
      </c>
      <c r="P1849" s="2"/>
      <c r="Q1849" s="3">
        <v>980.0</v>
      </c>
      <c r="U1849" s="171">
        <v>2749.0</v>
      </c>
      <c r="W1849" s="3">
        <v>337.0</v>
      </c>
      <c r="X1849" s="172">
        <v>46043.65168981481</v>
      </c>
      <c r="Y1849" s="172"/>
      <c r="Z1849" s="3">
        <v>46038.0</v>
      </c>
      <c r="AA1849" s="3"/>
    </row>
    <row r="1850">
      <c r="A1850" s="3">
        <v>6.868949926147E12</v>
      </c>
      <c r="B1850" s="2" t="s">
        <v>7716</v>
      </c>
      <c r="C1850" s="2" t="s">
        <v>7717</v>
      </c>
      <c r="D1850" s="169">
        <v>46038.0</v>
      </c>
      <c r="E1850" s="2">
        <v>3.136187097E9</v>
      </c>
      <c r="F1850" s="2" t="s">
        <v>7718</v>
      </c>
      <c r="G1850" s="2" t="s">
        <v>701</v>
      </c>
      <c r="H1850" s="2">
        <v>5450.0</v>
      </c>
      <c r="I1850" s="2">
        <v>2.0120050021262E13</v>
      </c>
      <c r="J1850" s="3">
        <v>4.0</v>
      </c>
      <c r="K1850" s="2" t="s">
        <v>7719</v>
      </c>
      <c r="L1850" s="2" t="s">
        <v>7720</v>
      </c>
      <c r="M1850" s="174" t="s">
        <v>409</v>
      </c>
      <c r="N1850" s="2" t="s">
        <v>462</v>
      </c>
      <c r="O1850" s="3">
        <v>0.5</v>
      </c>
      <c r="P1850" s="2"/>
      <c r="Q1850" s="3">
        <v>2010.0</v>
      </c>
      <c r="T1850" s="2" t="s">
        <v>4910</v>
      </c>
      <c r="U1850" s="171">
        <v>5450.0</v>
      </c>
      <c r="V1850" s="172">
        <v>46042.0</v>
      </c>
      <c r="W1850" s="3">
        <v>438.11</v>
      </c>
      <c r="X1850" s="172">
        <v>46041.56201388889</v>
      </c>
      <c r="Y1850" s="172"/>
      <c r="Z1850" s="3">
        <v>46038.0</v>
      </c>
      <c r="AA1850" s="3"/>
    </row>
    <row r="1851">
      <c r="A1851" s="3">
        <v>6.868970832131E12</v>
      </c>
      <c r="B1851" s="2" t="s">
        <v>7721</v>
      </c>
      <c r="C1851" s="2" t="s">
        <v>7722</v>
      </c>
      <c r="D1851" s="169">
        <v>46038.0</v>
      </c>
      <c r="E1851" s="173" t="s">
        <v>7723</v>
      </c>
      <c r="F1851" s="2" t="s">
        <v>7724</v>
      </c>
      <c r="G1851" s="2" t="s">
        <v>506</v>
      </c>
      <c r="H1851" s="2">
        <v>3100.0</v>
      </c>
      <c r="I1851" s="2">
        <v>2.3120050021261E13</v>
      </c>
      <c r="J1851" s="3">
        <v>2.0</v>
      </c>
      <c r="K1851" s="2" t="s">
        <v>7725</v>
      </c>
      <c r="L1851" s="2" t="s">
        <v>7726</v>
      </c>
      <c r="M1851" s="174" t="s">
        <v>409</v>
      </c>
      <c r="N1851" s="2" t="s">
        <v>462</v>
      </c>
      <c r="O1851" s="3">
        <v>0.5</v>
      </c>
      <c r="P1851" s="2"/>
      <c r="Q1851" s="3">
        <v>920.0</v>
      </c>
      <c r="T1851" s="2" t="s">
        <v>4910</v>
      </c>
      <c r="U1851" s="171">
        <v>3100.0</v>
      </c>
      <c r="V1851" s="172">
        <v>46042.0</v>
      </c>
      <c r="W1851" s="3">
        <v>324.1</v>
      </c>
      <c r="X1851" s="172">
        <v>46041.61976851852</v>
      </c>
      <c r="Y1851" s="172"/>
      <c r="Z1851" s="3">
        <v>46038.0</v>
      </c>
      <c r="AA1851" s="3"/>
    </row>
    <row r="1852">
      <c r="A1852" s="3">
        <v>6.868981645571E12</v>
      </c>
      <c r="B1852" s="2" t="s">
        <v>7727</v>
      </c>
      <c r="C1852" s="2" t="s">
        <v>7728</v>
      </c>
      <c r="D1852" s="169">
        <v>46038.0</v>
      </c>
      <c r="E1852" s="173" t="s">
        <v>7729</v>
      </c>
      <c r="F1852" s="2" t="s">
        <v>7730</v>
      </c>
      <c r="G1852" s="2" t="s">
        <v>5748</v>
      </c>
      <c r="H1852" s="2">
        <v>2699.0</v>
      </c>
      <c r="I1852" s="2">
        <v>2.512005002126E13</v>
      </c>
      <c r="J1852" s="3">
        <v>2.0</v>
      </c>
      <c r="K1852" s="2" t="s">
        <v>7731</v>
      </c>
      <c r="L1852" s="2" t="s">
        <v>7732</v>
      </c>
      <c r="M1852" s="174" t="s">
        <v>409</v>
      </c>
      <c r="N1852" s="2" t="s">
        <v>462</v>
      </c>
      <c r="O1852" s="3">
        <v>0.5</v>
      </c>
      <c r="P1852" s="2"/>
      <c r="Q1852" s="3">
        <v>1050.0</v>
      </c>
      <c r="T1852" s="2" t="s">
        <v>4910</v>
      </c>
      <c r="U1852" s="171">
        <v>2699.0</v>
      </c>
      <c r="V1852" s="172">
        <v>46042.0</v>
      </c>
      <c r="W1852" s="3">
        <v>308.06</v>
      </c>
      <c r="X1852" s="172">
        <v>46041.43638888889</v>
      </c>
      <c r="Y1852" s="172"/>
      <c r="Z1852" s="3">
        <v>46038.0</v>
      </c>
      <c r="AA1852" s="3"/>
    </row>
    <row r="1853">
      <c r="A1853" s="3">
        <v>6.869004747011E12</v>
      </c>
      <c r="B1853" s="2" t="s">
        <v>7733</v>
      </c>
      <c r="C1853" s="2" t="s">
        <v>7734</v>
      </c>
      <c r="D1853" s="169">
        <v>46038.0</v>
      </c>
      <c r="E1853" s="2">
        <v>3.463931923E9</v>
      </c>
      <c r="F1853" s="2" t="s">
        <v>7735</v>
      </c>
      <c r="G1853" s="2" t="s">
        <v>7736</v>
      </c>
      <c r="H1853" s="2">
        <v>3099.0</v>
      </c>
      <c r="I1853" s="2">
        <v>2.1120050021259E13</v>
      </c>
      <c r="J1853" s="3">
        <v>2.0</v>
      </c>
      <c r="K1853" s="2" t="s">
        <v>7737</v>
      </c>
      <c r="L1853" s="2" t="s">
        <v>40</v>
      </c>
      <c r="M1853" s="174" t="s">
        <v>409</v>
      </c>
      <c r="N1853" s="2" t="s">
        <v>462</v>
      </c>
      <c r="O1853" s="3">
        <v>0.5</v>
      </c>
      <c r="P1853" s="2" t="s">
        <v>73</v>
      </c>
      <c r="Q1853" s="3">
        <v>920.0</v>
      </c>
      <c r="T1853" s="2" t="s">
        <v>6123</v>
      </c>
      <c r="U1853" s="171">
        <v>3099.0</v>
      </c>
      <c r="V1853" s="172">
        <v>46049.0</v>
      </c>
      <c r="W1853" s="3">
        <v>351.0</v>
      </c>
      <c r="X1853" s="172">
        <v>46045.68109953703</v>
      </c>
      <c r="Y1853" s="172"/>
      <c r="Z1853" s="3">
        <v>46038.0</v>
      </c>
      <c r="AA1853" s="3"/>
    </row>
    <row r="1854">
      <c r="A1854" s="3">
        <v>6.869007106307E12</v>
      </c>
      <c r="B1854" s="2" t="s">
        <v>7738</v>
      </c>
      <c r="C1854" s="2" t="s">
        <v>7739</v>
      </c>
      <c r="D1854" s="169">
        <v>46038.0</v>
      </c>
      <c r="E1854" s="2">
        <v>3.212099866E9</v>
      </c>
      <c r="F1854" s="2" t="s">
        <v>7740</v>
      </c>
      <c r="G1854" s="2" t="s">
        <v>493</v>
      </c>
      <c r="H1854" s="2">
        <v>4475.0</v>
      </c>
      <c r="I1854" s="2">
        <v>2.7120050021274E13</v>
      </c>
      <c r="J1854" s="3">
        <v>2.0</v>
      </c>
      <c r="K1854" s="2" t="s">
        <v>7741</v>
      </c>
      <c r="L1854" s="2" t="s">
        <v>7742</v>
      </c>
      <c r="M1854" s="174" t="s">
        <v>409</v>
      </c>
      <c r="N1854" s="2" t="s">
        <v>406</v>
      </c>
      <c r="O1854" s="3">
        <v>0.5</v>
      </c>
      <c r="P1854" s="2"/>
      <c r="Q1854" s="3">
        <v>1860.0</v>
      </c>
      <c r="T1854" s="2" t="s">
        <v>7128</v>
      </c>
      <c r="U1854" s="2">
        <v>4475.0</v>
      </c>
      <c r="V1854" s="172">
        <v>46045.0</v>
      </c>
      <c r="W1854" s="3">
        <v>618.0</v>
      </c>
      <c r="X1854" s="172">
        <v>46042.83565972222</v>
      </c>
      <c r="Y1854" s="172"/>
      <c r="Z1854" s="3">
        <v>46038.0</v>
      </c>
      <c r="AA1854" s="3"/>
    </row>
    <row r="1855">
      <c r="A1855" s="3">
        <v>6.869031158019E12</v>
      </c>
      <c r="B1855" s="2" t="s">
        <v>7743</v>
      </c>
      <c r="C1855" s="2" t="s">
        <v>2420</v>
      </c>
      <c r="D1855" s="169">
        <v>46038.0</v>
      </c>
      <c r="E1855" s="2">
        <v>3.061500335E9</v>
      </c>
      <c r="F1855" s="2" t="s">
        <v>7744</v>
      </c>
      <c r="G1855" s="2" t="s">
        <v>3016</v>
      </c>
      <c r="H1855" s="2">
        <v>249.0</v>
      </c>
      <c r="I1855" s="2">
        <v>1.73010074846E11</v>
      </c>
      <c r="J1855" s="3">
        <v>0.0</v>
      </c>
      <c r="K1855" s="2" t="s">
        <v>7745</v>
      </c>
      <c r="L1855" s="2"/>
      <c r="M1855" s="170" t="s">
        <v>455</v>
      </c>
      <c r="N1855" s="2" t="s">
        <v>406</v>
      </c>
      <c r="O1855" s="3">
        <v>0.5</v>
      </c>
      <c r="P1855" s="2" t="s">
        <v>501</v>
      </c>
      <c r="Q1855" s="3">
        <v>0.0</v>
      </c>
      <c r="U1855" s="141"/>
      <c r="W1855" s="3">
        <v>289.94</v>
      </c>
      <c r="X1855" s="172">
        <v>46067.005108391204</v>
      </c>
      <c r="Y1855" s="172"/>
      <c r="Z1855" s="3">
        <v>46038.0</v>
      </c>
      <c r="AA1855" s="3"/>
    </row>
    <row r="1856">
      <c r="A1856" s="3">
        <v>6.869036695811E12</v>
      </c>
      <c r="B1856" s="2" t="s">
        <v>7746</v>
      </c>
      <c r="C1856" s="2" t="s">
        <v>7747</v>
      </c>
      <c r="D1856" s="169">
        <v>46038.0</v>
      </c>
      <c r="E1856" s="2">
        <v>3.00702829E9</v>
      </c>
      <c r="F1856" s="2" t="s">
        <v>7748</v>
      </c>
      <c r="G1856" s="2" t="s">
        <v>7749</v>
      </c>
      <c r="H1856" s="2">
        <v>2749.0</v>
      </c>
      <c r="I1856" s="2">
        <v>2.012005002128E13</v>
      </c>
      <c r="J1856" s="3">
        <v>2.0</v>
      </c>
      <c r="K1856" s="2" t="s">
        <v>7750</v>
      </c>
      <c r="L1856" s="2" t="s">
        <v>926</v>
      </c>
      <c r="M1856" s="174" t="s">
        <v>409</v>
      </c>
      <c r="N1856" s="2" t="s">
        <v>462</v>
      </c>
      <c r="O1856" s="3">
        <v>0.5</v>
      </c>
      <c r="P1856" s="2"/>
      <c r="Q1856" s="3">
        <v>980.0</v>
      </c>
      <c r="T1856" s="2" t="s">
        <v>4910</v>
      </c>
      <c r="U1856" s="171">
        <v>2749.0</v>
      </c>
      <c r="V1856" s="172">
        <v>46042.0</v>
      </c>
      <c r="W1856" s="3">
        <v>330.07</v>
      </c>
      <c r="X1856" s="172">
        <v>46041.539143518516</v>
      </c>
      <c r="Y1856" s="172"/>
      <c r="Z1856" s="3">
        <v>46038.0</v>
      </c>
      <c r="AA1856" s="3"/>
    </row>
    <row r="1857">
      <c r="A1857" s="3">
        <v>6.869048393987E12</v>
      </c>
      <c r="B1857" s="2" t="s">
        <v>7751</v>
      </c>
      <c r="C1857" s="2" t="s">
        <v>7752</v>
      </c>
      <c r="D1857" s="169">
        <v>46038.0</v>
      </c>
      <c r="E1857" s="2">
        <v>3.047145553E9</v>
      </c>
      <c r="F1857" s="2" t="s">
        <v>7753</v>
      </c>
      <c r="G1857" s="2" t="s">
        <v>541</v>
      </c>
      <c r="H1857" s="2">
        <v>249.0</v>
      </c>
      <c r="I1857" s="2">
        <v>2.9120050021296E13</v>
      </c>
      <c r="J1857" s="3">
        <v>0.0</v>
      </c>
      <c r="K1857" s="2" t="s">
        <v>7754</v>
      </c>
      <c r="L1857" s="2"/>
      <c r="M1857" s="170" t="s">
        <v>455</v>
      </c>
      <c r="N1857" s="2" t="s">
        <v>406</v>
      </c>
      <c r="O1857" s="3">
        <v>0.5</v>
      </c>
      <c r="P1857" s="2" t="s">
        <v>73</v>
      </c>
      <c r="Q1857" s="3">
        <v>0.0</v>
      </c>
      <c r="T1857" s="2" t="s">
        <v>6336</v>
      </c>
      <c r="U1857" s="171">
        <v>0.0</v>
      </c>
      <c r="V1857" s="172">
        <v>46052.0</v>
      </c>
      <c r="W1857" s="3">
        <v>200.0</v>
      </c>
      <c r="X1857" s="172">
        <v>46051.86579861111</v>
      </c>
      <c r="Y1857" s="172"/>
      <c r="Z1857" s="3">
        <v>46038.0</v>
      </c>
      <c r="AA1857" s="3"/>
    </row>
    <row r="1858">
      <c r="A1858" s="3">
        <v>6.869049540867E12</v>
      </c>
      <c r="B1858" s="2" t="s">
        <v>7755</v>
      </c>
      <c r="C1858" s="2" t="s">
        <v>7756</v>
      </c>
      <c r="D1858" s="169">
        <v>46038.0</v>
      </c>
      <c r="E1858" s="2">
        <v>3.336257391E9</v>
      </c>
      <c r="F1858" s="2" t="s">
        <v>7757</v>
      </c>
      <c r="G1858" s="2" t="s">
        <v>7758</v>
      </c>
      <c r="H1858" s="2">
        <v>249.0</v>
      </c>
      <c r="I1858" s="2">
        <v>1.73010075469E11</v>
      </c>
      <c r="J1858" s="3">
        <v>0.0</v>
      </c>
      <c r="K1858" s="2" t="s">
        <v>511</v>
      </c>
      <c r="L1858" s="2"/>
      <c r="M1858" s="170" t="s">
        <v>455</v>
      </c>
      <c r="N1858" s="2" t="s">
        <v>406</v>
      </c>
      <c r="O1858" s="3">
        <v>0.5</v>
      </c>
      <c r="P1858" s="2" t="s">
        <v>501</v>
      </c>
      <c r="Q1858" s="3">
        <v>0.0</v>
      </c>
      <c r="U1858" s="141"/>
      <c r="W1858" s="3">
        <v>289.94</v>
      </c>
      <c r="X1858" s="172">
        <v>46067.00512444445</v>
      </c>
      <c r="Y1858" s="172"/>
      <c r="Z1858" s="3">
        <v>46038.0</v>
      </c>
      <c r="AA1858" s="3"/>
    </row>
    <row r="1859">
      <c r="A1859" s="3">
        <v>6.869107572995E12</v>
      </c>
      <c r="B1859" s="2" t="s">
        <v>7759</v>
      </c>
      <c r="C1859" s="2" t="s">
        <v>1145</v>
      </c>
      <c r="D1859" s="169">
        <v>46038.0</v>
      </c>
      <c r="E1859" s="2">
        <v>3.006610077E9</v>
      </c>
      <c r="F1859" s="2" t="s">
        <v>7760</v>
      </c>
      <c r="G1859" s="2" t="s">
        <v>1016</v>
      </c>
      <c r="H1859" s="2">
        <v>2749.0</v>
      </c>
      <c r="I1859" s="2">
        <v>2.7120050021295E13</v>
      </c>
      <c r="J1859" s="3">
        <v>2.0</v>
      </c>
      <c r="K1859" s="2" t="s">
        <v>7761</v>
      </c>
      <c r="L1859" s="2" t="s">
        <v>16</v>
      </c>
      <c r="M1859" s="174" t="s">
        <v>409</v>
      </c>
      <c r="N1859" s="2" t="s">
        <v>462</v>
      </c>
      <c r="O1859" s="3">
        <v>0.5</v>
      </c>
      <c r="P1859" s="2"/>
      <c r="Q1859" s="3">
        <v>980.0</v>
      </c>
      <c r="T1859" s="2" t="s">
        <v>6123</v>
      </c>
      <c r="U1859" s="171">
        <v>2749.0</v>
      </c>
      <c r="V1859" s="172">
        <v>46049.0</v>
      </c>
      <c r="W1859" s="3">
        <v>310.0</v>
      </c>
      <c r="X1859" s="172">
        <v>46045.600902777776</v>
      </c>
      <c r="Y1859" s="172"/>
      <c r="Z1859" s="3">
        <v>46038.0</v>
      </c>
      <c r="AA1859" s="3"/>
    </row>
    <row r="1860">
      <c r="A1860" s="3">
        <v>6.869152891139E12</v>
      </c>
      <c r="B1860" s="2" t="s">
        <v>7762</v>
      </c>
      <c r="C1860" s="2" t="s">
        <v>7763</v>
      </c>
      <c r="D1860" s="169">
        <v>46038.0</v>
      </c>
      <c r="E1860" s="2">
        <v>3.12256812E9</v>
      </c>
      <c r="F1860" s="2" t="s">
        <v>7764</v>
      </c>
      <c r="G1860" s="2" t="s">
        <v>368</v>
      </c>
      <c r="H1860" s="2">
        <v>2799.0</v>
      </c>
      <c r="I1860" s="2">
        <v>2.3120050021348E13</v>
      </c>
      <c r="J1860" s="3">
        <v>1.0</v>
      </c>
      <c r="K1860" s="2" t="s">
        <v>7765</v>
      </c>
      <c r="L1860" s="2" t="s">
        <v>519</v>
      </c>
      <c r="M1860" s="174" t="s">
        <v>409</v>
      </c>
      <c r="N1860" s="2" t="s">
        <v>462</v>
      </c>
      <c r="O1860" s="3">
        <v>0.5</v>
      </c>
      <c r="P1860" s="2" t="s">
        <v>73</v>
      </c>
      <c r="Q1860" s="3">
        <v>850.0</v>
      </c>
      <c r="U1860" s="171">
        <v>2799.0</v>
      </c>
      <c r="W1860" s="3">
        <v>219.0</v>
      </c>
      <c r="X1860" s="172">
        <v>46042.710023148145</v>
      </c>
      <c r="Y1860" s="172"/>
      <c r="Z1860" s="3">
        <v>46038.0</v>
      </c>
      <c r="AA1860" s="3"/>
    </row>
    <row r="1861">
      <c r="A1861" s="3">
        <v>6.869250375939E12</v>
      </c>
      <c r="B1861" s="2" t="s">
        <v>7766</v>
      </c>
      <c r="C1861" s="2" t="s">
        <v>7767</v>
      </c>
      <c r="D1861" s="169">
        <v>46038.0</v>
      </c>
      <c r="E1861" s="2">
        <v>3.324004142E9</v>
      </c>
      <c r="F1861" s="2" t="s">
        <v>7768</v>
      </c>
      <c r="G1861" s="2" t="s">
        <v>7769</v>
      </c>
      <c r="H1861" s="2">
        <v>0.0</v>
      </c>
      <c r="J1861" s="3">
        <v>0.0</v>
      </c>
      <c r="K1861" s="2" t="s">
        <v>7770</v>
      </c>
      <c r="L1861" s="2"/>
      <c r="M1861" s="2" t="s">
        <v>468</v>
      </c>
      <c r="N1861" s="2" t="s">
        <v>406</v>
      </c>
      <c r="O1861" s="3">
        <v>0.5</v>
      </c>
      <c r="Q1861" s="3">
        <v>0.0</v>
      </c>
      <c r="U1861" s="141"/>
      <c r="X1861" s="172">
        <v>46057.64278285879</v>
      </c>
      <c r="Y1861" s="172"/>
      <c r="Z1861" s="3">
        <v>46038.0</v>
      </c>
      <c r="AA1861" s="3"/>
    </row>
    <row r="1862">
      <c r="A1862" s="3">
        <v>6.869280358659E12</v>
      </c>
      <c r="B1862" s="2" t="s">
        <v>7771</v>
      </c>
      <c r="C1862" s="2" t="s">
        <v>7772</v>
      </c>
      <c r="D1862" s="169">
        <v>46038.0</v>
      </c>
      <c r="E1862" s="2">
        <v>3.074915443E9</v>
      </c>
      <c r="F1862" s="2" t="s">
        <v>7773</v>
      </c>
      <c r="G1862" s="2" t="s">
        <v>3356</v>
      </c>
      <c r="H1862" s="2">
        <v>3099.0</v>
      </c>
      <c r="I1862" s="2">
        <v>2.9120050021347E13</v>
      </c>
      <c r="J1862" s="3">
        <v>2.0</v>
      </c>
      <c r="K1862" s="2" t="s">
        <v>7774</v>
      </c>
      <c r="L1862" s="2" t="s">
        <v>40</v>
      </c>
      <c r="M1862" s="174" t="s">
        <v>409</v>
      </c>
      <c r="N1862" s="2" t="s">
        <v>462</v>
      </c>
      <c r="O1862" s="3">
        <v>0.5</v>
      </c>
      <c r="P1862" s="2" t="s">
        <v>73</v>
      </c>
      <c r="Q1862" s="3">
        <v>920.0</v>
      </c>
      <c r="T1862" s="2" t="s">
        <v>6123</v>
      </c>
      <c r="U1862" s="171">
        <v>3099.0</v>
      </c>
      <c r="V1862" s="172">
        <v>46049.0</v>
      </c>
      <c r="W1862" s="3">
        <v>324.0</v>
      </c>
      <c r="X1862" s="172">
        <v>46045.54740740741</v>
      </c>
      <c r="Y1862" s="172"/>
      <c r="Z1862" s="3">
        <v>46038.0</v>
      </c>
      <c r="AA1862" s="3"/>
    </row>
    <row r="1863">
      <c r="A1863" s="3">
        <v>6.869302706435E12</v>
      </c>
      <c r="B1863" s="2" t="s">
        <v>7775</v>
      </c>
      <c r="C1863" s="2" t="s">
        <v>7776</v>
      </c>
      <c r="D1863" s="169">
        <v>46038.0</v>
      </c>
      <c r="E1863" s="2">
        <v>3.223540321E9</v>
      </c>
      <c r="F1863" s="2" t="s">
        <v>7777</v>
      </c>
      <c r="G1863" s="2" t="s">
        <v>5702</v>
      </c>
      <c r="H1863" s="2">
        <v>0.0</v>
      </c>
      <c r="J1863" s="3">
        <v>0.0</v>
      </c>
      <c r="K1863" s="2" t="s">
        <v>7778</v>
      </c>
      <c r="L1863" s="2"/>
      <c r="M1863" s="2" t="s">
        <v>468</v>
      </c>
      <c r="N1863" s="2" t="s">
        <v>406</v>
      </c>
      <c r="O1863" s="3">
        <v>0.5</v>
      </c>
      <c r="Q1863" s="3">
        <v>0.0</v>
      </c>
      <c r="U1863" s="141"/>
      <c r="X1863" s="172">
        <v>46057.64278285879</v>
      </c>
      <c r="Y1863" s="172"/>
      <c r="Z1863" s="3">
        <v>46038.0</v>
      </c>
      <c r="AA1863" s="3"/>
    </row>
    <row r="1864">
      <c r="A1864" s="3">
        <v>6.869347926275E12</v>
      </c>
      <c r="B1864" s="2" t="s">
        <v>7779</v>
      </c>
      <c r="C1864" s="2" t="s">
        <v>7780</v>
      </c>
      <c r="D1864" s="169">
        <v>46038.0</v>
      </c>
      <c r="E1864" s="2">
        <v>3.063212755E9</v>
      </c>
      <c r="F1864" s="2" t="s">
        <v>7781</v>
      </c>
      <c r="G1864" s="2" t="s">
        <v>1630</v>
      </c>
      <c r="H1864" s="2">
        <v>249.0</v>
      </c>
      <c r="I1864" s="2">
        <v>2.5120050021346E13</v>
      </c>
      <c r="J1864" s="3">
        <v>0.0</v>
      </c>
      <c r="K1864" s="2" t="s">
        <v>7782</v>
      </c>
      <c r="L1864" s="2"/>
      <c r="M1864" s="170" t="s">
        <v>455</v>
      </c>
      <c r="N1864" s="2" t="s">
        <v>406</v>
      </c>
      <c r="O1864" s="3">
        <v>0.5</v>
      </c>
      <c r="P1864" s="2" t="s">
        <v>73</v>
      </c>
      <c r="Q1864" s="3">
        <v>0.0</v>
      </c>
      <c r="T1864" s="2" t="s">
        <v>6336</v>
      </c>
      <c r="U1864" s="171">
        <v>0.0</v>
      </c>
      <c r="V1864" s="172">
        <v>46052.0</v>
      </c>
      <c r="W1864" s="3">
        <v>200.0</v>
      </c>
      <c r="X1864" s="172">
        <v>46049.86059027778</v>
      </c>
      <c r="Y1864" s="172"/>
      <c r="Z1864" s="3">
        <v>46038.0</v>
      </c>
      <c r="AA1864" s="3"/>
    </row>
    <row r="1865">
      <c r="A1865" s="3">
        <v>6.869384364291E12</v>
      </c>
      <c r="B1865" s="2" t="s">
        <v>7783</v>
      </c>
      <c r="C1865" s="2" t="s">
        <v>7784</v>
      </c>
      <c r="D1865" s="169">
        <v>46038.0</v>
      </c>
      <c r="E1865" s="2">
        <v>3.032015799E9</v>
      </c>
      <c r="F1865" s="2" t="s">
        <v>7785</v>
      </c>
      <c r="G1865" s="2" t="s">
        <v>493</v>
      </c>
      <c r="H1865" s="2">
        <v>3099.0</v>
      </c>
      <c r="I1865" s="2">
        <v>2.4120050021294E13</v>
      </c>
      <c r="J1865" s="3">
        <v>2.0</v>
      </c>
      <c r="K1865" s="2" t="s">
        <v>7786</v>
      </c>
      <c r="L1865" s="2" t="s">
        <v>7787</v>
      </c>
      <c r="M1865" s="174" t="s">
        <v>409</v>
      </c>
      <c r="N1865" s="2" t="s">
        <v>462</v>
      </c>
      <c r="O1865" s="3">
        <v>0.5</v>
      </c>
      <c r="P1865" s="2"/>
      <c r="Q1865" s="3">
        <v>960.0</v>
      </c>
      <c r="U1865" s="171">
        <v>3099.0</v>
      </c>
      <c r="W1865" s="3">
        <v>337.0</v>
      </c>
      <c r="X1865" s="172">
        <v>46042.48630787037</v>
      </c>
      <c r="Y1865" s="172"/>
      <c r="Z1865" s="3">
        <v>46038.0</v>
      </c>
      <c r="AA1865" s="3"/>
    </row>
    <row r="1866">
      <c r="A1866" s="3">
        <v>6.869395308803E12</v>
      </c>
      <c r="B1866" s="2" t="s">
        <v>7788</v>
      </c>
      <c r="C1866" s="2" t="s">
        <v>7789</v>
      </c>
      <c r="D1866" s="169">
        <v>46038.0</v>
      </c>
      <c r="E1866" s="2">
        <v>3.366301993E9</v>
      </c>
      <c r="F1866" s="2" t="s">
        <v>7790</v>
      </c>
      <c r="G1866" s="2" t="s">
        <v>366</v>
      </c>
      <c r="H1866" s="2">
        <v>249.0</v>
      </c>
      <c r="I1866" s="2">
        <v>2.4120050021345E13</v>
      </c>
      <c r="J1866" s="3">
        <v>0.0</v>
      </c>
      <c r="K1866" s="2" t="s">
        <v>7791</v>
      </c>
      <c r="L1866" s="2"/>
      <c r="M1866" s="170" t="s">
        <v>455</v>
      </c>
      <c r="N1866" s="2" t="s">
        <v>406</v>
      </c>
      <c r="O1866" s="3">
        <v>0.5</v>
      </c>
      <c r="P1866" s="2" t="s">
        <v>73</v>
      </c>
      <c r="Q1866" s="3">
        <v>0.0</v>
      </c>
      <c r="T1866" s="2" t="s">
        <v>6336</v>
      </c>
      <c r="U1866" s="171">
        <v>0.0</v>
      </c>
      <c r="V1866" s="172">
        <v>46052.0</v>
      </c>
      <c r="W1866" s="3">
        <v>200.0</v>
      </c>
      <c r="X1866" s="172">
        <v>46049.86059027778</v>
      </c>
      <c r="Y1866" s="172"/>
      <c r="Z1866" s="3">
        <v>46038.0</v>
      </c>
      <c r="AA1866" s="3"/>
    </row>
    <row r="1867">
      <c r="A1867" s="3">
        <v>6.869449048323E12</v>
      </c>
      <c r="B1867" s="2" t="s">
        <v>7792</v>
      </c>
      <c r="C1867" s="2" t="s">
        <v>7793</v>
      </c>
      <c r="D1867" s="169">
        <v>46038.0</v>
      </c>
      <c r="E1867" s="173" t="s">
        <v>7794</v>
      </c>
      <c r="F1867" s="2" t="s">
        <v>7795</v>
      </c>
      <c r="G1867" s="2" t="s">
        <v>802</v>
      </c>
      <c r="H1867" s="2">
        <v>0.0</v>
      </c>
      <c r="J1867" s="3">
        <v>0.0</v>
      </c>
      <c r="K1867" s="2" t="s">
        <v>7796</v>
      </c>
      <c r="L1867" s="2"/>
      <c r="M1867" s="2" t="s">
        <v>468</v>
      </c>
      <c r="N1867" s="2" t="s">
        <v>406</v>
      </c>
      <c r="O1867" s="3">
        <v>0.5</v>
      </c>
      <c r="Q1867" s="3">
        <v>0.0</v>
      </c>
      <c r="U1867" s="141"/>
      <c r="X1867" s="172">
        <v>46057.64278285879</v>
      </c>
      <c r="Y1867" s="172"/>
      <c r="Z1867" s="3">
        <v>46038.0</v>
      </c>
      <c r="AA1867" s="3"/>
    </row>
    <row r="1868">
      <c r="A1868" s="3">
        <v>6.869482176771E12</v>
      </c>
      <c r="B1868" s="2" t="s">
        <v>7797</v>
      </c>
      <c r="C1868" s="2" t="s">
        <v>7798</v>
      </c>
      <c r="D1868" s="169">
        <v>46038.0</v>
      </c>
      <c r="E1868" s="2">
        <v>3.07623344E9</v>
      </c>
      <c r="F1868" s="2" t="s">
        <v>7799</v>
      </c>
      <c r="G1868" s="2" t="s">
        <v>688</v>
      </c>
      <c r="H1868" s="2">
        <v>4248.0</v>
      </c>
      <c r="I1868" s="2">
        <v>2.1120050021344E13</v>
      </c>
      <c r="J1868" s="3">
        <v>2.0</v>
      </c>
      <c r="K1868" s="2" t="s">
        <v>7800</v>
      </c>
      <c r="L1868" s="2" t="s">
        <v>994</v>
      </c>
      <c r="M1868" s="174" t="s">
        <v>409</v>
      </c>
      <c r="N1868" s="2" t="s">
        <v>462</v>
      </c>
      <c r="O1868" s="3">
        <v>0.5</v>
      </c>
      <c r="P1868" s="2" t="s">
        <v>73</v>
      </c>
      <c r="Q1868" s="3">
        <v>1700.0</v>
      </c>
      <c r="U1868" s="171">
        <v>4248.0</v>
      </c>
      <c r="W1868" s="3">
        <v>390.0</v>
      </c>
      <c r="X1868" s="172">
        <v>46043.67109953704</v>
      </c>
      <c r="Y1868" s="172"/>
      <c r="Z1868" s="3">
        <v>46038.0</v>
      </c>
      <c r="AA1868" s="3"/>
    </row>
    <row r="1869">
      <c r="A1869" s="3">
        <v>6.869565538563E12</v>
      </c>
      <c r="B1869" s="2" t="s">
        <v>7801</v>
      </c>
      <c r="C1869" s="2" t="s">
        <v>7802</v>
      </c>
      <c r="D1869" s="169">
        <v>46038.0</v>
      </c>
      <c r="E1869" s="2">
        <v>3.007336456E9</v>
      </c>
      <c r="F1869" s="2" t="s">
        <v>7803</v>
      </c>
      <c r="G1869" s="2" t="s">
        <v>7804</v>
      </c>
      <c r="H1869" s="2">
        <v>249.0</v>
      </c>
      <c r="I1869" s="2">
        <v>2.3120050021343E13</v>
      </c>
      <c r="J1869" s="3">
        <v>0.0</v>
      </c>
      <c r="K1869" s="2" t="s">
        <v>7805</v>
      </c>
      <c r="L1869" s="2"/>
      <c r="M1869" s="170" t="s">
        <v>455</v>
      </c>
      <c r="N1869" s="2" t="s">
        <v>406</v>
      </c>
      <c r="O1869" s="3">
        <v>0.5</v>
      </c>
      <c r="P1869" s="2" t="s">
        <v>73</v>
      </c>
      <c r="Q1869" s="3">
        <v>0.0</v>
      </c>
      <c r="T1869" s="2" t="s">
        <v>6123</v>
      </c>
      <c r="U1869" s="171">
        <v>0.0</v>
      </c>
      <c r="V1869" s="172">
        <v>46049.0</v>
      </c>
      <c r="W1869" s="3">
        <v>200.0</v>
      </c>
      <c r="X1869" s="172">
        <v>46048.90521990741</v>
      </c>
      <c r="Y1869" s="172"/>
      <c r="Z1869" s="3">
        <v>46038.0</v>
      </c>
      <c r="AA1869" s="3"/>
    </row>
    <row r="1870">
      <c r="A1870" s="3">
        <v>6.869601353987E12</v>
      </c>
      <c r="B1870" s="2" t="s">
        <v>7806</v>
      </c>
      <c r="C1870" s="2" t="s">
        <v>7807</v>
      </c>
      <c r="D1870" s="169">
        <v>46039.0</v>
      </c>
      <c r="E1870" s="2">
        <v>3.25668792E9</v>
      </c>
      <c r="F1870" s="2" t="s">
        <v>7808</v>
      </c>
      <c r="G1870" s="2" t="s">
        <v>541</v>
      </c>
      <c r="H1870" s="2">
        <v>0.0</v>
      </c>
      <c r="J1870" s="3">
        <v>0.0</v>
      </c>
      <c r="K1870" s="2" t="s">
        <v>7809</v>
      </c>
      <c r="L1870" s="2"/>
      <c r="M1870" s="2" t="s">
        <v>468</v>
      </c>
      <c r="N1870" s="2" t="s">
        <v>406</v>
      </c>
      <c r="O1870" s="3">
        <v>0.5</v>
      </c>
      <c r="Q1870" s="3">
        <v>0.0</v>
      </c>
      <c r="U1870" s="141"/>
      <c r="X1870" s="172">
        <v>46057.64278285879</v>
      </c>
      <c r="Y1870" s="172"/>
      <c r="Z1870" s="3">
        <v>46039.0</v>
      </c>
      <c r="AA1870" s="3"/>
    </row>
    <row r="1871">
      <c r="A1871" s="3">
        <v>6.869624455427E12</v>
      </c>
      <c r="B1871" s="2" t="s">
        <v>7810</v>
      </c>
      <c r="C1871" s="2" t="s">
        <v>7811</v>
      </c>
      <c r="D1871" s="169">
        <v>46039.0</v>
      </c>
      <c r="E1871" s="2">
        <v>3.267726827E9</v>
      </c>
      <c r="F1871" s="2" t="s">
        <v>7812</v>
      </c>
      <c r="G1871" s="2" t="s">
        <v>4900</v>
      </c>
      <c r="H1871" s="2">
        <v>2849.0</v>
      </c>
      <c r="I1871" s="2">
        <v>2.5120050021342E13</v>
      </c>
      <c r="J1871" s="3">
        <v>2.0</v>
      </c>
      <c r="K1871" s="2" t="s">
        <v>7813</v>
      </c>
      <c r="L1871" s="2" t="s">
        <v>4209</v>
      </c>
      <c r="M1871" s="174" t="s">
        <v>409</v>
      </c>
      <c r="N1871" s="2" t="s">
        <v>462</v>
      </c>
      <c r="O1871" s="3">
        <v>0.5</v>
      </c>
      <c r="P1871" s="2" t="s">
        <v>73</v>
      </c>
      <c r="Q1871" s="3">
        <v>920.0</v>
      </c>
      <c r="U1871" s="171">
        <v>2849.0</v>
      </c>
      <c r="W1871" s="3">
        <v>314.0</v>
      </c>
      <c r="X1871" s="172">
        <v>46043.640451388885</v>
      </c>
      <c r="Y1871" s="172"/>
      <c r="Z1871" s="3">
        <v>46039.0</v>
      </c>
      <c r="AA1871" s="3"/>
    </row>
    <row r="1872">
      <c r="A1872" s="3">
        <v>6.869693694211E12</v>
      </c>
      <c r="B1872" s="2" t="s">
        <v>7814</v>
      </c>
      <c r="C1872" s="2" t="s">
        <v>7815</v>
      </c>
      <c r="D1872" s="169">
        <v>46039.0</v>
      </c>
      <c r="E1872" s="2">
        <v>3.371281015E9</v>
      </c>
      <c r="F1872" s="2" t="s">
        <v>7816</v>
      </c>
      <c r="G1872" s="2" t="s">
        <v>693</v>
      </c>
      <c r="H1872" s="2">
        <v>0.0</v>
      </c>
      <c r="J1872" s="3">
        <v>0.0</v>
      </c>
      <c r="K1872" s="2" t="s">
        <v>7817</v>
      </c>
      <c r="L1872" s="2"/>
      <c r="M1872" s="2" t="s">
        <v>468</v>
      </c>
      <c r="N1872" s="2" t="s">
        <v>406</v>
      </c>
      <c r="O1872" s="3">
        <v>0.5</v>
      </c>
      <c r="Q1872" s="3">
        <v>0.0</v>
      </c>
      <c r="U1872" s="141"/>
      <c r="X1872" s="172">
        <v>46057.64278285879</v>
      </c>
      <c r="Y1872" s="172"/>
      <c r="Z1872" s="3">
        <v>46039.0</v>
      </c>
      <c r="AA1872" s="3"/>
    </row>
    <row r="1873">
      <c r="A1873" s="3">
        <v>6.869698937091E12</v>
      </c>
      <c r="B1873" s="2" t="s">
        <v>7818</v>
      </c>
      <c r="C1873" s="2" t="s">
        <v>7819</v>
      </c>
      <c r="D1873" s="169">
        <v>46039.0</v>
      </c>
      <c r="E1873" s="2">
        <v>3.332737127E9</v>
      </c>
      <c r="F1873" s="2" t="s">
        <v>7820</v>
      </c>
      <c r="G1873" s="2" t="s">
        <v>366</v>
      </c>
      <c r="H1873" s="2">
        <v>3099.0</v>
      </c>
      <c r="I1873" s="2">
        <v>2.4120050021341E13</v>
      </c>
      <c r="J1873" s="3">
        <v>2.0</v>
      </c>
      <c r="K1873" s="2" t="s">
        <v>7821</v>
      </c>
      <c r="L1873" s="2" t="s">
        <v>275</v>
      </c>
      <c r="M1873" s="174" t="s">
        <v>409</v>
      </c>
      <c r="N1873" s="2" t="s">
        <v>462</v>
      </c>
      <c r="O1873" s="3">
        <v>0.5</v>
      </c>
      <c r="P1873" s="2" t="s">
        <v>73</v>
      </c>
      <c r="Q1873" s="3">
        <v>960.0</v>
      </c>
      <c r="U1873" s="171">
        <v>3099.0</v>
      </c>
      <c r="W1873" s="3">
        <v>344.0</v>
      </c>
      <c r="X1873" s="172">
        <v>46044.74822916667</v>
      </c>
      <c r="Y1873" s="172"/>
      <c r="Z1873" s="3">
        <v>46039.0</v>
      </c>
      <c r="AA1873" s="3"/>
    </row>
    <row r="1874">
      <c r="A1874" s="3">
        <v>6.870044606723E12</v>
      </c>
      <c r="B1874" s="2" t="s">
        <v>7822</v>
      </c>
      <c r="C1874" s="2" t="s">
        <v>7823</v>
      </c>
      <c r="D1874" s="169">
        <v>46039.0</v>
      </c>
      <c r="E1874" s="2">
        <v>3.184526459E9</v>
      </c>
      <c r="F1874" s="2" t="s">
        <v>6147</v>
      </c>
      <c r="G1874" s="2" t="s">
        <v>493</v>
      </c>
      <c r="H1874" s="2">
        <v>0.0</v>
      </c>
      <c r="J1874" s="3">
        <v>0.0</v>
      </c>
      <c r="K1874" s="2" t="s">
        <v>7824</v>
      </c>
      <c r="L1874" s="2"/>
      <c r="M1874" s="2" t="s">
        <v>468</v>
      </c>
      <c r="N1874" s="2" t="s">
        <v>406</v>
      </c>
      <c r="O1874" s="3">
        <v>0.5</v>
      </c>
      <c r="Q1874" s="3">
        <v>0.0</v>
      </c>
      <c r="U1874" s="141"/>
      <c r="X1874" s="172">
        <v>46057.64278285879</v>
      </c>
      <c r="Y1874" s="172"/>
      <c r="Z1874" s="3">
        <v>46039.0</v>
      </c>
      <c r="AA1874" s="3"/>
    </row>
    <row r="1875">
      <c r="A1875" s="3">
        <v>6.870065840387E12</v>
      </c>
      <c r="B1875" s="2" t="s">
        <v>7825</v>
      </c>
      <c r="C1875" s="2" t="s">
        <v>7826</v>
      </c>
      <c r="D1875" s="169">
        <v>46039.0</v>
      </c>
      <c r="E1875" s="2">
        <v>3.454170215E9</v>
      </c>
      <c r="F1875" s="2" t="s">
        <v>7827</v>
      </c>
      <c r="G1875" s="2" t="s">
        <v>7828</v>
      </c>
      <c r="H1875" s="2">
        <v>249.0</v>
      </c>
      <c r="I1875" s="2">
        <v>2.4120050021293E13</v>
      </c>
      <c r="J1875" s="3">
        <v>0.0</v>
      </c>
      <c r="K1875" s="2" t="s">
        <v>7829</v>
      </c>
      <c r="L1875" s="2"/>
      <c r="M1875" s="170" t="s">
        <v>455</v>
      </c>
      <c r="N1875" s="2" t="s">
        <v>406</v>
      </c>
      <c r="O1875" s="3">
        <v>0.5</v>
      </c>
      <c r="P1875" s="2"/>
      <c r="Q1875" s="3">
        <v>0.0</v>
      </c>
      <c r="T1875" s="2" t="s">
        <v>6336</v>
      </c>
      <c r="U1875" s="171">
        <v>0.0</v>
      </c>
      <c r="V1875" s="172">
        <v>46052.0</v>
      </c>
      <c r="W1875" s="3">
        <v>200.0</v>
      </c>
      <c r="X1875" s="172">
        <v>46049.86059027778</v>
      </c>
      <c r="Y1875" s="172"/>
      <c r="Z1875" s="3">
        <v>46039.0</v>
      </c>
      <c r="AA1875" s="3"/>
    </row>
    <row r="1876">
      <c r="A1876" s="3">
        <v>6.870135537923E12</v>
      </c>
      <c r="B1876" s="2" t="s">
        <v>7830</v>
      </c>
      <c r="C1876" s="2" t="s">
        <v>7831</v>
      </c>
      <c r="D1876" s="169">
        <v>46039.0</v>
      </c>
      <c r="E1876" s="2">
        <v>3.334328881E9</v>
      </c>
      <c r="F1876" s="2" t="s">
        <v>7832</v>
      </c>
      <c r="G1876" s="2" t="s">
        <v>368</v>
      </c>
      <c r="H1876" s="2">
        <v>0.0</v>
      </c>
      <c r="J1876" s="3">
        <v>0.0</v>
      </c>
      <c r="K1876" s="2" t="s">
        <v>7833</v>
      </c>
      <c r="L1876" s="2"/>
      <c r="M1876" s="2" t="s">
        <v>468</v>
      </c>
      <c r="N1876" s="2" t="s">
        <v>406</v>
      </c>
      <c r="O1876" s="3">
        <v>0.5</v>
      </c>
      <c r="Q1876" s="3">
        <v>0.0</v>
      </c>
      <c r="U1876" s="141"/>
      <c r="X1876" s="172">
        <v>46057.64278285879</v>
      </c>
      <c r="Y1876" s="172"/>
      <c r="Z1876" s="3">
        <v>46039.0</v>
      </c>
      <c r="AA1876" s="3"/>
    </row>
    <row r="1877">
      <c r="A1877" s="3">
        <v>6.870138028291E12</v>
      </c>
      <c r="B1877" s="2" t="s">
        <v>7834</v>
      </c>
      <c r="C1877" s="2" t="s">
        <v>7831</v>
      </c>
      <c r="D1877" s="169">
        <v>46039.0</v>
      </c>
      <c r="E1877" s="173" t="s">
        <v>7835</v>
      </c>
      <c r="F1877" s="2" t="s">
        <v>7832</v>
      </c>
      <c r="G1877" s="2" t="s">
        <v>368</v>
      </c>
      <c r="H1877" s="2">
        <v>4249.0</v>
      </c>
      <c r="I1877" s="2">
        <v>2.212005002134E13</v>
      </c>
      <c r="J1877" s="3">
        <v>2.0</v>
      </c>
      <c r="K1877" s="2" t="s">
        <v>7836</v>
      </c>
      <c r="L1877" s="2" t="s">
        <v>913</v>
      </c>
      <c r="M1877" s="174" t="s">
        <v>409</v>
      </c>
      <c r="N1877" s="2" t="s">
        <v>462</v>
      </c>
      <c r="O1877" s="3">
        <v>0.5</v>
      </c>
      <c r="P1877" s="2" t="s">
        <v>73</v>
      </c>
      <c r="Q1877" s="3">
        <v>1700.0</v>
      </c>
      <c r="U1877" s="171">
        <v>4249.0</v>
      </c>
      <c r="W1877" s="3">
        <v>290.0</v>
      </c>
      <c r="X1877" s="172">
        <v>46042.775347222225</v>
      </c>
      <c r="Y1877" s="172"/>
      <c r="Z1877" s="3">
        <v>46039.0</v>
      </c>
      <c r="AA1877" s="3"/>
    </row>
    <row r="1878">
      <c r="A1878" s="3">
        <v>6.870147072259E12</v>
      </c>
      <c r="B1878" s="2" t="s">
        <v>7837</v>
      </c>
      <c r="C1878" s="2" t="s">
        <v>7838</v>
      </c>
      <c r="D1878" s="169">
        <v>46039.0</v>
      </c>
      <c r="E1878" s="2">
        <v>3.132360007E9</v>
      </c>
      <c r="F1878" s="2" t="s">
        <v>7839</v>
      </c>
      <c r="G1878" s="2" t="s">
        <v>493</v>
      </c>
      <c r="H1878" s="2">
        <v>249.0</v>
      </c>
      <c r="I1878" s="2">
        <v>2.6120050021292E13</v>
      </c>
      <c r="J1878" s="3">
        <v>0.0</v>
      </c>
      <c r="K1878" s="2" t="s">
        <v>7840</v>
      </c>
      <c r="L1878" s="2"/>
      <c r="M1878" s="170" t="s">
        <v>455</v>
      </c>
      <c r="N1878" s="2" t="s">
        <v>406</v>
      </c>
      <c r="O1878" s="3">
        <v>0.5</v>
      </c>
      <c r="P1878" s="2"/>
      <c r="Q1878" s="3">
        <v>0.0</v>
      </c>
      <c r="T1878" s="2" t="s">
        <v>6336</v>
      </c>
      <c r="U1878" s="171">
        <v>0.0</v>
      </c>
      <c r="V1878" s="172">
        <v>46052.0</v>
      </c>
      <c r="W1878" s="3">
        <v>213.0</v>
      </c>
      <c r="X1878" s="172">
        <v>46050.84106481481</v>
      </c>
      <c r="Y1878" s="172"/>
      <c r="Z1878" s="3">
        <v>46039.0</v>
      </c>
      <c r="AA1878" s="3"/>
    </row>
    <row r="1879">
      <c r="A1879" s="3">
        <v>6.870268543235E12</v>
      </c>
      <c r="B1879" s="2" t="s">
        <v>7841</v>
      </c>
      <c r="C1879" s="2" t="s">
        <v>7842</v>
      </c>
      <c r="D1879" s="169">
        <v>46039.0</v>
      </c>
      <c r="E1879" s="2">
        <v>3.218581887E9</v>
      </c>
      <c r="F1879" s="2" t="s">
        <v>7843</v>
      </c>
      <c r="G1879" s="2" t="s">
        <v>7844</v>
      </c>
      <c r="H1879" s="2">
        <v>249.0</v>
      </c>
      <c r="I1879" s="2">
        <v>2.9120050021291E13</v>
      </c>
      <c r="J1879" s="3">
        <v>0.0</v>
      </c>
      <c r="K1879" s="2" t="s">
        <v>7845</v>
      </c>
      <c r="L1879" s="2"/>
      <c r="M1879" s="170" t="s">
        <v>455</v>
      </c>
      <c r="N1879" s="2" t="s">
        <v>406</v>
      </c>
      <c r="O1879" s="3">
        <v>0.5</v>
      </c>
      <c r="P1879" s="2"/>
      <c r="Q1879" s="3">
        <v>0.0</v>
      </c>
      <c r="T1879" s="2" t="s">
        <v>6123</v>
      </c>
      <c r="U1879" s="171">
        <v>0.0</v>
      </c>
      <c r="V1879" s="172">
        <v>46049.0</v>
      </c>
      <c r="W1879" s="3">
        <v>227.0</v>
      </c>
      <c r="X1879" s="172">
        <v>46046.82884259259</v>
      </c>
      <c r="Y1879" s="172"/>
      <c r="Z1879" s="3">
        <v>46039.0</v>
      </c>
      <c r="AA1879" s="3"/>
    </row>
    <row r="1880">
      <c r="A1880" s="3">
        <v>6.870296985859E12</v>
      </c>
      <c r="B1880" s="2" t="s">
        <v>7846</v>
      </c>
      <c r="C1880" s="2" t="s">
        <v>7847</v>
      </c>
      <c r="D1880" s="169">
        <v>46039.0</v>
      </c>
      <c r="E1880" s="173" t="s">
        <v>7848</v>
      </c>
      <c r="F1880" s="2" t="s">
        <v>7849</v>
      </c>
      <c r="G1880" s="2" t="s">
        <v>368</v>
      </c>
      <c r="H1880" s="2">
        <v>2799.0</v>
      </c>
      <c r="I1880" s="2">
        <v>2.312005002129E13</v>
      </c>
      <c r="J1880" s="3">
        <v>1.0</v>
      </c>
      <c r="K1880" s="2" t="s">
        <v>7850</v>
      </c>
      <c r="L1880" s="2" t="s">
        <v>519</v>
      </c>
      <c r="M1880" s="174" t="s">
        <v>409</v>
      </c>
      <c r="N1880" s="2" t="s">
        <v>462</v>
      </c>
      <c r="O1880" s="3">
        <v>0.5</v>
      </c>
      <c r="P1880" s="2"/>
      <c r="Q1880" s="3">
        <v>850.0</v>
      </c>
      <c r="T1880" s="2" t="s">
        <v>4910</v>
      </c>
      <c r="U1880" s="171">
        <v>2799.0</v>
      </c>
      <c r="V1880" s="172">
        <v>46042.0</v>
      </c>
      <c r="W1880" s="3">
        <v>218.68</v>
      </c>
      <c r="X1880" s="172">
        <v>46041.66408564815</v>
      </c>
      <c r="Y1880" s="172"/>
      <c r="Z1880" s="3">
        <v>46039.0</v>
      </c>
      <c r="AA1880" s="3"/>
    </row>
    <row r="1881">
      <c r="A1881" s="3">
        <v>6.870350332163E12</v>
      </c>
      <c r="B1881" s="2" t="s">
        <v>7851</v>
      </c>
      <c r="C1881" s="2" t="s">
        <v>6479</v>
      </c>
      <c r="D1881" s="169">
        <v>46039.0</v>
      </c>
      <c r="E1881" s="2">
        <v>3.167820397E9</v>
      </c>
      <c r="F1881" s="2" t="s">
        <v>6481</v>
      </c>
      <c r="G1881" s="2" t="s">
        <v>1637</v>
      </c>
      <c r="H1881" s="2">
        <v>1674.0</v>
      </c>
      <c r="I1881" s="2">
        <v>2.0120050021289E13</v>
      </c>
      <c r="J1881" s="3">
        <v>1.0</v>
      </c>
      <c r="K1881" s="2" t="s">
        <v>7852</v>
      </c>
      <c r="L1881" s="2" t="s">
        <v>7853</v>
      </c>
      <c r="M1881" s="174" t="s">
        <v>409</v>
      </c>
      <c r="N1881" s="2" t="s">
        <v>462</v>
      </c>
      <c r="O1881" s="3">
        <v>0.5</v>
      </c>
      <c r="P1881" s="2"/>
      <c r="Q1881" s="3">
        <v>480.0</v>
      </c>
      <c r="T1881" s="2" t="s">
        <v>4910</v>
      </c>
      <c r="U1881" s="171">
        <v>1674.0</v>
      </c>
      <c r="V1881" s="172">
        <v>46042.0</v>
      </c>
      <c r="W1881" s="3">
        <v>200.1</v>
      </c>
      <c r="X1881" s="172">
        <v>46041.790972222225</v>
      </c>
      <c r="Y1881" s="172"/>
      <c r="Z1881" s="3">
        <v>46039.0</v>
      </c>
      <c r="AA1881" s="3"/>
    </row>
    <row r="1882">
      <c r="A1882" s="3">
        <v>6.870368944387E12</v>
      </c>
      <c r="B1882" s="2" t="s">
        <v>7854</v>
      </c>
      <c r="C1882" s="2" t="s">
        <v>7855</v>
      </c>
      <c r="D1882" s="169">
        <v>46039.0</v>
      </c>
      <c r="E1882" s="2">
        <v>3.10792766E9</v>
      </c>
      <c r="F1882" s="2" t="s">
        <v>7856</v>
      </c>
      <c r="G1882" s="2" t="s">
        <v>7857</v>
      </c>
      <c r="H1882" s="2">
        <v>3099.0</v>
      </c>
      <c r="I1882" s="2">
        <v>2.5120050021339E13</v>
      </c>
      <c r="J1882" s="3">
        <v>2.0</v>
      </c>
      <c r="K1882" s="2" t="s">
        <v>7858</v>
      </c>
      <c r="L1882" s="2" t="s">
        <v>906</v>
      </c>
      <c r="M1882" s="174" t="s">
        <v>409</v>
      </c>
      <c r="N1882" s="2" t="s">
        <v>462</v>
      </c>
      <c r="O1882" s="3">
        <v>0.5</v>
      </c>
      <c r="P1882" s="2" t="s">
        <v>73</v>
      </c>
      <c r="Q1882" s="3">
        <v>920.0</v>
      </c>
      <c r="T1882" s="2" t="s">
        <v>6123</v>
      </c>
      <c r="U1882" s="171">
        <v>3099.0</v>
      </c>
      <c r="V1882" s="172">
        <v>46049.0</v>
      </c>
      <c r="W1882" s="3">
        <v>324.0</v>
      </c>
      <c r="X1882" s="172">
        <v>46046.751793981486</v>
      </c>
      <c r="Y1882" s="172"/>
      <c r="Z1882" s="3">
        <v>46039.0</v>
      </c>
      <c r="AA1882" s="3"/>
    </row>
    <row r="1883">
      <c r="A1883" s="3">
        <v>6.870372614403E12</v>
      </c>
      <c r="B1883" s="2" t="s">
        <v>7859</v>
      </c>
      <c r="C1883" s="2" t="s">
        <v>5473</v>
      </c>
      <c r="D1883" s="169">
        <v>46039.0</v>
      </c>
      <c r="E1883" s="2">
        <v>3.157897474E9</v>
      </c>
      <c r="F1883" s="2" t="s">
        <v>7860</v>
      </c>
      <c r="G1883" s="2" t="s">
        <v>7861</v>
      </c>
      <c r="H1883" s="2">
        <v>2799.0</v>
      </c>
      <c r="I1883" s="2">
        <v>2.2120050021338E13</v>
      </c>
      <c r="J1883" s="3">
        <v>1.0</v>
      </c>
      <c r="K1883" s="2" t="s">
        <v>7862</v>
      </c>
      <c r="L1883" s="2" t="s">
        <v>684</v>
      </c>
      <c r="M1883" s="174" t="s">
        <v>409</v>
      </c>
      <c r="N1883" s="2" t="s">
        <v>462</v>
      </c>
      <c r="O1883" s="3">
        <v>0.5</v>
      </c>
      <c r="P1883" s="2" t="s">
        <v>73</v>
      </c>
      <c r="Q1883" s="3">
        <v>850.0</v>
      </c>
      <c r="T1883" s="2" t="s">
        <v>6123</v>
      </c>
      <c r="U1883" s="171">
        <v>2799.0</v>
      </c>
      <c r="V1883" s="172">
        <v>46049.0</v>
      </c>
      <c r="W1883" s="3">
        <v>332.0</v>
      </c>
      <c r="X1883" s="172">
        <v>46047.684224537035</v>
      </c>
      <c r="Y1883" s="172"/>
      <c r="Z1883" s="3">
        <v>46039.0</v>
      </c>
      <c r="AA1883" s="3"/>
    </row>
    <row r="1884">
      <c r="A1884" s="3">
        <v>6.870375366915E12</v>
      </c>
      <c r="B1884" s="2" t="s">
        <v>7863</v>
      </c>
      <c r="C1884" s="2" t="s">
        <v>6167</v>
      </c>
      <c r="D1884" s="169">
        <v>46039.0</v>
      </c>
      <c r="E1884" s="173" t="s">
        <v>6168</v>
      </c>
      <c r="F1884" s="2" t="s">
        <v>6169</v>
      </c>
      <c r="G1884" s="2" t="s">
        <v>366</v>
      </c>
      <c r="H1884" s="2">
        <v>3850.0</v>
      </c>
      <c r="I1884" s="2">
        <v>2.6120050021306E13</v>
      </c>
      <c r="J1884" s="3">
        <v>2.0</v>
      </c>
      <c r="K1884" s="2" t="s">
        <v>7864</v>
      </c>
      <c r="L1884" s="2" t="s">
        <v>7865</v>
      </c>
      <c r="M1884" s="174" t="s">
        <v>409</v>
      </c>
      <c r="N1884" s="2" t="s">
        <v>462</v>
      </c>
      <c r="O1884" s="3">
        <v>0.5</v>
      </c>
      <c r="P1884" s="2" t="s">
        <v>73</v>
      </c>
      <c r="Q1884" s="3">
        <v>1580.0</v>
      </c>
      <c r="T1884" s="2" t="s">
        <v>6123</v>
      </c>
      <c r="U1884" s="171">
        <v>3850.0</v>
      </c>
      <c r="V1884" s="172">
        <v>46049.0</v>
      </c>
      <c r="W1884" s="3">
        <v>220.0</v>
      </c>
      <c r="X1884" s="172">
        <v>46046.5815162037</v>
      </c>
      <c r="Y1884" s="172"/>
      <c r="Z1884" s="3">
        <v>46039.0</v>
      </c>
      <c r="AA1884" s="3"/>
    </row>
    <row r="1885">
      <c r="A1885" s="3">
        <v>6.870405513475E12</v>
      </c>
      <c r="B1885" s="2" t="s">
        <v>7866</v>
      </c>
      <c r="C1885" s="2" t="s">
        <v>7867</v>
      </c>
      <c r="D1885" s="169">
        <v>46039.0</v>
      </c>
      <c r="E1885" s="2">
        <v>3.106000147E9</v>
      </c>
      <c r="F1885" s="2" t="s">
        <v>7868</v>
      </c>
      <c r="G1885" s="2" t="s">
        <v>461</v>
      </c>
      <c r="H1885" s="2">
        <v>1799.0</v>
      </c>
      <c r="I1885" s="2">
        <v>2.7120050021401E13</v>
      </c>
      <c r="J1885" s="3">
        <v>1.0</v>
      </c>
      <c r="K1885" s="2" t="s">
        <v>7869</v>
      </c>
      <c r="L1885" s="2" t="s">
        <v>1720</v>
      </c>
      <c r="M1885" s="174" t="s">
        <v>409</v>
      </c>
      <c r="N1885" s="2" t="s">
        <v>462</v>
      </c>
      <c r="O1885" s="3">
        <v>0.5</v>
      </c>
      <c r="P1885" s="2" t="s">
        <v>73</v>
      </c>
      <c r="Q1885" s="3">
        <v>490.0</v>
      </c>
      <c r="T1885" s="2" t="s">
        <v>6123</v>
      </c>
      <c r="U1885" s="171">
        <v>1799.0</v>
      </c>
      <c r="V1885" s="172">
        <v>46049.0</v>
      </c>
      <c r="W1885" s="3">
        <v>272.0</v>
      </c>
      <c r="X1885" s="172">
        <v>46045.63077546297</v>
      </c>
      <c r="Y1885" s="172"/>
      <c r="Z1885" s="3">
        <v>46039.0</v>
      </c>
      <c r="AA1885" s="3"/>
    </row>
    <row r="1886">
      <c r="A1886" s="3">
        <v>6.870432481539E12</v>
      </c>
      <c r="B1886" s="2" t="s">
        <v>7870</v>
      </c>
      <c r="C1886" s="2" t="s">
        <v>7871</v>
      </c>
      <c r="D1886" s="169">
        <v>46039.0</v>
      </c>
      <c r="E1886" s="2">
        <v>3.000723462E9</v>
      </c>
      <c r="F1886" s="2" t="s">
        <v>7872</v>
      </c>
      <c r="G1886" s="2" t="s">
        <v>506</v>
      </c>
      <c r="H1886" s="2">
        <v>1799.0</v>
      </c>
      <c r="I1886" s="2">
        <v>2.41200500214E13</v>
      </c>
      <c r="J1886" s="3">
        <v>1.0</v>
      </c>
      <c r="K1886" s="2" t="s">
        <v>7873</v>
      </c>
      <c r="L1886" s="2" t="s">
        <v>4872</v>
      </c>
      <c r="M1886" s="174" t="s">
        <v>409</v>
      </c>
      <c r="N1886" s="2" t="s">
        <v>462</v>
      </c>
      <c r="O1886" s="3">
        <v>0.5</v>
      </c>
      <c r="P1886" s="2" t="s">
        <v>73</v>
      </c>
      <c r="Q1886" s="3">
        <v>490.0</v>
      </c>
      <c r="T1886" s="2" t="s">
        <v>6123</v>
      </c>
      <c r="U1886" s="171">
        <v>1799.0</v>
      </c>
      <c r="V1886" s="172">
        <v>46049.0</v>
      </c>
      <c r="W1886" s="3">
        <v>272.0</v>
      </c>
      <c r="X1886" s="172">
        <v>46045.63570601852</v>
      </c>
      <c r="Y1886" s="172"/>
      <c r="Z1886" s="3">
        <v>46039.0</v>
      </c>
      <c r="AA1886" s="3"/>
    </row>
    <row r="1887">
      <c r="A1887" s="3">
        <v>6.870442705155E12</v>
      </c>
      <c r="B1887" s="2" t="s">
        <v>7874</v>
      </c>
      <c r="C1887" s="2" t="s">
        <v>7875</v>
      </c>
      <c r="D1887" s="169">
        <v>46039.0</v>
      </c>
      <c r="E1887" s="2">
        <v>3.498332104E9</v>
      </c>
      <c r="F1887" s="2" t="s">
        <v>7876</v>
      </c>
      <c r="G1887" s="2" t="s">
        <v>1395</v>
      </c>
      <c r="H1887" s="2">
        <v>3099.0</v>
      </c>
      <c r="I1887" s="2">
        <v>2.6120050021399E13</v>
      </c>
      <c r="J1887" s="3">
        <v>2.0</v>
      </c>
      <c r="K1887" s="2" t="s">
        <v>7877</v>
      </c>
      <c r="L1887" s="2" t="s">
        <v>296</v>
      </c>
      <c r="M1887" s="174" t="s">
        <v>409</v>
      </c>
      <c r="N1887" s="2" t="s">
        <v>462</v>
      </c>
      <c r="O1887" s="3">
        <v>0.5</v>
      </c>
      <c r="P1887" s="2" t="s">
        <v>73</v>
      </c>
      <c r="Q1887" s="3">
        <v>920.0</v>
      </c>
      <c r="T1887" s="2" t="s">
        <v>6123</v>
      </c>
      <c r="U1887" s="171">
        <v>3099.0</v>
      </c>
      <c r="V1887" s="172">
        <v>46049.0</v>
      </c>
      <c r="W1887" s="3">
        <v>337.0</v>
      </c>
      <c r="X1887" s="172">
        <v>46046.576585648145</v>
      </c>
      <c r="Y1887" s="172"/>
      <c r="Z1887" s="3">
        <v>46039.0</v>
      </c>
      <c r="AA1887" s="3"/>
    </row>
    <row r="1888">
      <c r="A1888" s="3">
        <v>6.870446145795E12</v>
      </c>
      <c r="B1888" s="2" t="s">
        <v>7878</v>
      </c>
      <c r="C1888" s="2" t="s">
        <v>7879</v>
      </c>
      <c r="D1888" s="169">
        <v>46039.0</v>
      </c>
      <c r="E1888" s="173" t="s">
        <v>7880</v>
      </c>
      <c r="F1888" s="2" t="s">
        <v>7881</v>
      </c>
      <c r="G1888" s="2" t="s">
        <v>672</v>
      </c>
      <c r="H1888" s="2">
        <v>249.0</v>
      </c>
      <c r="I1888" s="2">
        <v>2.2120050021398E13</v>
      </c>
      <c r="J1888" s="3">
        <v>0.0</v>
      </c>
      <c r="K1888" s="2" t="s">
        <v>7882</v>
      </c>
      <c r="L1888" s="2"/>
      <c r="M1888" s="170" t="s">
        <v>455</v>
      </c>
      <c r="N1888" s="2" t="s">
        <v>406</v>
      </c>
      <c r="O1888" s="3">
        <v>0.5</v>
      </c>
      <c r="P1888" s="2" t="s">
        <v>73</v>
      </c>
      <c r="Q1888" s="3">
        <v>0.0</v>
      </c>
      <c r="U1888" s="141"/>
      <c r="W1888" s="3">
        <v>213.0</v>
      </c>
      <c r="X1888" s="172">
        <v>46057.35021990741</v>
      </c>
      <c r="Y1888" s="172"/>
      <c r="Z1888" s="3">
        <v>46039.0</v>
      </c>
      <c r="AA1888" s="3"/>
    </row>
    <row r="1889">
      <c r="A1889" s="3">
        <v>6.870535831811E12</v>
      </c>
      <c r="B1889" s="2" t="s">
        <v>7883</v>
      </c>
      <c r="C1889" s="2" t="s">
        <v>7884</v>
      </c>
      <c r="D1889" s="169">
        <v>46039.0</v>
      </c>
      <c r="E1889" s="2">
        <v>3.0178727E9</v>
      </c>
      <c r="F1889" s="2" t="s">
        <v>7885</v>
      </c>
      <c r="G1889" s="2" t="s">
        <v>958</v>
      </c>
      <c r="H1889" s="2">
        <v>249.0</v>
      </c>
      <c r="I1889" s="2">
        <v>2.3120050021384E13</v>
      </c>
      <c r="J1889" s="3">
        <v>0.0</v>
      </c>
      <c r="K1889" s="2" t="s">
        <v>7886</v>
      </c>
      <c r="L1889" s="2"/>
      <c r="M1889" s="170" t="s">
        <v>455</v>
      </c>
      <c r="N1889" s="2" t="s">
        <v>406</v>
      </c>
      <c r="O1889" s="3">
        <v>0.5</v>
      </c>
      <c r="P1889" s="2" t="s">
        <v>73</v>
      </c>
      <c r="Q1889" s="3">
        <v>0.0</v>
      </c>
      <c r="T1889" s="2" t="s">
        <v>6193</v>
      </c>
      <c r="U1889" s="141"/>
      <c r="W1889" s="3">
        <v>220.0</v>
      </c>
      <c r="X1889" s="172">
        <v>46053.874826388885</v>
      </c>
      <c r="Y1889" s="172"/>
      <c r="Z1889" s="3">
        <v>46039.0</v>
      </c>
      <c r="AA1889" s="3"/>
    </row>
    <row r="1890">
      <c r="A1890" s="3">
        <v>6.870541402371E12</v>
      </c>
      <c r="B1890" s="2" t="s">
        <v>7887</v>
      </c>
      <c r="C1890" s="2" t="s">
        <v>7888</v>
      </c>
      <c r="D1890" s="169">
        <v>46039.0</v>
      </c>
      <c r="E1890" s="2">
        <v>3.0178727E9</v>
      </c>
      <c r="F1890" s="2" t="s">
        <v>7889</v>
      </c>
      <c r="G1890" s="2" t="s">
        <v>958</v>
      </c>
      <c r="H1890" s="2">
        <v>249.0</v>
      </c>
      <c r="I1890" s="2">
        <v>2.3120050021376E13</v>
      </c>
      <c r="J1890" s="3">
        <v>0.0</v>
      </c>
      <c r="K1890" s="2" t="s">
        <v>7890</v>
      </c>
      <c r="L1890" s="2"/>
      <c r="M1890" s="170" t="s">
        <v>455</v>
      </c>
      <c r="N1890" s="2" t="s">
        <v>406</v>
      </c>
      <c r="O1890" s="3">
        <v>0.5</v>
      </c>
      <c r="P1890" s="2" t="s">
        <v>73</v>
      </c>
      <c r="Q1890" s="3">
        <v>0.0</v>
      </c>
      <c r="T1890" s="2" t="s">
        <v>6336</v>
      </c>
      <c r="U1890" s="171">
        <v>0.0</v>
      </c>
      <c r="V1890" s="172">
        <v>46052.0</v>
      </c>
      <c r="W1890" s="3">
        <v>220.0</v>
      </c>
      <c r="X1890" s="172">
        <v>46049.86059027778</v>
      </c>
      <c r="Y1890" s="172"/>
      <c r="Z1890" s="3">
        <v>46039.0</v>
      </c>
      <c r="AA1890" s="3"/>
    </row>
    <row r="1891">
      <c r="A1891" s="3">
        <v>6.870695575811E12</v>
      </c>
      <c r="B1891" s="2" t="s">
        <v>7891</v>
      </c>
      <c r="C1891" s="2" t="s">
        <v>3710</v>
      </c>
      <c r="D1891" s="169">
        <v>46039.0</v>
      </c>
      <c r="E1891" s="173" t="s">
        <v>3711</v>
      </c>
      <c r="F1891" s="2" t="s">
        <v>3712</v>
      </c>
      <c r="G1891" s="2" t="s">
        <v>672</v>
      </c>
      <c r="H1891" s="2">
        <v>2849.0</v>
      </c>
      <c r="I1891" s="2">
        <v>2.512005002146E13</v>
      </c>
      <c r="J1891" s="3">
        <v>2.0</v>
      </c>
      <c r="K1891" s="2" t="s">
        <v>7892</v>
      </c>
      <c r="L1891" s="2" t="s">
        <v>1920</v>
      </c>
      <c r="M1891" s="174" t="s">
        <v>409</v>
      </c>
      <c r="N1891" s="2" t="s">
        <v>462</v>
      </c>
      <c r="O1891" s="3">
        <v>0.5</v>
      </c>
      <c r="P1891" s="2" t="s">
        <v>73</v>
      </c>
      <c r="Q1891" s="3">
        <v>1050.0</v>
      </c>
      <c r="T1891" s="2" t="s">
        <v>6336</v>
      </c>
      <c r="U1891" s="171">
        <v>2849.0</v>
      </c>
      <c r="V1891" s="172">
        <v>46052.0</v>
      </c>
      <c r="W1891" s="3">
        <v>327.0</v>
      </c>
      <c r="X1891" s="172">
        <v>46049.760300925926</v>
      </c>
      <c r="Y1891" s="172"/>
      <c r="Z1891" s="3">
        <v>46039.0</v>
      </c>
      <c r="AA1891" s="3"/>
    </row>
    <row r="1892">
      <c r="A1892" s="3">
        <v>6.870698459395E12</v>
      </c>
      <c r="B1892" s="2" t="s">
        <v>7893</v>
      </c>
      <c r="C1892" s="2" t="s">
        <v>7894</v>
      </c>
      <c r="D1892" s="169">
        <v>46039.0</v>
      </c>
      <c r="E1892" s="2">
        <v>3.554399981E9</v>
      </c>
      <c r="F1892" s="2" t="s">
        <v>7895</v>
      </c>
      <c r="G1892" s="2" t="s">
        <v>7896</v>
      </c>
      <c r="H1892" s="2">
        <v>20.0</v>
      </c>
      <c r="I1892" s="2" t="s">
        <v>7897</v>
      </c>
      <c r="J1892" s="3">
        <v>0.0</v>
      </c>
      <c r="K1892" s="2" t="s">
        <v>7898</v>
      </c>
      <c r="L1892" s="2"/>
      <c r="M1892" s="170" t="s">
        <v>455</v>
      </c>
      <c r="N1892" s="2" t="s">
        <v>406</v>
      </c>
      <c r="O1892" s="3">
        <v>0.5</v>
      </c>
      <c r="P1892" s="2" t="s">
        <v>640</v>
      </c>
      <c r="Q1892" s="3">
        <v>0.0</v>
      </c>
      <c r="U1892" s="141"/>
      <c r="W1892" s="3">
        <v>289.94</v>
      </c>
      <c r="X1892" s="172">
        <v>46067.00513023148</v>
      </c>
      <c r="Y1892" s="172"/>
      <c r="Z1892" s="3">
        <v>46039.0</v>
      </c>
      <c r="AA1892" s="3"/>
    </row>
    <row r="1893">
      <c r="A1893" s="3">
        <v>6.870730047747E12</v>
      </c>
      <c r="B1893" s="2" t="s">
        <v>7899</v>
      </c>
      <c r="C1893" s="2" t="s">
        <v>7900</v>
      </c>
      <c r="D1893" s="169">
        <v>46039.0</v>
      </c>
      <c r="E1893" s="2">
        <v>3.218261412E9</v>
      </c>
      <c r="F1893" s="2" t="s">
        <v>7901</v>
      </c>
      <c r="G1893" s="2" t="s">
        <v>506</v>
      </c>
      <c r="H1893" s="2">
        <v>5700.0</v>
      </c>
      <c r="I1893" s="2">
        <v>2.9120050021375E13</v>
      </c>
      <c r="J1893" s="3">
        <v>2.0</v>
      </c>
      <c r="K1893" s="2" t="s">
        <v>7902</v>
      </c>
      <c r="L1893" s="2" t="s">
        <v>7903</v>
      </c>
      <c r="M1893" s="174" t="s">
        <v>409</v>
      </c>
      <c r="N1893" s="2" t="s">
        <v>462</v>
      </c>
      <c r="O1893" s="3">
        <v>0.5</v>
      </c>
      <c r="P1893" s="2" t="s">
        <v>73</v>
      </c>
      <c r="Q1893" s="3">
        <v>1920.0</v>
      </c>
      <c r="U1893" s="171">
        <v>5700.0</v>
      </c>
      <c r="W1893" s="3">
        <v>448.0</v>
      </c>
      <c r="X1893" s="172">
        <v>46044.543958333335</v>
      </c>
      <c r="Y1893" s="172"/>
      <c r="Z1893" s="3">
        <v>46039.0</v>
      </c>
      <c r="AA1893" s="3"/>
    </row>
    <row r="1894">
      <c r="A1894" s="3">
        <v>6.870742073603E12</v>
      </c>
      <c r="B1894" s="2" t="s">
        <v>7904</v>
      </c>
      <c r="C1894" s="2" t="s">
        <v>7905</v>
      </c>
      <c r="D1894" s="169">
        <v>46039.0</v>
      </c>
      <c r="E1894" s="2">
        <v>3.152074013E9</v>
      </c>
      <c r="F1894" s="2" t="s">
        <v>7906</v>
      </c>
      <c r="G1894" s="2" t="s">
        <v>493</v>
      </c>
      <c r="H1894" s="2">
        <v>3739.0</v>
      </c>
      <c r="I1894" s="2">
        <v>2.5120050021374E13</v>
      </c>
      <c r="J1894" s="3">
        <v>1.0</v>
      </c>
      <c r="K1894" s="2" t="s">
        <v>7907</v>
      </c>
      <c r="L1894" s="2" t="s">
        <v>6273</v>
      </c>
      <c r="M1894" s="174" t="s">
        <v>409</v>
      </c>
      <c r="N1894" s="2" t="s">
        <v>462</v>
      </c>
      <c r="O1894" s="3">
        <v>0.5</v>
      </c>
      <c r="P1894" s="2" t="s">
        <v>73</v>
      </c>
      <c r="Q1894" s="3">
        <v>1650.0</v>
      </c>
      <c r="T1894" s="2" t="s">
        <v>6123</v>
      </c>
      <c r="U1894" s="171">
        <v>3739.0</v>
      </c>
      <c r="V1894" s="172">
        <v>46049.0</v>
      </c>
      <c r="W1894" s="3">
        <v>376.0</v>
      </c>
      <c r="X1894" s="172">
        <v>46045.612905092596</v>
      </c>
      <c r="Y1894" s="172"/>
      <c r="Z1894" s="3">
        <v>46039.0</v>
      </c>
      <c r="AA1894" s="3"/>
    </row>
    <row r="1895">
      <c r="A1895" s="3">
        <v>6.870800433411E12</v>
      </c>
      <c r="B1895" s="2" t="s">
        <v>7908</v>
      </c>
      <c r="C1895" s="2" t="s">
        <v>7909</v>
      </c>
      <c r="D1895" s="169">
        <v>46039.0</v>
      </c>
      <c r="E1895" s="173" t="s">
        <v>7910</v>
      </c>
      <c r="F1895" s="2" t="s">
        <v>7911</v>
      </c>
      <c r="G1895" s="2" t="s">
        <v>368</v>
      </c>
      <c r="H1895" s="2">
        <v>249.0</v>
      </c>
      <c r="I1895" s="2">
        <v>2.6120050021333E13</v>
      </c>
      <c r="J1895" s="3">
        <v>0.0</v>
      </c>
      <c r="K1895" s="2" t="s">
        <v>7912</v>
      </c>
      <c r="L1895" s="2"/>
      <c r="M1895" s="170" t="s">
        <v>455</v>
      </c>
      <c r="N1895" s="2" t="s">
        <v>406</v>
      </c>
      <c r="O1895" s="3">
        <v>0.5</v>
      </c>
      <c r="P1895" s="2" t="s">
        <v>73</v>
      </c>
      <c r="Q1895" s="3">
        <v>0.0</v>
      </c>
      <c r="T1895" s="2" t="s">
        <v>6336</v>
      </c>
      <c r="U1895" s="171">
        <v>0.0</v>
      </c>
      <c r="V1895" s="172">
        <v>46052.0</v>
      </c>
      <c r="W1895" s="3">
        <v>107.0</v>
      </c>
      <c r="X1895" s="172">
        <v>46049.86059027778</v>
      </c>
      <c r="Y1895" s="172"/>
      <c r="Z1895" s="3">
        <v>46039.0</v>
      </c>
      <c r="AA1895" s="3"/>
    </row>
    <row r="1896">
      <c r="A1896" s="3">
        <v>6.870804365571E12</v>
      </c>
      <c r="B1896" s="2" t="s">
        <v>7913</v>
      </c>
      <c r="C1896" s="2" t="s">
        <v>7914</v>
      </c>
      <c r="D1896" s="169">
        <v>46039.0</v>
      </c>
      <c r="E1896" s="2">
        <v>3.462177553E9</v>
      </c>
      <c r="F1896" s="2" t="s">
        <v>7915</v>
      </c>
      <c r="G1896" s="2" t="s">
        <v>506</v>
      </c>
      <c r="H1896" s="2">
        <v>249.0</v>
      </c>
      <c r="I1896" s="2">
        <v>2.4120050021459E13</v>
      </c>
      <c r="J1896" s="3">
        <v>0.0</v>
      </c>
      <c r="K1896" s="2" t="s">
        <v>7916</v>
      </c>
      <c r="L1896" s="2"/>
      <c r="M1896" s="170" t="s">
        <v>455</v>
      </c>
      <c r="N1896" s="2" t="s">
        <v>406</v>
      </c>
      <c r="O1896" s="3">
        <v>0.5</v>
      </c>
      <c r="P1896" s="2" t="s">
        <v>73</v>
      </c>
      <c r="Q1896" s="3">
        <v>0.0</v>
      </c>
      <c r="U1896" s="141"/>
      <c r="W1896" s="3">
        <v>200.0</v>
      </c>
      <c r="X1896" s="172">
        <v>46057.35021990741</v>
      </c>
      <c r="Y1896" s="172"/>
      <c r="Z1896" s="3">
        <v>46039.0</v>
      </c>
      <c r="AA1896" s="3"/>
    </row>
    <row r="1897">
      <c r="A1897" s="3">
        <v>6.870814425347E12</v>
      </c>
      <c r="B1897" s="2" t="s">
        <v>7917</v>
      </c>
      <c r="C1897" s="2" t="s">
        <v>7918</v>
      </c>
      <c r="D1897" s="169">
        <v>46039.0</v>
      </c>
      <c r="E1897" s="2">
        <v>3.474553539E9</v>
      </c>
      <c r="F1897" s="2" t="s">
        <v>7919</v>
      </c>
      <c r="G1897" s="2" t="s">
        <v>7920</v>
      </c>
      <c r="H1897" s="2">
        <v>3099.0</v>
      </c>
      <c r="I1897" s="2">
        <v>2.0120050021332E13</v>
      </c>
      <c r="J1897" s="3">
        <v>2.0</v>
      </c>
      <c r="K1897" s="2" t="s">
        <v>7921</v>
      </c>
      <c r="L1897" s="2" t="s">
        <v>40</v>
      </c>
      <c r="M1897" s="174" t="s">
        <v>409</v>
      </c>
      <c r="N1897" s="2" t="s">
        <v>462</v>
      </c>
      <c r="O1897" s="3">
        <v>0.5</v>
      </c>
      <c r="P1897" s="2" t="s">
        <v>73</v>
      </c>
      <c r="Q1897" s="3">
        <v>920.0</v>
      </c>
      <c r="T1897" s="2" t="s">
        <v>6123</v>
      </c>
      <c r="U1897" s="171">
        <v>3099.0</v>
      </c>
      <c r="V1897" s="172">
        <v>46049.0</v>
      </c>
      <c r="W1897" s="3">
        <v>337.0</v>
      </c>
      <c r="X1897" s="172">
        <v>46046.592557870375</v>
      </c>
      <c r="Y1897" s="172"/>
      <c r="Z1897" s="3">
        <v>46039.0</v>
      </c>
      <c r="AA1897" s="3"/>
    </row>
    <row r="1898">
      <c r="A1898" s="3">
        <v>6.870822420739E12</v>
      </c>
      <c r="B1898" s="2" t="s">
        <v>7922</v>
      </c>
      <c r="C1898" s="2" t="s">
        <v>7923</v>
      </c>
      <c r="D1898" s="169">
        <v>46039.0</v>
      </c>
      <c r="E1898" s="2">
        <v>3.224557232E9</v>
      </c>
      <c r="F1898" s="2" t="s">
        <v>7924</v>
      </c>
      <c r="G1898" s="2" t="s">
        <v>368</v>
      </c>
      <c r="H1898" s="2">
        <v>3099.0</v>
      </c>
      <c r="I1898" s="2">
        <v>2.8120050021331E13</v>
      </c>
      <c r="J1898" s="3">
        <v>2.0</v>
      </c>
      <c r="K1898" s="2" t="s">
        <v>7925</v>
      </c>
      <c r="L1898" s="2" t="s">
        <v>1116</v>
      </c>
      <c r="M1898" s="174" t="s">
        <v>409</v>
      </c>
      <c r="N1898" s="2" t="s">
        <v>462</v>
      </c>
      <c r="O1898" s="3">
        <v>0.5</v>
      </c>
      <c r="P1898" s="2" t="s">
        <v>73</v>
      </c>
      <c r="Q1898" s="3">
        <v>960.0</v>
      </c>
      <c r="U1898" s="171">
        <v>3099.0</v>
      </c>
      <c r="W1898" s="3">
        <v>231.0</v>
      </c>
      <c r="X1898" s="172">
        <v>46042.72684027778</v>
      </c>
      <c r="Y1898" s="172"/>
      <c r="Z1898" s="3">
        <v>46039.0</v>
      </c>
      <c r="AA1898" s="3"/>
    </row>
    <row r="1899">
      <c r="A1899" s="3">
        <v>6.870865248515E12</v>
      </c>
      <c r="B1899" s="2" t="s">
        <v>7926</v>
      </c>
      <c r="C1899" s="2" t="s">
        <v>7927</v>
      </c>
      <c r="D1899" s="169">
        <v>46039.0</v>
      </c>
      <c r="E1899" s="2">
        <v>3.180154607E9</v>
      </c>
      <c r="F1899" s="2" t="s">
        <v>7928</v>
      </c>
      <c r="G1899" s="2" t="s">
        <v>7929</v>
      </c>
      <c r="H1899" s="2">
        <v>249.0</v>
      </c>
      <c r="I1899" s="2">
        <v>2.3120050021383E13</v>
      </c>
      <c r="J1899" s="3">
        <v>0.0</v>
      </c>
      <c r="K1899" s="2" t="s">
        <v>7930</v>
      </c>
      <c r="L1899" s="2"/>
      <c r="M1899" s="170" t="s">
        <v>455</v>
      </c>
      <c r="N1899" s="2" t="s">
        <v>406</v>
      </c>
      <c r="O1899" s="3">
        <v>0.5</v>
      </c>
      <c r="P1899" s="2" t="s">
        <v>73</v>
      </c>
      <c r="Q1899" s="3">
        <v>0.0</v>
      </c>
      <c r="U1899" s="141"/>
      <c r="W1899" s="3">
        <v>227.0</v>
      </c>
      <c r="X1899" s="172">
        <v>46057.35021990741</v>
      </c>
      <c r="Y1899" s="172"/>
      <c r="Z1899" s="3">
        <v>46039.0</v>
      </c>
      <c r="AA1899" s="3"/>
    </row>
    <row r="1900">
      <c r="A1900" s="3">
        <v>6.870923739395E12</v>
      </c>
      <c r="B1900" s="2" t="s">
        <v>7931</v>
      </c>
      <c r="C1900" s="2" t="s">
        <v>7932</v>
      </c>
      <c r="D1900" s="169">
        <v>46040.0</v>
      </c>
      <c r="E1900" s="173" t="s">
        <v>7933</v>
      </c>
      <c r="F1900" s="2" t="s">
        <v>7934</v>
      </c>
      <c r="G1900" s="2" t="s">
        <v>1630</v>
      </c>
      <c r="H1900" s="2">
        <v>249.0</v>
      </c>
      <c r="I1900" s="2">
        <v>2.2120050021365E13</v>
      </c>
      <c r="J1900" s="3">
        <v>0.0</v>
      </c>
      <c r="K1900" s="2" t="s">
        <v>7935</v>
      </c>
      <c r="L1900" s="2"/>
      <c r="M1900" s="170" t="s">
        <v>455</v>
      </c>
      <c r="N1900" s="2" t="s">
        <v>406</v>
      </c>
      <c r="O1900" s="3">
        <v>0.5</v>
      </c>
      <c r="P1900" s="2" t="s">
        <v>73</v>
      </c>
      <c r="Q1900" s="3">
        <v>0.0</v>
      </c>
      <c r="T1900" s="2" t="s">
        <v>6193</v>
      </c>
      <c r="U1900" s="141"/>
      <c r="W1900" s="3">
        <v>220.0</v>
      </c>
      <c r="X1900" s="172">
        <v>46055.96199074074</v>
      </c>
      <c r="Y1900" s="172"/>
      <c r="Z1900" s="3">
        <v>46040.0</v>
      </c>
      <c r="AA1900" s="3"/>
    </row>
    <row r="1901">
      <c r="A1901" s="3">
        <v>6.871060611331E12</v>
      </c>
      <c r="B1901" s="2" t="s">
        <v>7936</v>
      </c>
      <c r="C1901" s="2" t="s">
        <v>7937</v>
      </c>
      <c r="D1901" s="169">
        <v>46040.0</v>
      </c>
      <c r="E1901" s="2">
        <v>3.103817628E9</v>
      </c>
      <c r="F1901" s="2" t="s">
        <v>7938</v>
      </c>
      <c r="G1901" s="2" t="s">
        <v>7939</v>
      </c>
      <c r="H1901" s="2">
        <v>249.0</v>
      </c>
      <c r="I1901" s="2">
        <v>2.6120050021397E13</v>
      </c>
      <c r="J1901" s="3">
        <v>0.0</v>
      </c>
      <c r="K1901" s="2" t="s">
        <v>7940</v>
      </c>
      <c r="L1901" s="2"/>
      <c r="M1901" s="170" t="s">
        <v>455</v>
      </c>
      <c r="N1901" s="2" t="s">
        <v>406</v>
      </c>
      <c r="O1901" s="3">
        <v>0.5</v>
      </c>
      <c r="P1901" s="2" t="s">
        <v>73</v>
      </c>
      <c r="Q1901" s="3">
        <v>0.0</v>
      </c>
      <c r="T1901" s="2" t="s">
        <v>6193</v>
      </c>
      <c r="U1901" s="141"/>
      <c r="W1901" s="3">
        <v>213.0</v>
      </c>
      <c r="X1901" s="172">
        <v>46052.83976851852</v>
      </c>
      <c r="Y1901" s="172"/>
      <c r="Z1901" s="3">
        <v>46040.0</v>
      </c>
      <c r="AA1901" s="3"/>
    </row>
    <row r="1902">
      <c r="A1902" s="3">
        <v>6.871076634883E12</v>
      </c>
      <c r="B1902" s="2" t="s">
        <v>7941</v>
      </c>
      <c r="C1902" s="2" t="s">
        <v>7942</v>
      </c>
      <c r="D1902" s="169">
        <v>46040.0</v>
      </c>
      <c r="E1902" s="2">
        <v>3.23810197E9</v>
      </c>
      <c r="F1902" s="2" t="s">
        <v>7943</v>
      </c>
      <c r="G1902" s="2" t="s">
        <v>3229</v>
      </c>
      <c r="H1902" s="2">
        <v>2849.0</v>
      </c>
      <c r="I1902" s="2">
        <v>2.512005002133E13</v>
      </c>
      <c r="J1902" s="3">
        <v>2.0</v>
      </c>
      <c r="K1902" s="2" t="s">
        <v>7944</v>
      </c>
      <c r="L1902" s="2" t="s">
        <v>1446</v>
      </c>
      <c r="M1902" s="174" t="s">
        <v>409</v>
      </c>
      <c r="N1902" s="2" t="s">
        <v>462</v>
      </c>
      <c r="O1902" s="3">
        <v>0.5</v>
      </c>
      <c r="P1902" s="2" t="s">
        <v>73</v>
      </c>
      <c r="Q1902" s="3">
        <v>920.0</v>
      </c>
      <c r="T1902" s="2" t="s">
        <v>6193</v>
      </c>
      <c r="U1902" s="171">
        <v>2849.0</v>
      </c>
      <c r="V1902" s="172">
        <v>46056.0</v>
      </c>
      <c r="W1902" s="3">
        <v>327.0</v>
      </c>
      <c r="X1902" s="172">
        <v>46055.747094907405</v>
      </c>
      <c r="Y1902" s="172"/>
      <c r="Z1902" s="3">
        <v>46040.0</v>
      </c>
      <c r="AA1902" s="3"/>
    </row>
    <row r="1903">
      <c r="A1903" s="3">
        <v>6.871267475715E12</v>
      </c>
      <c r="B1903" s="2" t="s">
        <v>7945</v>
      </c>
      <c r="C1903" s="2" t="s">
        <v>7946</v>
      </c>
      <c r="D1903" s="169">
        <v>46040.0</v>
      </c>
      <c r="E1903" s="2">
        <v>3.338911669E9</v>
      </c>
      <c r="F1903" s="2" t="s">
        <v>7947</v>
      </c>
      <c r="G1903" s="2" t="s">
        <v>493</v>
      </c>
      <c r="H1903" s="2">
        <v>3099.0</v>
      </c>
      <c r="I1903" s="2">
        <v>2.5120050021329E13</v>
      </c>
      <c r="J1903" s="3">
        <v>2.0</v>
      </c>
      <c r="K1903" s="2" t="s">
        <v>7948</v>
      </c>
      <c r="L1903" s="2" t="s">
        <v>296</v>
      </c>
      <c r="M1903" s="174" t="s">
        <v>409</v>
      </c>
      <c r="N1903" s="2" t="s">
        <v>462</v>
      </c>
      <c r="O1903" s="3">
        <v>0.5</v>
      </c>
      <c r="P1903" s="2" t="s">
        <v>73</v>
      </c>
      <c r="Q1903" s="3">
        <v>920.0</v>
      </c>
      <c r="U1903" s="171">
        <v>3099.0</v>
      </c>
      <c r="W1903" s="3">
        <v>337.0</v>
      </c>
      <c r="X1903" s="172">
        <v>46044.57680555555</v>
      </c>
      <c r="Y1903" s="172"/>
      <c r="Z1903" s="3">
        <v>46040.0</v>
      </c>
      <c r="AA1903" s="3"/>
    </row>
    <row r="1904">
      <c r="A1904" s="3">
        <v>6.871304470787E12</v>
      </c>
      <c r="B1904" s="2" t="s">
        <v>7949</v>
      </c>
      <c r="C1904" s="2" t="s">
        <v>3697</v>
      </c>
      <c r="D1904" s="169">
        <v>46040.0</v>
      </c>
      <c r="E1904" s="2">
        <v>3.109337952E9</v>
      </c>
      <c r="F1904" s="2" t="s">
        <v>3698</v>
      </c>
      <c r="G1904" s="2" t="s">
        <v>3699</v>
      </c>
      <c r="H1904" s="2">
        <v>0.0</v>
      </c>
      <c r="J1904" s="3">
        <v>0.0</v>
      </c>
      <c r="K1904" s="2" t="s">
        <v>7950</v>
      </c>
      <c r="L1904" s="2"/>
      <c r="M1904" s="2" t="s">
        <v>468</v>
      </c>
      <c r="N1904" s="2" t="s">
        <v>406</v>
      </c>
      <c r="O1904" s="3">
        <v>0.5</v>
      </c>
      <c r="Q1904" s="3">
        <v>0.0</v>
      </c>
      <c r="U1904" s="141"/>
      <c r="X1904" s="172">
        <v>46057.64278285879</v>
      </c>
      <c r="Y1904" s="172"/>
      <c r="Z1904" s="3">
        <v>46040.0</v>
      </c>
      <c r="AA1904" s="3"/>
    </row>
    <row r="1905">
      <c r="A1905" s="3">
        <v>6.871306240259E12</v>
      </c>
      <c r="B1905" s="2" t="s">
        <v>7951</v>
      </c>
      <c r="C1905" s="2" t="s">
        <v>7952</v>
      </c>
      <c r="D1905" s="169">
        <v>46040.0</v>
      </c>
      <c r="E1905" s="2">
        <v>3.459029283E9</v>
      </c>
      <c r="F1905" s="2" t="s">
        <v>7953</v>
      </c>
      <c r="G1905" s="2" t="s">
        <v>506</v>
      </c>
      <c r="H1905" s="2">
        <v>0.0</v>
      </c>
      <c r="J1905" s="3">
        <v>0.0</v>
      </c>
      <c r="K1905" s="2" t="s">
        <v>7954</v>
      </c>
      <c r="L1905" s="2"/>
      <c r="M1905" s="2" t="s">
        <v>468</v>
      </c>
      <c r="N1905" s="2" t="s">
        <v>406</v>
      </c>
      <c r="O1905" s="3">
        <v>0.5</v>
      </c>
      <c r="Q1905" s="3">
        <v>0.0</v>
      </c>
      <c r="U1905" s="141"/>
      <c r="X1905" s="172">
        <v>46057.64278285879</v>
      </c>
      <c r="Y1905" s="172"/>
      <c r="Z1905" s="3">
        <v>46040.0</v>
      </c>
      <c r="AA1905" s="3"/>
    </row>
    <row r="1906">
      <c r="A1906" s="3">
        <v>6.871450091779E12</v>
      </c>
      <c r="B1906" s="2" t="s">
        <v>7955</v>
      </c>
      <c r="C1906" s="2" t="s">
        <v>7956</v>
      </c>
      <c r="D1906" s="169">
        <v>46040.0</v>
      </c>
      <c r="E1906" s="2">
        <v>3.008018519E9</v>
      </c>
      <c r="F1906" s="2" t="s">
        <v>7957</v>
      </c>
      <c r="G1906" s="2" t="s">
        <v>541</v>
      </c>
      <c r="H1906" s="2">
        <v>249.0</v>
      </c>
      <c r="I1906" s="2">
        <v>2.1120050021328E13</v>
      </c>
      <c r="J1906" s="3">
        <v>0.0</v>
      </c>
      <c r="K1906" s="2" t="s">
        <v>7958</v>
      </c>
      <c r="L1906" s="2"/>
      <c r="M1906" s="170" t="s">
        <v>455</v>
      </c>
      <c r="N1906" s="2" t="s">
        <v>406</v>
      </c>
      <c r="O1906" s="3">
        <v>0.5</v>
      </c>
      <c r="P1906" s="2" t="s">
        <v>73</v>
      </c>
      <c r="Q1906" s="3">
        <v>0.0</v>
      </c>
      <c r="T1906" s="2" t="s">
        <v>6336</v>
      </c>
      <c r="U1906" s="171">
        <v>0.0</v>
      </c>
      <c r="V1906" s="172">
        <v>46052.0</v>
      </c>
      <c r="W1906" s="3">
        <v>220.0</v>
      </c>
      <c r="X1906" s="172">
        <v>46050.84106481481</v>
      </c>
      <c r="Y1906" s="172"/>
      <c r="Z1906" s="3">
        <v>46040.0</v>
      </c>
      <c r="AA1906" s="3"/>
    </row>
    <row r="1907">
      <c r="A1907" s="3">
        <v>6.871504683267E12</v>
      </c>
      <c r="B1907" s="2" t="s">
        <v>7959</v>
      </c>
      <c r="C1907" s="2" t="s">
        <v>7960</v>
      </c>
      <c r="D1907" s="169">
        <v>46040.0</v>
      </c>
      <c r="E1907" s="2">
        <v>3.339309151E9</v>
      </c>
      <c r="F1907" s="2" t="s">
        <v>7961</v>
      </c>
      <c r="G1907" s="2" t="s">
        <v>506</v>
      </c>
      <c r="H1907" s="2">
        <v>4998.0</v>
      </c>
      <c r="I1907" s="2">
        <v>2.1120050021327E13</v>
      </c>
      <c r="J1907" s="3">
        <v>3.0</v>
      </c>
      <c r="K1907" s="2" t="s">
        <v>7962</v>
      </c>
      <c r="L1907" s="2" t="s">
        <v>7963</v>
      </c>
      <c r="M1907" s="174" t="s">
        <v>409</v>
      </c>
      <c r="N1907" s="2" t="s">
        <v>462</v>
      </c>
      <c r="O1907" s="3">
        <v>0.5</v>
      </c>
      <c r="P1907" s="2" t="s">
        <v>73</v>
      </c>
      <c r="Q1907" s="3">
        <v>1650.0</v>
      </c>
      <c r="T1907" s="2" t="s">
        <v>6123</v>
      </c>
      <c r="U1907" s="171">
        <v>4998.0</v>
      </c>
      <c r="V1907" s="172">
        <v>46049.0</v>
      </c>
      <c r="W1907" s="3">
        <v>420.0</v>
      </c>
      <c r="X1907" s="172">
        <v>46046.59951388889</v>
      </c>
      <c r="Y1907" s="172"/>
      <c r="Z1907" s="3">
        <v>46040.0</v>
      </c>
      <c r="AA1907" s="3"/>
    </row>
    <row r="1908">
      <c r="A1908" s="3">
        <v>6.871592730883E12</v>
      </c>
      <c r="B1908" s="2" t="s">
        <v>7964</v>
      </c>
      <c r="C1908" s="2" t="s">
        <v>7965</v>
      </c>
      <c r="D1908" s="169">
        <v>46040.0</v>
      </c>
      <c r="E1908" s="173" t="s">
        <v>7966</v>
      </c>
      <c r="F1908" s="2" t="s">
        <v>7967</v>
      </c>
      <c r="G1908" s="2" t="s">
        <v>493</v>
      </c>
      <c r="H1908" s="2">
        <v>2049.0</v>
      </c>
      <c r="I1908" s="2">
        <v>2.1120050021326E13</v>
      </c>
      <c r="J1908" s="3">
        <v>1.0</v>
      </c>
      <c r="K1908" s="2" t="s">
        <v>7968</v>
      </c>
      <c r="L1908" s="2" t="s">
        <v>6602</v>
      </c>
      <c r="M1908" s="174" t="s">
        <v>409</v>
      </c>
      <c r="N1908" s="2" t="s">
        <v>462</v>
      </c>
      <c r="O1908" s="3">
        <v>0.5</v>
      </c>
      <c r="P1908" s="2" t="s">
        <v>73</v>
      </c>
      <c r="Q1908" s="3">
        <v>460.0</v>
      </c>
      <c r="T1908" s="2" t="s">
        <v>6123</v>
      </c>
      <c r="U1908" s="171">
        <v>2049.0</v>
      </c>
      <c r="V1908" s="172">
        <v>46049.0</v>
      </c>
      <c r="W1908" s="3">
        <v>295.0</v>
      </c>
      <c r="X1908" s="172">
        <v>46046.54534722222</v>
      </c>
      <c r="Y1908" s="172"/>
      <c r="Z1908" s="3">
        <v>46040.0</v>
      </c>
      <c r="AA1908" s="3"/>
    </row>
    <row r="1909">
      <c r="A1909" s="3">
        <v>6.871612686595E12</v>
      </c>
      <c r="B1909" s="2" t="s">
        <v>7969</v>
      </c>
      <c r="C1909" s="2" t="s">
        <v>7970</v>
      </c>
      <c r="D1909" s="169">
        <v>46040.0</v>
      </c>
      <c r="E1909" s="2">
        <v>3.00612376E9</v>
      </c>
      <c r="F1909" s="2" t="s">
        <v>7971</v>
      </c>
      <c r="G1909" s="2" t="s">
        <v>368</v>
      </c>
      <c r="H1909" s="2">
        <v>249.0</v>
      </c>
      <c r="I1909" s="2">
        <v>2.1120050021325E13</v>
      </c>
      <c r="J1909" s="3">
        <v>0.0</v>
      </c>
      <c r="K1909" s="2" t="s">
        <v>7972</v>
      </c>
      <c r="L1909" s="2"/>
      <c r="M1909" s="170" t="s">
        <v>455</v>
      </c>
      <c r="N1909" s="2" t="s">
        <v>406</v>
      </c>
      <c r="O1909" s="3">
        <v>0.5</v>
      </c>
      <c r="P1909" s="2" t="s">
        <v>73</v>
      </c>
      <c r="Q1909" s="3">
        <v>0.0</v>
      </c>
      <c r="T1909" s="2" t="s">
        <v>6123</v>
      </c>
      <c r="U1909" s="171">
        <v>0.0</v>
      </c>
      <c r="V1909" s="172">
        <v>46049.0</v>
      </c>
      <c r="W1909" s="3">
        <v>107.0</v>
      </c>
      <c r="X1909" s="172">
        <v>46045.75103009259</v>
      </c>
      <c r="Y1909" s="172"/>
      <c r="Z1909" s="3">
        <v>46040.0</v>
      </c>
      <c r="AA1909" s="3"/>
    </row>
    <row r="1910">
      <c r="A1910" s="3">
        <v>6.871632216323E12</v>
      </c>
      <c r="B1910" s="2" t="s">
        <v>7973</v>
      </c>
      <c r="C1910" s="2" t="s">
        <v>7974</v>
      </c>
      <c r="D1910" s="169">
        <v>46040.0</v>
      </c>
      <c r="E1910" s="173" t="s">
        <v>7975</v>
      </c>
      <c r="F1910" s="2" t="s">
        <v>7976</v>
      </c>
      <c r="G1910" s="2" t="s">
        <v>7977</v>
      </c>
      <c r="H1910" s="2">
        <v>0.0</v>
      </c>
      <c r="J1910" s="3">
        <v>0.0</v>
      </c>
      <c r="K1910" s="2" t="s">
        <v>7978</v>
      </c>
      <c r="L1910" s="2"/>
      <c r="M1910" s="2" t="s">
        <v>468</v>
      </c>
      <c r="N1910" s="2" t="s">
        <v>406</v>
      </c>
      <c r="O1910" s="3">
        <v>0.5</v>
      </c>
      <c r="Q1910" s="3">
        <v>0.0</v>
      </c>
      <c r="U1910" s="141"/>
      <c r="X1910" s="172">
        <v>46057.64278285879</v>
      </c>
      <c r="Y1910" s="172"/>
      <c r="Z1910" s="3">
        <v>46040.0</v>
      </c>
      <c r="AA1910" s="3"/>
    </row>
    <row r="1911">
      <c r="A1911" s="3">
        <v>6.871696670979E12</v>
      </c>
      <c r="B1911" s="2" t="s">
        <v>7979</v>
      </c>
      <c r="C1911" s="2" t="s">
        <v>6624</v>
      </c>
      <c r="D1911" s="169">
        <v>46040.0</v>
      </c>
      <c r="E1911" s="2">
        <v>3.208285503E9</v>
      </c>
      <c r="F1911" s="2" t="s">
        <v>6626</v>
      </c>
      <c r="G1911" s="2" t="s">
        <v>672</v>
      </c>
      <c r="H1911" s="2">
        <v>2749.0</v>
      </c>
      <c r="I1911" s="2">
        <v>2.1120050021324E13</v>
      </c>
      <c r="J1911" s="3">
        <v>2.0</v>
      </c>
      <c r="K1911" s="2" t="s">
        <v>7980</v>
      </c>
      <c r="L1911" s="2" t="s">
        <v>35</v>
      </c>
      <c r="M1911" s="174" t="s">
        <v>409</v>
      </c>
      <c r="N1911" s="2" t="s">
        <v>462</v>
      </c>
      <c r="O1911" s="3">
        <v>0.5</v>
      </c>
      <c r="P1911" s="2" t="s">
        <v>73</v>
      </c>
      <c r="Q1911" s="3">
        <v>980.0</v>
      </c>
      <c r="T1911" s="2" t="s">
        <v>6123</v>
      </c>
      <c r="U1911" s="171">
        <v>2749.0</v>
      </c>
      <c r="V1911" s="172">
        <v>46049.0</v>
      </c>
      <c r="W1911" s="3">
        <v>323.0</v>
      </c>
      <c r="X1911" s="172">
        <v>46045.57244212963</v>
      </c>
      <c r="Y1911" s="172"/>
      <c r="Z1911" s="3">
        <v>46040.0</v>
      </c>
      <c r="AA1911" s="3"/>
    </row>
    <row r="1912">
      <c r="A1912" s="3">
        <v>6.871712596227E12</v>
      </c>
      <c r="B1912" s="2" t="s">
        <v>7981</v>
      </c>
      <c r="C1912" s="2" t="s">
        <v>7982</v>
      </c>
      <c r="D1912" s="169">
        <v>46040.0</v>
      </c>
      <c r="E1912" s="173" t="s">
        <v>7983</v>
      </c>
      <c r="F1912" s="2" t="s">
        <v>7984</v>
      </c>
      <c r="G1912" s="2" t="s">
        <v>368</v>
      </c>
      <c r="H1912" s="2">
        <v>2849.0</v>
      </c>
      <c r="I1912" s="2">
        <v>2.4120050021323E13</v>
      </c>
      <c r="J1912" s="3">
        <v>2.0</v>
      </c>
      <c r="K1912" s="2" t="s">
        <v>7985</v>
      </c>
      <c r="L1912" s="2" t="s">
        <v>4209</v>
      </c>
      <c r="M1912" s="174" t="s">
        <v>409</v>
      </c>
      <c r="N1912" s="2" t="s">
        <v>462</v>
      </c>
      <c r="O1912" s="3">
        <v>0.5</v>
      </c>
      <c r="P1912" s="2" t="s">
        <v>73</v>
      </c>
      <c r="Q1912" s="3">
        <v>920.0</v>
      </c>
      <c r="U1912" s="171">
        <v>2849.0</v>
      </c>
      <c r="W1912" s="3">
        <v>221.0</v>
      </c>
      <c r="X1912" s="172">
        <v>46042.7544212963</v>
      </c>
      <c r="Y1912" s="172"/>
      <c r="Z1912" s="3">
        <v>46040.0</v>
      </c>
      <c r="AA1912" s="3"/>
    </row>
    <row r="1913">
      <c r="A1913" s="3">
        <v>6.871769088259E12</v>
      </c>
      <c r="B1913" s="2" t="s">
        <v>7986</v>
      </c>
      <c r="C1913" s="2" t="s">
        <v>7987</v>
      </c>
      <c r="D1913" s="169">
        <v>46040.0</v>
      </c>
      <c r="E1913" s="2">
        <v>3.057570418E9</v>
      </c>
      <c r="F1913" s="2" t="s">
        <v>7988</v>
      </c>
      <c r="G1913" s="2" t="s">
        <v>541</v>
      </c>
      <c r="H1913" s="2">
        <v>249.0</v>
      </c>
      <c r="I1913" s="2">
        <v>2.4120050021364E13</v>
      </c>
      <c r="J1913" s="3">
        <v>0.0</v>
      </c>
      <c r="K1913" s="2" t="s">
        <v>7989</v>
      </c>
      <c r="L1913" s="2"/>
      <c r="M1913" s="170" t="s">
        <v>455</v>
      </c>
      <c r="N1913" s="2" t="s">
        <v>406</v>
      </c>
      <c r="O1913" s="3">
        <v>0.5</v>
      </c>
      <c r="P1913" s="2" t="s">
        <v>73</v>
      </c>
      <c r="Q1913" s="3">
        <v>0.0</v>
      </c>
      <c r="T1913" s="2" t="s">
        <v>6336</v>
      </c>
      <c r="U1913" s="171">
        <v>0.0</v>
      </c>
      <c r="V1913" s="172">
        <v>46052.0</v>
      </c>
      <c r="W1913" s="3">
        <v>200.0</v>
      </c>
      <c r="X1913" s="172">
        <v>46050.84106481481</v>
      </c>
      <c r="Y1913" s="172"/>
      <c r="Z1913" s="3">
        <v>46040.0</v>
      </c>
      <c r="AA1913" s="3"/>
    </row>
    <row r="1914">
      <c r="A1914" s="3">
        <v>6.871783145731E12</v>
      </c>
      <c r="B1914" s="2" t="s">
        <v>7990</v>
      </c>
      <c r="C1914" s="2" t="s">
        <v>7991</v>
      </c>
      <c r="D1914" s="169">
        <v>46040.0</v>
      </c>
      <c r="E1914" s="2">
        <v>3.452148673E9</v>
      </c>
      <c r="F1914" s="2" t="s">
        <v>7992</v>
      </c>
      <c r="G1914" s="2" t="s">
        <v>366</v>
      </c>
      <c r="H1914" s="2">
        <v>2799.0</v>
      </c>
      <c r="I1914" s="2">
        <v>2.1120050021322E13</v>
      </c>
      <c r="J1914" s="3">
        <v>1.0</v>
      </c>
      <c r="K1914" s="2" t="s">
        <v>7993</v>
      </c>
      <c r="L1914" s="2" t="s">
        <v>500</v>
      </c>
      <c r="M1914" s="174" t="s">
        <v>409</v>
      </c>
      <c r="N1914" s="2" t="s">
        <v>462</v>
      </c>
      <c r="O1914" s="3">
        <v>0.5</v>
      </c>
      <c r="P1914" s="2" t="s">
        <v>73</v>
      </c>
      <c r="Q1914" s="3">
        <v>850.0</v>
      </c>
      <c r="T1914" s="2" t="s">
        <v>6123</v>
      </c>
      <c r="U1914" s="171">
        <v>2799.0</v>
      </c>
      <c r="V1914" s="172">
        <v>46049.0</v>
      </c>
      <c r="W1914" s="3">
        <v>312.0</v>
      </c>
      <c r="X1914" s="172">
        <v>46045.62876157407</v>
      </c>
      <c r="Y1914" s="172"/>
      <c r="Z1914" s="3">
        <v>46040.0</v>
      </c>
      <c r="AA1914" s="3"/>
    </row>
    <row r="1915">
      <c r="A1915" s="3">
        <v>6.871798907139E12</v>
      </c>
      <c r="B1915" s="2" t="s">
        <v>7994</v>
      </c>
      <c r="C1915" s="2" t="s">
        <v>7995</v>
      </c>
      <c r="D1915" s="169">
        <v>46040.0</v>
      </c>
      <c r="E1915" s="2">
        <v>3.035753613E9</v>
      </c>
      <c r="F1915" s="2" t="s">
        <v>7996</v>
      </c>
      <c r="G1915" s="2" t="s">
        <v>368</v>
      </c>
      <c r="H1915" s="2">
        <v>2799.0</v>
      </c>
      <c r="I1915" s="2">
        <v>2.9120050021363E13</v>
      </c>
      <c r="J1915" s="3">
        <v>1.0</v>
      </c>
      <c r="K1915" s="2" t="s">
        <v>7997</v>
      </c>
      <c r="L1915" s="2" t="s">
        <v>512</v>
      </c>
      <c r="M1915" s="174" t="s">
        <v>409</v>
      </c>
      <c r="N1915" s="2" t="s">
        <v>462</v>
      </c>
      <c r="O1915" s="3">
        <v>0.5</v>
      </c>
      <c r="P1915" s="2" t="s">
        <v>73</v>
      </c>
      <c r="Q1915" s="3">
        <v>850.0</v>
      </c>
      <c r="U1915" s="171">
        <v>2799.0</v>
      </c>
      <c r="W1915" s="3">
        <v>232.0</v>
      </c>
      <c r="X1915" s="172">
        <v>46043.73769675926</v>
      </c>
      <c r="Y1915" s="172"/>
      <c r="Z1915" s="3">
        <v>46040.0</v>
      </c>
      <c r="AA1915" s="3"/>
    </row>
    <row r="1916">
      <c r="A1916" s="3">
        <v>6.871977951491E12</v>
      </c>
      <c r="B1916" s="2" t="s">
        <v>7998</v>
      </c>
      <c r="C1916" s="2" t="s">
        <v>4215</v>
      </c>
      <c r="D1916" s="169">
        <v>46040.0</v>
      </c>
      <c r="E1916" s="173" t="s">
        <v>4216</v>
      </c>
      <c r="F1916" s="2" t="s">
        <v>6762</v>
      </c>
      <c r="G1916" s="2" t="s">
        <v>368</v>
      </c>
      <c r="H1916" s="2">
        <v>5849.0</v>
      </c>
      <c r="I1916" s="2">
        <v>2.8120050021362E13</v>
      </c>
      <c r="J1916" s="3">
        <v>2.0</v>
      </c>
      <c r="K1916" s="2" t="s">
        <v>7999</v>
      </c>
      <c r="L1916" s="2" t="s">
        <v>8000</v>
      </c>
      <c r="M1916" s="174" t="s">
        <v>409</v>
      </c>
      <c r="N1916" s="2" t="s">
        <v>462</v>
      </c>
      <c r="O1916" s="3">
        <v>0.5</v>
      </c>
      <c r="P1916" s="2" t="s">
        <v>73</v>
      </c>
      <c r="Q1916" s="3">
        <v>2250.0</v>
      </c>
      <c r="U1916" s="171">
        <v>5849.0</v>
      </c>
      <c r="W1916" s="3">
        <v>354.0</v>
      </c>
      <c r="X1916" s="172">
        <v>46043.48630787037</v>
      </c>
      <c r="Y1916" s="172"/>
      <c r="Z1916" s="3">
        <v>46040.0</v>
      </c>
      <c r="AA1916" s="3"/>
    </row>
    <row r="1917">
      <c r="A1917" s="3">
        <v>6.871982407939E12</v>
      </c>
      <c r="B1917" s="2" t="s">
        <v>8001</v>
      </c>
      <c r="C1917" s="2" t="s">
        <v>3513</v>
      </c>
      <c r="D1917" s="169">
        <v>46040.0</v>
      </c>
      <c r="E1917" s="2">
        <v>3.460307159E9</v>
      </c>
      <c r="F1917" s="2" t="s">
        <v>8002</v>
      </c>
      <c r="G1917" s="2" t="s">
        <v>933</v>
      </c>
      <c r="H1917" s="2">
        <v>249.0</v>
      </c>
      <c r="I1917" s="2">
        <v>2.3120050021321E13</v>
      </c>
      <c r="J1917" s="3">
        <v>0.0</v>
      </c>
      <c r="K1917" s="2" t="s">
        <v>8003</v>
      </c>
      <c r="L1917" s="2"/>
      <c r="M1917" s="170" t="s">
        <v>455</v>
      </c>
      <c r="N1917" s="2" t="s">
        <v>406</v>
      </c>
      <c r="O1917" s="3">
        <v>0.5</v>
      </c>
      <c r="P1917" s="2" t="s">
        <v>73</v>
      </c>
      <c r="Q1917" s="3">
        <v>0.0</v>
      </c>
      <c r="T1917" s="2" t="s">
        <v>6336</v>
      </c>
      <c r="U1917" s="171">
        <v>0.0</v>
      </c>
      <c r="V1917" s="172">
        <v>46052.0</v>
      </c>
      <c r="W1917" s="3">
        <v>200.0</v>
      </c>
      <c r="X1917" s="172">
        <v>46049.86059027778</v>
      </c>
      <c r="Y1917" s="172"/>
      <c r="Z1917" s="3">
        <v>46040.0</v>
      </c>
      <c r="AA1917" s="3"/>
    </row>
    <row r="1918">
      <c r="A1918" s="3">
        <v>6.871982702851E12</v>
      </c>
      <c r="B1918" s="2" t="s">
        <v>8004</v>
      </c>
      <c r="C1918" s="2" t="s">
        <v>8005</v>
      </c>
      <c r="D1918" s="169">
        <v>46040.0</v>
      </c>
      <c r="E1918" s="2">
        <v>3.179354977E9</v>
      </c>
      <c r="F1918" s="2" t="s">
        <v>8006</v>
      </c>
      <c r="G1918" s="2" t="s">
        <v>366</v>
      </c>
      <c r="H1918" s="2">
        <v>3099.0</v>
      </c>
      <c r="I1918" s="2">
        <v>2.912005002132E13</v>
      </c>
      <c r="J1918" s="3">
        <v>2.0</v>
      </c>
      <c r="K1918" s="2" t="s">
        <v>8007</v>
      </c>
      <c r="L1918" s="2" t="s">
        <v>296</v>
      </c>
      <c r="M1918" s="174" t="s">
        <v>409</v>
      </c>
      <c r="N1918" s="2" t="s">
        <v>462</v>
      </c>
      <c r="O1918" s="3">
        <v>0.5</v>
      </c>
      <c r="P1918" s="2" t="s">
        <v>73</v>
      </c>
      <c r="Q1918" s="3">
        <v>920.0</v>
      </c>
      <c r="U1918" s="171">
        <v>3099.0</v>
      </c>
      <c r="W1918" s="3">
        <v>324.0</v>
      </c>
      <c r="X1918" s="172">
        <v>46043.691145833334</v>
      </c>
      <c r="Y1918" s="172"/>
      <c r="Z1918" s="3">
        <v>46040.0</v>
      </c>
      <c r="AA1918" s="3"/>
    </row>
    <row r="1919">
      <c r="A1919" s="3">
        <v>6.871996924163E12</v>
      </c>
      <c r="B1919" s="2" t="s">
        <v>8008</v>
      </c>
      <c r="C1919" s="2" t="s">
        <v>8009</v>
      </c>
      <c r="D1919" s="169">
        <v>46040.0</v>
      </c>
      <c r="E1919" s="2">
        <v>3.028476049E9</v>
      </c>
      <c r="F1919" s="2" t="s">
        <v>8010</v>
      </c>
      <c r="G1919" s="2" t="s">
        <v>368</v>
      </c>
      <c r="H1919" s="2">
        <v>0.0</v>
      </c>
      <c r="J1919" s="3">
        <v>0.0</v>
      </c>
      <c r="K1919" s="2" t="s">
        <v>7954</v>
      </c>
      <c r="L1919" s="2"/>
      <c r="M1919" s="2" t="s">
        <v>468</v>
      </c>
      <c r="N1919" s="2" t="s">
        <v>406</v>
      </c>
      <c r="O1919" s="3">
        <v>0.5</v>
      </c>
      <c r="Q1919" s="3">
        <v>0.0</v>
      </c>
      <c r="U1919" s="141"/>
      <c r="X1919" s="172">
        <v>46057.64278285879</v>
      </c>
      <c r="Y1919" s="172"/>
      <c r="Z1919" s="3">
        <v>46040.0</v>
      </c>
      <c r="AA1919" s="3"/>
    </row>
    <row r="1920">
      <c r="A1920" s="3">
        <v>6.872024154371E12</v>
      </c>
      <c r="B1920" s="2" t="s">
        <v>8011</v>
      </c>
      <c r="C1920" s="2" t="s">
        <v>8012</v>
      </c>
      <c r="D1920" s="169">
        <v>46040.0</v>
      </c>
      <c r="E1920" s="2">
        <v>3.057882572E9</v>
      </c>
      <c r="F1920" s="2" t="s">
        <v>8013</v>
      </c>
      <c r="G1920" s="2" t="s">
        <v>2925</v>
      </c>
      <c r="H1920" s="2">
        <v>4248.0</v>
      </c>
      <c r="I1920" s="2">
        <v>2.5120050021319E13</v>
      </c>
      <c r="J1920" s="3">
        <v>2.0</v>
      </c>
      <c r="K1920" s="2" t="s">
        <v>8014</v>
      </c>
      <c r="L1920" s="2" t="s">
        <v>479</v>
      </c>
      <c r="M1920" s="174" t="s">
        <v>409</v>
      </c>
      <c r="N1920" s="2" t="s">
        <v>462</v>
      </c>
      <c r="O1920" s="3">
        <v>0.5</v>
      </c>
      <c r="P1920" s="2" t="s">
        <v>73</v>
      </c>
      <c r="Q1920" s="3">
        <v>1700.0</v>
      </c>
      <c r="U1920" s="171">
        <v>4248.0</v>
      </c>
      <c r="W1920" s="3">
        <v>390.0</v>
      </c>
      <c r="X1920" s="172">
        <v>46044.639178240745</v>
      </c>
      <c r="Y1920" s="172"/>
      <c r="Z1920" s="3">
        <v>46040.0</v>
      </c>
      <c r="AA1920" s="3"/>
    </row>
    <row r="1921">
      <c r="A1921" s="3">
        <v>6.872096342275E12</v>
      </c>
      <c r="B1921" s="2" t="s">
        <v>8015</v>
      </c>
      <c r="C1921" s="2" t="s">
        <v>8016</v>
      </c>
      <c r="D1921" s="169">
        <v>46040.0</v>
      </c>
      <c r="E1921" s="2">
        <v>3.245140084E9</v>
      </c>
      <c r="F1921" s="2" t="s">
        <v>8017</v>
      </c>
      <c r="G1921" s="2" t="s">
        <v>368</v>
      </c>
      <c r="H1921" s="2">
        <v>249.0</v>
      </c>
      <c r="I1921" s="2">
        <v>2.1120050021373E13</v>
      </c>
      <c r="J1921" s="3">
        <v>0.0</v>
      </c>
      <c r="K1921" s="2" t="s">
        <v>8018</v>
      </c>
      <c r="L1921" s="2"/>
      <c r="M1921" s="170" t="s">
        <v>455</v>
      </c>
      <c r="N1921" s="2" t="s">
        <v>406</v>
      </c>
      <c r="O1921" s="3">
        <v>0.5</v>
      </c>
      <c r="P1921" s="2" t="s">
        <v>73</v>
      </c>
      <c r="Q1921" s="3">
        <v>0.0</v>
      </c>
      <c r="T1921" s="2" t="s">
        <v>6336</v>
      </c>
      <c r="U1921" s="171">
        <v>0.0</v>
      </c>
      <c r="V1921" s="172">
        <v>46052.0</v>
      </c>
      <c r="W1921" s="3">
        <v>120.0</v>
      </c>
      <c r="X1921" s="172">
        <v>46050.84106481481</v>
      </c>
      <c r="Y1921" s="172"/>
      <c r="Z1921" s="3">
        <v>46040.0</v>
      </c>
      <c r="AA1921" s="3"/>
    </row>
    <row r="1922">
      <c r="A1922" s="3">
        <v>6.872131436803E12</v>
      </c>
      <c r="B1922" s="2" t="s">
        <v>8019</v>
      </c>
      <c r="C1922" s="2" t="s">
        <v>8020</v>
      </c>
      <c r="D1922" s="169">
        <v>46040.0</v>
      </c>
      <c r="E1922" s="2">
        <v>3.144516023E9</v>
      </c>
      <c r="F1922" s="2" t="s">
        <v>8021</v>
      </c>
      <c r="G1922" s="2" t="s">
        <v>368</v>
      </c>
      <c r="H1922" s="2">
        <v>249.0</v>
      </c>
      <c r="I1922" s="2">
        <v>2.6120050021361E13</v>
      </c>
      <c r="J1922" s="3">
        <v>0.0</v>
      </c>
      <c r="K1922" s="2" t="s">
        <v>8022</v>
      </c>
      <c r="L1922" s="2"/>
      <c r="M1922" s="170" t="s">
        <v>455</v>
      </c>
      <c r="N1922" s="2" t="s">
        <v>406</v>
      </c>
      <c r="O1922" s="3">
        <v>0.5</v>
      </c>
      <c r="P1922" s="2" t="s">
        <v>73</v>
      </c>
      <c r="Q1922" s="3">
        <v>0.0</v>
      </c>
      <c r="T1922" s="2" t="s">
        <v>6123</v>
      </c>
      <c r="U1922" s="171">
        <v>0.0</v>
      </c>
      <c r="V1922" s="172">
        <v>46049.0</v>
      </c>
      <c r="W1922" s="3">
        <v>120.0</v>
      </c>
      <c r="X1922" s="172">
        <v>46046.82884259259</v>
      </c>
      <c r="Y1922" s="172"/>
      <c r="Z1922" s="3">
        <v>46040.0</v>
      </c>
      <c r="AA1922" s="3"/>
    </row>
    <row r="1923">
      <c r="A1923" s="3">
        <v>6.872137761027E12</v>
      </c>
      <c r="B1923" s="2" t="s">
        <v>8023</v>
      </c>
      <c r="C1923" s="2" t="s">
        <v>8024</v>
      </c>
      <c r="D1923" s="169">
        <v>46040.0</v>
      </c>
      <c r="E1923" s="2">
        <v>3.132059301E9</v>
      </c>
      <c r="F1923" s="2" t="s">
        <v>8025</v>
      </c>
      <c r="G1923" s="2" t="s">
        <v>493</v>
      </c>
      <c r="H1923" s="2">
        <v>0.0</v>
      </c>
      <c r="I1923" s="2">
        <v>2.8120050021318E13</v>
      </c>
      <c r="J1923" s="3">
        <v>0.0</v>
      </c>
      <c r="K1923" s="2" t="s">
        <v>8026</v>
      </c>
      <c r="L1923" s="2"/>
      <c r="M1923" s="170" t="s">
        <v>455</v>
      </c>
      <c r="N1923" s="2" t="s">
        <v>406</v>
      </c>
      <c r="O1923" s="3">
        <v>0.5</v>
      </c>
      <c r="P1923" s="2" t="s">
        <v>73</v>
      </c>
      <c r="Q1923" s="3">
        <v>0.0</v>
      </c>
      <c r="T1923" s="2" t="s">
        <v>6193</v>
      </c>
      <c r="U1923" s="141"/>
      <c r="W1923" s="3">
        <v>227.0</v>
      </c>
      <c r="X1923" s="172">
        <v>46052.83976851852</v>
      </c>
      <c r="Y1923" s="172"/>
      <c r="Z1923" s="3">
        <v>46040.0</v>
      </c>
      <c r="AA1923" s="3"/>
    </row>
    <row r="1924">
      <c r="A1924" s="3">
        <v>6.872145494275E12</v>
      </c>
      <c r="B1924" s="2" t="s">
        <v>8027</v>
      </c>
      <c r="C1924" s="2" t="s">
        <v>8028</v>
      </c>
      <c r="D1924" s="169">
        <v>46040.0</v>
      </c>
      <c r="E1924" s="2">
        <v>3.005146224E9</v>
      </c>
      <c r="F1924" s="2" t="s">
        <v>8029</v>
      </c>
      <c r="G1924" s="2" t="s">
        <v>855</v>
      </c>
      <c r="H1924" s="2">
        <v>2799.0</v>
      </c>
      <c r="I1924" s="2">
        <v>2.7120050021317E13</v>
      </c>
      <c r="J1924" s="3">
        <v>1.0</v>
      </c>
      <c r="K1924" s="2" t="s">
        <v>8030</v>
      </c>
      <c r="L1924" s="2" t="s">
        <v>500</v>
      </c>
      <c r="M1924" s="174" t="s">
        <v>409</v>
      </c>
      <c r="N1924" s="2" t="s">
        <v>462</v>
      </c>
      <c r="O1924" s="3">
        <v>0.5</v>
      </c>
      <c r="P1924" s="2" t="s">
        <v>73</v>
      </c>
      <c r="Q1924" s="3">
        <v>850.0</v>
      </c>
      <c r="U1924" s="171">
        <v>2799.0</v>
      </c>
      <c r="W1924" s="3">
        <v>312.0</v>
      </c>
      <c r="X1924" s="172">
        <v>46043.4640625</v>
      </c>
      <c r="Y1924" s="172"/>
      <c r="Z1924" s="3">
        <v>46040.0</v>
      </c>
      <c r="AA1924" s="3"/>
    </row>
    <row r="1925">
      <c r="A1925" s="3">
        <v>6.872176263427E12</v>
      </c>
      <c r="B1925" s="2" t="s">
        <v>8031</v>
      </c>
      <c r="C1925" s="2" t="s">
        <v>8032</v>
      </c>
      <c r="D1925" s="169">
        <v>46041.0</v>
      </c>
      <c r="E1925" s="2">
        <v>3.083835665E9</v>
      </c>
      <c r="F1925" s="2" t="s">
        <v>8033</v>
      </c>
      <c r="G1925" s="2" t="s">
        <v>493</v>
      </c>
      <c r="H1925" s="2">
        <v>249.0</v>
      </c>
      <c r="I1925" s="2">
        <v>2.1120050021316E13</v>
      </c>
      <c r="J1925" s="3">
        <v>0.0</v>
      </c>
      <c r="K1925" s="2" t="s">
        <v>8034</v>
      </c>
      <c r="L1925" s="2"/>
      <c r="M1925" s="170" t="s">
        <v>455</v>
      </c>
      <c r="N1925" s="2" t="s">
        <v>406</v>
      </c>
      <c r="O1925" s="3">
        <v>0.5</v>
      </c>
      <c r="P1925" s="2" t="s">
        <v>73</v>
      </c>
      <c r="Q1925" s="3">
        <v>0.0</v>
      </c>
      <c r="T1925" s="2" t="s">
        <v>6336</v>
      </c>
      <c r="U1925" s="171">
        <v>0.0</v>
      </c>
      <c r="V1925" s="172">
        <v>46052.0</v>
      </c>
      <c r="W1925" s="3">
        <v>227.0</v>
      </c>
      <c r="X1925" s="172">
        <v>46050.84106481481</v>
      </c>
      <c r="Y1925" s="172"/>
      <c r="Z1925" s="3">
        <v>46041.0</v>
      </c>
      <c r="AA1925" s="3"/>
    </row>
    <row r="1926">
      <c r="A1926" s="3">
        <v>6.872242979075E12</v>
      </c>
      <c r="B1926" s="2" t="s">
        <v>8035</v>
      </c>
      <c r="C1926" s="2" t="s">
        <v>8036</v>
      </c>
      <c r="D1926" s="169">
        <v>46041.0</v>
      </c>
      <c r="E1926" s="2">
        <v>3.33164164E9</v>
      </c>
      <c r="F1926" s="2" t="s">
        <v>8037</v>
      </c>
      <c r="G1926" s="2" t="s">
        <v>493</v>
      </c>
      <c r="H1926" s="2">
        <v>0.0</v>
      </c>
      <c r="J1926" s="3">
        <v>0.0</v>
      </c>
      <c r="K1926" s="2" t="s">
        <v>8038</v>
      </c>
      <c r="L1926" s="2"/>
      <c r="M1926" s="2" t="s">
        <v>468</v>
      </c>
      <c r="N1926" s="2" t="s">
        <v>406</v>
      </c>
      <c r="O1926" s="3">
        <v>0.5</v>
      </c>
      <c r="Q1926" s="3">
        <v>0.0</v>
      </c>
      <c r="U1926" s="141"/>
      <c r="X1926" s="172">
        <v>46057.64278285879</v>
      </c>
      <c r="Y1926" s="172"/>
      <c r="Z1926" s="3">
        <v>46041.0</v>
      </c>
      <c r="AA1926" s="3"/>
    </row>
    <row r="1927">
      <c r="A1927" s="3">
        <v>6.872260411651E12</v>
      </c>
      <c r="B1927" s="2" t="s">
        <v>8039</v>
      </c>
      <c r="C1927" s="2" t="s">
        <v>8040</v>
      </c>
      <c r="D1927" s="169">
        <v>46041.0</v>
      </c>
      <c r="E1927" s="2">
        <v>3.208000141E9</v>
      </c>
      <c r="F1927" s="2" t="s">
        <v>8041</v>
      </c>
      <c r="G1927" s="2" t="s">
        <v>493</v>
      </c>
      <c r="H1927" s="2">
        <v>6250.0</v>
      </c>
      <c r="I1927" s="2">
        <v>2.8120050021337E13</v>
      </c>
      <c r="J1927" s="3">
        <v>5.0</v>
      </c>
      <c r="K1927" s="2" t="s">
        <v>8042</v>
      </c>
      <c r="L1927" s="2" t="s">
        <v>8043</v>
      </c>
      <c r="M1927" s="174" t="s">
        <v>409</v>
      </c>
      <c r="N1927" s="2" t="s">
        <v>462</v>
      </c>
      <c r="O1927" s="3">
        <v>0.5</v>
      </c>
      <c r="P1927" s="2" t="s">
        <v>73</v>
      </c>
      <c r="Q1927" s="3">
        <v>2900.0</v>
      </c>
      <c r="U1927" s="171">
        <v>6250.0</v>
      </c>
      <c r="W1927" s="3">
        <v>477.0</v>
      </c>
      <c r="X1927" s="172">
        <v>46044.57324074074</v>
      </c>
      <c r="Y1927" s="172"/>
      <c r="Z1927" s="3">
        <v>46041.0</v>
      </c>
      <c r="AA1927" s="3"/>
    </row>
    <row r="1928">
      <c r="A1928" s="3">
        <v>6.872261296387E12</v>
      </c>
      <c r="B1928" s="2" t="s">
        <v>8044</v>
      </c>
      <c r="C1928" s="2" t="s">
        <v>4739</v>
      </c>
      <c r="D1928" s="169">
        <v>46041.0</v>
      </c>
      <c r="E1928" s="173" t="s">
        <v>8045</v>
      </c>
      <c r="F1928" s="2" t="s">
        <v>8046</v>
      </c>
      <c r="G1928" s="2" t="s">
        <v>493</v>
      </c>
      <c r="H1928" s="2">
        <v>2749.0</v>
      </c>
      <c r="I1928" s="2">
        <v>2.3120050021315E13</v>
      </c>
      <c r="J1928" s="3">
        <v>2.0</v>
      </c>
      <c r="K1928" s="2" t="s">
        <v>8047</v>
      </c>
      <c r="L1928" s="2" t="s">
        <v>35</v>
      </c>
      <c r="M1928" s="174" t="s">
        <v>409</v>
      </c>
      <c r="N1928" s="2" t="s">
        <v>462</v>
      </c>
      <c r="O1928" s="3">
        <v>0.5</v>
      </c>
      <c r="P1928" s="2" t="s">
        <v>73</v>
      </c>
      <c r="Q1928" s="3">
        <v>980.0</v>
      </c>
      <c r="U1928" s="171">
        <v>2749.0</v>
      </c>
      <c r="W1928" s="3">
        <v>323.0</v>
      </c>
      <c r="X1928" s="172">
        <v>46044.61487268518</v>
      </c>
      <c r="Y1928" s="172"/>
      <c r="Z1928" s="3">
        <v>46041.0</v>
      </c>
      <c r="AA1928" s="3"/>
    </row>
    <row r="1929">
      <c r="A1929" s="3">
        <v>6.872277614851E12</v>
      </c>
      <c r="B1929" s="2" t="s">
        <v>8048</v>
      </c>
      <c r="C1929" s="2" t="s">
        <v>8049</v>
      </c>
      <c r="D1929" s="169">
        <v>46041.0</v>
      </c>
      <c r="E1929" s="2">
        <v>3.315858446E9</v>
      </c>
      <c r="F1929" s="2" t="s">
        <v>8050</v>
      </c>
      <c r="G1929" s="2" t="s">
        <v>506</v>
      </c>
      <c r="H1929" s="2">
        <v>6100.0</v>
      </c>
      <c r="I1929" s="2">
        <v>2.8120050021314E13</v>
      </c>
      <c r="J1929" s="3">
        <v>2.0</v>
      </c>
      <c r="K1929" s="2" t="s">
        <v>8051</v>
      </c>
      <c r="L1929" s="2" t="s">
        <v>8052</v>
      </c>
      <c r="M1929" s="174" t="s">
        <v>409</v>
      </c>
      <c r="N1929" s="2" t="s">
        <v>462</v>
      </c>
      <c r="O1929" s="3">
        <v>0.5</v>
      </c>
      <c r="P1929" s="2" t="s">
        <v>73</v>
      </c>
      <c r="Q1929" s="3">
        <v>2800.0</v>
      </c>
      <c r="U1929" s="171">
        <v>6100.0</v>
      </c>
      <c r="W1929" s="3">
        <v>464.0</v>
      </c>
      <c r="X1929" s="172">
        <v>46043.42034722222</v>
      </c>
      <c r="Y1929" s="172"/>
      <c r="Z1929" s="3">
        <v>46041.0</v>
      </c>
      <c r="AA1929" s="3"/>
    </row>
    <row r="1930">
      <c r="A1930" s="3">
        <v>6.872278663427E12</v>
      </c>
      <c r="B1930" s="2" t="s">
        <v>8053</v>
      </c>
      <c r="C1930" s="2" t="s">
        <v>8054</v>
      </c>
      <c r="D1930" s="169">
        <v>46041.0</v>
      </c>
      <c r="E1930" s="2">
        <v>3.152651515E9</v>
      </c>
      <c r="F1930" s="2" t="s">
        <v>8055</v>
      </c>
      <c r="G1930" s="2" t="s">
        <v>493</v>
      </c>
      <c r="H1930" s="2">
        <v>1999.0</v>
      </c>
      <c r="I1930" s="2">
        <v>2.4120050021313E13</v>
      </c>
      <c r="J1930" s="3">
        <v>1.0</v>
      </c>
      <c r="K1930" s="2" t="s">
        <v>8056</v>
      </c>
      <c r="L1930" s="2" t="s">
        <v>8057</v>
      </c>
      <c r="M1930" s="174" t="s">
        <v>409</v>
      </c>
      <c r="N1930" s="2" t="s">
        <v>462</v>
      </c>
      <c r="O1930" s="3">
        <v>0.5</v>
      </c>
      <c r="P1930" s="2" t="s">
        <v>73</v>
      </c>
      <c r="Q1930" s="3">
        <v>1100.0</v>
      </c>
      <c r="T1930" s="2" t="s">
        <v>6123</v>
      </c>
      <c r="U1930" s="171">
        <v>1999.0</v>
      </c>
      <c r="V1930" s="172">
        <v>46049.0</v>
      </c>
      <c r="W1930" s="3">
        <v>293.0</v>
      </c>
      <c r="X1930" s="172">
        <v>46048.66070601852</v>
      </c>
      <c r="Y1930" s="172"/>
      <c r="Z1930" s="3">
        <v>46041.0</v>
      </c>
      <c r="AA1930" s="3"/>
    </row>
    <row r="1931">
      <c r="A1931" s="3">
        <v>6.872312840451E12</v>
      </c>
      <c r="B1931" s="2" t="s">
        <v>8058</v>
      </c>
      <c r="C1931" s="2" t="s">
        <v>8059</v>
      </c>
      <c r="D1931" s="169">
        <v>46041.0</v>
      </c>
      <c r="E1931" s="2">
        <v>3.400425679E9</v>
      </c>
      <c r="F1931" s="2" t="s">
        <v>8060</v>
      </c>
      <c r="G1931" s="2" t="s">
        <v>368</v>
      </c>
      <c r="H1931" s="2">
        <v>3099.0</v>
      </c>
      <c r="I1931" s="2">
        <v>2.5120050021464E13</v>
      </c>
      <c r="J1931" s="3">
        <v>2.0</v>
      </c>
      <c r="K1931" s="2" t="s">
        <v>8061</v>
      </c>
      <c r="L1931" s="2" t="s">
        <v>8062</v>
      </c>
      <c r="M1931" s="174" t="s">
        <v>409</v>
      </c>
      <c r="N1931" s="2" t="s">
        <v>462</v>
      </c>
      <c r="O1931" s="3">
        <v>0.5</v>
      </c>
      <c r="P1931" s="2" t="s">
        <v>73</v>
      </c>
      <c r="Q1931" s="3">
        <v>960.0</v>
      </c>
      <c r="T1931" s="2" t="s">
        <v>6123</v>
      </c>
      <c r="U1931" s="171">
        <v>3099.0</v>
      </c>
      <c r="V1931" s="172">
        <v>46049.0</v>
      </c>
      <c r="W1931" s="3">
        <v>231.0</v>
      </c>
      <c r="X1931" s="172">
        <v>46046.771261574075</v>
      </c>
      <c r="Y1931" s="172"/>
      <c r="Z1931" s="3">
        <v>46041.0</v>
      </c>
      <c r="AA1931" s="3"/>
    </row>
    <row r="1932">
      <c r="A1932" s="3">
        <v>6.872477466883E12</v>
      </c>
      <c r="B1932" s="2" t="s">
        <v>8063</v>
      </c>
      <c r="C1932" s="2" t="s">
        <v>8064</v>
      </c>
      <c r="D1932" s="169">
        <v>46041.0</v>
      </c>
      <c r="E1932" s="2">
        <v>3.278461595E9</v>
      </c>
      <c r="F1932" s="2" t="s">
        <v>8065</v>
      </c>
      <c r="G1932" s="2" t="s">
        <v>493</v>
      </c>
      <c r="H1932" s="2">
        <v>1499.0</v>
      </c>
      <c r="I1932" s="2">
        <v>2.8120050021312E13</v>
      </c>
      <c r="J1932" s="3">
        <v>1.0</v>
      </c>
      <c r="K1932" s="2" t="s">
        <v>8066</v>
      </c>
      <c r="L1932" s="2" t="s">
        <v>5337</v>
      </c>
      <c r="M1932" s="174" t="s">
        <v>409</v>
      </c>
      <c r="N1932" s="2" t="s">
        <v>462</v>
      </c>
      <c r="O1932" s="3">
        <v>0.5</v>
      </c>
      <c r="P1932" s="2" t="s">
        <v>73</v>
      </c>
      <c r="Q1932" s="3">
        <v>550.0</v>
      </c>
      <c r="U1932" s="171">
        <v>1499.0</v>
      </c>
      <c r="W1932" s="3">
        <v>273.0</v>
      </c>
      <c r="X1932" s="172">
        <v>46044.61923611111</v>
      </c>
      <c r="Y1932" s="172"/>
      <c r="Z1932" s="3">
        <v>46041.0</v>
      </c>
      <c r="AA1932" s="3"/>
    </row>
    <row r="1933">
      <c r="A1933" s="3">
        <v>6.872482087171E12</v>
      </c>
      <c r="B1933" s="2" t="s">
        <v>8067</v>
      </c>
      <c r="C1933" s="2" t="s">
        <v>8068</v>
      </c>
      <c r="D1933" s="169">
        <v>46041.0</v>
      </c>
      <c r="E1933" s="2">
        <v>3.3277668E9</v>
      </c>
      <c r="F1933" s="2" t="s">
        <v>8069</v>
      </c>
      <c r="G1933" s="2" t="s">
        <v>993</v>
      </c>
      <c r="H1933" s="2">
        <v>249.0</v>
      </c>
      <c r="I1933" s="2" t="s">
        <v>8070</v>
      </c>
      <c r="J1933" s="3">
        <v>0.0</v>
      </c>
      <c r="K1933" s="2" t="s">
        <v>8071</v>
      </c>
      <c r="L1933" s="2"/>
      <c r="M1933" s="174" t="s">
        <v>409</v>
      </c>
      <c r="N1933" s="2" t="s">
        <v>406</v>
      </c>
      <c r="O1933" s="3">
        <v>0.5</v>
      </c>
      <c r="P1933" s="2" t="s">
        <v>640</v>
      </c>
      <c r="Q1933" s="3">
        <v>0.0</v>
      </c>
      <c r="T1933" s="2" t="s">
        <v>8072</v>
      </c>
      <c r="U1933" s="19">
        <v>249.0</v>
      </c>
      <c r="V1933" s="172">
        <v>46023.0</v>
      </c>
      <c r="W1933" s="3">
        <v>260.94</v>
      </c>
      <c r="X1933" s="172">
        <v>46057.651297372686</v>
      </c>
      <c r="Y1933" s="172"/>
      <c r="Z1933" s="3">
        <v>46041.0</v>
      </c>
      <c r="AA1933" s="3"/>
    </row>
    <row r="1934">
      <c r="A1934" s="3">
        <v>6.872621285635E12</v>
      </c>
      <c r="B1934" s="2" t="s">
        <v>8073</v>
      </c>
      <c r="C1934" s="2" t="s">
        <v>8074</v>
      </c>
      <c r="D1934" s="169">
        <v>46041.0</v>
      </c>
      <c r="E1934" s="2">
        <v>3.032127692E9</v>
      </c>
      <c r="F1934" s="2" t="s">
        <v>8075</v>
      </c>
      <c r="G1934" s="2" t="s">
        <v>701</v>
      </c>
      <c r="H1934" s="2">
        <v>2799.0</v>
      </c>
      <c r="I1934" s="2">
        <v>2.7120050021335E13</v>
      </c>
      <c r="J1934" s="3">
        <v>1.0</v>
      </c>
      <c r="K1934" s="2" t="s">
        <v>8076</v>
      </c>
      <c r="L1934" s="2" t="s">
        <v>512</v>
      </c>
      <c r="M1934" s="174" t="s">
        <v>409</v>
      </c>
      <c r="N1934" s="2" t="s">
        <v>462</v>
      </c>
      <c r="O1934" s="3">
        <v>0.5</v>
      </c>
      <c r="P1934" s="2" t="s">
        <v>73</v>
      </c>
      <c r="Q1934" s="3">
        <v>850.0</v>
      </c>
      <c r="U1934" s="171">
        <v>2799.0</v>
      </c>
      <c r="W1934" s="3">
        <v>332.0</v>
      </c>
      <c r="X1934" s="172">
        <v>46043.687060185184</v>
      </c>
      <c r="Y1934" s="172"/>
      <c r="Z1934" s="3">
        <v>46041.0</v>
      </c>
      <c r="AA1934" s="3"/>
    </row>
    <row r="1935">
      <c r="A1935" s="3">
        <v>6.872625283331E12</v>
      </c>
      <c r="B1935" s="2" t="s">
        <v>8077</v>
      </c>
      <c r="C1935" s="2" t="s">
        <v>8078</v>
      </c>
      <c r="D1935" s="169">
        <v>46041.0</v>
      </c>
      <c r="E1935" s="2">
        <v>3.128687786E9</v>
      </c>
      <c r="F1935" s="2" t="s">
        <v>8079</v>
      </c>
      <c r="G1935" s="2" t="s">
        <v>1323</v>
      </c>
      <c r="H1935" s="2">
        <v>0.0</v>
      </c>
      <c r="J1935" s="3">
        <v>0.0</v>
      </c>
      <c r="K1935" s="2" t="s">
        <v>7954</v>
      </c>
      <c r="L1935" s="2"/>
      <c r="M1935" s="2" t="s">
        <v>468</v>
      </c>
      <c r="N1935" s="2" t="s">
        <v>406</v>
      </c>
      <c r="O1935" s="3">
        <v>0.5</v>
      </c>
      <c r="Q1935" s="3">
        <v>0.0</v>
      </c>
      <c r="U1935" s="141"/>
      <c r="X1935" s="172">
        <v>46057.64278285879</v>
      </c>
      <c r="Y1935" s="172"/>
      <c r="Z1935" s="3">
        <v>46041.0</v>
      </c>
      <c r="AA1935" s="3"/>
    </row>
    <row r="1936">
      <c r="A1936" s="3">
        <v>6.872628789507E12</v>
      </c>
      <c r="B1936" s="2" t="s">
        <v>8080</v>
      </c>
      <c r="C1936" s="2" t="s">
        <v>8081</v>
      </c>
      <c r="D1936" s="169">
        <v>46041.0</v>
      </c>
      <c r="E1936" s="2">
        <v>3.313033113E9</v>
      </c>
      <c r="F1936" s="2" t="s">
        <v>8082</v>
      </c>
      <c r="G1936" s="2" t="s">
        <v>506</v>
      </c>
      <c r="H1936" s="2">
        <v>3099.0</v>
      </c>
      <c r="I1936" s="2">
        <v>2.1120050021311E13</v>
      </c>
      <c r="J1936" s="3">
        <v>2.0</v>
      </c>
      <c r="K1936" s="2" t="s">
        <v>8083</v>
      </c>
      <c r="L1936" s="2" t="s">
        <v>40</v>
      </c>
      <c r="M1936" s="174" t="s">
        <v>409</v>
      </c>
      <c r="N1936" s="2" t="s">
        <v>462</v>
      </c>
      <c r="O1936" s="3">
        <v>0.5</v>
      </c>
      <c r="P1936" s="2" t="s">
        <v>73</v>
      </c>
      <c r="Q1936" s="3">
        <v>920.0</v>
      </c>
      <c r="T1936" s="2" t="s">
        <v>6123</v>
      </c>
      <c r="U1936" s="171">
        <v>3099.0</v>
      </c>
      <c r="V1936" s="172">
        <v>46049.0</v>
      </c>
      <c r="W1936" s="3">
        <v>324.0</v>
      </c>
      <c r="X1936" s="172">
        <v>46046.634976851856</v>
      </c>
      <c r="Y1936" s="172"/>
      <c r="Z1936" s="3">
        <v>46041.0</v>
      </c>
      <c r="AA1936" s="3"/>
    </row>
    <row r="1937">
      <c r="A1937" s="3">
        <v>6.872629870851E12</v>
      </c>
      <c r="B1937" s="2" t="s">
        <v>8084</v>
      </c>
      <c r="C1937" s="2" t="s">
        <v>8078</v>
      </c>
      <c r="D1937" s="169">
        <v>46041.0</v>
      </c>
      <c r="E1937" s="173" t="s">
        <v>8085</v>
      </c>
      <c r="F1937" s="2" t="s">
        <v>8079</v>
      </c>
      <c r="G1937" s="2" t="s">
        <v>1323</v>
      </c>
      <c r="H1937" s="2">
        <v>5699.0</v>
      </c>
      <c r="I1937" s="2">
        <v>2.812005002131E13</v>
      </c>
      <c r="J1937" s="3">
        <v>4.0</v>
      </c>
      <c r="K1937" s="2" t="s">
        <v>8086</v>
      </c>
      <c r="L1937" s="2" t="s">
        <v>8087</v>
      </c>
      <c r="M1937" s="174" t="s">
        <v>409</v>
      </c>
      <c r="N1937" s="2" t="s">
        <v>462</v>
      </c>
      <c r="O1937" s="3">
        <v>0.5</v>
      </c>
      <c r="P1937" s="2" t="s">
        <v>73</v>
      </c>
      <c r="Q1937" s="3">
        <v>2010.0</v>
      </c>
      <c r="U1937" s="171">
        <v>5699.0</v>
      </c>
      <c r="W1937" s="3">
        <v>448.0</v>
      </c>
      <c r="X1937" s="172">
        <v>46042.49118055556</v>
      </c>
      <c r="Y1937" s="172"/>
      <c r="Z1937" s="3">
        <v>46041.0</v>
      </c>
      <c r="AA1937" s="3"/>
    </row>
    <row r="1938">
      <c r="A1938" s="3">
        <v>6.872647958787E12</v>
      </c>
      <c r="B1938" s="2" t="s">
        <v>8088</v>
      </c>
      <c r="C1938" s="2" t="s">
        <v>7952</v>
      </c>
      <c r="D1938" s="169">
        <v>46041.0</v>
      </c>
      <c r="E1938" s="173" t="s">
        <v>8089</v>
      </c>
      <c r="F1938" s="2" t="s">
        <v>7953</v>
      </c>
      <c r="G1938" s="2" t="s">
        <v>506</v>
      </c>
      <c r="H1938" s="2">
        <v>0.0</v>
      </c>
      <c r="J1938" s="3">
        <v>0.0</v>
      </c>
      <c r="K1938" s="2" t="s">
        <v>8090</v>
      </c>
      <c r="L1938" s="2"/>
      <c r="M1938" s="2" t="s">
        <v>468</v>
      </c>
      <c r="N1938" s="2" t="s">
        <v>406</v>
      </c>
      <c r="O1938" s="3">
        <v>0.5</v>
      </c>
      <c r="Q1938" s="3">
        <v>0.0</v>
      </c>
      <c r="U1938" s="141"/>
      <c r="X1938" s="172">
        <v>46057.64278285879</v>
      </c>
      <c r="Y1938" s="172"/>
      <c r="Z1938" s="3">
        <v>46041.0</v>
      </c>
      <c r="AA1938" s="3"/>
    </row>
    <row r="1939">
      <c r="A1939" s="3">
        <v>6.872686821635E12</v>
      </c>
      <c r="B1939" s="2" t="s">
        <v>8091</v>
      </c>
      <c r="C1939" s="2" t="s">
        <v>8092</v>
      </c>
      <c r="D1939" s="169">
        <v>46041.0</v>
      </c>
      <c r="E1939" s="2">
        <v>3.025777987E9</v>
      </c>
      <c r="F1939" s="2" t="s">
        <v>8093</v>
      </c>
      <c r="G1939" s="2" t="s">
        <v>8094</v>
      </c>
      <c r="H1939" s="2">
        <v>0.0</v>
      </c>
      <c r="J1939" s="3">
        <v>0.0</v>
      </c>
      <c r="K1939" s="2" t="s">
        <v>8095</v>
      </c>
      <c r="L1939" s="2"/>
      <c r="M1939" s="2" t="s">
        <v>468</v>
      </c>
      <c r="N1939" s="2" t="s">
        <v>406</v>
      </c>
      <c r="O1939" s="3">
        <v>0.5</v>
      </c>
      <c r="Q1939" s="3">
        <v>0.0</v>
      </c>
      <c r="U1939" s="141"/>
      <c r="X1939" s="172">
        <v>46057.64278285879</v>
      </c>
      <c r="Y1939" s="172"/>
      <c r="Z1939" s="3">
        <v>46041.0</v>
      </c>
      <c r="AA1939" s="3"/>
    </row>
    <row r="1940">
      <c r="A1940" s="3">
        <v>6.872748163331E12</v>
      </c>
      <c r="B1940" s="2" t="s">
        <v>8096</v>
      </c>
      <c r="C1940" s="2" t="s">
        <v>8097</v>
      </c>
      <c r="D1940" s="169">
        <v>46041.0</v>
      </c>
      <c r="E1940" s="2">
        <v>3.324004142E9</v>
      </c>
      <c r="F1940" s="2" t="s">
        <v>8098</v>
      </c>
      <c r="G1940" s="2" t="s">
        <v>7769</v>
      </c>
      <c r="H1940" s="2">
        <v>2749.0</v>
      </c>
      <c r="I1940" s="2">
        <v>2.5120050021309E13</v>
      </c>
      <c r="J1940" s="3">
        <v>2.0</v>
      </c>
      <c r="K1940" s="2" t="s">
        <v>8099</v>
      </c>
      <c r="L1940" s="2" t="s">
        <v>16</v>
      </c>
      <c r="M1940" s="174" t="s">
        <v>409</v>
      </c>
      <c r="N1940" s="2" t="s">
        <v>462</v>
      </c>
      <c r="O1940" s="3">
        <v>0.5</v>
      </c>
      <c r="P1940" s="2" t="s">
        <v>73</v>
      </c>
      <c r="Q1940" s="3">
        <v>980.0</v>
      </c>
      <c r="U1940" s="171">
        <v>2749.0</v>
      </c>
      <c r="W1940" s="3">
        <v>323.0</v>
      </c>
      <c r="X1940" s="172">
        <v>46043.507893518516</v>
      </c>
      <c r="Y1940" s="172"/>
      <c r="Z1940" s="3">
        <v>46041.0</v>
      </c>
      <c r="AA1940" s="3"/>
    </row>
    <row r="1941">
      <c r="A1941" s="3">
        <v>6.872785846531E12</v>
      </c>
      <c r="B1941" s="2" t="s">
        <v>8100</v>
      </c>
      <c r="C1941" s="2" t="s">
        <v>8101</v>
      </c>
      <c r="D1941" s="169">
        <v>46041.0</v>
      </c>
      <c r="E1941" s="2">
        <v>3.1289338E9</v>
      </c>
      <c r="F1941" s="2" t="s">
        <v>8102</v>
      </c>
      <c r="G1941" s="2" t="s">
        <v>3295</v>
      </c>
      <c r="H1941" s="2">
        <v>2749.0</v>
      </c>
      <c r="I1941" s="2">
        <v>2.7120050021308E13</v>
      </c>
      <c r="J1941" s="3">
        <v>2.0</v>
      </c>
      <c r="K1941" s="2" t="s">
        <v>8103</v>
      </c>
      <c r="L1941" s="2" t="s">
        <v>926</v>
      </c>
      <c r="M1941" s="174" t="s">
        <v>409</v>
      </c>
      <c r="N1941" s="2" t="s">
        <v>462</v>
      </c>
      <c r="O1941" s="3">
        <v>0.5</v>
      </c>
      <c r="P1941" s="2" t="s">
        <v>73</v>
      </c>
      <c r="Q1941" s="3">
        <v>980.0</v>
      </c>
      <c r="U1941" s="171">
        <v>2749.0</v>
      </c>
      <c r="W1941" s="3">
        <v>323.0</v>
      </c>
      <c r="X1941" s="172">
        <v>46043.65993055556</v>
      </c>
      <c r="Y1941" s="172"/>
      <c r="Z1941" s="3">
        <v>46041.0</v>
      </c>
      <c r="AA1941" s="3"/>
    </row>
    <row r="1942">
      <c r="A1942" s="3">
        <v>6.872828346627E12</v>
      </c>
      <c r="B1942" s="2" t="s">
        <v>8104</v>
      </c>
      <c r="C1942" s="2" t="s">
        <v>8105</v>
      </c>
      <c r="D1942" s="169">
        <v>46041.0</v>
      </c>
      <c r="E1942" s="2">
        <v>3.083756677E9</v>
      </c>
      <c r="F1942" s="2" t="s">
        <v>8106</v>
      </c>
      <c r="G1942" s="2" t="s">
        <v>672</v>
      </c>
      <c r="H1942" s="2">
        <v>249.0</v>
      </c>
      <c r="I1942" s="2">
        <v>2.6120050021307E13</v>
      </c>
      <c r="J1942" s="3">
        <v>0.0</v>
      </c>
      <c r="K1942" s="2" t="s">
        <v>8107</v>
      </c>
      <c r="L1942" s="2"/>
      <c r="M1942" s="170" t="s">
        <v>455</v>
      </c>
      <c r="N1942" s="2" t="s">
        <v>406</v>
      </c>
      <c r="O1942" s="3">
        <v>0.5</v>
      </c>
      <c r="P1942" s="2" t="s">
        <v>73</v>
      </c>
      <c r="Q1942" s="3">
        <v>0.0</v>
      </c>
      <c r="U1942" s="141"/>
      <c r="W1942" s="3">
        <v>213.0</v>
      </c>
      <c r="X1942" s="172">
        <v>46057.35021990741</v>
      </c>
      <c r="Y1942" s="172"/>
      <c r="Z1942" s="3">
        <v>46041.0</v>
      </c>
      <c r="AA1942" s="3"/>
    </row>
    <row r="1943">
      <c r="A1943" s="3">
        <v>6.872842076419E12</v>
      </c>
      <c r="B1943" s="2" t="s">
        <v>8108</v>
      </c>
      <c r="C1943" s="2" t="s">
        <v>6130</v>
      </c>
      <c r="D1943" s="169">
        <v>46041.0</v>
      </c>
      <c r="E1943" s="2">
        <v>3.132222133E9</v>
      </c>
      <c r="F1943" s="2" t="s">
        <v>6131</v>
      </c>
      <c r="G1943" s="2" t="s">
        <v>855</v>
      </c>
      <c r="H1943" s="2">
        <v>250.0</v>
      </c>
      <c r="I1943" s="2">
        <v>2.3120050021305E13</v>
      </c>
      <c r="J1943" s="3">
        <v>0.0</v>
      </c>
      <c r="K1943" s="2" t="s">
        <v>8109</v>
      </c>
      <c r="L1943" s="2"/>
      <c r="M1943" s="174" t="s">
        <v>409</v>
      </c>
      <c r="N1943" s="2" t="s">
        <v>406</v>
      </c>
      <c r="O1943" s="3">
        <v>0.5</v>
      </c>
      <c r="P1943" s="2" t="s">
        <v>73</v>
      </c>
      <c r="Q1943" s="3">
        <v>0.0</v>
      </c>
      <c r="T1943" s="2" t="s">
        <v>7128</v>
      </c>
      <c r="U1943" s="171">
        <v>250.0</v>
      </c>
      <c r="V1943" s="172">
        <v>46045.0</v>
      </c>
      <c r="W1943" s="3">
        <v>230.0</v>
      </c>
      <c r="X1943" s="172">
        <v>46043.43976851852</v>
      </c>
      <c r="Y1943" s="172"/>
      <c r="Z1943" s="3">
        <v>46041.0</v>
      </c>
      <c r="AA1943" s="3"/>
    </row>
    <row r="1944">
      <c r="A1944" s="3">
        <v>6.872913215747E12</v>
      </c>
      <c r="B1944" s="2" t="s">
        <v>8110</v>
      </c>
      <c r="C1944" s="2" t="s">
        <v>8111</v>
      </c>
      <c r="D1944" s="169">
        <v>46041.0</v>
      </c>
      <c r="E1944" s="2">
        <v>3.335078845E9</v>
      </c>
      <c r="F1944" s="2" t="s">
        <v>8112</v>
      </c>
      <c r="G1944" s="2" t="s">
        <v>366</v>
      </c>
      <c r="H1944" s="2">
        <v>3099.0</v>
      </c>
      <c r="I1944" s="2">
        <v>2.812005002138E13</v>
      </c>
      <c r="J1944" s="3">
        <v>2.0</v>
      </c>
      <c r="K1944" s="2" t="s">
        <v>8113</v>
      </c>
      <c r="L1944" s="2" t="s">
        <v>228</v>
      </c>
      <c r="M1944" s="174" t="s">
        <v>409</v>
      </c>
      <c r="N1944" s="2" t="s">
        <v>462</v>
      </c>
      <c r="O1944" s="3">
        <v>0.5</v>
      </c>
      <c r="P1944" s="2" t="s">
        <v>73</v>
      </c>
      <c r="Q1944" s="3">
        <v>920.0</v>
      </c>
      <c r="T1944" s="2" t="s">
        <v>6123</v>
      </c>
      <c r="U1944" s="171">
        <v>3099.0</v>
      </c>
      <c r="V1944" s="172">
        <v>46049.0</v>
      </c>
      <c r="W1944" s="3">
        <v>344.0</v>
      </c>
      <c r="X1944" s="172">
        <v>46046.588483796295</v>
      </c>
      <c r="Y1944" s="172"/>
      <c r="Z1944" s="3">
        <v>46041.0</v>
      </c>
      <c r="AA1944" s="3"/>
    </row>
    <row r="1945">
      <c r="A1945" s="3">
        <v>6.872916459779E12</v>
      </c>
      <c r="B1945" s="2" t="s">
        <v>8114</v>
      </c>
      <c r="C1945" s="2" t="s">
        <v>8115</v>
      </c>
      <c r="D1945" s="169">
        <v>46041.0</v>
      </c>
      <c r="E1945" s="2">
        <v>3.327776026E9</v>
      </c>
      <c r="F1945" s="2" t="s">
        <v>8116</v>
      </c>
      <c r="G1945" s="2" t="s">
        <v>8117</v>
      </c>
      <c r="H1945" s="2">
        <v>3099.0</v>
      </c>
      <c r="I1945" s="2">
        <v>2.8120050021334E13</v>
      </c>
      <c r="J1945" s="3">
        <v>2.0</v>
      </c>
      <c r="K1945" s="2" t="s">
        <v>8118</v>
      </c>
      <c r="L1945" s="2" t="s">
        <v>228</v>
      </c>
      <c r="M1945" s="174" t="s">
        <v>409</v>
      </c>
      <c r="N1945" s="2" t="s">
        <v>462</v>
      </c>
      <c r="O1945" s="3">
        <v>0.5</v>
      </c>
      <c r="P1945" s="2" t="s">
        <v>73</v>
      </c>
      <c r="Q1945" s="3">
        <v>920.0</v>
      </c>
      <c r="T1945" s="2" t="s">
        <v>7128</v>
      </c>
      <c r="U1945" s="171">
        <v>3099.0</v>
      </c>
      <c r="V1945" s="2" t="s">
        <v>8119</v>
      </c>
      <c r="W1945" s="3">
        <v>321.0</v>
      </c>
      <c r="X1945" s="172">
        <v>46043.56199074074</v>
      </c>
      <c r="Y1945" s="172"/>
      <c r="Z1945" s="3">
        <v>46041.0</v>
      </c>
      <c r="AA1945" s="3"/>
    </row>
    <row r="1946">
      <c r="A1946" s="3">
        <v>6.873015714051E12</v>
      </c>
      <c r="B1946" s="2" t="s">
        <v>8120</v>
      </c>
      <c r="C1946" s="2" t="s">
        <v>8121</v>
      </c>
      <c r="D1946" s="169">
        <v>46041.0</v>
      </c>
      <c r="E1946" s="2">
        <v>3.435022059E9</v>
      </c>
      <c r="F1946" s="2" t="s">
        <v>8122</v>
      </c>
      <c r="G1946" s="2" t="s">
        <v>366</v>
      </c>
      <c r="H1946" s="2">
        <v>249.0</v>
      </c>
      <c r="I1946" s="2">
        <v>2.8120050021396E13</v>
      </c>
      <c r="J1946" s="3">
        <v>0.0</v>
      </c>
      <c r="K1946" s="2" t="s">
        <v>8123</v>
      </c>
      <c r="L1946" s="2"/>
      <c r="M1946" s="170" t="s">
        <v>455</v>
      </c>
      <c r="N1946" s="2" t="s">
        <v>406</v>
      </c>
      <c r="O1946" s="3">
        <v>0.5</v>
      </c>
      <c r="P1946" s="2" t="s">
        <v>73</v>
      </c>
      <c r="Q1946" s="3">
        <v>0.0</v>
      </c>
      <c r="U1946" s="141"/>
      <c r="W1946" s="3">
        <v>200.0</v>
      </c>
      <c r="X1946" s="172">
        <v>46064.0207578125</v>
      </c>
      <c r="Y1946" s="172"/>
      <c r="Z1946" s="3">
        <v>46041.0</v>
      </c>
      <c r="AA1946" s="3"/>
    </row>
    <row r="1947">
      <c r="A1947" s="3">
        <v>6.873069715715E12</v>
      </c>
      <c r="B1947" s="2" t="s">
        <v>8124</v>
      </c>
      <c r="C1947" s="2" t="s">
        <v>8125</v>
      </c>
      <c r="D1947" s="169">
        <v>46041.0</v>
      </c>
      <c r="E1947" s="2">
        <v>3.126074789E9</v>
      </c>
      <c r="F1947" s="2" t="s">
        <v>8126</v>
      </c>
      <c r="G1947" s="2" t="s">
        <v>898</v>
      </c>
      <c r="H1947" s="2">
        <v>0.0</v>
      </c>
      <c r="J1947" s="3">
        <v>0.0</v>
      </c>
      <c r="K1947" s="2" t="s">
        <v>8127</v>
      </c>
      <c r="L1947" s="2"/>
      <c r="M1947" s="2" t="s">
        <v>468</v>
      </c>
      <c r="N1947" s="2" t="s">
        <v>406</v>
      </c>
      <c r="O1947" s="3">
        <v>0.5</v>
      </c>
      <c r="Q1947" s="3">
        <v>0.0</v>
      </c>
      <c r="U1947" s="141"/>
      <c r="X1947" s="172">
        <v>46057.64278285879</v>
      </c>
      <c r="Y1947" s="172"/>
      <c r="Z1947" s="3">
        <v>46041.0</v>
      </c>
      <c r="AA1947" s="3"/>
    </row>
    <row r="1948">
      <c r="A1948" s="3">
        <v>6.873114837251E12</v>
      </c>
      <c r="B1948" s="2" t="s">
        <v>8128</v>
      </c>
      <c r="C1948" s="2" t="s">
        <v>8129</v>
      </c>
      <c r="D1948" s="169">
        <v>46041.0</v>
      </c>
      <c r="E1948" s="173" t="s">
        <v>8130</v>
      </c>
      <c r="F1948" s="2" t="s">
        <v>8131</v>
      </c>
      <c r="G1948" s="2" t="s">
        <v>850</v>
      </c>
      <c r="H1948" s="2">
        <v>249.0</v>
      </c>
      <c r="I1948" s="2">
        <v>2.1120050021379E13</v>
      </c>
      <c r="J1948" s="3">
        <v>0.0</v>
      </c>
      <c r="K1948" s="2" t="s">
        <v>8132</v>
      </c>
      <c r="L1948" s="2"/>
      <c r="M1948" s="170" t="s">
        <v>455</v>
      </c>
      <c r="N1948" s="2" t="s">
        <v>406</v>
      </c>
      <c r="O1948" s="3">
        <v>0.5</v>
      </c>
      <c r="P1948" s="2" t="s">
        <v>73</v>
      </c>
      <c r="Q1948" s="3">
        <v>0.0</v>
      </c>
      <c r="T1948" s="2" t="s">
        <v>6336</v>
      </c>
      <c r="U1948" s="171">
        <v>0.0</v>
      </c>
      <c r="V1948" s="172">
        <v>46052.0</v>
      </c>
      <c r="W1948" s="3">
        <v>220.0</v>
      </c>
      <c r="X1948" s="172">
        <v>46049.86059027778</v>
      </c>
      <c r="Y1948" s="172"/>
      <c r="Z1948" s="3">
        <v>46041.0</v>
      </c>
      <c r="AA1948" s="3"/>
    </row>
    <row r="1949">
      <c r="A1949" s="3">
        <v>6.873175326979E12</v>
      </c>
      <c r="B1949" s="2" t="s">
        <v>8133</v>
      </c>
      <c r="C1949" s="2" t="s">
        <v>8134</v>
      </c>
      <c r="D1949" s="169">
        <v>46041.0</v>
      </c>
      <c r="E1949" s="2">
        <v>3.480041842E9</v>
      </c>
      <c r="F1949" s="2" t="s">
        <v>8135</v>
      </c>
      <c r="G1949" s="2" t="s">
        <v>368</v>
      </c>
      <c r="H1949" s="2">
        <v>3099.0</v>
      </c>
      <c r="I1949" s="2">
        <v>2.0120050021378E13</v>
      </c>
      <c r="J1949" s="3">
        <v>2.0</v>
      </c>
      <c r="K1949" s="2" t="s">
        <v>8136</v>
      </c>
      <c r="L1949" s="2" t="s">
        <v>50</v>
      </c>
      <c r="M1949" s="174" t="s">
        <v>409</v>
      </c>
      <c r="N1949" s="2" t="s">
        <v>462</v>
      </c>
      <c r="O1949" s="3">
        <v>0.5</v>
      </c>
      <c r="P1949" s="2" t="s">
        <v>73</v>
      </c>
      <c r="Q1949" s="3">
        <v>920.0</v>
      </c>
      <c r="U1949" s="171">
        <v>3099.0</v>
      </c>
      <c r="W1949" s="3">
        <v>231.0</v>
      </c>
      <c r="X1949" s="172">
        <v>46043.45090277778</v>
      </c>
      <c r="Y1949" s="172"/>
      <c r="Z1949" s="3">
        <v>46041.0</v>
      </c>
      <c r="AA1949" s="3"/>
    </row>
    <row r="1950">
      <c r="A1950" s="3">
        <v>6.873208226051E12</v>
      </c>
      <c r="B1950" s="2" t="s">
        <v>8137</v>
      </c>
      <c r="C1950" s="2" t="s">
        <v>1552</v>
      </c>
      <c r="D1950" s="169">
        <v>46041.0</v>
      </c>
      <c r="E1950" s="2">
        <v>3.034062622E9</v>
      </c>
      <c r="F1950" s="2" t="s">
        <v>8138</v>
      </c>
      <c r="G1950" s="2" t="s">
        <v>368</v>
      </c>
      <c r="H1950" s="2">
        <v>2849.0</v>
      </c>
      <c r="I1950" s="2">
        <v>2.1120050021377E13</v>
      </c>
      <c r="J1950" s="3">
        <v>2.0</v>
      </c>
      <c r="K1950" s="2" t="s">
        <v>8139</v>
      </c>
      <c r="L1950" s="2" t="s">
        <v>4209</v>
      </c>
      <c r="M1950" s="174" t="s">
        <v>409</v>
      </c>
      <c r="N1950" s="2" t="s">
        <v>462</v>
      </c>
      <c r="O1950" s="3">
        <v>0.5</v>
      </c>
      <c r="P1950" s="2" t="s">
        <v>73</v>
      </c>
      <c r="Q1950" s="3">
        <v>920.0</v>
      </c>
      <c r="T1950" s="2" t="s">
        <v>6123</v>
      </c>
      <c r="U1950" s="171">
        <v>2849.0</v>
      </c>
      <c r="V1950" s="172">
        <v>46049.0</v>
      </c>
      <c r="W1950" s="3">
        <v>221.0</v>
      </c>
      <c r="X1950" s="172">
        <v>46048.74680555555</v>
      </c>
      <c r="Y1950" s="172"/>
      <c r="Z1950" s="3">
        <v>46041.0</v>
      </c>
      <c r="AA1950" s="3"/>
    </row>
    <row r="1951">
      <c r="A1951" s="3">
        <v>6.873215992067E12</v>
      </c>
      <c r="B1951" s="2" t="s">
        <v>8140</v>
      </c>
      <c r="C1951" s="2" t="s">
        <v>8141</v>
      </c>
      <c r="D1951" s="169">
        <v>46041.0</v>
      </c>
      <c r="E1951" s="2">
        <v>3.212437337E9</v>
      </c>
      <c r="F1951" s="2" t="s">
        <v>8142</v>
      </c>
      <c r="G1951" s="2" t="s">
        <v>493</v>
      </c>
      <c r="H1951" s="2">
        <v>2849.0</v>
      </c>
      <c r="I1951" s="2">
        <v>2.1120050021372E13</v>
      </c>
      <c r="J1951" s="3">
        <v>2.0</v>
      </c>
      <c r="K1951" s="2" t="s">
        <v>8143</v>
      </c>
      <c r="L1951" s="2" t="s">
        <v>5839</v>
      </c>
      <c r="M1951" s="174" t="s">
        <v>409</v>
      </c>
      <c r="N1951" s="2" t="s">
        <v>462</v>
      </c>
      <c r="O1951" s="3">
        <v>0.5</v>
      </c>
      <c r="P1951" s="2" t="s">
        <v>73</v>
      </c>
      <c r="Q1951" s="3">
        <v>1050.0</v>
      </c>
      <c r="T1951" s="2" t="s">
        <v>6123</v>
      </c>
      <c r="U1951" s="171">
        <v>2849.0</v>
      </c>
      <c r="V1951" s="172">
        <v>46049.0</v>
      </c>
      <c r="W1951" s="3">
        <v>327.0</v>
      </c>
      <c r="X1951" s="172">
        <v>46045.555752314816</v>
      </c>
      <c r="Y1951" s="172"/>
      <c r="Z1951" s="3">
        <v>46041.0</v>
      </c>
      <c r="AA1951" s="3"/>
    </row>
    <row r="1952">
      <c r="A1952" s="3">
        <v>6.873261048067E12</v>
      </c>
      <c r="B1952" s="2" t="s">
        <v>8144</v>
      </c>
      <c r="C1952" s="2" t="s">
        <v>8145</v>
      </c>
      <c r="D1952" s="169">
        <v>46041.0</v>
      </c>
      <c r="E1952" s="2">
        <v>3.004055062E9</v>
      </c>
      <c r="F1952" s="2" t="s">
        <v>8146</v>
      </c>
      <c r="G1952" s="2" t="s">
        <v>855</v>
      </c>
      <c r="H1952" s="2">
        <v>249.0</v>
      </c>
      <c r="I1952" s="2">
        <v>2.8120050021371E13</v>
      </c>
      <c r="J1952" s="3">
        <v>0.0</v>
      </c>
      <c r="K1952" s="2" t="s">
        <v>8147</v>
      </c>
      <c r="L1952" s="2"/>
      <c r="M1952" s="170" t="s">
        <v>455</v>
      </c>
      <c r="N1952" s="2" t="s">
        <v>406</v>
      </c>
      <c r="O1952" s="3">
        <v>0.5</v>
      </c>
      <c r="P1952" s="2" t="s">
        <v>73</v>
      </c>
      <c r="Q1952" s="3">
        <v>0.0</v>
      </c>
      <c r="T1952" s="2" t="s">
        <v>6336</v>
      </c>
      <c r="U1952" s="171">
        <v>0.0</v>
      </c>
      <c r="V1952" s="172">
        <v>46052.0</v>
      </c>
      <c r="W1952" s="3">
        <v>220.0</v>
      </c>
      <c r="X1952" s="172">
        <v>46050.84106481481</v>
      </c>
      <c r="Y1952" s="172"/>
      <c r="Z1952" s="3">
        <v>46041.0</v>
      </c>
      <c r="AA1952" s="3"/>
    </row>
    <row r="1953">
      <c r="A1953" s="3">
        <v>6.873264455939E12</v>
      </c>
      <c r="B1953" s="2" t="s">
        <v>8148</v>
      </c>
      <c r="C1953" s="2" t="s">
        <v>8149</v>
      </c>
      <c r="D1953" s="169">
        <v>46041.0</v>
      </c>
      <c r="E1953" s="2">
        <v>3.340000432E9</v>
      </c>
      <c r="F1953" s="2" t="s">
        <v>8150</v>
      </c>
      <c r="G1953" s="2" t="s">
        <v>493</v>
      </c>
      <c r="H1953" s="2">
        <v>4148.0</v>
      </c>
      <c r="I1953" s="2">
        <v>2.8120050021423E13</v>
      </c>
      <c r="J1953" s="3">
        <v>1.0</v>
      </c>
      <c r="K1953" s="2" t="s">
        <v>8151</v>
      </c>
      <c r="L1953" s="2" t="s">
        <v>5118</v>
      </c>
      <c r="M1953" s="174" t="s">
        <v>409</v>
      </c>
      <c r="N1953" s="2" t="s">
        <v>462</v>
      </c>
      <c r="O1953" s="3">
        <v>0.5</v>
      </c>
      <c r="P1953" s="2" t="s">
        <v>73</v>
      </c>
      <c r="Q1953" s="3">
        <v>1600.0</v>
      </c>
      <c r="T1953" s="2" t="s">
        <v>6123</v>
      </c>
      <c r="U1953" s="171">
        <v>4148.0</v>
      </c>
      <c r="V1953" s="172">
        <v>46049.0</v>
      </c>
      <c r="W1953" s="3">
        <v>393.0</v>
      </c>
      <c r="X1953" s="172">
        <v>46048.59601851852</v>
      </c>
      <c r="Y1953" s="172"/>
      <c r="Z1953" s="3">
        <v>46041.0</v>
      </c>
      <c r="AA1953" s="3"/>
    </row>
    <row r="1954">
      <c r="A1954" s="3">
        <v>6.873283395843E12</v>
      </c>
      <c r="B1954" s="2" t="s">
        <v>8152</v>
      </c>
      <c r="C1954" s="2" t="s">
        <v>8153</v>
      </c>
      <c r="D1954" s="169">
        <v>46041.0</v>
      </c>
      <c r="E1954" s="2">
        <v>3.109309656E9</v>
      </c>
      <c r="F1954" s="2" t="s">
        <v>8154</v>
      </c>
      <c r="G1954" s="2" t="s">
        <v>8155</v>
      </c>
      <c r="H1954" s="2">
        <v>0.0</v>
      </c>
      <c r="J1954" s="3">
        <v>0.0</v>
      </c>
      <c r="K1954" s="2" t="s">
        <v>8156</v>
      </c>
      <c r="L1954" s="2"/>
      <c r="M1954" s="2" t="s">
        <v>468</v>
      </c>
      <c r="N1954" s="2" t="s">
        <v>406</v>
      </c>
      <c r="O1954" s="3">
        <v>0.5</v>
      </c>
      <c r="Q1954" s="3">
        <v>0.0</v>
      </c>
      <c r="U1954" s="141"/>
      <c r="X1954" s="172">
        <v>46057.642782870375</v>
      </c>
      <c r="Y1954" s="172"/>
      <c r="Z1954" s="3">
        <v>46041.0</v>
      </c>
      <c r="AA1954" s="3"/>
    </row>
    <row r="1955">
      <c r="A1955" s="3">
        <v>6.873438585091E12</v>
      </c>
      <c r="B1955" s="2" t="s">
        <v>8157</v>
      </c>
      <c r="C1955" s="2" t="s">
        <v>8158</v>
      </c>
      <c r="D1955" s="169">
        <v>46041.0</v>
      </c>
      <c r="E1955" s="173" t="s">
        <v>8159</v>
      </c>
      <c r="F1955" s="2" t="s">
        <v>8160</v>
      </c>
      <c r="G1955" s="2" t="s">
        <v>541</v>
      </c>
      <c r="H1955" s="2">
        <v>249.0</v>
      </c>
      <c r="I1955" s="2">
        <v>2.812005002137E13</v>
      </c>
      <c r="J1955" s="3">
        <v>0.0</v>
      </c>
      <c r="K1955" s="2" t="s">
        <v>8161</v>
      </c>
      <c r="L1955" s="2"/>
      <c r="M1955" s="170" t="s">
        <v>455</v>
      </c>
      <c r="N1955" s="2" t="s">
        <v>406</v>
      </c>
      <c r="O1955" s="3">
        <v>0.5</v>
      </c>
      <c r="P1955" s="2" t="s">
        <v>73</v>
      </c>
      <c r="Q1955" s="3">
        <v>0.0</v>
      </c>
      <c r="U1955" s="141"/>
      <c r="W1955" s="3">
        <v>200.0</v>
      </c>
      <c r="X1955" s="172">
        <v>46057.35021990741</v>
      </c>
      <c r="Y1955" s="172"/>
      <c r="Z1955" s="3">
        <v>46041.0</v>
      </c>
      <c r="AA1955" s="3"/>
    </row>
    <row r="1956">
      <c r="A1956" s="3">
        <v>6.873452577027E12</v>
      </c>
      <c r="B1956" s="2" t="s">
        <v>8162</v>
      </c>
      <c r="C1956" s="2" t="s">
        <v>7602</v>
      </c>
      <c r="D1956" s="169">
        <v>46042.0</v>
      </c>
      <c r="E1956" s="173" t="s">
        <v>7603</v>
      </c>
      <c r="F1956" s="2" t="s">
        <v>7604</v>
      </c>
      <c r="G1956" s="2" t="s">
        <v>493</v>
      </c>
      <c r="H1956" s="2">
        <v>1449.0</v>
      </c>
      <c r="I1956" s="2">
        <v>2.8120050021369E13</v>
      </c>
      <c r="J1956" s="3">
        <v>1.0</v>
      </c>
      <c r="K1956" s="2" t="s">
        <v>8163</v>
      </c>
      <c r="L1956" s="2" t="s">
        <v>1324</v>
      </c>
      <c r="M1956" s="174" t="s">
        <v>409</v>
      </c>
      <c r="N1956" s="2" t="s">
        <v>462</v>
      </c>
      <c r="O1956" s="3">
        <v>0.5</v>
      </c>
      <c r="P1956" s="2" t="s">
        <v>73</v>
      </c>
      <c r="Q1956" s="3">
        <v>550.0</v>
      </c>
      <c r="T1956" s="2" t="s">
        <v>6123</v>
      </c>
      <c r="U1956" s="171">
        <v>1449.0</v>
      </c>
      <c r="V1956" s="172">
        <v>46049.0</v>
      </c>
      <c r="W1956" s="3">
        <v>271.0</v>
      </c>
      <c r="X1956" s="172">
        <v>46045.5203587963</v>
      </c>
      <c r="Y1956" s="172"/>
      <c r="Z1956" s="3">
        <v>46042.0</v>
      </c>
      <c r="AA1956" s="3"/>
    </row>
    <row r="1957">
      <c r="A1957" s="3">
        <v>6.873650495747E12</v>
      </c>
      <c r="B1957" s="2" t="s">
        <v>8164</v>
      </c>
      <c r="C1957" s="2" t="s">
        <v>8165</v>
      </c>
      <c r="D1957" s="169">
        <v>46042.0</v>
      </c>
      <c r="E1957" s="173" t="s">
        <v>8166</v>
      </c>
      <c r="F1957" s="2" t="s">
        <v>8167</v>
      </c>
      <c r="G1957" s="2" t="s">
        <v>368</v>
      </c>
      <c r="H1957" s="2">
        <v>0.0</v>
      </c>
      <c r="J1957" s="3">
        <v>0.0</v>
      </c>
      <c r="K1957" s="2" t="s">
        <v>8168</v>
      </c>
      <c r="L1957" s="2"/>
      <c r="M1957" s="2" t="s">
        <v>468</v>
      </c>
      <c r="N1957" s="2" t="s">
        <v>406</v>
      </c>
      <c r="O1957" s="3">
        <v>0.5</v>
      </c>
      <c r="Q1957" s="3">
        <v>0.0</v>
      </c>
      <c r="U1957" s="141"/>
      <c r="X1957" s="172">
        <v>46057.642782870375</v>
      </c>
      <c r="Y1957" s="172"/>
      <c r="Z1957" s="3">
        <v>46042.0</v>
      </c>
      <c r="AA1957" s="3"/>
    </row>
    <row r="1958">
      <c r="A1958" s="3">
        <v>6.873663635715E12</v>
      </c>
      <c r="B1958" s="2" t="s">
        <v>8169</v>
      </c>
      <c r="C1958" s="2" t="s">
        <v>8170</v>
      </c>
      <c r="D1958" s="169">
        <v>46042.0</v>
      </c>
      <c r="E1958" s="2">
        <v>3.363030785E9</v>
      </c>
      <c r="F1958" s="2" t="s">
        <v>8171</v>
      </c>
      <c r="G1958" s="2" t="s">
        <v>781</v>
      </c>
      <c r="H1958" s="2">
        <v>2849.0</v>
      </c>
      <c r="I1958" s="2">
        <v>2.5120050021368E13</v>
      </c>
      <c r="J1958" s="3">
        <v>2.0</v>
      </c>
      <c r="K1958" s="2" t="s">
        <v>8172</v>
      </c>
      <c r="L1958" s="2" t="s">
        <v>593</v>
      </c>
      <c r="M1958" s="174" t="s">
        <v>409</v>
      </c>
      <c r="N1958" s="2" t="s">
        <v>462</v>
      </c>
      <c r="O1958" s="3">
        <v>0.5</v>
      </c>
      <c r="P1958" s="2" t="s">
        <v>73</v>
      </c>
      <c r="Q1958" s="3">
        <v>1050.0</v>
      </c>
      <c r="U1958" s="171">
        <v>2849.0</v>
      </c>
      <c r="W1958" s="3">
        <v>327.0</v>
      </c>
      <c r="X1958" s="172">
        <v>46044.545335648145</v>
      </c>
      <c r="Y1958" s="172"/>
      <c r="Z1958" s="3">
        <v>46042.0</v>
      </c>
      <c r="AA1958" s="3"/>
    </row>
    <row r="1959">
      <c r="A1959" s="3">
        <v>6.874249003267E12</v>
      </c>
      <c r="B1959" s="2" t="s">
        <v>8173</v>
      </c>
      <c r="C1959" s="2" t="s">
        <v>8174</v>
      </c>
      <c r="D1959" s="169">
        <v>46042.0</v>
      </c>
      <c r="E1959" s="2">
        <v>3.46131127E9</v>
      </c>
      <c r="F1959" s="2" t="s">
        <v>8175</v>
      </c>
      <c r="G1959" s="2" t="s">
        <v>1619</v>
      </c>
      <c r="H1959" s="2">
        <v>249.0</v>
      </c>
      <c r="I1959" s="2">
        <v>2.412005002136E13</v>
      </c>
      <c r="J1959" s="3">
        <v>0.0</v>
      </c>
      <c r="K1959" s="2" t="s">
        <v>8176</v>
      </c>
      <c r="L1959" s="2"/>
      <c r="M1959" s="170" t="s">
        <v>455</v>
      </c>
      <c r="N1959" s="2" t="s">
        <v>406</v>
      </c>
      <c r="O1959" s="3">
        <v>0.5</v>
      </c>
      <c r="P1959" s="2" t="s">
        <v>73</v>
      </c>
      <c r="Q1959" s="3">
        <v>0.0</v>
      </c>
      <c r="T1959" s="2" t="s">
        <v>6336</v>
      </c>
      <c r="U1959" s="171">
        <v>0.0</v>
      </c>
      <c r="V1959" s="172">
        <v>46052.0</v>
      </c>
      <c r="W1959" s="3">
        <v>120.0</v>
      </c>
      <c r="X1959" s="172">
        <v>46050.84106481481</v>
      </c>
      <c r="Y1959" s="172"/>
      <c r="Z1959" s="3">
        <v>46042.0</v>
      </c>
      <c r="AA1959" s="3"/>
    </row>
    <row r="1960">
      <c r="A1960" s="3">
        <v>6.874270564611E12</v>
      </c>
      <c r="B1960" s="2" t="s">
        <v>8177</v>
      </c>
      <c r="C1960" s="2" t="s">
        <v>4739</v>
      </c>
      <c r="D1960" s="169">
        <v>46042.0</v>
      </c>
      <c r="E1960" s="173" t="s">
        <v>8045</v>
      </c>
      <c r="F1960" s="2" t="s">
        <v>8046</v>
      </c>
      <c r="G1960" s="2" t="s">
        <v>493</v>
      </c>
      <c r="H1960" s="2">
        <v>2849.0</v>
      </c>
      <c r="I1960" s="2">
        <v>2.3120050021359E13</v>
      </c>
      <c r="J1960" s="3">
        <v>2.0</v>
      </c>
      <c r="K1960" s="2" t="s">
        <v>8178</v>
      </c>
      <c r="L1960" s="2" t="s">
        <v>4209</v>
      </c>
      <c r="M1960" s="174" t="s">
        <v>409</v>
      </c>
      <c r="N1960" s="2" t="s">
        <v>462</v>
      </c>
      <c r="O1960" s="3">
        <v>0.5</v>
      </c>
      <c r="P1960" s="2" t="s">
        <v>73</v>
      </c>
      <c r="Q1960" s="3">
        <v>920.0</v>
      </c>
      <c r="T1960" s="2" t="s">
        <v>6123</v>
      </c>
      <c r="U1960" s="171">
        <v>2849.0</v>
      </c>
      <c r="V1960" s="172">
        <v>46049.0</v>
      </c>
      <c r="W1960" s="3">
        <v>327.0</v>
      </c>
      <c r="X1960" s="172">
        <v>46048.61822916666</v>
      </c>
      <c r="Y1960" s="172"/>
      <c r="Z1960" s="3">
        <v>46042.0</v>
      </c>
      <c r="AA1960" s="3"/>
    </row>
    <row r="1961">
      <c r="A1961" s="3">
        <v>6.874278592771E12</v>
      </c>
      <c r="B1961" s="2" t="s">
        <v>8179</v>
      </c>
      <c r="C1961" s="2" t="s">
        <v>8180</v>
      </c>
      <c r="D1961" s="169">
        <v>46042.0</v>
      </c>
      <c r="E1961" s="2">
        <v>3.495307069E9</v>
      </c>
      <c r="F1961" s="2" t="s">
        <v>8181</v>
      </c>
      <c r="G1961" s="2" t="s">
        <v>8182</v>
      </c>
      <c r="H1961" s="2">
        <v>249.0</v>
      </c>
      <c r="I1961" s="2">
        <v>2.4120050021358E13</v>
      </c>
      <c r="J1961" s="3">
        <v>0.0</v>
      </c>
      <c r="K1961" s="2" t="s">
        <v>8183</v>
      </c>
      <c r="L1961" s="2"/>
      <c r="M1961" s="170" t="s">
        <v>455</v>
      </c>
      <c r="N1961" s="2" t="s">
        <v>406</v>
      </c>
      <c r="O1961" s="3">
        <v>0.5</v>
      </c>
      <c r="P1961" s="2" t="s">
        <v>73</v>
      </c>
      <c r="Q1961" s="3">
        <v>0.0</v>
      </c>
      <c r="T1961" s="2" t="s">
        <v>6336</v>
      </c>
      <c r="U1961" s="171">
        <v>0.0</v>
      </c>
      <c r="V1961" s="172">
        <v>46052.0</v>
      </c>
      <c r="W1961" s="3">
        <v>227.0</v>
      </c>
      <c r="X1961" s="172">
        <v>46051.86579861111</v>
      </c>
      <c r="Y1961" s="172"/>
      <c r="Z1961" s="3">
        <v>46042.0</v>
      </c>
      <c r="AA1961" s="3"/>
    </row>
    <row r="1962">
      <c r="A1962" s="3">
        <v>6.874385711363E12</v>
      </c>
      <c r="B1962" s="2" t="s">
        <v>8184</v>
      </c>
      <c r="C1962" s="2" t="s">
        <v>8185</v>
      </c>
      <c r="D1962" s="169">
        <v>46042.0</v>
      </c>
      <c r="E1962" s="2">
        <v>3.463120786E9</v>
      </c>
      <c r="F1962" s="2" t="s">
        <v>8186</v>
      </c>
      <c r="G1962" s="2" t="s">
        <v>493</v>
      </c>
      <c r="H1962" s="2">
        <v>249.0</v>
      </c>
      <c r="I1962" s="2">
        <v>2.7120050021357E13</v>
      </c>
      <c r="J1962" s="3">
        <v>0.0</v>
      </c>
      <c r="K1962" s="2" t="s">
        <v>8187</v>
      </c>
      <c r="L1962" s="2"/>
      <c r="M1962" s="170" t="s">
        <v>455</v>
      </c>
      <c r="N1962" s="2" t="s">
        <v>406</v>
      </c>
      <c r="O1962" s="3">
        <v>0.5</v>
      </c>
      <c r="P1962" s="2" t="s">
        <v>73</v>
      </c>
      <c r="Q1962" s="3">
        <v>0.0</v>
      </c>
      <c r="U1962" s="141"/>
      <c r="W1962" s="3">
        <v>213.0</v>
      </c>
      <c r="X1962" s="172">
        <v>46057.5878125</v>
      </c>
      <c r="Y1962" s="172"/>
      <c r="Z1962" s="3">
        <v>46042.0</v>
      </c>
      <c r="AA1962" s="3"/>
    </row>
    <row r="1963">
      <c r="A1963" s="3">
        <v>6.874399539459E12</v>
      </c>
      <c r="B1963" s="2" t="s">
        <v>8188</v>
      </c>
      <c r="C1963" s="2" t="s">
        <v>8189</v>
      </c>
      <c r="D1963" s="169">
        <v>46042.0</v>
      </c>
      <c r="E1963" s="2">
        <v>3.029854751E9</v>
      </c>
      <c r="F1963" s="2" t="s">
        <v>8190</v>
      </c>
      <c r="G1963" s="2" t="s">
        <v>493</v>
      </c>
      <c r="H1963" s="2">
        <v>249.0</v>
      </c>
      <c r="I1963" s="2">
        <v>2.2120050021356E13</v>
      </c>
      <c r="J1963" s="3">
        <v>0.0</v>
      </c>
      <c r="K1963" s="2" t="s">
        <v>8191</v>
      </c>
      <c r="L1963" s="2"/>
      <c r="M1963" s="170" t="s">
        <v>455</v>
      </c>
      <c r="N1963" s="2" t="s">
        <v>406</v>
      </c>
      <c r="O1963" s="3">
        <v>0.5</v>
      </c>
      <c r="P1963" s="2" t="s">
        <v>73</v>
      </c>
      <c r="Q1963" s="3">
        <v>0.0</v>
      </c>
      <c r="U1963" s="141"/>
      <c r="W1963" s="3">
        <v>227.0</v>
      </c>
      <c r="X1963" s="172">
        <v>46057.5878125</v>
      </c>
      <c r="Y1963" s="172"/>
      <c r="Z1963" s="3">
        <v>46042.0</v>
      </c>
      <c r="AA1963" s="3"/>
    </row>
    <row r="1964">
      <c r="A1964" s="3">
        <v>6.874421559555E12</v>
      </c>
      <c r="B1964" s="2" t="s">
        <v>8192</v>
      </c>
      <c r="C1964" s="2" t="s">
        <v>6863</v>
      </c>
      <c r="D1964" s="169">
        <v>46042.0</v>
      </c>
      <c r="E1964" s="2">
        <v>3.459192897E9</v>
      </c>
      <c r="F1964" s="2" t="s">
        <v>6243</v>
      </c>
      <c r="G1964" s="2" t="s">
        <v>1439</v>
      </c>
      <c r="H1964" s="2">
        <v>0.0</v>
      </c>
      <c r="J1964" s="3">
        <v>0.0</v>
      </c>
      <c r="K1964" s="2" t="s">
        <v>8193</v>
      </c>
      <c r="L1964" s="2"/>
      <c r="M1964" s="2" t="s">
        <v>468</v>
      </c>
      <c r="N1964" s="2" t="s">
        <v>406</v>
      </c>
      <c r="O1964" s="3">
        <v>0.5</v>
      </c>
      <c r="Q1964" s="3">
        <v>0.0</v>
      </c>
      <c r="U1964" s="141"/>
      <c r="X1964" s="172">
        <v>46057.642782870375</v>
      </c>
      <c r="Y1964" s="172"/>
      <c r="Z1964" s="3">
        <v>46042.0</v>
      </c>
      <c r="AA1964" s="3"/>
    </row>
    <row r="1965">
      <c r="A1965" s="3">
        <v>6.874423984387E12</v>
      </c>
      <c r="B1965" s="2" t="s">
        <v>8194</v>
      </c>
      <c r="C1965" s="2" t="s">
        <v>6863</v>
      </c>
      <c r="D1965" s="169">
        <v>46042.0</v>
      </c>
      <c r="E1965" s="173" t="s">
        <v>8195</v>
      </c>
      <c r="F1965" s="2" t="s">
        <v>6243</v>
      </c>
      <c r="G1965" s="2" t="s">
        <v>1439</v>
      </c>
      <c r="H1965" s="2">
        <v>3099.0</v>
      </c>
      <c r="I1965" s="2">
        <v>2.8120050021395E13</v>
      </c>
      <c r="J1965" s="3">
        <v>2.0</v>
      </c>
      <c r="K1965" s="2" t="s">
        <v>8196</v>
      </c>
      <c r="L1965" s="2" t="s">
        <v>1129</v>
      </c>
      <c r="M1965" s="174" t="s">
        <v>409</v>
      </c>
      <c r="N1965" s="2" t="s">
        <v>462</v>
      </c>
      <c r="O1965" s="3">
        <v>0.5</v>
      </c>
      <c r="P1965" s="2" t="s">
        <v>73</v>
      </c>
      <c r="Q1965" s="3">
        <v>960.0</v>
      </c>
      <c r="T1965" s="2" t="s">
        <v>6123</v>
      </c>
      <c r="U1965" s="171">
        <v>3099.0</v>
      </c>
      <c r="V1965" s="172">
        <v>46049.0</v>
      </c>
      <c r="W1965" s="3">
        <v>337.0</v>
      </c>
      <c r="X1965" s="172">
        <v>46048.6259837963</v>
      </c>
      <c r="Y1965" s="172"/>
      <c r="Z1965" s="3">
        <v>46042.0</v>
      </c>
      <c r="AA1965" s="3"/>
    </row>
    <row r="1966">
      <c r="A1966" s="3">
        <v>6.874444955907E12</v>
      </c>
      <c r="B1966" s="2" t="s">
        <v>8197</v>
      </c>
      <c r="C1966" s="2" t="s">
        <v>8198</v>
      </c>
      <c r="D1966" s="169">
        <v>46042.0</v>
      </c>
      <c r="E1966" s="2">
        <v>9.46612085E8</v>
      </c>
      <c r="F1966" s="2" t="s">
        <v>8199</v>
      </c>
      <c r="G1966" s="2" t="s">
        <v>8200</v>
      </c>
      <c r="H1966" s="2">
        <v>249.0</v>
      </c>
      <c r="I1966" s="2">
        <v>2.4120050021367E13</v>
      </c>
      <c r="J1966" s="3">
        <v>0.0</v>
      </c>
      <c r="K1966" s="2" t="s">
        <v>8201</v>
      </c>
      <c r="L1966" s="2"/>
      <c r="M1966" s="170" t="s">
        <v>455</v>
      </c>
      <c r="N1966" s="2" t="s">
        <v>406</v>
      </c>
      <c r="O1966" s="3">
        <v>0.5</v>
      </c>
      <c r="P1966" s="2" t="s">
        <v>73</v>
      </c>
      <c r="Q1966" s="3">
        <v>0.0</v>
      </c>
      <c r="U1966" s="141"/>
      <c r="W1966" s="3">
        <v>227.0</v>
      </c>
      <c r="X1966" s="172">
        <v>46057.35021990741</v>
      </c>
      <c r="Y1966" s="172"/>
      <c r="Z1966" s="3">
        <v>46042.0</v>
      </c>
      <c r="AA1966" s="3"/>
    </row>
    <row r="1967">
      <c r="A1967" s="3">
        <v>6.874456588547E12</v>
      </c>
      <c r="B1967" s="2" t="s">
        <v>8202</v>
      </c>
      <c r="C1967" s="2" t="s">
        <v>8203</v>
      </c>
      <c r="D1967" s="169">
        <v>46042.0</v>
      </c>
      <c r="E1967" s="2">
        <v>3.008867713E9</v>
      </c>
      <c r="F1967" s="2" t="s">
        <v>8204</v>
      </c>
      <c r="G1967" s="2" t="s">
        <v>541</v>
      </c>
      <c r="H1967" s="2">
        <v>3099.0</v>
      </c>
      <c r="I1967" s="2">
        <v>2.7120050021355E13</v>
      </c>
      <c r="J1967" s="3">
        <v>2.0</v>
      </c>
      <c r="K1967" s="2" t="s">
        <v>8205</v>
      </c>
      <c r="L1967" s="2" t="s">
        <v>275</v>
      </c>
      <c r="M1967" s="174" t="s">
        <v>409</v>
      </c>
      <c r="N1967" s="2" t="s">
        <v>462</v>
      </c>
      <c r="O1967" s="3">
        <v>0.5</v>
      </c>
      <c r="P1967" s="2" t="s">
        <v>73</v>
      </c>
      <c r="Q1967" s="3">
        <v>960.0</v>
      </c>
      <c r="U1967" s="171">
        <v>3099.0</v>
      </c>
      <c r="W1967" s="3">
        <v>344.0</v>
      </c>
      <c r="X1967" s="172">
        <v>46044.523125</v>
      </c>
      <c r="Y1967" s="172"/>
      <c r="Z1967" s="3">
        <v>46042.0</v>
      </c>
      <c r="AA1967" s="3"/>
    </row>
    <row r="1968">
      <c r="A1968" s="3">
        <v>6.874488471811E12</v>
      </c>
      <c r="B1968" s="2" t="s">
        <v>8206</v>
      </c>
      <c r="C1968" s="2" t="s">
        <v>8207</v>
      </c>
      <c r="D1968" s="169">
        <v>46042.0</v>
      </c>
      <c r="E1968" s="173" t="s">
        <v>8208</v>
      </c>
      <c r="F1968" s="2" t="s">
        <v>8209</v>
      </c>
      <c r="G1968" s="2" t="s">
        <v>8210</v>
      </c>
      <c r="H1968" s="2">
        <v>3850.0</v>
      </c>
      <c r="I1968" s="2">
        <v>2.0120050021354E13</v>
      </c>
      <c r="J1968" s="3">
        <v>2.0</v>
      </c>
      <c r="K1968" s="2" t="s">
        <v>8211</v>
      </c>
      <c r="L1968" s="2" t="s">
        <v>5657</v>
      </c>
      <c r="M1968" s="174" t="s">
        <v>409</v>
      </c>
      <c r="N1968" s="2" t="s">
        <v>462</v>
      </c>
      <c r="O1968" s="3">
        <v>0.5</v>
      </c>
      <c r="P1968" s="2" t="s">
        <v>73</v>
      </c>
      <c r="Q1968" s="3">
        <v>1580.0</v>
      </c>
      <c r="U1968" s="2">
        <v>3850.0</v>
      </c>
      <c r="X1968" s="172">
        <v>46044.6815162037</v>
      </c>
      <c r="Y1968" s="172"/>
      <c r="Z1968" s="3">
        <v>46042.0</v>
      </c>
      <c r="AA1968" s="3"/>
    </row>
    <row r="1969">
      <c r="A1969" s="3">
        <v>6.874495123715E12</v>
      </c>
      <c r="B1969" s="2" t="s">
        <v>8212</v>
      </c>
      <c r="C1969" s="2" t="s">
        <v>3268</v>
      </c>
      <c r="D1969" s="169">
        <v>46042.0</v>
      </c>
      <c r="E1969" s="2">
        <v>3.316179681E9</v>
      </c>
      <c r="F1969" s="2" t="s">
        <v>8213</v>
      </c>
      <c r="G1969" s="2" t="s">
        <v>688</v>
      </c>
      <c r="H1969" s="2">
        <v>2849.0</v>
      </c>
      <c r="I1969" s="2">
        <v>2.6120050021353E13</v>
      </c>
      <c r="J1969" s="3">
        <v>2.0</v>
      </c>
      <c r="K1969" s="2" t="s">
        <v>8214</v>
      </c>
      <c r="L1969" s="2" t="s">
        <v>593</v>
      </c>
      <c r="M1969" s="174" t="s">
        <v>409</v>
      </c>
      <c r="N1969" s="2" t="s">
        <v>462</v>
      </c>
      <c r="O1969" s="3">
        <v>0.5</v>
      </c>
      <c r="P1969" s="2" t="s">
        <v>73</v>
      </c>
      <c r="Q1969" s="3">
        <v>1050.0</v>
      </c>
      <c r="U1969" s="171">
        <v>2849.0</v>
      </c>
      <c r="W1969" s="3">
        <v>314.0</v>
      </c>
      <c r="X1969" s="172">
        <v>46043.658530092594</v>
      </c>
      <c r="Y1969" s="172"/>
      <c r="Z1969" s="3">
        <v>46042.0</v>
      </c>
      <c r="AA1969" s="3"/>
    </row>
    <row r="1970">
      <c r="A1970" s="3">
        <v>6.874496729347E12</v>
      </c>
      <c r="B1970" s="2" t="s">
        <v>8215</v>
      </c>
      <c r="C1970" s="2" t="s">
        <v>7209</v>
      </c>
      <c r="D1970" s="169">
        <v>46042.0</v>
      </c>
      <c r="E1970" s="2">
        <v>3.322332088E9</v>
      </c>
      <c r="F1970" s="2" t="s">
        <v>8216</v>
      </c>
      <c r="G1970" s="2" t="s">
        <v>7212</v>
      </c>
      <c r="H1970" s="2">
        <v>0.0</v>
      </c>
      <c r="J1970" s="3">
        <v>0.0</v>
      </c>
      <c r="K1970" s="2" t="s">
        <v>8217</v>
      </c>
      <c r="L1970" s="2"/>
      <c r="M1970" s="2" t="s">
        <v>468</v>
      </c>
      <c r="N1970" s="2" t="s">
        <v>406</v>
      </c>
      <c r="O1970" s="3">
        <v>0.5</v>
      </c>
      <c r="Q1970" s="3">
        <v>0.0</v>
      </c>
      <c r="U1970" s="141"/>
      <c r="X1970" s="172">
        <v>46057.642782870375</v>
      </c>
      <c r="Y1970" s="172"/>
      <c r="Z1970" s="3">
        <v>46042.0</v>
      </c>
      <c r="AA1970" s="3"/>
    </row>
    <row r="1971">
      <c r="A1971" s="3">
        <v>6.874499842307E12</v>
      </c>
      <c r="B1971" s="2" t="s">
        <v>8218</v>
      </c>
      <c r="C1971" s="2" t="s">
        <v>8219</v>
      </c>
      <c r="D1971" s="169">
        <v>46042.0</v>
      </c>
      <c r="E1971" s="2">
        <v>3.338294882E9</v>
      </c>
      <c r="F1971" s="2" t="s">
        <v>8220</v>
      </c>
      <c r="G1971" s="2" t="s">
        <v>493</v>
      </c>
      <c r="H1971" s="2">
        <v>3099.0</v>
      </c>
      <c r="I1971" s="2">
        <v>2.6120050021352E13</v>
      </c>
      <c r="J1971" s="3">
        <v>2.0</v>
      </c>
      <c r="K1971" s="2" t="s">
        <v>8221</v>
      </c>
      <c r="L1971" s="2" t="s">
        <v>275</v>
      </c>
      <c r="M1971" s="174" t="s">
        <v>409</v>
      </c>
      <c r="N1971" s="2" t="s">
        <v>462</v>
      </c>
      <c r="O1971" s="3">
        <v>0.5</v>
      </c>
      <c r="P1971" s="2" t="s">
        <v>73</v>
      </c>
      <c r="Q1971" s="3">
        <v>960.0</v>
      </c>
      <c r="T1971" s="2" t="s">
        <v>6123</v>
      </c>
      <c r="U1971" s="171">
        <v>3099.0</v>
      </c>
      <c r="V1971" s="172">
        <v>46049.0</v>
      </c>
      <c r="W1971" s="3">
        <v>337.0</v>
      </c>
      <c r="X1971" s="172">
        <v>46046.69259259259</v>
      </c>
      <c r="Y1971" s="172"/>
      <c r="Z1971" s="3">
        <v>46042.0</v>
      </c>
      <c r="AA1971" s="3"/>
    </row>
    <row r="1972">
      <c r="A1972" s="3">
        <v>6.874506952963E12</v>
      </c>
      <c r="B1972" s="2" t="s">
        <v>8222</v>
      </c>
      <c r="C1972" s="2" t="s">
        <v>8223</v>
      </c>
      <c r="D1972" s="169">
        <v>46042.0</v>
      </c>
      <c r="E1972" s="2">
        <v>3.234976964E9</v>
      </c>
      <c r="F1972" s="2" t="s">
        <v>8224</v>
      </c>
      <c r="G1972" s="2" t="s">
        <v>368</v>
      </c>
      <c r="H1972" s="2">
        <v>0.0</v>
      </c>
      <c r="J1972" s="3">
        <v>0.0</v>
      </c>
      <c r="K1972" s="2" t="s">
        <v>8225</v>
      </c>
      <c r="L1972" s="2"/>
      <c r="M1972" s="2" t="s">
        <v>468</v>
      </c>
      <c r="N1972" s="2" t="s">
        <v>406</v>
      </c>
      <c r="O1972" s="3">
        <v>0.5</v>
      </c>
      <c r="Q1972" s="3">
        <v>0.0</v>
      </c>
      <c r="U1972" s="141"/>
      <c r="X1972" s="172">
        <v>46057.642782870375</v>
      </c>
      <c r="Y1972" s="172"/>
      <c r="Z1972" s="3">
        <v>46042.0</v>
      </c>
      <c r="AA1972" s="3"/>
    </row>
    <row r="1973">
      <c r="A1973" s="3">
        <v>6.874535788803E12</v>
      </c>
      <c r="B1973" s="2" t="s">
        <v>8226</v>
      </c>
      <c r="C1973" s="2" t="s">
        <v>8227</v>
      </c>
      <c r="D1973" s="169">
        <v>46042.0</v>
      </c>
      <c r="E1973" s="2">
        <v>3.209203265E9</v>
      </c>
      <c r="F1973" s="2" t="s">
        <v>8228</v>
      </c>
      <c r="G1973" s="2" t="s">
        <v>8229</v>
      </c>
      <c r="H1973" s="2">
        <v>249.0</v>
      </c>
      <c r="I1973" s="2">
        <v>2.5120050021351E13</v>
      </c>
      <c r="J1973" s="3">
        <v>0.0</v>
      </c>
      <c r="K1973" s="2" t="s">
        <v>8230</v>
      </c>
      <c r="L1973" s="2"/>
      <c r="M1973" s="170" t="s">
        <v>455</v>
      </c>
      <c r="N1973" s="2" t="s">
        <v>406</v>
      </c>
      <c r="O1973" s="3">
        <v>0.5</v>
      </c>
      <c r="P1973" s="2" t="s">
        <v>73</v>
      </c>
      <c r="Q1973" s="3">
        <v>0.0</v>
      </c>
      <c r="U1973" s="141"/>
      <c r="W1973" s="3">
        <v>213.0</v>
      </c>
      <c r="X1973" s="172">
        <v>46057.35021990741</v>
      </c>
      <c r="Y1973" s="172"/>
      <c r="Z1973" s="3">
        <v>46042.0</v>
      </c>
      <c r="AA1973" s="3"/>
    </row>
    <row r="1974">
      <c r="A1974" s="3">
        <v>6.874543653123E12</v>
      </c>
      <c r="B1974" s="2" t="s">
        <v>8231</v>
      </c>
      <c r="C1974" s="2" t="s">
        <v>8232</v>
      </c>
      <c r="D1974" s="169">
        <v>46042.0</v>
      </c>
      <c r="E1974" s="173" t="s">
        <v>8233</v>
      </c>
      <c r="F1974" s="2" t="s">
        <v>8234</v>
      </c>
      <c r="G1974" s="2" t="s">
        <v>8235</v>
      </c>
      <c r="H1974" s="2">
        <v>3250.0</v>
      </c>
      <c r="I1974" s="2">
        <v>2.412005002135E13</v>
      </c>
      <c r="J1974" s="3">
        <v>3.0</v>
      </c>
      <c r="K1974" s="2" t="s">
        <v>8236</v>
      </c>
      <c r="L1974" s="2" t="s">
        <v>8237</v>
      </c>
      <c r="M1974" s="174" t="s">
        <v>409</v>
      </c>
      <c r="N1974" s="2" t="s">
        <v>462</v>
      </c>
      <c r="O1974" s="3">
        <v>0.5</v>
      </c>
      <c r="P1974" s="2" t="s">
        <v>73</v>
      </c>
      <c r="Q1974" s="3">
        <v>1480.0</v>
      </c>
      <c r="T1974" s="2" t="s">
        <v>7128</v>
      </c>
      <c r="U1974" s="171">
        <v>3250.0</v>
      </c>
      <c r="W1974" s="2">
        <v>356.0</v>
      </c>
      <c r="X1974" s="172">
        <v>46044.646099537036</v>
      </c>
      <c r="Y1974" s="172"/>
      <c r="Z1974" s="3">
        <v>46042.0</v>
      </c>
      <c r="AA1974" s="3"/>
    </row>
    <row r="1975">
      <c r="A1975" s="3">
        <v>6.874547814659E12</v>
      </c>
      <c r="B1975" s="2" t="s">
        <v>8238</v>
      </c>
      <c r="C1975" s="2" t="s">
        <v>2646</v>
      </c>
      <c r="D1975" s="169">
        <v>46042.0</v>
      </c>
      <c r="E1975" s="2">
        <v>3.287175521E9</v>
      </c>
      <c r="F1975" s="2" t="s">
        <v>8239</v>
      </c>
      <c r="G1975" s="2" t="s">
        <v>993</v>
      </c>
      <c r="H1975" s="2">
        <v>249.0</v>
      </c>
      <c r="I1975" s="2">
        <v>2.1120050021366E13</v>
      </c>
      <c r="J1975" s="3">
        <v>0.0</v>
      </c>
      <c r="K1975" s="2" t="s">
        <v>8240</v>
      </c>
      <c r="L1975" s="2"/>
      <c r="M1975" s="170" t="s">
        <v>455</v>
      </c>
      <c r="N1975" s="2" t="s">
        <v>406</v>
      </c>
      <c r="O1975" s="3">
        <v>0.5</v>
      </c>
      <c r="P1975" s="2" t="s">
        <v>73</v>
      </c>
      <c r="Q1975" s="3">
        <v>0.0</v>
      </c>
      <c r="T1975" s="2" t="s">
        <v>6336</v>
      </c>
      <c r="U1975" s="171">
        <v>0.0</v>
      </c>
      <c r="V1975" s="172">
        <v>46052.0</v>
      </c>
      <c r="W1975" s="3">
        <v>200.0</v>
      </c>
      <c r="X1975" s="172">
        <v>46051.86579861111</v>
      </c>
      <c r="Y1975" s="172"/>
      <c r="Z1975" s="3">
        <v>46042.0</v>
      </c>
      <c r="AA1975" s="3"/>
    </row>
    <row r="1976">
      <c r="A1976" s="3">
        <v>6.874553745667E12</v>
      </c>
      <c r="B1976" s="2" t="s">
        <v>8241</v>
      </c>
      <c r="C1976" s="2" t="s">
        <v>8242</v>
      </c>
      <c r="D1976" s="169">
        <v>46042.0</v>
      </c>
      <c r="E1976" s="173" t="s">
        <v>8243</v>
      </c>
      <c r="F1976" s="2" t="s">
        <v>8244</v>
      </c>
      <c r="G1976" s="2" t="s">
        <v>1619</v>
      </c>
      <c r="H1976" s="2">
        <v>2749.0</v>
      </c>
      <c r="I1976" s="2">
        <v>2.9120050021349E13</v>
      </c>
      <c r="J1976" s="3">
        <v>2.0</v>
      </c>
      <c r="K1976" s="2" t="s">
        <v>8245</v>
      </c>
      <c r="L1976" s="2" t="s">
        <v>926</v>
      </c>
      <c r="M1976" s="174" t="s">
        <v>409</v>
      </c>
      <c r="N1976" s="2" t="s">
        <v>462</v>
      </c>
      <c r="O1976" s="3">
        <v>0.5</v>
      </c>
      <c r="P1976" s="2" t="s">
        <v>73</v>
      </c>
      <c r="Q1976" s="3">
        <v>980.0</v>
      </c>
      <c r="T1976" s="2" t="s">
        <v>7128</v>
      </c>
      <c r="U1976" s="171">
        <v>2749.0</v>
      </c>
      <c r="W1976" s="2">
        <v>228.96</v>
      </c>
      <c r="X1976" s="172">
        <v>46043.59327546296</v>
      </c>
      <c r="Y1976" s="172"/>
      <c r="Z1976" s="3">
        <v>46042.0</v>
      </c>
      <c r="AA1976" s="3"/>
    </row>
    <row r="1977">
      <c r="A1977" s="3">
        <v>6.874561184003E12</v>
      </c>
      <c r="B1977" s="2" t="s">
        <v>8246</v>
      </c>
      <c r="C1977" s="2" t="s">
        <v>8247</v>
      </c>
      <c r="D1977" s="169">
        <v>46042.0</v>
      </c>
      <c r="E1977" s="173" t="s">
        <v>8248</v>
      </c>
      <c r="F1977" s="2" t="s">
        <v>8249</v>
      </c>
      <c r="G1977" s="2" t="s">
        <v>366</v>
      </c>
      <c r="H1977" s="2">
        <v>3099.0</v>
      </c>
      <c r="I1977" s="2">
        <v>2.0120050021422E13</v>
      </c>
      <c r="J1977" s="3">
        <v>2.0</v>
      </c>
      <c r="K1977" s="2" t="s">
        <v>8250</v>
      </c>
      <c r="L1977" s="2" t="s">
        <v>27</v>
      </c>
      <c r="M1977" s="174" t="s">
        <v>409</v>
      </c>
      <c r="N1977" s="2" t="s">
        <v>462</v>
      </c>
      <c r="O1977" s="3">
        <v>0.5</v>
      </c>
      <c r="P1977" s="2" t="s">
        <v>73</v>
      </c>
      <c r="Q1977" s="3">
        <v>920.0</v>
      </c>
      <c r="T1977" s="2" t="s">
        <v>6123</v>
      </c>
      <c r="U1977" s="171">
        <v>3099.0</v>
      </c>
      <c r="V1977" s="172">
        <v>46049.0</v>
      </c>
      <c r="W1977" s="3">
        <v>324.0</v>
      </c>
      <c r="X1977" s="172">
        <v>46047.90850694444</v>
      </c>
      <c r="Y1977" s="172"/>
      <c r="Z1977" s="3">
        <v>46042.0</v>
      </c>
      <c r="AA1977" s="3"/>
    </row>
    <row r="1978">
      <c r="A1978" s="3">
        <v>6.874564264195E12</v>
      </c>
      <c r="B1978" s="2" t="s">
        <v>8251</v>
      </c>
      <c r="C1978" s="2" t="s">
        <v>8252</v>
      </c>
      <c r="D1978" s="169">
        <v>46042.0</v>
      </c>
      <c r="E1978" s="2">
        <v>3.305546607E9</v>
      </c>
      <c r="F1978" s="2" t="s">
        <v>8253</v>
      </c>
      <c r="G1978" s="2" t="s">
        <v>1434</v>
      </c>
      <c r="H1978" s="2">
        <v>4248.0</v>
      </c>
      <c r="I1978" s="2">
        <v>2.0120050021382E13</v>
      </c>
      <c r="J1978" s="3">
        <v>2.0</v>
      </c>
      <c r="K1978" s="2" t="s">
        <v>8254</v>
      </c>
      <c r="L1978" s="2" t="s">
        <v>479</v>
      </c>
      <c r="M1978" s="174" t="s">
        <v>409</v>
      </c>
      <c r="N1978" s="2" t="s">
        <v>462</v>
      </c>
      <c r="O1978" s="3">
        <v>0.5</v>
      </c>
      <c r="P1978" s="2" t="s">
        <v>73</v>
      </c>
      <c r="Q1978" s="3">
        <v>1700.0</v>
      </c>
      <c r="T1978" s="2" t="s">
        <v>6123</v>
      </c>
      <c r="U1978" s="171">
        <v>4248.0</v>
      </c>
      <c r="V1978" s="172">
        <v>46049.0</v>
      </c>
      <c r="W1978" s="3">
        <v>390.0</v>
      </c>
      <c r="X1978" s="172">
        <v>46046.53284722222</v>
      </c>
      <c r="Y1978" s="172"/>
      <c r="Z1978" s="3">
        <v>46042.0</v>
      </c>
      <c r="AA1978" s="3"/>
    </row>
    <row r="1979">
      <c r="A1979" s="3">
        <v>6.874699038979E12</v>
      </c>
      <c r="B1979" s="2" t="s">
        <v>8255</v>
      </c>
      <c r="C1979" s="2" t="s">
        <v>7884</v>
      </c>
      <c r="D1979" s="169">
        <v>46042.0</v>
      </c>
      <c r="E1979" s="2">
        <v>3.0178727E9</v>
      </c>
      <c r="F1979" s="2" t="s">
        <v>7885</v>
      </c>
      <c r="G1979" s="2" t="s">
        <v>958</v>
      </c>
      <c r="H1979" s="2">
        <v>0.0</v>
      </c>
      <c r="J1979" s="3">
        <v>0.0</v>
      </c>
      <c r="K1979" s="2" t="s">
        <v>8256</v>
      </c>
      <c r="L1979" s="2"/>
      <c r="M1979" s="2" t="s">
        <v>468</v>
      </c>
      <c r="N1979" s="2" t="s">
        <v>406</v>
      </c>
      <c r="O1979" s="3">
        <v>0.5</v>
      </c>
      <c r="Q1979" s="3">
        <v>0.0</v>
      </c>
      <c r="U1979" s="141"/>
      <c r="X1979" s="172">
        <v>46057.642782870375</v>
      </c>
      <c r="Y1979" s="172"/>
      <c r="Z1979" s="3">
        <v>46042.0</v>
      </c>
      <c r="AA1979" s="3"/>
    </row>
    <row r="1980">
      <c r="A1980" s="3">
        <v>6.874900660483E12</v>
      </c>
      <c r="B1980" s="2" t="s">
        <v>8257</v>
      </c>
      <c r="C1980" s="2" t="s">
        <v>8258</v>
      </c>
      <c r="D1980" s="169">
        <v>46042.0</v>
      </c>
      <c r="E1980" s="2">
        <v>3.497880154E9</v>
      </c>
      <c r="F1980" s="2" t="s">
        <v>8259</v>
      </c>
      <c r="G1980" s="2" t="s">
        <v>1012</v>
      </c>
      <c r="H1980" s="2">
        <v>249.0</v>
      </c>
      <c r="I1980" s="2">
        <v>1.73010157313E11</v>
      </c>
      <c r="J1980" s="3">
        <v>0.0</v>
      </c>
      <c r="K1980" s="2" t="s">
        <v>7745</v>
      </c>
      <c r="L1980" s="2"/>
      <c r="M1980" s="170" t="s">
        <v>455</v>
      </c>
      <c r="N1980" s="2" t="s">
        <v>406</v>
      </c>
      <c r="O1980" s="3">
        <v>0.5</v>
      </c>
      <c r="P1980" s="2" t="s">
        <v>501</v>
      </c>
      <c r="Q1980" s="3">
        <v>0.0</v>
      </c>
      <c r="U1980" s="141"/>
      <c r="W1980" s="3">
        <v>289.94</v>
      </c>
      <c r="X1980" s="172">
        <v>46067.00514011574</v>
      </c>
      <c r="Y1980" s="172"/>
      <c r="Z1980" s="3">
        <v>46042.0</v>
      </c>
      <c r="AA1980" s="3"/>
    </row>
    <row r="1981">
      <c r="A1981" s="3">
        <v>6.875029143811E12</v>
      </c>
      <c r="B1981" s="2" t="s">
        <v>8260</v>
      </c>
      <c r="C1981" s="2" t="s">
        <v>8261</v>
      </c>
      <c r="D1981" s="169">
        <v>46042.0</v>
      </c>
      <c r="E1981" s="2">
        <v>3.226366964E9</v>
      </c>
      <c r="F1981" s="2" t="s">
        <v>8262</v>
      </c>
      <c r="G1981" s="2" t="s">
        <v>8263</v>
      </c>
      <c r="H1981" s="2">
        <v>249.0</v>
      </c>
      <c r="I1981" s="2">
        <v>2.8120050021408E13</v>
      </c>
      <c r="J1981" s="3">
        <v>0.0</v>
      </c>
      <c r="K1981" s="2" t="s">
        <v>8264</v>
      </c>
      <c r="L1981" s="2"/>
      <c r="M1981" s="170" t="s">
        <v>455</v>
      </c>
      <c r="N1981" s="2" t="s">
        <v>406</v>
      </c>
      <c r="O1981" s="3">
        <v>0.5</v>
      </c>
      <c r="P1981" s="2" t="s">
        <v>73</v>
      </c>
      <c r="Q1981" s="3">
        <v>0.0</v>
      </c>
      <c r="T1981" s="2" t="s">
        <v>6336</v>
      </c>
      <c r="U1981" s="171">
        <v>0.0</v>
      </c>
      <c r="V1981" s="172">
        <v>46052.0</v>
      </c>
      <c r="W1981" s="3">
        <v>200.0</v>
      </c>
      <c r="X1981" s="172">
        <v>46049.86059027778</v>
      </c>
      <c r="Y1981" s="172"/>
      <c r="Z1981" s="3">
        <v>46042.0</v>
      </c>
      <c r="AA1981" s="3"/>
    </row>
    <row r="1982">
      <c r="A1982" s="3">
        <v>6.875034943747E12</v>
      </c>
      <c r="B1982" s="2" t="s">
        <v>8265</v>
      </c>
      <c r="C1982" s="2" t="s">
        <v>2197</v>
      </c>
      <c r="D1982" s="169">
        <v>46042.0</v>
      </c>
      <c r="E1982" s="2">
        <v>3.109341477E9</v>
      </c>
      <c r="F1982" s="2" t="s">
        <v>8266</v>
      </c>
      <c r="G1982" s="2" t="s">
        <v>3949</v>
      </c>
      <c r="H1982" s="2">
        <v>249.0</v>
      </c>
      <c r="I1982" s="2">
        <v>2.8120050021421E13</v>
      </c>
      <c r="J1982" s="3">
        <v>0.0</v>
      </c>
      <c r="K1982" s="2" t="s">
        <v>8267</v>
      </c>
      <c r="L1982" s="2"/>
      <c r="M1982" s="170" t="s">
        <v>455</v>
      </c>
      <c r="N1982" s="2" t="s">
        <v>406</v>
      </c>
      <c r="O1982" s="3">
        <v>0.5</v>
      </c>
      <c r="P1982" s="2" t="s">
        <v>73</v>
      </c>
      <c r="Q1982" s="3">
        <v>0.0</v>
      </c>
      <c r="T1982" s="2" t="s">
        <v>6336</v>
      </c>
      <c r="U1982" s="171">
        <v>0.0</v>
      </c>
      <c r="V1982" s="172">
        <v>46052.0</v>
      </c>
      <c r="W1982" s="3">
        <v>200.0</v>
      </c>
      <c r="X1982" s="172">
        <v>46051.86579861111</v>
      </c>
      <c r="Y1982" s="172"/>
      <c r="Z1982" s="3">
        <v>46042.0</v>
      </c>
      <c r="AA1982" s="3"/>
    </row>
    <row r="1983">
      <c r="A1983" s="3">
        <v>6.875054309635E12</v>
      </c>
      <c r="B1983" s="2" t="s">
        <v>8268</v>
      </c>
      <c r="C1983" s="2" t="s">
        <v>8269</v>
      </c>
      <c r="D1983" s="169">
        <v>46042.0</v>
      </c>
      <c r="E1983" s="2">
        <v>3.000696934E9</v>
      </c>
      <c r="F1983" s="2" t="s">
        <v>8270</v>
      </c>
      <c r="G1983" s="2" t="s">
        <v>8271</v>
      </c>
      <c r="H1983" s="2">
        <v>249.0</v>
      </c>
      <c r="I1983" s="2" t="s">
        <v>8272</v>
      </c>
      <c r="J1983" s="3">
        <v>0.0</v>
      </c>
      <c r="K1983" s="2" t="s">
        <v>8273</v>
      </c>
      <c r="L1983" s="2"/>
      <c r="M1983" s="170" t="s">
        <v>455</v>
      </c>
      <c r="N1983" s="2" t="s">
        <v>406</v>
      </c>
      <c r="O1983" s="3">
        <v>0.5</v>
      </c>
      <c r="P1983" s="2" t="s">
        <v>640</v>
      </c>
      <c r="Q1983" s="3">
        <v>0.0</v>
      </c>
      <c r="U1983" s="141"/>
      <c r="W1983" s="3">
        <v>498.74</v>
      </c>
      <c r="X1983" s="172">
        <v>46067.00514429398</v>
      </c>
      <c r="Y1983" s="172"/>
      <c r="Z1983" s="3">
        <v>46042.0</v>
      </c>
      <c r="AA1983" s="3"/>
    </row>
    <row r="1984">
      <c r="A1984" s="3">
        <v>6.875074527491E12</v>
      </c>
      <c r="B1984" s="2" t="s">
        <v>8274</v>
      </c>
      <c r="C1984" s="2" t="s">
        <v>8275</v>
      </c>
      <c r="D1984" s="169">
        <v>46043.0</v>
      </c>
      <c r="E1984" s="2">
        <v>3.142282416E9</v>
      </c>
      <c r="F1984" s="2" t="s">
        <v>8276</v>
      </c>
      <c r="G1984" s="2" t="s">
        <v>8277</v>
      </c>
      <c r="H1984" s="2">
        <v>4248.0</v>
      </c>
      <c r="I1984" s="2">
        <v>2.8120050021381E13</v>
      </c>
      <c r="J1984" s="3">
        <v>2.0</v>
      </c>
      <c r="K1984" s="2" t="s">
        <v>8278</v>
      </c>
      <c r="L1984" s="2" t="s">
        <v>913</v>
      </c>
      <c r="M1984" s="174" t="s">
        <v>409</v>
      </c>
      <c r="N1984" s="2" t="s">
        <v>462</v>
      </c>
      <c r="O1984" s="3">
        <v>0.5</v>
      </c>
      <c r="P1984" s="2" t="s">
        <v>73</v>
      </c>
      <c r="Q1984" s="3">
        <v>1700.0</v>
      </c>
      <c r="T1984" s="2" t="s">
        <v>6123</v>
      </c>
      <c r="U1984" s="171">
        <v>4248.0</v>
      </c>
      <c r="V1984" s="172">
        <v>46049.0</v>
      </c>
      <c r="W1984" s="3">
        <v>397.0</v>
      </c>
      <c r="X1984" s="172">
        <v>46046.67048611111</v>
      </c>
      <c r="Y1984" s="172"/>
      <c r="Z1984" s="3">
        <v>46043.0</v>
      </c>
      <c r="AA1984" s="3"/>
    </row>
    <row r="1985">
      <c r="A1985" s="3">
        <v>6.875179286787E12</v>
      </c>
      <c r="B1985" s="2" t="s">
        <v>8279</v>
      </c>
      <c r="C1985" s="2" t="s">
        <v>2530</v>
      </c>
      <c r="D1985" s="169">
        <v>46043.0</v>
      </c>
      <c r="E1985" s="2">
        <v>3.014039561E9</v>
      </c>
      <c r="F1985" s="2" t="s">
        <v>8280</v>
      </c>
      <c r="G1985" s="2" t="s">
        <v>1257</v>
      </c>
      <c r="H1985" s="2">
        <v>2749.0</v>
      </c>
      <c r="I1985" s="2">
        <v>2.7120050021407E13</v>
      </c>
      <c r="J1985" s="3">
        <v>2.0</v>
      </c>
      <c r="K1985" s="2" t="s">
        <v>8281</v>
      </c>
      <c r="L1985" s="2" t="s">
        <v>926</v>
      </c>
      <c r="M1985" s="174" t="s">
        <v>409</v>
      </c>
      <c r="N1985" s="2" t="s">
        <v>462</v>
      </c>
      <c r="O1985" s="3">
        <v>0.5</v>
      </c>
      <c r="P1985" s="2" t="s">
        <v>73</v>
      </c>
      <c r="Q1985" s="3">
        <v>980.0</v>
      </c>
      <c r="T1985" s="2" t="s">
        <v>6123</v>
      </c>
      <c r="U1985" s="171">
        <v>2749.0</v>
      </c>
      <c r="V1985" s="172">
        <v>46049.0</v>
      </c>
      <c r="W1985" s="3">
        <v>330.0</v>
      </c>
      <c r="X1985" s="172">
        <v>46045.52106481481</v>
      </c>
      <c r="Y1985" s="172"/>
      <c r="Z1985" s="3">
        <v>46043.0</v>
      </c>
      <c r="AA1985" s="3"/>
    </row>
    <row r="1986">
      <c r="A1986" s="3">
        <v>6.875346469123E12</v>
      </c>
      <c r="B1986" s="2" t="s">
        <v>8282</v>
      </c>
      <c r="C1986" s="2" t="s">
        <v>8283</v>
      </c>
      <c r="D1986" s="169">
        <v>46043.0</v>
      </c>
      <c r="E1986" s="2">
        <v>3.193800792E9</v>
      </c>
      <c r="F1986" s="2" t="s">
        <v>8284</v>
      </c>
      <c r="G1986" s="2" t="s">
        <v>366</v>
      </c>
      <c r="H1986" s="2">
        <v>0.0</v>
      </c>
      <c r="J1986" s="3">
        <v>0.0</v>
      </c>
      <c r="K1986" s="2" t="s">
        <v>8285</v>
      </c>
      <c r="L1986" s="2"/>
      <c r="M1986" s="2" t="s">
        <v>468</v>
      </c>
      <c r="N1986" s="2" t="s">
        <v>406</v>
      </c>
      <c r="O1986" s="3">
        <v>0.5</v>
      </c>
      <c r="Q1986" s="3">
        <v>0.0</v>
      </c>
      <c r="U1986" s="141"/>
      <c r="X1986" s="172">
        <v>46057.642782870375</v>
      </c>
      <c r="Y1986" s="172"/>
      <c r="Z1986" s="3">
        <v>46043.0</v>
      </c>
      <c r="AA1986" s="3"/>
    </row>
    <row r="1987">
      <c r="A1987" s="3">
        <v>6.875463319811E12</v>
      </c>
      <c r="B1987" s="2" t="s">
        <v>8286</v>
      </c>
      <c r="C1987" s="2" t="s">
        <v>8287</v>
      </c>
      <c r="D1987" s="169">
        <v>46043.0</v>
      </c>
      <c r="E1987" s="2">
        <v>3.334443762E9</v>
      </c>
      <c r="F1987" s="2" t="s">
        <v>8288</v>
      </c>
      <c r="G1987" s="2" t="s">
        <v>493</v>
      </c>
      <c r="H1987" s="2">
        <v>3099.0</v>
      </c>
      <c r="I1987" s="2">
        <v>2.3120050021394E13</v>
      </c>
      <c r="J1987" s="3">
        <v>2.0</v>
      </c>
      <c r="K1987" s="2" t="s">
        <v>8289</v>
      </c>
      <c r="L1987" s="2" t="s">
        <v>296</v>
      </c>
      <c r="M1987" s="174" t="s">
        <v>409</v>
      </c>
      <c r="N1987" s="2" t="s">
        <v>462</v>
      </c>
      <c r="O1987" s="3">
        <v>0.5</v>
      </c>
      <c r="P1987" s="2" t="s">
        <v>73</v>
      </c>
      <c r="Q1987" s="3">
        <v>920.0</v>
      </c>
      <c r="T1987" s="2" t="s">
        <v>6336</v>
      </c>
      <c r="U1987" s="171">
        <v>3099.0</v>
      </c>
      <c r="V1987" s="172">
        <v>46052.0</v>
      </c>
      <c r="W1987" s="3">
        <v>337.0</v>
      </c>
      <c r="X1987" s="172">
        <v>46051.60854166667</v>
      </c>
      <c r="Y1987" s="172"/>
      <c r="Z1987" s="3">
        <v>46043.0</v>
      </c>
      <c r="AA1987" s="3"/>
    </row>
    <row r="1988">
      <c r="A1988" s="3">
        <v>6.875532853507E12</v>
      </c>
      <c r="B1988" s="2" t="s">
        <v>8290</v>
      </c>
      <c r="C1988" s="2" t="s">
        <v>8291</v>
      </c>
      <c r="D1988" s="169">
        <v>46043.0</v>
      </c>
      <c r="E1988" s="173" t="s">
        <v>8292</v>
      </c>
      <c r="F1988" s="2" t="s">
        <v>8293</v>
      </c>
      <c r="G1988" s="2" t="s">
        <v>1376</v>
      </c>
      <c r="H1988" s="2">
        <v>249.0</v>
      </c>
      <c r="I1988" s="2">
        <v>2.0120050021453E13</v>
      </c>
      <c r="J1988" s="3">
        <v>0.0</v>
      </c>
      <c r="K1988" s="2" t="s">
        <v>8294</v>
      </c>
      <c r="L1988" s="2"/>
      <c r="M1988" s="170" t="s">
        <v>455</v>
      </c>
      <c r="N1988" s="2" t="s">
        <v>406</v>
      </c>
      <c r="O1988" s="3">
        <v>0.5</v>
      </c>
      <c r="P1988" s="2" t="s">
        <v>73</v>
      </c>
      <c r="Q1988" s="3">
        <v>0.0</v>
      </c>
      <c r="T1988" s="2" t="s">
        <v>6336</v>
      </c>
      <c r="U1988" s="171">
        <v>0.0</v>
      </c>
      <c r="V1988" s="172">
        <v>46052.0</v>
      </c>
      <c r="W1988" s="3">
        <v>200.0</v>
      </c>
      <c r="X1988" s="172">
        <v>46051.86579861111</v>
      </c>
      <c r="Y1988" s="172"/>
      <c r="Z1988" s="3">
        <v>46043.0</v>
      </c>
      <c r="AA1988" s="3"/>
    </row>
    <row r="1989">
      <c r="A1989" s="3">
        <v>6.875533082883E12</v>
      </c>
      <c r="B1989" s="2" t="s">
        <v>8295</v>
      </c>
      <c r="C1989" s="2" t="s">
        <v>8296</v>
      </c>
      <c r="D1989" s="169">
        <v>46043.0</v>
      </c>
      <c r="E1989" s="2">
        <v>3.073654636E9</v>
      </c>
      <c r="F1989" s="2" t="s">
        <v>8297</v>
      </c>
      <c r="G1989" s="2" t="s">
        <v>1016</v>
      </c>
      <c r="H1989" s="2">
        <v>2749.0</v>
      </c>
      <c r="I1989" s="2">
        <v>2.2120050021393E13</v>
      </c>
      <c r="J1989" s="3">
        <v>2.0</v>
      </c>
      <c r="K1989" s="2" t="s">
        <v>8298</v>
      </c>
      <c r="L1989" s="2" t="s">
        <v>16</v>
      </c>
      <c r="M1989" s="174" t="s">
        <v>409</v>
      </c>
      <c r="N1989" s="2" t="s">
        <v>462</v>
      </c>
      <c r="O1989" s="3">
        <v>0.5</v>
      </c>
      <c r="P1989" s="2" t="s">
        <v>73</v>
      </c>
      <c r="Q1989" s="3">
        <v>980.0</v>
      </c>
      <c r="T1989" s="2" t="s">
        <v>6123</v>
      </c>
      <c r="U1989" s="171">
        <v>2749.0</v>
      </c>
      <c r="V1989" s="172">
        <v>46049.0</v>
      </c>
      <c r="W1989" s="3">
        <v>310.0</v>
      </c>
      <c r="X1989" s="172">
        <v>46045.495347222226</v>
      </c>
      <c r="Y1989" s="172"/>
      <c r="Z1989" s="3">
        <v>46043.0</v>
      </c>
      <c r="AA1989" s="3"/>
    </row>
    <row r="1990">
      <c r="A1990" s="3">
        <v>6.875603960067E12</v>
      </c>
      <c r="B1990" s="2" t="s">
        <v>8299</v>
      </c>
      <c r="C1990" s="2" t="s">
        <v>8300</v>
      </c>
      <c r="D1990" s="169">
        <v>46043.0</v>
      </c>
      <c r="E1990" s="2">
        <v>3.003349901E9</v>
      </c>
      <c r="F1990" s="2" t="s">
        <v>8301</v>
      </c>
      <c r="G1990" s="2" t="s">
        <v>8302</v>
      </c>
      <c r="H1990" s="2">
        <v>3099.0</v>
      </c>
      <c r="I1990" s="2">
        <v>2.5120050021392E13</v>
      </c>
      <c r="J1990" s="3">
        <v>2.0</v>
      </c>
      <c r="K1990" s="2" t="s">
        <v>8303</v>
      </c>
      <c r="L1990" s="2" t="s">
        <v>3242</v>
      </c>
      <c r="M1990" s="174" t="s">
        <v>409</v>
      </c>
      <c r="N1990" s="2" t="s">
        <v>462</v>
      </c>
      <c r="O1990" s="3">
        <v>0.5</v>
      </c>
      <c r="P1990" s="2" t="s">
        <v>73</v>
      </c>
      <c r="Q1990" s="3">
        <v>1000.0</v>
      </c>
      <c r="T1990" s="2" t="s">
        <v>6123</v>
      </c>
      <c r="U1990" s="171">
        <v>3099.0</v>
      </c>
      <c r="V1990" s="172">
        <v>46049.0</v>
      </c>
      <c r="W1990" s="3">
        <v>337.0</v>
      </c>
      <c r="X1990" s="172">
        <v>46046.68011574074</v>
      </c>
      <c r="Y1990" s="172"/>
      <c r="Z1990" s="3">
        <v>46043.0</v>
      </c>
      <c r="AA1990" s="3"/>
    </row>
    <row r="1991">
      <c r="A1991" s="3">
        <v>6.875709014275E12</v>
      </c>
      <c r="B1991" s="2" t="s">
        <v>8304</v>
      </c>
      <c r="C1991" s="2" t="s">
        <v>1819</v>
      </c>
      <c r="D1991" s="169">
        <v>46043.0</v>
      </c>
      <c r="E1991" s="2">
        <v>3.260098988E9</v>
      </c>
      <c r="F1991" s="2" t="s">
        <v>8305</v>
      </c>
      <c r="G1991" s="2" t="s">
        <v>8306</v>
      </c>
      <c r="H1991" s="2">
        <v>3099.0</v>
      </c>
      <c r="I1991" s="2">
        <v>2.1120050021391E13</v>
      </c>
      <c r="J1991" s="3">
        <v>2.0</v>
      </c>
      <c r="K1991" s="2" t="s">
        <v>8307</v>
      </c>
      <c r="L1991" s="2" t="s">
        <v>296</v>
      </c>
      <c r="M1991" s="174" t="s">
        <v>409</v>
      </c>
      <c r="N1991" s="2" t="s">
        <v>462</v>
      </c>
      <c r="O1991" s="3">
        <v>0.5</v>
      </c>
      <c r="P1991" s="2" t="s">
        <v>73</v>
      </c>
      <c r="Q1991" s="3">
        <v>920.0</v>
      </c>
      <c r="T1991" s="2" t="s">
        <v>6123</v>
      </c>
      <c r="U1991" s="171">
        <v>3099.0</v>
      </c>
      <c r="V1991" s="172">
        <v>46049.0</v>
      </c>
      <c r="W1991" s="3">
        <v>324.0</v>
      </c>
      <c r="X1991" s="172">
        <v>46045.511296296296</v>
      </c>
      <c r="Y1991" s="172"/>
      <c r="Z1991" s="3">
        <v>46043.0</v>
      </c>
      <c r="AA1991" s="3"/>
    </row>
    <row r="1992">
      <c r="A1992" s="3">
        <v>6.875718779139E12</v>
      </c>
      <c r="B1992" s="2" t="s">
        <v>8308</v>
      </c>
      <c r="C1992" s="2" t="s">
        <v>8309</v>
      </c>
      <c r="D1992" s="169">
        <v>46043.0</v>
      </c>
      <c r="E1992" s="2">
        <v>9.23056801009E11</v>
      </c>
      <c r="F1992" s="2" t="s">
        <v>8310</v>
      </c>
      <c r="G1992" s="2" t="s">
        <v>368</v>
      </c>
      <c r="H1992" s="2">
        <v>3099.0</v>
      </c>
      <c r="I1992" s="2">
        <v>2.9120050021406E13</v>
      </c>
      <c r="J1992" s="3">
        <v>2.0</v>
      </c>
      <c r="K1992" s="2" t="s">
        <v>8311</v>
      </c>
      <c r="L1992" s="2" t="s">
        <v>296</v>
      </c>
      <c r="M1992" s="174" t="s">
        <v>409</v>
      </c>
      <c r="N1992" s="2" t="s">
        <v>462</v>
      </c>
      <c r="O1992" s="3">
        <v>0.5</v>
      </c>
      <c r="P1992" s="2" t="s">
        <v>73</v>
      </c>
      <c r="Q1992" s="3">
        <v>920.0</v>
      </c>
      <c r="U1992" s="2">
        <v>3099.0</v>
      </c>
      <c r="X1992" s="172">
        <v>46043.6899074074</v>
      </c>
      <c r="Y1992" s="172"/>
      <c r="Z1992" s="3">
        <v>46043.0</v>
      </c>
      <c r="AA1992" s="3"/>
    </row>
    <row r="1993">
      <c r="A1993" s="3">
        <v>6.875737227523E12</v>
      </c>
      <c r="B1993" s="2" t="s">
        <v>8312</v>
      </c>
      <c r="C1993" s="2" t="s">
        <v>8313</v>
      </c>
      <c r="D1993" s="169">
        <v>46043.0</v>
      </c>
      <c r="E1993" s="173" t="s">
        <v>8314</v>
      </c>
      <c r="F1993" s="2" t="s">
        <v>8315</v>
      </c>
      <c r="G1993" s="2" t="s">
        <v>8316</v>
      </c>
      <c r="H1993" s="2">
        <v>3099.0</v>
      </c>
      <c r="I1993" s="2">
        <v>2.912005002139E13</v>
      </c>
      <c r="J1993" s="3">
        <v>2.0</v>
      </c>
      <c r="K1993" s="2" t="s">
        <v>8317</v>
      </c>
      <c r="L1993" s="2" t="s">
        <v>1143</v>
      </c>
      <c r="M1993" s="174" t="s">
        <v>409</v>
      </c>
      <c r="N1993" s="2" t="s">
        <v>462</v>
      </c>
      <c r="O1993" s="3">
        <v>0.5</v>
      </c>
      <c r="P1993" s="2" t="s">
        <v>73</v>
      </c>
      <c r="Q1993" s="3">
        <v>960.0</v>
      </c>
      <c r="T1993" s="2" t="s">
        <v>6123</v>
      </c>
      <c r="U1993" s="171">
        <v>3099.0</v>
      </c>
      <c r="V1993" s="172">
        <v>46049.0</v>
      </c>
      <c r="W1993" s="3">
        <v>324.0</v>
      </c>
      <c r="X1993" s="172">
        <v>46046.70961805555</v>
      </c>
      <c r="Y1993" s="172"/>
      <c r="Z1993" s="3">
        <v>46043.0</v>
      </c>
      <c r="AA1993" s="3"/>
    </row>
    <row r="1994">
      <c r="A1994" s="3">
        <v>6.875743027459E12</v>
      </c>
      <c r="B1994" s="2" t="s">
        <v>8318</v>
      </c>
      <c r="C1994" s="2" t="s">
        <v>8319</v>
      </c>
      <c r="D1994" s="169">
        <v>46043.0</v>
      </c>
      <c r="E1994" s="2">
        <v>3.119006653E9</v>
      </c>
      <c r="F1994" s="2" t="s">
        <v>8320</v>
      </c>
      <c r="G1994" s="2" t="s">
        <v>4788</v>
      </c>
      <c r="H1994" s="2">
        <v>249.0</v>
      </c>
      <c r="I1994" s="2">
        <v>2.5120050021405E13</v>
      </c>
      <c r="J1994" s="3">
        <v>0.0</v>
      </c>
      <c r="K1994" s="2" t="s">
        <v>8321</v>
      </c>
      <c r="L1994" s="2"/>
      <c r="M1994" s="170" t="s">
        <v>455</v>
      </c>
      <c r="N1994" s="2" t="s">
        <v>406</v>
      </c>
      <c r="O1994" s="3">
        <v>0.5</v>
      </c>
      <c r="P1994" s="2" t="s">
        <v>73</v>
      </c>
      <c r="Q1994" s="3">
        <v>0.0</v>
      </c>
      <c r="T1994" s="2" t="s">
        <v>6193</v>
      </c>
      <c r="U1994" s="141"/>
      <c r="W1994" s="3">
        <v>213.0</v>
      </c>
      <c r="X1994" s="172">
        <v>46053.874826388885</v>
      </c>
      <c r="Y1994" s="172"/>
      <c r="Z1994" s="3">
        <v>46043.0</v>
      </c>
      <c r="AA1994" s="3"/>
    </row>
    <row r="1995">
      <c r="A1995" s="3">
        <v>6.875761213699E12</v>
      </c>
      <c r="B1995" s="2" t="s">
        <v>8322</v>
      </c>
      <c r="C1995" s="2" t="s">
        <v>8323</v>
      </c>
      <c r="D1995" s="169">
        <v>46043.0</v>
      </c>
      <c r="E1995" s="2">
        <v>3.091095976E9</v>
      </c>
      <c r="F1995" s="2" t="s">
        <v>8324</v>
      </c>
      <c r="G1995" s="2" t="s">
        <v>993</v>
      </c>
      <c r="H1995" s="2">
        <v>249.0</v>
      </c>
      <c r="I1995" s="2">
        <v>2.0120050021404E13</v>
      </c>
      <c r="J1995" s="3">
        <v>0.0</v>
      </c>
      <c r="K1995" s="2" t="s">
        <v>8325</v>
      </c>
      <c r="L1995" s="2"/>
      <c r="M1995" s="170" t="s">
        <v>455</v>
      </c>
      <c r="N1995" s="2" t="s">
        <v>406</v>
      </c>
      <c r="O1995" s="3">
        <v>0.5</v>
      </c>
      <c r="P1995" s="2" t="s">
        <v>73</v>
      </c>
      <c r="Q1995" s="3">
        <v>0.0</v>
      </c>
      <c r="T1995" s="2" t="s">
        <v>6336</v>
      </c>
      <c r="U1995" s="171">
        <v>0.0</v>
      </c>
      <c r="V1995" s="172">
        <v>46052.0</v>
      </c>
      <c r="W1995" s="3">
        <v>200.0</v>
      </c>
      <c r="X1995" s="172">
        <v>46051.86579861111</v>
      </c>
      <c r="Y1995" s="172"/>
      <c r="Z1995" s="3">
        <v>46043.0</v>
      </c>
      <c r="AA1995" s="3"/>
    </row>
    <row r="1996">
      <c r="A1996" s="3">
        <v>6.875785822467E12</v>
      </c>
      <c r="B1996" s="2" t="s">
        <v>8326</v>
      </c>
      <c r="C1996" s="2" t="s">
        <v>5405</v>
      </c>
      <c r="D1996" s="169">
        <v>46043.0</v>
      </c>
      <c r="E1996" s="2">
        <v>3.037442423E9</v>
      </c>
      <c r="F1996" s="2" t="s">
        <v>8327</v>
      </c>
      <c r="G1996" s="2" t="s">
        <v>8328</v>
      </c>
      <c r="H1996" s="2">
        <v>2849.0</v>
      </c>
      <c r="I1996" s="2">
        <v>2.0120050021388E13</v>
      </c>
      <c r="J1996" s="3">
        <v>2.0</v>
      </c>
      <c r="K1996" s="2" t="s">
        <v>8329</v>
      </c>
      <c r="L1996" s="2" t="s">
        <v>1920</v>
      </c>
      <c r="M1996" s="174" t="s">
        <v>409</v>
      </c>
      <c r="N1996" s="2" t="s">
        <v>462</v>
      </c>
      <c r="O1996" s="3">
        <v>0.5</v>
      </c>
      <c r="P1996" s="2" t="s">
        <v>73</v>
      </c>
      <c r="Q1996" s="3">
        <v>1050.0</v>
      </c>
      <c r="T1996" s="2" t="s">
        <v>6123</v>
      </c>
      <c r="U1996" s="171">
        <v>2849.0</v>
      </c>
      <c r="V1996" s="172">
        <v>46049.0</v>
      </c>
      <c r="W1996" s="3">
        <v>314.0</v>
      </c>
      <c r="X1996" s="172">
        <v>46046.414814814816</v>
      </c>
      <c r="Y1996" s="172"/>
      <c r="Z1996" s="3">
        <v>46043.0</v>
      </c>
      <c r="AA1996" s="3"/>
    </row>
    <row r="1997">
      <c r="A1997" s="3">
        <v>6.875786182915E12</v>
      </c>
      <c r="B1997" s="2" t="s">
        <v>8330</v>
      </c>
      <c r="C1997" s="2" t="s">
        <v>8331</v>
      </c>
      <c r="D1997" s="169">
        <v>46043.0</v>
      </c>
      <c r="E1997" s="2">
        <v>3.335960661E9</v>
      </c>
      <c r="F1997" s="2" t="s">
        <v>8332</v>
      </c>
      <c r="G1997" s="2" t="s">
        <v>493</v>
      </c>
      <c r="H1997" s="2">
        <v>3099.0</v>
      </c>
      <c r="I1997" s="2">
        <v>2.4120050021387E13</v>
      </c>
      <c r="J1997" s="3">
        <v>2.0</v>
      </c>
      <c r="K1997" s="2" t="s">
        <v>8333</v>
      </c>
      <c r="L1997" s="2" t="s">
        <v>296</v>
      </c>
      <c r="M1997" s="174" t="s">
        <v>409</v>
      </c>
      <c r="N1997" s="2" t="s">
        <v>462</v>
      </c>
      <c r="O1997" s="3">
        <v>0.5</v>
      </c>
      <c r="P1997" s="2" t="s">
        <v>73</v>
      </c>
      <c r="Q1997" s="3">
        <v>920.0</v>
      </c>
      <c r="T1997" s="2" t="s">
        <v>6123</v>
      </c>
      <c r="U1997" s="171">
        <v>3099.0</v>
      </c>
      <c r="V1997" s="172">
        <v>46049.0</v>
      </c>
      <c r="W1997" s="3">
        <v>337.0</v>
      </c>
      <c r="X1997" s="172">
        <v>46046.88353009259</v>
      </c>
      <c r="Y1997" s="172"/>
      <c r="Z1997" s="3">
        <v>46043.0</v>
      </c>
      <c r="AA1997" s="3"/>
    </row>
    <row r="1998">
      <c r="A1998" s="3">
        <v>6.875801157891E12</v>
      </c>
      <c r="B1998" s="2" t="s">
        <v>8334</v>
      </c>
      <c r="C1998" s="2" t="s">
        <v>8335</v>
      </c>
      <c r="D1998" s="169">
        <v>46043.0</v>
      </c>
      <c r="E1998" s="173" t="s">
        <v>8336</v>
      </c>
      <c r="F1998" s="2" t="s">
        <v>8337</v>
      </c>
      <c r="G1998" s="2" t="s">
        <v>672</v>
      </c>
      <c r="H1998" s="2">
        <v>2799.0</v>
      </c>
      <c r="I1998" s="2">
        <v>2.8120050021386E13</v>
      </c>
      <c r="J1998" s="3">
        <v>1.0</v>
      </c>
      <c r="K1998" s="2" t="s">
        <v>8338</v>
      </c>
      <c r="L1998" s="2" t="s">
        <v>519</v>
      </c>
      <c r="M1998" s="174" t="s">
        <v>409</v>
      </c>
      <c r="N1998" s="2" t="s">
        <v>462</v>
      </c>
      <c r="O1998" s="3">
        <v>0.5</v>
      </c>
      <c r="P1998" s="2" t="s">
        <v>73</v>
      </c>
      <c r="Q1998" s="3">
        <v>850.0</v>
      </c>
      <c r="T1998" s="2" t="s">
        <v>6123</v>
      </c>
      <c r="U1998" s="171">
        <v>2799.0</v>
      </c>
      <c r="V1998" s="172">
        <v>46049.0</v>
      </c>
      <c r="W1998" s="3">
        <v>325.0</v>
      </c>
      <c r="X1998" s="172">
        <v>46047.68976851852</v>
      </c>
      <c r="Y1998" s="172"/>
      <c r="Z1998" s="3">
        <v>46043.0</v>
      </c>
      <c r="AA1998" s="3"/>
    </row>
    <row r="1999">
      <c r="A1999" s="3">
        <v>6.875801682179E12</v>
      </c>
      <c r="B1999" s="2" t="s">
        <v>8339</v>
      </c>
      <c r="C1999" s="2" t="s">
        <v>8340</v>
      </c>
      <c r="D1999" s="169">
        <v>46043.0</v>
      </c>
      <c r="E1999" s="2">
        <v>3.174911962E9</v>
      </c>
      <c r="F1999" s="2" t="s">
        <v>8341</v>
      </c>
      <c r="G1999" s="2" t="s">
        <v>366</v>
      </c>
      <c r="H1999" s="2">
        <v>249.0</v>
      </c>
      <c r="I1999" s="2">
        <v>2.1120050021385E13</v>
      </c>
      <c r="J1999" s="3">
        <v>0.0</v>
      </c>
      <c r="K1999" s="2" t="s">
        <v>8342</v>
      </c>
      <c r="L1999" s="2"/>
      <c r="M1999" s="170" t="s">
        <v>455</v>
      </c>
      <c r="N1999" s="2" t="s">
        <v>406</v>
      </c>
      <c r="O1999" s="3">
        <v>0.5</v>
      </c>
      <c r="P1999" s="2" t="s">
        <v>73</v>
      </c>
      <c r="Q1999" s="3">
        <v>0.0</v>
      </c>
      <c r="U1999" s="141"/>
      <c r="W1999" s="3">
        <v>220.0</v>
      </c>
      <c r="X1999" s="172">
        <v>46057.5878125</v>
      </c>
      <c r="Y1999" s="172"/>
      <c r="Z1999" s="3">
        <v>46043.0</v>
      </c>
      <c r="AA1999" s="3"/>
    </row>
    <row r="2000">
      <c r="A2000" s="3">
        <v>6.875857092867E12</v>
      </c>
      <c r="B2000" s="2" t="s">
        <v>8343</v>
      </c>
      <c r="C2000" s="2" t="s">
        <v>8344</v>
      </c>
      <c r="D2000" s="169">
        <v>46043.0</v>
      </c>
      <c r="E2000" s="2">
        <v>3.197324956E9</v>
      </c>
      <c r="F2000" s="2" t="s">
        <v>8345</v>
      </c>
      <c r="G2000" s="2" t="s">
        <v>541</v>
      </c>
      <c r="H2000" s="2">
        <v>2749.0</v>
      </c>
      <c r="I2000" s="2">
        <v>2.7120050021403E13</v>
      </c>
      <c r="J2000" s="3">
        <v>2.0</v>
      </c>
      <c r="K2000" s="2" t="s">
        <v>8346</v>
      </c>
      <c r="L2000" s="2" t="s">
        <v>35</v>
      </c>
      <c r="M2000" s="174" t="s">
        <v>409</v>
      </c>
      <c r="N2000" s="2" t="s">
        <v>462</v>
      </c>
      <c r="O2000" s="3">
        <v>0.5</v>
      </c>
      <c r="P2000" s="2" t="s">
        <v>73</v>
      </c>
      <c r="Q2000" s="3">
        <v>980.0</v>
      </c>
      <c r="T2000" s="2" t="s">
        <v>6123</v>
      </c>
      <c r="U2000" s="171">
        <v>2749.0</v>
      </c>
      <c r="V2000" s="172">
        <v>46049.0</v>
      </c>
      <c r="W2000" s="3">
        <v>310.0</v>
      </c>
      <c r="X2000" s="172">
        <v>46045.624548611115</v>
      </c>
      <c r="Y2000" s="172"/>
      <c r="Z2000" s="3">
        <v>46043.0</v>
      </c>
      <c r="AA2000" s="3"/>
    </row>
    <row r="2001">
      <c r="A2001" s="3">
        <v>6.875876491523E12</v>
      </c>
      <c r="B2001" s="2" t="s">
        <v>8347</v>
      </c>
      <c r="C2001" s="2" t="s">
        <v>8348</v>
      </c>
      <c r="D2001" s="169">
        <v>46043.0</v>
      </c>
      <c r="E2001" s="173" t="s">
        <v>8349</v>
      </c>
      <c r="F2001" s="2" t="s">
        <v>8350</v>
      </c>
      <c r="G2001" s="2" t="s">
        <v>8351</v>
      </c>
      <c r="H2001" s="2">
        <v>249.0</v>
      </c>
      <c r="I2001" s="2">
        <v>2.8120050021402E13</v>
      </c>
      <c r="J2001" s="3">
        <v>0.0</v>
      </c>
      <c r="K2001" s="2" t="s">
        <v>8352</v>
      </c>
      <c r="L2001" s="2"/>
      <c r="M2001" s="170" t="s">
        <v>455</v>
      </c>
      <c r="N2001" s="2" t="s">
        <v>406</v>
      </c>
      <c r="O2001" s="3">
        <v>0.5</v>
      </c>
      <c r="P2001" s="2" t="s">
        <v>73</v>
      </c>
      <c r="Q2001" s="3">
        <v>0.0</v>
      </c>
      <c r="T2001" s="2" t="s">
        <v>6336</v>
      </c>
      <c r="U2001" s="171">
        <v>0.0</v>
      </c>
      <c r="V2001" s="172">
        <v>46052.0</v>
      </c>
      <c r="W2001" s="3">
        <v>200.0</v>
      </c>
      <c r="X2001" s="172">
        <v>46051.86579861111</v>
      </c>
      <c r="Y2001" s="172"/>
      <c r="Z2001" s="3">
        <v>46043.0</v>
      </c>
      <c r="AA2001" s="3"/>
    </row>
    <row r="2002">
      <c r="A2002" s="3">
        <v>6.875904180483E12</v>
      </c>
      <c r="B2002" s="2" t="s">
        <v>8353</v>
      </c>
      <c r="C2002" s="2" t="s">
        <v>8354</v>
      </c>
      <c r="D2002" s="169">
        <v>46043.0</v>
      </c>
      <c r="E2002" s="2">
        <v>3.105861482E9</v>
      </c>
      <c r="F2002" s="2" t="s">
        <v>8355</v>
      </c>
      <c r="G2002" s="2" t="s">
        <v>506</v>
      </c>
      <c r="H2002" s="2">
        <v>2849.0</v>
      </c>
      <c r="I2002" s="2">
        <v>2.3120050021452E13</v>
      </c>
      <c r="J2002" s="3">
        <v>2.0</v>
      </c>
      <c r="K2002" s="2" t="s">
        <v>8356</v>
      </c>
      <c r="L2002" s="2" t="s">
        <v>5839</v>
      </c>
      <c r="M2002" s="174" t="s">
        <v>409</v>
      </c>
      <c r="N2002" s="2" t="s">
        <v>462</v>
      </c>
      <c r="O2002" s="3">
        <v>0.5</v>
      </c>
      <c r="P2002" s="2" t="s">
        <v>73</v>
      </c>
      <c r="Q2002" s="3">
        <v>1050.0</v>
      </c>
      <c r="T2002" s="2" t="s">
        <v>6336</v>
      </c>
      <c r="U2002" s="171">
        <v>2849.0</v>
      </c>
      <c r="V2002" s="172">
        <v>46052.0</v>
      </c>
      <c r="W2002" s="3">
        <v>314.0</v>
      </c>
      <c r="X2002" s="172">
        <v>46049.54394675926</v>
      </c>
      <c r="Y2002" s="172"/>
      <c r="Z2002" s="3">
        <v>46043.0</v>
      </c>
      <c r="AA2002" s="3"/>
    </row>
    <row r="2003">
      <c r="A2003" s="3">
        <v>6.875931279619E12</v>
      </c>
      <c r="B2003" s="2" t="s">
        <v>8357</v>
      </c>
      <c r="C2003" s="2" t="s">
        <v>6403</v>
      </c>
      <c r="D2003" s="169">
        <v>46043.0</v>
      </c>
      <c r="E2003" s="2">
        <v>3.127512669E9</v>
      </c>
      <c r="F2003" s="2" t="s">
        <v>8358</v>
      </c>
      <c r="G2003" s="2" t="s">
        <v>368</v>
      </c>
      <c r="H2003" s="2">
        <v>3099.0</v>
      </c>
      <c r="I2003" s="2">
        <v>2.312005002142E13</v>
      </c>
      <c r="J2003" s="3">
        <v>2.0</v>
      </c>
      <c r="K2003" s="2" t="s">
        <v>8359</v>
      </c>
      <c r="L2003" s="2" t="s">
        <v>40</v>
      </c>
      <c r="M2003" s="174" t="s">
        <v>409</v>
      </c>
      <c r="N2003" s="2" t="s">
        <v>462</v>
      </c>
      <c r="O2003" s="3">
        <v>0.5</v>
      </c>
      <c r="P2003" s="2" t="s">
        <v>73</v>
      </c>
      <c r="Q2003" s="3">
        <v>920.0</v>
      </c>
      <c r="T2003" s="2" t="s">
        <v>6123</v>
      </c>
      <c r="U2003" s="171">
        <v>3099.0</v>
      </c>
      <c r="V2003" s="172">
        <v>46049.0</v>
      </c>
      <c r="W2003" s="3">
        <v>231.0</v>
      </c>
      <c r="X2003" s="172">
        <v>46048.61686342592</v>
      </c>
      <c r="Y2003" s="172"/>
      <c r="Z2003" s="3">
        <v>46043.0</v>
      </c>
      <c r="AA2003" s="3"/>
    </row>
    <row r="2004">
      <c r="A2004" s="3">
        <v>6.875944714499E12</v>
      </c>
      <c r="B2004" s="2" t="s">
        <v>8360</v>
      </c>
      <c r="C2004" s="2" t="s">
        <v>8361</v>
      </c>
      <c r="D2004" s="169">
        <v>46043.0</v>
      </c>
      <c r="E2004" s="2">
        <v>3.227377E9</v>
      </c>
      <c r="F2004" s="2" t="s">
        <v>8362</v>
      </c>
      <c r="G2004" s="2" t="s">
        <v>8363</v>
      </c>
      <c r="H2004" s="2">
        <v>1999.0</v>
      </c>
      <c r="I2004" s="2">
        <v>2.2120050021451E13</v>
      </c>
      <c r="J2004" s="3">
        <v>1.0</v>
      </c>
      <c r="K2004" s="2" t="s">
        <v>8364</v>
      </c>
      <c r="L2004" s="2" t="s">
        <v>6608</v>
      </c>
      <c r="M2004" s="174" t="s">
        <v>409</v>
      </c>
      <c r="N2004" s="2" t="s">
        <v>462</v>
      </c>
      <c r="O2004" s="3">
        <v>0.5</v>
      </c>
      <c r="P2004" s="2" t="s">
        <v>73</v>
      </c>
      <c r="Q2004" s="3">
        <v>1100.0</v>
      </c>
      <c r="T2004" s="2" t="s">
        <v>6123</v>
      </c>
      <c r="U2004" s="171">
        <v>1999.0</v>
      </c>
      <c r="V2004" s="172">
        <v>46049.0</v>
      </c>
      <c r="W2004" s="3">
        <v>280.0</v>
      </c>
      <c r="X2004" s="172">
        <v>46048.699641203704</v>
      </c>
      <c r="Y2004" s="172"/>
      <c r="Z2004" s="3">
        <v>46043.0</v>
      </c>
      <c r="AA2004" s="3"/>
    </row>
    <row r="2005">
      <c r="A2005" s="3">
        <v>6.876136571139E12</v>
      </c>
      <c r="B2005" s="2" t="s">
        <v>8365</v>
      </c>
      <c r="C2005" s="2" t="s">
        <v>8366</v>
      </c>
      <c r="D2005" s="169">
        <v>46043.0</v>
      </c>
      <c r="E2005" s="2">
        <v>3.314830267E9</v>
      </c>
      <c r="F2005" s="2" t="s">
        <v>8367</v>
      </c>
      <c r="G2005" s="2" t="s">
        <v>368</v>
      </c>
      <c r="H2005" s="2">
        <v>3099.0</v>
      </c>
      <c r="I2005" s="2">
        <v>2.4120050021419E13</v>
      </c>
      <c r="J2005" s="3">
        <v>2.0</v>
      </c>
      <c r="K2005" s="2" t="s">
        <v>8368</v>
      </c>
      <c r="L2005" s="2" t="s">
        <v>228</v>
      </c>
      <c r="M2005" s="174" t="s">
        <v>409</v>
      </c>
      <c r="N2005" s="2" t="s">
        <v>462</v>
      </c>
      <c r="O2005" s="3">
        <v>0.5</v>
      </c>
      <c r="P2005" s="2" t="s">
        <v>73</v>
      </c>
      <c r="Q2005" s="3">
        <v>920.0</v>
      </c>
      <c r="T2005" s="2" t="s">
        <v>6123</v>
      </c>
      <c r="U2005" s="171">
        <v>3099.0</v>
      </c>
      <c r="V2005" s="172">
        <v>46049.0</v>
      </c>
      <c r="W2005" s="3">
        <v>231.0</v>
      </c>
      <c r="X2005" s="172">
        <v>46045.83855324074</v>
      </c>
      <c r="Y2005" s="172"/>
      <c r="Z2005" s="3">
        <v>46043.0</v>
      </c>
      <c r="AA2005" s="3"/>
    </row>
    <row r="2006">
      <c r="A2006" s="3">
        <v>6.876210102531E12</v>
      </c>
      <c r="B2006" s="2" t="s">
        <v>8369</v>
      </c>
      <c r="C2006" s="2" t="s">
        <v>8370</v>
      </c>
      <c r="D2006" s="169">
        <v>46043.0</v>
      </c>
      <c r="E2006" s="2">
        <v>3.024400085E9</v>
      </c>
      <c r="F2006" s="2" t="s">
        <v>8371</v>
      </c>
      <c r="G2006" s="2" t="s">
        <v>2675</v>
      </c>
      <c r="H2006" s="2">
        <v>249.0</v>
      </c>
      <c r="I2006" s="2" t="s">
        <v>8372</v>
      </c>
      <c r="J2006" s="3">
        <v>0.0</v>
      </c>
      <c r="K2006" s="2" t="s">
        <v>8373</v>
      </c>
      <c r="L2006" s="2"/>
      <c r="M2006" s="170" t="s">
        <v>455</v>
      </c>
      <c r="N2006" s="2" t="s">
        <v>406</v>
      </c>
      <c r="O2006" s="3">
        <v>0.5</v>
      </c>
      <c r="P2006" s="2" t="s">
        <v>640</v>
      </c>
      <c r="Q2006" s="3">
        <v>0.0</v>
      </c>
      <c r="U2006" s="141"/>
      <c r="W2006" s="3">
        <v>289.94</v>
      </c>
      <c r="X2006" s="172">
        <v>46067.0051484375</v>
      </c>
      <c r="Y2006" s="172"/>
      <c r="Z2006" s="3">
        <v>46043.0</v>
      </c>
      <c r="AA2006" s="3"/>
    </row>
    <row r="2007">
      <c r="A2007" s="3">
        <v>6.876258697475E12</v>
      </c>
      <c r="B2007" s="2" t="s">
        <v>8374</v>
      </c>
      <c r="C2007" s="2" t="s">
        <v>8375</v>
      </c>
      <c r="D2007" s="169">
        <v>46043.0</v>
      </c>
      <c r="E2007" s="2">
        <v>3.436158824E9</v>
      </c>
      <c r="F2007" s="2" t="s">
        <v>8376</v>
      </c>
      <c r="G2007" s="2" t="s">
        <v>8377</v>
      </c>
      <c r="H2007" s="2">
        <v>4998.0</v>
      </c>
      <c r="I2007" s="2">
        <v>2.0120050021413E13</v>
      </c>
      <c r="J2007" s="3">
        <v>3.0</v>
      </c>
      <c r="K2007" s="2" t="s">
        <v>8378</v>
      </c>
      <c r="L2007" s="2" t="s">
        <v>8379</v>
      </c>
      <c r="M2007" s="174" t="s">
        <v>409</v>
      </c>
      <c r="N2007" s="2" t="s">
        <v>462</v>
      </c>
      <c r="O2007" s="3">
        <v>0.5</v>
      </c>
      <c r="P2007" s="2" t="s">
        <v>73</v>
      </c>
      <c r="Q2007" s="3">
        <v>1770.0</v>
      </c>
      <c r="T2007" s="2" t="s">
        <v>6123</v>
      </c>
      <c r="U2007" s="171">
        <v>4998.0</v>
      </c>
      <c r="V2007" s="172">
        <v>46049.0</v>
      </c>
      <c r="W2007" s="3">
        <v>427.0</v>
      </c>
      <c r="X2007" s="172">
        <v>46048.637083333335</v>
      </c>
      <c r="Y2007" s="172"/>
      <c r="Z2007" s="3">
        <v>46043.0</v>
      </c>
      <c r="AA2007" s="3"/>
    </row>
    <row r="2008">
      <c r="A2008" s="3">
        <v>6.876298969347E12</v>
      </c>
      <c r="B2008" s="2" t="s">
        <v>8380</v>
      </c>
      <c r="C2008" s="2" t="s">
        <v>8381</v>
      </c>
      <c r="D2008" s="169">
        <v>46043.0</v>
      </c>
      <c r="E2008" s="2">
        <v>3.18304899E9</v>
      </c>
      <c r="F2008" s="2" t="s">
        <v>8382</v>
      </c>
      <c r="G2008" s="2" t="s">
        <v>541</v>
      </c>
      <c r="H2008" s="2">
        <v>249.0</v>
      </c>
      <c r="I2008" s="2">
        <v>2.2120050021433E13</v>
      </c>
      <c r="J2008" s="3">
        <v>0.0</v>
      </c>
      <c r="K2008" s="2" t="s">
        <v>8383</v>
      </c>
      <c r="L2008" s="2"/>
      <c r="M2008" s="170" t="s">
        <v>455</v>
      </c>
      <c r="N2008" s="2" t="s">
        <v>406</v>
      </c>
      <c r="O2008" s="3">
        <v>0.5</v>
      </c>
      <c r="P2008" s="2" t="s">
        <v>73</v>
      </c>
      <c r="Q2008" s="3">
        <v>0.0</v>
      </c>
      <c r="T2008" s="2" t="s">
        <v>6193</v>
      </c>
      <c r="U2008" s="141"/>
      <c r="W2008" s="3">
        <v>200.0</v>
      </c>
      <c r="X2008" s="172">
        <v>46052.83976851852</v>
      </c>
      <c r="Y2008" s="172"/>
      <c r="Z2008" s="3">
        <v>46043.0</v>
      </c>
      <c r="AA2008" s="3"/>
    </row>
    <row r="2009">
      <c r="A2009" s="3">
        <v>6.876337996035E12</v>
      </c>
      <c r="B2009" s="2" t="s">
        <v>8384</v>
      </c>
      <c r="C2009" s="2" t="s">
        <v>8385</v>
      </c>
      <c r="D2009" s="169">
        <v>46043.0</v>
      </c>
      <c r="E2009" s="2">
        <v>3.045781801E9</v>
      </c>
      <c r="F2009" s="2" t="s">
        <v>8386</v>
      </c>
      <c r="G2009" s="2" t="s">
        <v>506</v>
      </c>
      <c r="H2009" s="2">
        <v>4998.0</v>
      </c>
      <c r="I2009" s="2">
        <v>2.3120050021412E13</v>
      </c>
      <c r="J2009" s="3">
        <v>3.0</v>
      </c>
      <c r="K2009" s="2" t="s">
        <v>8387</v>
      </c>
      <c r="L2009" s="2" t="s">
        <v>8388</v>
      </c>
      <c r="M2009" s="174" t="s">
        <v>409</v>
      </c>
      <c r="N2009" s="2" t="s">
        <v>462</v>
      </c>
      <c r="O2009" s="3">
        <v>0.5</v>
      </c>
      <c r="P2009" s="2" t="s">
        <v>73</v>
      </c>
      <c r="Q2009" s="3">
        <v>1690.0</v>
      </c>
      <c r="T2009" s="2" t="s">
        <v>6123</v>
      </c>
      <c r="U2009" s="171">
        <v>4998.0</v>
      </c>
      <c r="V2009" s="172">
        <v>46049.0</v>
      </c>
      <c r="W2009" s="3">
        <v>420.0</v>
      </c>
      <c r="X2009" s="172">
        <v>46046.695381944446</v>
      </c>
      <c r="Y2009" s="172"/>
      <c r="Z2009" s="3">
        <v>46043.0</v>
      </c>
      <c r="AA2009" s="3"/>
    </row>
    <row r="2010">
      <c r="A2010" s="3">
        <v>6.876350972163E12</v>
      </c>
      <c r="B2010" s="2" t="s">
        <v>8389</v>
      </c>
      <c r="C2010" s="2" t="s">
        <v>8390</v>
      </c>
      <c r="D2010" s="169">
        <v>46043.0</v>
      </c>
      <c r="E2010" s="2">
        <v>3.009356661E9</v>
      </c>
      <c r="F2010" s="2" t="s">
        <v>8391</v>
      </c>
      <c r="G2010" s="2" t="s">
        <v>368</v>
      </c>
      <c r="H2010" s="2">
        <v>4248.0</v>
      </c>
      <c r="I2010" s="2">
        <v>2.4120050021411E13</v>
      </c>
      <c r="J2010" s="3">
        <v>2.0</v>
      </c>
      <c r="K2010" s="2" t="s">
        <v>8392</v>
      </c>
      <c r="L2010" s="2" t="s">
        <v>913</v>
      </c>
      <c r="M2010" s="174" t="s">
        <v>409</v>
      </c>
      <c r="N2010" s="2" t="s">
        <v>462</v>
      </c>
      <c r="O2010" s="3">
        <v>0.5</v>
      </c>
      <c r="P2010" s="2" t="s">
        <v>73</v>
      </c>
      <c r="Q2010" s="3">
        <v>1700.0</v>
      </c>
      <c r="T2010" s="2" t="s">
        <v>6123</v>
      </c>
      <c r="U2010" s="171">
        <v>4248.0</v>
      </c>
      <c r="V2010" s="172">
        <v>46049.0</v>
      </c>
      <c r="W2010" s="3">
        <v>290.0</v>
      </c>
      <c r="X2010" s="172">
        <v>46045.80929398148</v>
      </c>
      <c r="Y2010" s="172"/>
      <c r="Z2010" s="3">
        <v>46043.0</v>
      </c>
      <c r="AA2010" s="3"/>
    </row>
    <row r="2011">
      <c r="A2011" s="3">
        <v>6.876388851971E12</v>
      </c>
      <c r="B2011" s="2" t="s">
        <v>8393</v>
      </c>
      <c r="C2011" s="2" t="s">
        <v>8394</v>
      </c>
      <c r="D2011" s="169">
        <v>46044.0</v>
      </c>
      <c r="E2011" s="2">
        <v>3.706981205E9</v>
      </c>
      <c r="F2011" s="2" t="s">
        <v>8395</v>
      </c>
      <c r="G2011" s="2" t="s">
        <v>8396</v>
      </c>
      <c r="H2011" s="2">
        <v>0.0</v>
      </c>
      <c r="I2011" s="2" t="s">
        <v>8397</v>
      </c>
      <c r="J2011" s="3">
        <v>0.0</v>
      </c>
      <c r="K2011" s="2" t="s">
        <v>8398</v>
      </c>
      <c r="L2011" s="2"/>
      <c r="M2011" s="170" t="s">
        <v>455</v>
      </c>
      <c r="N2011" s="2" t="s">
        <v>406</v>
      </c>
      <c r="O2011" s="3">
        <v>0.5</v>
      </c>
      <c r="P2011" s="2" t="s">
        <v>640</v>
      </c>
      <c r="Q2011" s="3">
        <v>0.0</v>
      </c>
      <c r="U2011" s="141"/>
      <c r="W2011" s="3">
        <v>498.74</v>
      </c>
      <c r="X2011" s="172">
        <v>46067.00515324074</v>
      </c>
      <c r="Y2011" s="172"/>
      <c r="Z2011" s="3">
        <v>46044.0</v>
      </c>
      <c r="AA2011" s="3"/>
    </row>
    <row r="2012">
      <c r="A2012" s="3">
        <v>6.876390686979E12</v>
      </c>
      <c r="B2012" s="2" t="s">
        <v>8399</v>
      </c>
      <c r="C2012" s="2" t="s">
        <v>8394</v>
      </c>
      <c r="D2012" s="169">
        <v>46044.0</v>
      </c>
      <c r="E2012" s="2">
        <v>3.706981205E9</v>
      </c>
      <c r="F2012" s="2" t="s">
        <v>8400</v>
      </c>
      <c r="G2012" s="2" t="s">
        <v>8401</v>
      </c>
      <c r="H2012" s="2">
        <v>0.0</v>
      </c>
      <c r="J2012" s="3">
        <v>0.0</v>
      </c>
      <c r="K2012" s="2" t="s">
        <v>8402</v>
      </c>
      <c r="L2012" s="2"/>
      <c r="M2012" s="2" t="s">
        <v>468</v>
      </c>
      <c r="N2012" s="2" t="s">
        <v>406</v>
      </c>
      <c r="O2012" s="3">
        <v>0.5</v>
      </c>
      <c r="Q2012" s="3">
        <v>0.0</v>
      </c>
      <c r="U2012" s="141"/>
      <c r="X2012" s="172">
        <v>46057.642782870375</v>
      </c>
      <c r="Y2012" s="172"/>
      <c r="Z2012" s="3">
        <v>46044.0</v>
      </c>
      <c r="AA2012" s="3"/>
    </row>
    <row r="2013">
      <c r="A2013" s="3">
        <v>6.876399960323E12</v>
      </c>
      <c r="B2013" s="2" t="s">
        <v>8403</v>
      </c>
      <c r="C2013" s="2" t="s">
        <v>8404</v>
      </c>
      <c r="D2013" s="169">
        <v>46044.0</v>
      </c>
      <c r="E2013" s="2">
        <v>3.192804804E9</v>
      </c>
      <c r="F2013" s="2" t="s">
        <v>8405</v>
      </c>
      <c r="G2013" s="2" t="s">
        <v>493</v>
      </c>
      <c r="H2013" s="2">
        <v>0.0</v>
      </c>
      <c r="J2013" s="3">
        <v>0.0</v>
      </c>
      <c r="K2013" s="2" t="s">
        <v>8406</v>
      </c>
      <c r="L2013" s="2"/>
      <c r="M2013" s="2" t="s">
        <v>468</v>
      </c>
      <c r="N2013" s="2" t="s">
        <v>406</v>
      </c>
      <c r="O2013" s="3">
        <v>0.5</v>
      </c>
      <c r="Q2013" s="3">
        <v>0.0</v>
      </c>
      <c r="U2013" s="141"/>
      <c r="X2013" s="172">
        <v>46057.642782870375</v>
      </c>
      <c r="Y2013" s="172"/>
      <c r="Z2013" s="3">
        <v>46044.0</v>
      </c>
      <c r="AA2013" s="3"/>
    </row>
    <row r="2014">
      <c r="A2014" s="3">
        <v>6.876462481667E12</v>
      </c>
      <c r="B2014" s="2" t="s">
        <v>8407</v>
      </c>
      <c r="C2014" s="2" t="s">
        <v>8408</v>
      </c>
      <c r="D2014" s="169">
        <v>46044.0</v>
      </c>
      <c r="E2014" s="2">
        <v>3.170426113E9</v>
      </c>
      <c r="F2014" s="2" t="s">
        <v>8409</v>
      </c>
      <c r="G2014" s="2" t="s">
        <v>368</v>
      </c>
      <c r="H2014" s="2">
        <v>2948.0</v>
      </c>
      <c r="I2014" s="2">
        <v>2.8120050021432E13</v>
      </c>
      <c r="J2014" s="3">
        <v>2.0</v>
      </c>
      <c r="K2014" s="2" t="s">
        <v>8410</v>
      </c>
      <c r="L2014" s="2" t="s">
        <v>8411</v>
      </c>
      <c r="M2014" s="174" t="s">
        <v>409</v>
      </c>
      <c r="N2014" s="2" t="s">
        <v>462</v>
      </c>
      <c r="O2014" s="3">
        <v>0.5</v>
      </c>
      <c r="P2014" s="2" t="s">
        <v>73</v>
      </c>
      <c r="Q2014" s="3">
        <v>1150.0</v>
      </c>
      <c r="T2014" s="2" t="s">
        <v>6123</v>
      </c>
      <c r="U2014" s="171">
        <v>2948.0</v>
      </c>
      <c r="V2014" s="172">
        <v>46049.0</v>
      </c>
      <c r="W2014" s="3">
        <v>318.0</v>
      </c>
      <c r="X2014" s="172">
        <v>46045.52106481481</v>
      </c>
      <c r="Y2014" s="172"/>
      <c r="Z2014" s="3">
        <v>46044.0</v>
      </c>
      <c r="AA2014" s="3"/>
    </row>
    <row r="2015">
      <c r="A2015" s="3">
        <v>6.876561080579E12</v>
      </c>
      <c r="B2015" s="2" t="s">
        <v>8412</v>
      </c>
      <c r="C2015" s="2" t="s">
        <v>8413</v>
      </c>
      <c r="D2015" s="169">
        <v>46044.0</v>
      </c>
      <c r="E2015" s="2">
        <v>3.000880308E9</v>
      </c>
      <c r="F2015" s="2" t="s">
        <v>8414</v>
      </c>
      <c r="G2015" s="2" t="s">
        <v>493</v>
      </c>
      <c r="H2015" s="2">
        <v>249.0</v>
      </c>
      <c r="I2015" s="2">
        <v>2.512005002143E13</v>
      </c>
      <c r="J2015" s="3">
        <v>0.0</v>
      </c>
      <c r="K2015" s="2" t="s">
        <v>8415</v>
      </c>
      <c r="L2015" s="2"/>
      <c r="M2015" s="170" t="s">
        <v>455</v>
      </c>
      <c r="N2015" s="2" t="s">
        <v>406</v>
      </c>
      <c r="O2015" s="3">
        <v>0.5</v>
      </c>
      <c r="P2015" s="2" t="s">
        <v>73</v>
      </c>
      <c r="Q2015" s="3">
        <v>0.0</v>
      </c>
      <c r="T2015" s="2" t="s">
        <v>6193</v>
      </c>
      <c r="U2015" s="141"/>
      <c r="W2015" s="3">
        <v>213.0</v>
      </c>
      <c r="X2015" s="172">
        <v>46055.96199074074</v>
      </c>
      <c r="Y2015" s="172"/>
      <c r="Z2015" s="3">
        <v>46044.0</v>
      </c>
      <c r="AA2015" s="3"/>
    </row>
    <row r="2016">
      <c r="A2016" s="3">
        <v>6.876624126211E12</v>
      </c>
      <c r="B2016" s="2" t="s">
        <v>8416</v>
      </c>
      <c r="C2016" s="2" t="s">
        <v>8417</v>
      </c>
      <c r="D2016" s="169">
        <v>46044.0</v>
      </c>
      <c r="E2016" s="2">
        <v>3.34496627E9</v>
      </c>
      <c r="F2016" s="2" t="s">
        <v>8418</v>
      </c>
      <c r="G2016" s="2" t="s">
        <v>366</v>
      </c>
      <c r="H2016" s="2">
        <v>3099.0</v>
      </c>
      <c r="I2016" s="2">
        <v>2.3120050021429E13</v>
      </c>
      <c r="J2016" s="3">
        <v>2.0</v>
      </c>
      <c r="K2016" s="2" t="s">
        <v>8419</v>
      </c>
      <c r="L2016" s="2" t="s">
        <v>3242</v>
      </c>
      <c r="M2016" s="174" t="s">
        <v>409</v>
      </c>
      <c r="N2016" s="2" t="s">
        <v>462</v>
      </c>
      <c r="O2016" s="3">
        <v>0.5</v>
      </c>
      <c r="P2016" s="2" t="s">
        <v>73</v>
      </c>
      <c r="Q2016" s="3">
        <v>1000.0</v>
      </c>
      <c r="T2016" s="2" t="s">
        <v>6123</v>
      </c>
      <c r="U2016" s="171">
        <v>3099.0</v>
      </c>
      <c r="V2016" s="172">
        <v>46049.0</v>
      </c>
      <c r="W2016" s="3">
        <v>324.0</v>
      </c>
      <c r="X2016" s="172">
        <v>46046.57451388889</v>
      </c>
      <c r="Y2016" s="172"/>
      <c r="Z2016" s="3">
        <v>46044.0</v>
      </c>
      <c r="AA2016" s="3"/>
    </row>
    <row r="2017">
      <c r="A2017" s="3">
        <v>6.876680552707E12</v>
      </c>
      <c r="B2017" s="2" t="s">
        <v>8420</v>
      </c>
      <c r="C2017" s="2" t="s">
        <v>8421</v>
      </c>
      <c r="D2017" s="169">
        <v>46044.0</v>
      </c>
      <c r="E2017" s="2">
        <v>3.246607388E9</v>
      </c>
      <c r="F2017" s="2" t="s">
        <v>8422</v>
      </c>
      <c r="G2017" s="2" t="s">
        <v>374</v>
      </c>
      <c r="H2017" s="2">
        <v>5900.0</v>
      </c>
      <c r="I2017" s="2">
        <v>2.2120050021428E13</v>
      </c>
      <c r="J2017" s="3">
        <v>3.0</v>
      </c>
      <c r="K2017" s="2" t="s">
        <v>8423</v>
      </c>
      <c r="L2017" s="2" t="s">
        <v>8424</v>
      </c>
      <c r="M2017" s="174" t="s">
        <v>409</v>
      </c>
      <c r="N2017" s="2" t="s">
        <v>462</v>
      </c>
      <c r="O2017" s="3">
        <v>0.5</v>
      </c>
      <c r="P2017" s="2" t="s">
        <v>73</v>
      </c>
      <c r="Q2017" s="3">
        <v>2320.0</v>
      </c>
      <c r="T2017" s="2" t="s">
        <v>6123</v>
      </c>
      <c r="U2017" s="171">
        <v>5900.0</v>
      </c>
      <c r="V2017" s="172">
        <v>46049.0</v>
      </c>
      <c r="W2017" s="3">
        <v>456.0</v>
      </c>
      <c r="X2017" s="172">
        <v>46045.68708333334</v>
      </c>
      <c r="Y2017" s="172"/>
      <c r="Z2017" s="3">
        <v>46044.0</v>
      </c>
      <c r="AA2017" s="3"/>
    </row>
    <row r="2018">
      <c r="A2018" s="3">
        <v>6.876701917443E12</v>
      </c>
      <c r="B2018" s="2" t="s">
        <v>8425</v>
      </c>
      <c r="C2018" s="2" t="s">
        <v>8426</v>
      </c>
      <c r="D2018" s="169">
        <v>46044.0</v>
      </c>
      <c r="E2018" s="2">
        <v>3.133544553E9</v>
      </c>
      <c r="F2018" s="2" t="s">
        <v>8427</v>
      </c>
      <c r="G2018" s="2" t="s">
        <v>493</v>
      </c>
      <c r="H2018" s="2">
        <v>0.0</v>
      </c>
      <c r="I2018" s="2">
        <v>2.1120050021427E13</v>
      </c>
      <c r="J2018" s="3">
        <v>0.0</v>
      </c>
      <c r="K2018" s="2" t="s">
        <v>8428</v>
      </c>
      <c r="L2018" s="2"/>
      <c r="M2018" s="170" t="s">
        <v>455</v>
      </c>
      <c r="N2018" s="2" t="s">
        <v>406</v>
      </c>
      <c r="O2018" s="3">
        <v>0.5</v>
      </c>
      <c r="P2018" s="2" t="s">
        <v>73</v>
      </c>
      <c r="Q2018" s="3">
        <v>0.0</v>
      </c>
      <c r="T2018" s="2" t="s">
        <v>6193</v>
      </c>
      <c r="U2018" s="141"/>
      <c r="W2018" s="3">
        <v>227.0</v>
      </c>
      <c r="X2018" s="172">
        <v>46053.874826388885</v>
      </c>
      <c r="Y2018" s="172"/>
      <c r="Z2018" s="3">
        <v>46044.0</v>
      </c>
      <c r="AA2018" s="3"/>
    </row>
    <row r="2019">
      <c r="A2019" s="3">
        <v>6.876722299139E12</v>
      </c>
      <c r="B2019" s="2" t="s">
        <v>8429</v>
      </c>
      <c r="C2019" s="2" t="s">
        <v>8430</v>
      </c>
      <c r="D2019" s="169">
        <v>46044.0</v>
      </c>
      <c r="E2019" s="2">
        <v>3.235337443E9</v>
      </c>
      <c r="F2019" s="2" t="s">
        <v>8431</v>
      </c>
      <c r="G2019" s="2" t="s">
        <v>368</v>
      </c>
      <c r="H2019" s="2">
        <v>249.0</v>
      </c>
      <c r="I2019" s="2">
        <v>2.6120050021495E13</v>
      </c>
      <c r="J2019" s="3">
        <v>0.0</v>
      </c>
      <c r="K2019" s="2" t="s">
        <v>8432</v>
      </c>
      <c r="L2019" s="2"/>
      <c r="M2019" s="170" t="s">
        <v>455</v>
      </c>
      <c r="N2019" s="2" t="s">
        <v>406</v>
      </c>
      <c r="O2019" s="3">
        <v>0.5</v>
      </c>
      <c r="P2019" s="2" t="s">
        <v>73</v>
      </c>
      <c r="Q2019" s="3">
        <v>0.0</v>
      </c>
      <c r="T2019" s="2" t="s">
        <v>6193</v>
      </c>
      <c r="U2019" s="141"/>
      <c r="W2019" s="3">
        <v>120.0</v>
      </c>
      <c r="X2019" s="172">
        <v>46052.83976851852</v>
      </c>
      <c r="Y2019" s="172"/>
      <c r="Z2019" s="3">
        <v>46044.0</v>
      </c>
      <c r="AA2019" s="3"/>
    </row>
    <row r="2020">
      <c r="A2020" s="3">
        <v>6.876749627651E12</v>
      </c>
      <c r="B2020" s="2" t="s">
        <v>8433</v>
      </c>
      <c r="C2020" s="2" t="s">
        <v>8434</v>
      </c>
      <c r="D2020" s="169">
        <v>46044.0</v>
      </c>
      <c r="E2020" s="173" t="s">
        <v>8435</v>
      </c>
      <c r="F2020" s="2" t="s">
        <v>8436</v>
      </c>
      <c r="G2020" s="2" t="s">
        <v>3016</v>
      </c>
      <c r="H2020" s="2">
        <v>3099.0</v>
      </c>
      <c r="I2020" s="2">
        <v>2.6120050021426E13</v>
      </c>
      <c r="J2020" s="3">
        <v>2.0</v>
      </c>
      <c r="K2020" s="2" t="s">
        <v>8437</v>
      </c>
      <c r="L2020" s="2" t="s">
        <v>296</v>
      </c>
      <c r="M2020" s="174" t="s">
        <v>409</v>
      </c>
      <c r="N2020" s="2" t="s">
        <v>462</v>
      </c>
      <c r="O2020" s="3">
        <v>0.5</v>
      </c>
      <c r="P2020" s="2" t="s">
        <v>73</v>
      </c>
      <c r="Q2020" s="3">
        <v>920.0</v>
      </c>
      <c r="T2020" s="2" t="s">
        <v>6336</v>
      </c>
      <c r="U2020" s="171">
        <v>3099.0</v>
      </c>
      <c r="V2020" s="172">
        <v>46052.0</v>
      </c>
      <c r="W2020" s="3">
        <v>324.0</v>
      </c>
      <c r="X2020" s="172">
        <v>46049.793495370366</v>
      </c>
      <c r="Y2020" s="172"/>
      <c r="Z2020" s="3">
        <v>46044.0</v>
      </c>
      <c r="AA2020" s="3"/>
    </row>
    <row r="2021">
      <c r="A2021" s="3">
        <v>6.876758409475E12</v>
      </c>
      <c r="B2021" s="2" t="s">
        <v>8438</v>
      </c>
      <c r="C2021" s="2" t="s">
        <v>8439</v>
      </c>
      <c r="D2021" s="169">
        <v>46044.0</v>
      </c>
      <c r="E2021" s="2">
        <v>3.008568431E9</v>
      </c>
      <c r="F2021" s="2" t="s">
        <v>8440</v>
      </c>
      <c r="G2021" s="2" t="s">
        <v>8441</v>
      </c>
      <c r="H2021" s="2">
        <v>249.0</v>
      </c>
      <c r="I2021" s="2">
        <v>2.1120050021431E13</v>
      </c>
      <c r="J2021" s="3">
        <v>0.0</v>
      </c>
      <c r="K2021" s="2" t="s">
        <v>8442</v>
      </c>
      <c r="L2021" s="2"/>
      <c r="M2021" s="170" t="s">
        <v>455</v>
      </c>
      <c r="N2021" s="2" t="s">
        <v>406</v>
      </c>
      <c r="O2021" s="3">
        <v>0.5</v>
      </c>
      <c r="P2021" s="2" t="s">
        <v>73</v>
      </c>
      <c r="Q2021" s="3">
        <v>0.0</v>
      </c>
      <c r="T2021" s="2" t="s">
        <v>6336</v>
      </c>
      <c r="U2021" s="171">
        <v>0.0</v>
      </c>
      <c r="V2021" s="172">
        <v>46052.0</v>
      </c>
      <c r="W2021" s="3">
        <v>220.0</v>
      </c>
      <c r="X2021" s="172">
        <v>46051.86579861111</v>
      </c>
      <c r="Y2021" s="172"/>
      <c r="Z2021" s="3">
        <v>46044.0</v>
      </c>
      <c r="AA2021" s="3"/>
    </row>
    <row r="2022">
      <c r="A2022" s="3">
        <v>6.876831318275E12</v>
      </c>
      <c r="B2022" s="2" t="s">
        <v>8443</v>
      </c>
      <c r="C2022" s="2" t="s">
        <v>8444</v>
      </c>
      <c r="D2022" s="169">
        <v>46044.0</v>
      </c>
      <c r="E2022" s="2">
        <v>3.089025118E9</v>
      </c>
      <c r="F2022" s="2" t="s">
        <v>8445</v>
      </c>
      <c r="G2022" s="2" t="s">
        <v>855</v>
      </c>
      <c r="H2022" s="2">
        <v>0.0</v>
      </c>
      <c r="J2022" s="3">
        <v>0.0</v>
      </c>
      <c r="K2022" s="2" t="s">
        <v>8446</v>
      </c>
      <c r="L2022" s="2"/>
      <c r="M2022" s="2" t="s">
        <v>468</v>
      </c>
      <c r="N2022" s="2" t="s">
        <v>406</v>
      </c>
      <c r="O2022" s="3">
        <v>0.5</v>
      </c>
      <c r="Q2022" s="3">
        <v>0.0</v>
      </c>
      <c r="U2022" s="141"/>
      <c r="X2022" s="172">
        <v>46057.642782870375</v>
      </c>
      <c r="Y2022" s="172"/>
      <c r="Z2022" s="3">
        <v>46044.0</v>
      </c>
      <c r="AA2022" s="3"/>
    </row>
    <row r="2023">
      <c r="A2023" s="3">
        <v>6.876832596227E12</v>
      </c>
      <c r="B2023" s="2" t="s">
        <v>8447</v>
      </c>
      <c r="C2023" s="2" t="s">
        <v>8444</v>
      </c>
      <c r="D2023" s="169">
        <v>46044.0</v>
      </c>
      <c r="E2023" s="2">
        <v>3.089025118E9</v>
      </c>
      <c r="F2023" s="2" t="s">
        <v>8445</v>
      </c>
      <c r="G2023" s="2" t="s">
        <v>855</v>
      </c>
      <c r="H2023" s="2">
        <v>249.0</v>
      </c>
      <c r="I2023" s="2">
        <v>2.7120050021425E13</v>
      </c>
      <c r="J2023" s="3">
        <v>0.0</v>
      </c>
      <c r="K2023" s="2" t="s">
        <v>8448</v>
      </c>
      <c r="L2023" s="2"/>
      <c r="M2023" s="170" t="s">
        <v>455</v>
      </c>
      <c r="N2023" s="2" t="s">
        <v>406</v>
      </c>
      <c r="O2023" s="3">
        <v>0.5</v>
      </c>
      <c r="P2023" s="2" t="s">
        <v>73</v>
      </c>
      <c r="Q2023" s="3">
        <v>0.0</v>
      </c>
      <c r="T2023" s="2" t="s">
        <v>6193</v>
      </c>
      <c r="U2023" s="141"/>
      <c r="W2023" s="3">
        <v>200.0</v>
      </c>
      <c r="X2023" s="172">
        <v>46055.96199074074</v>
      </c>
      <c r="Y2023" s="172"/>
      <c r="Z2023" s="3">
        <v>46044.0</v>
      </c>
      <c r="AA2023" s="3"/>
    </row>
    <row r="2024">
      <c r="A2024" s="3">
        <v>6.876906651907E12</v>
      </c>
      <c r="B2024" s="2" t="s">
        <v>8449</v>
      </c>
      <c r="C2024" s="2" t="s">
        <v>8450</v>
      </c>
      <c r="D2024" s="169">
        <v>46044.0</v>
      </c>
      <c r="E2024" s="2">
        <v>3.222718779E9</v>
      </c>
      <c r="F2024" s="2" t="s">
        <v>8451</v>
      </c>
      <c r="G2024" s="2" t="s">
        <v>493</v>
      </c>
      <c r="H2024" s="2">
        <v>2749.0</v>
      </c>
      <c r="I2024" s="2">
        <v>2.6120050021424E13</v>
      </c>
      <c r="J2024" s="3">
        <v>2.0</v>
      </c>
      <c r="K2024" s="2" t="s">
        <v>8452</v>
      </c>
      <c r="L2024" s="2" t="s">
        <v>35</v>
      </c>
      <c r="M2024" s="174" t="s">
        <v>409</v>
      </c>
      <c r="N2024" s="2" t="s">
        <v>462</v>
      </c>
      <c r="O2024" s="3">
        <v>0.5</v>
      </c>
      <c r="P2024" s="2" t="s">
        <v>73</v>
      </c>
      <c r="Q2024" s="3">
        <v>980.0</v>
      </c>
      <c r="T2024" s="2" t="s">
        <v>6336</v>
      </c>
      <c r="U2024" s="171">
        <v>2749.0</v>
      </c>
      <c r="V2024" s="172">
        <v>46052.0</v>
      </c>
      <c r="W2024" s="3">
        <v>323.0</v>
      </c>
      <c r="X2024" s="172">
        <v>46050.74328703704</v>
      </c>
      <c r="Y2024" s="172"/>
      <c r="Z2024" s="3">
        <v>46044.0</v>
      </c>
      <c r="AA2024" s="3"/>
    </row>
    <row r="2025">
      <c r="A2025" s="3">
        <v>6.876916285699E12</v>
      </c>
      <c r="B2025" s="2" t="s">
        <v>8453</v>
      </c>
      <c r="C2025" s="2" t="s">
        <v>8394</v>
      </c>
      <c r="D2025" s="169">
        <v>46044.0</v>
      </c>
      <c r="E2025" s="2">
        <v>3.706981205E9</v>
      </c>
      <c r="F2025" s="2" t="s">
        <v>8454</v>
      </c>
      <c r="G2025" s="2" t="s">
        <v>8396</v>
      </c>
      <c r="H2025" s="2">
        <v>0.0</v>
      </c>
      <c r="J2025" s="3">
        <v>0.0</v>
      </c>
      <c r="K2025" s="2" t="s">
        <v>8455</v>
      </c>
      <c r="L2025" s="2"/>
      <c r="M2025" s="2" t="s">
        <v>468</v>
      </c>
      <c r="N2025" s="2" t="s">
        <v>406</v>
      </c>
      <c r="O2025" s="3">
        <v>0.5</v>
      </c>
      <c r="Q2025" s="3">
        <v>0.0</v>
      </c>
      <c r="U2025" s="141"/>
      <c r="X2025" s="172">
        <v>46057.642782870375</v>
      </c>
      <c r="Y2025" s="172"/>
      <c r="Z2025" s="3">
        <v>46044.0</v>
      </c>
      <c r="AA2025" s="3"/>
    </row>
    <row r="2026">
      <c r="A2026" s="3">
        <v>6.876917596419E12</v>
      </c>
      <c r="B2026" s="2" t="s">
        <v>8456</v>
      </c>
      <c r="C2026" s="2" t="s">
        <v>8394</v>
      </c>
      <c r="D2026" s="169">
        <v>46044.0</v>
      </c>
      <c r="E2026" s="2">
        <v>3.706981205E9</v>
      </c>
      <c r="F2026" s="2" t="s">
        <v>8454</v>
      </c>
      <c r="G2026" s="2" t="s">
        <v>8396</v>
      </c>
      <c r="H2026" s="2">
        <v>0.0</v>
      </c>
      <c r="J2026" s="3">
        <v>0.0</v>
      </c>
      <c r="K2026" s="2" t="s">
        <v>8455</v>
      </c>
      <c r="L2026" s="2"/>
      <c r="M2026" s="2" t="s">
        <v>468</v>
      </c>
      <c r="N2026" s="2" t="s">
        <v>406</v>
      </c>
      <c r="O2026" s="3">
        <v>0.5</v>
      </c>
      <c r="Q2026" s="3">
        <v>0.0</v>
      </c>
      <c r="U2026" s="141"/>
      <c r="X2026" s="172">
        <v>46057.642782870375</v>
      </c>
      <c r="Y2026" s="172"/>
      <c r="Z2026" s="3">
        <v>46044.0</v>
      </c>
      <c r="AA2026" s="3"/>
    </row>
    <row r="2027">
      <c r="A2027" s="3">
        <v>6.876926181635E12</v>
      </c>
      <c r="B2027" s="2" t="s">
        <v>8457</v>
      </c>
      <c r="C2027" s="2" t="s">
        <v>8458</v>
      </c>
      <c r="D2027" s="169">
        <v>46044.0</v>
      </c>
      <c r="E2027" s="2">
        <v>3.462652499E9</v>
      </c>
      <c r="F2027" s="2" t="s">
        <v>8459</v>
      </c>
      <c r="G2027" s="2" t="s">
        <v>493</v>
      </c>
      <c r="H2027" s="2">
        <v>4248.0</v>
      </c>
      <c r="I2027" s="2">
        <v>2.412005002141E13</v>
      </c>
      <c r="J2027" s="3">
        <v>2.0</v>
      </c>
      <c r="K2027" s="2" t="s">
        <v>8460</v>
      </c>
      <c r="L2027" s="2" t="s">
        <v>994</v>
      </c>
      <c r="M2027" s="174" t="s">
        <v>409</v>
      </c>
      <c r="N2027" s="2" t="s">
        <v>462</v>
      </c>
      <c r="O2027" s="3">
        <v>0.5</v>
      </c>
      <c r="P2027" s="2" t="s">
        <v>73</v>
      </c>
      <c r="Q2027" s="3">
        <v>1700.0</v>
      </c>
      <c r="T2027" s="2" t="s">
        <v>6123</v>
      </c>
      <c r="U2027" s="171">
        <v>4248.0</v>
      </c>
      <c r="V2027" s="172">
        <v>46049.0</v>
      </c>
      <c r="W2027" s="3">
        <v>397.0</v>
      </c>
      <c r="X2027" s="172">
        <v>46048.62884259259</v>
      </c>
      <c r="Y2027" s="172"/>
      <c r="Z2027" s="3">
        <v>46044.0</v>
      </c>
      <c r="AA2027" s="3"/>
    </row>
    <row r="2028">
      <c r="A2028" s="3">
        <v>6.876980609283E12</v>
      </c>
      <c r="B2028" s="2" t="s">
        <v>8461</v>
      </c>
      <c r="C2028" s="2" t="s">
        <v>8462</v>
      </c>
      <c r="D2028" s="169">
        <v>46044.0</v>
      </c>
      <c r="E2028" s="2">
        <v>3.035599555E9</v>
      </c>
      <c r="F2028" s="2" t="s">
        <v>8463</v>
      </c>
      <c r="G2028" s="2" t="s">
        <v>8464</v>
      </c>
      <c r="H2028" s="2">
        <v>2849.0</v>
      </c>
      <c r="I2028" s="2">
        <v>2.6120050021418E13</v>
      </c>
      <c r="J2028" s="3">
        <v>2.0</v>
      </c>
      <c r="K2028" s="2" t="s">
        <v>8465</v>
      </c>
      <c r="L2028" s="2" t="s">
        <v>4209</v>
      </c>
      <c r="M2028" s="174" t="s">
        <v>409</v>
      </c>
      <c r="N2028" s="2" t="s">
        <v>462</v>
      </c>
      <c r="O2028" s="3">
        <v>0.5</v>
      </c>
      <c r="P2028" s="2" t="s">
        <v>73</v>
      </c>
      <c r="Q2028" s="3">
        <v>920.0</v>
      </c>
      <c r="T2028" s="2" t="s">
        <v>6123</v>
      </c>
      <c r="U2028" s="171">
        <v>2849.0</v>
      </c>
      <c r="V2028" s="172">
        <v>46049.0</v>
      </c>
      <c r="W2028" s="3">
        <v>314.0</v>
      </c>
      <c r="X2028" s="172">
        <v>46046.6877662037</v>
      </c>
      <c r="Y2028" s="172"/>
      <c r="Z2028" s="3">
        <v>46044.0</v>
      </c>
      <c r="AA2028" s="3"/>
    </row>
    <row r="2029">
      <c r="A2029" s="3">
        <v>6.876980674819E12</v>
      </c>
      <c r="B2029" s="2" t="s">
        <v>8466</v>
      </c>
      <c r="C2029" s="2" t="s">
        <v>8467</v>
      </c>
      <c r="D2029" s="169">
        <v>46044.0</v>
      </c>
      <c r="E2029" s="2">
        <v>3.42257352E9</v>
      </c>
      <c r="F2029" s="2" t="s">
        <v>8468</v>
      </c>
      <c r="G2029" s="2" t="s">
        <v>493</v>
      </c>
      <c r="H2029" s="2">
        <v>0.0</v>
      </c>
      <c r="I2029" s="2">
        <v>2.5120050021417E13</v>
      </c>
      <c r="J2029" s="3">
        <v>0.0</v>
      </c>
      <c r="K2029" s="2" t="s">
        <v>8469</v>
      </c>
      <c r="L2029" s="2"/>
      <c r="M2029" s="2" t="s">
        <v>468</v>
      </c>
      <c r="N2029" s="2" t="s">
        <v>406</v>
      </c>
      <c r="O2029" s="3">
        <v>0.5</v>
      </c>
      <c r="P2029" s="2" t="s">
        <v>73</v>
      </c>
      <c r="Q2029" s="3">
        <v>0.0</v>
      </c>
      <c r="U2029" s="141"/>
      <c r="X2029" s="172">
        <v>46079.689274930555</v>
      </c>
      <c r="Y2029" s="172"/>
      <c r="Z2029" s="3">
        <v>46044.0</v>
      </c>
      <c r="AA2029" s="3"/>
    </row>
    <row r="2030">
      <c r="A2030" s="3">
        <v>6.876992536835E12</v>
      </c>
      <c r="B2030" s="2" t="s">
        <v>8470</v>
      </c>
      <c r="C2030" s="2" t="s">
        <v>7713</v>
      </c>
      <c r="D2030" s="169">
        <v>46044.0</v>
      </c>
      <c r="E2030" s="2">
        <v>3.002074621E9</v>
      </c>
      <c r="F2030" s="2" t="s">
        <v>8471</v>
      </c>
      <c r="G2030" s="2" t="s">
        <v>8472</v>
      </c>
      <c r="H2030" s="2">
        <v>2749.0</v>
      </c>
      <c r="I2030" s="2">
        <v>2.4120050021416E13</v>
      </c>
      <c r="J2030" s="3">
        <v>2.0</v>
      </c>
      <c r="K2030" s="2" t="s">
        <v>8473</v>
      </c>
      <c r="L2030" s="2" t="s">
        <v>16</v>
      </c>
      <c r="M2030" s="174" t="s">
        <v>409</v>
      </c>
      <c r="N2030" s="2" t="s">
        <v>462</v>
      </c>
      <c r="O2030" s="3">
        <v>0.5</v>
      </c>
      <c r="P2030" s="2" t="s">
        <v>73</v>
      </c>
      <c r="Q2030" s="3">
        <v>980.0</v>
      </c>
      <c r="T2030" s="2" t="s">
        <v>6336</v>
      </c>
      <c r="U2030" s="171">
        <v>2749.0</v>
      </c>
      <c r="V2030" s="172">
        <v>46052.0</v>
      </c>
      <c r="W2030" s="3">
        <v>323.0</v>
      </c>
      <c r="X2030" s="172">
        <v>46049.62311342593</v>
      </c>
      <c r="Y2030" s="172"/>
      <c r="Z2030" s="3">
        <v>46044.0</v>
      </c>
      <c r="AA2030" s="3"/>
    </row>
    <row r="2031">
      <c r="A2031" s="3">
        <v>6.877092348163E12</v>
      </c>
      <c r="B2031" s="2" t="s">
        <v>8474</v>
      </c>
      <c r="C2031" s="2" t="s">
        <v>8475</v>
      </c>
      <c r="D2031" s="169">
        <v>46044.0</v>
      </c>
      <c r="E2031" s="2">
        <v>3.07809162E9</v>
      </c>
      <c r="F2031" s="2" t="s">
        <v>8476</v>
      </c>
      <c r="G2031" s="2" t="s">
        <v>781</v>
      </c>
      <c r="H2031" s="2">
        <v>3099.0</v>
      </c>
      <c r="I2031" s="2">
        <v>2.8120050021415E13</v>
      </c>
      <c r="J2031" s="3">
        <v>2.0</v>
      </c>
      <c r="K2031" s="2" t="s">
        <v>8477</v>
      </c>
      <c r="L2031" s="2" t="s">
        <v>27</v>
      </c>
      <c r="M2031" s="174" t="s">
        <v>409</v>
      </c>
      <c r="N2031" s="2" t="s">
        <v>462</v>
      </c>
      <c r="O2031" s="3">
        <v>0.5</v>
      </c>
      <c r="P2031" s="2" t="s">
        <v>73</v>
      </c>
      <c r="Q2031" s="3">
        <v>920.0</v>
      </c>
      <c r="T2031" s="2" t="s">
        <v>6336</v>
      </c>
      <c r="U2031" s="171">
        <v>3099.0</v>
      </c>
      <c r="V2031" s="172">
        <v>46052.0</v>
      </c>
      <c r="W2031" s="3">
        <v>337.0</v>
      </c>
      <c r="X2031" s="172">
        <v>46049.53162037037</v>
      </c>
      <c r="Y2031" s="172"/>
      <c r="Z2031" s="3">
        <v>46044.0</v>
      </c>
      <c r="AA2031" s="3"/>
    </row>
    <row r="2032">
      <c r="A2032" s="3">
        <v>6.877108633859E12</v>
      </c>
      <c r="B2032" s="2" t="s">
        <v>8478</v>
      </c>
      <c r="C2032" s="2" t="s">
        <v>8479</v>
      </c>
      <c r="D2032" s="169">
        <v>46044.0</v>
      </c>
      <c r="E2032" s="173" t="s">
        <v>8480</v>
      </c>
      <c r="F2032" s="2" t="s">
        <v>8481</v>
      </c>
      <c r="G2032" s="2" t="s">
        <v>8482</v>
      </c>
      <c r="H2032" s="2">
        <v>3100.0</v>
      </c>
      <c r="I2032" s="2">
        <v>2.9120050021414E13</v>
      </c>
      <c r="J2032" s="3">
        <v>2.0</v>
      </c>
      <c r="K2032" s="2" t="s">
        <v>8483</v>
      </c>
      <c r="L2032" s="2" t="s">
        <v>40</v>
      </c>
      <c r="M2032" s="174" t="s">
        <v>409</v>
      </c>
      <c r="N2032" s="2" t="s">
        <v>462</v>
      </c>
      <c r="O2032" s="3">
        <v>0.5</v>
      </c>
      <c r="P2032" s="2" t="s">
        <v>73</v>
      </c>
      <c r="Q2032" s="3">
        <v>920.0</v>
      </c>
      <c r="T2032" s="2" t="s">
        <v>6336</v>
      </c>
      <c r="U2032" s="171">
        <v>3100.0</v>
      </c>
      <c r="V2032" s="172">
        <v>46052.0</v>
      </c>
      <c r="W2032" s="3">
        <v>324.0</v>
      </c>
      <c r="X2032" s="172">
        <v>46051.48768518519</v>
      </c>
      <c r="Y2032" s="172"/>
      <c r="Z2032" s="3">
        <v>46044.0</v>
      </c>
      <c r="AA2032" s="3"/>
    </row>
    <row r="2033">
      <c r="A2033" s="3">
        <v>6.877133799683E12</v>
      </c>
      <c r="B2033" s="2" t="s">
        <v>8484</v>
      </c>
      <c r="C2033" s="2" t="s">
        <v>8485</v>
      </c>
      <c r="D2033" s="169">
        <v>46044.0</v>
      </c>
      <c r="E2033" s="173" t="s">
        <v>8486</v>
      </c>
      <c r="F2033" s="2" t="s">
        <v>8487</v>
      </c>
      <c r="G2033" s="2" t="s">
        <v>8488</v>
      </c>
      <c r="H2033" s="2">
        <v>249.0</v>
      </c>
      <c r="I2033" s="2">
        <v>2.112005002149E13</v>
      </c>
      <c r="J2033" s="3">
        <v>0.0</v>
      </c>
      <c r="K2033" s="2" t="s">
        <v>8489</v>
      </c>
      <c r="L2033" s="2"/>
      <c r="M2033" s="170" t="s">
        <v>455</v>
      </c>
      <c r="N2033" s="2" t="s">
        <v>406</v>
      </c>
      <c r="O2033" s="3">
        <v>0.5</v>
      </c>
      <c r="P2033" s="2" t="s">
        <v>73</v>
      </c>
      <c r="Q2033" s="3">
        <v>0.0</v>
      </c>
      <c r="T2033" s="2" t="s">
        <v>6193</v>
      </c>
      <c r="U2033" s="141"/>
      <c r="W2033" s="3">
        <v>200.0</v>
      </c>
      <c r="X2033" s="172">
        <v>46053.874826388885</v>
      </c>
      <c r="Y2033" s="172"/>
      <c r="Z2033" s="3">
        <v>46044.0</v>
      </c>
      <c r="AA2033" s="3"/>
    </row>
    <row r="2034">
      <c r="A2034" s="3">
        <v>6.877273456899E12</v>
      </c>
      <c r="B2034" s="2" t="s">
        <v>8490</v>
      </c>
      <c r="C2034" s="2" t="s">
        <v>8491</v>
      </c>
      <c r="D2034" s="169">
        <v>46044.0</v>
      </c>
      <c r="E2034" s="2">
        <v>3.319911844E9</v>
      </c>
      <c r="F2034" s="2" t="s">
        <v>8492</v>
      </c>
      <c r="G2034" s="2" t="s">
        <v>781</v>
      </c>
      <c r="H2034" s="2">
        <v>2699.0</v>
      </c>
      <c r="I2034" s="2">
        <v>2.712005002145E13</v>
      </c>
      <c r="J2034" s="3">
        <v>1.0</v>
      </c>
      <c r="K2034" s="2" t="s">
        <v>8493</v>
      </c>
      <c r="L2034" s="2" t="s">
        <v>6286</v>
      </c>
      <c r="M2034" s="174" t="s">
        <v>409</v>
      </c>
      <c r="N2034" s="2" t="s">
        <v>462</v>
      </c>
      <c r="O2034" s="3">
        <v>0.5</v>
      </c>
      <c r="P2034" s="2" t="s">
        <v>73</v>
      </c>
      <c r="Q2034" s="3">
        <v>1075.0</v>
      </c>
      <c r="T2034" s="2" t="s">
        <v>6123</v>
      </c>
      <c r="U2034" s="171">
        <v>2699.0</v>
      </c>
      <c r="V2034" s="172">
        <v>46049.0</v>
      </c>
      <c r="W2034" s="3">
        <v>335.0</v>
      </c>
      <c r="X2034" s="172">
        <v>46047.56892361111</v>
      </c>
      <c r="Y2034" s="172"/>
      <c r="Z2034" s="3">
        <v>46044.0</v>
      </c>
      <c r="AA2034" s="3"/>
    </row>
    <row r="2035">
      <c r="A2035" s="3">
        <v>6.877307568387E12</v>
      </c>
      <c r="B2035" s="2" t="s">
        <v>8494</v>
      </c>
      <c r="C2035" s="2" t="s">
        <v>8495</v>
      </c>
      <c r="D2035" s="169">
        <v>46044.0</v>
      </c>
      <c r="E2035" s="2">
        <v>3.076767655E9</v>
      </c>
      <c r="F2035" s="2" t="s">
        <v>8496</v>
      </c>
      <c r="G2035" s="2" t="s">
        <v>541</v>
      </c>
      <c r="H2035" s="2">
        <v>2749.0</v>
      </c>
      <c r="I2035" s="2">
        <v>2.4120050021449E13</v>
      </c>
      <c r="J2035" s="3">
        <v>2.0</v>
      </c>
      <c r="K2035" s="2" t="s">
        <v>8497</v>
      </c>
      <c r="L2035" s="2" t="s">
        <v>16</v>
      </c>
      <c r="M2035" s="174" t="s">
        <v>409</v>
      </c>
      <c r="N2035" s="2" t="s">
        <v>462</v>
      </c>
      <c r="O2035" s="3">
        <v>0.5</v>
      </c>
      <c r="P2035" s="2" t="s">
        <v>73</v>
      </c>
      <c r="Q2035" s="3">
        <v>980.0</v>
      </c>
      <c r="T2035" s="2" t="s">
        <v>6123</v>
      </c>
      <c r="U2035" s="171">
        <v>2749.0</v>
      </c>
      <c r="V2035" s="172">
        <v>46049.0</v>
      </c>
      <c r="W2035" s="3">
        <v>310.0</v>
      </c>
      <c r="X2035" s="172">
        <v>46047.58421296296</v>
      </c>
      <c r="Y2035" s="172"/>
      <c r="Z2035" s="3">
        <v>46044.0</v>
      </c>
      <c r="AA2035" s="3"/>
    </row>
    <row r="2036">
      <c r="A2036" s="3">
        <v>6.877431660803E12</v>
      </c>
      <c r="B2036" s="2" t="s">
        <v>8498</v>
      </c>
      <c r="C2036" s="2" t="s">
        <v>8499</v>
      </c>
      <c r="D2036" s="169">
        <v>46044.0</v>
      </c>
      <c r="E2036" s="2">
        <v>3.014642278E9</v>
      </c>
      <c r="F2036" s="2" t="s">
        <v>8500</v>
      </c>
      <c r="G2036" s="2" t="s">
        <v>506</v>
      </c>
      <c r="H2036" s="2">
        <v>249.0</v>
      </c>
      <c r="I2036" s="2">
        <v>2.8120050021448E13</v>
      </c>
      <c r="J2036" s="3">
        <v>0.0</v>
      </c>
      <c r="K2036" s="2" t="s">
        <v>8501</v>
      </c>
      <c r="L2036" s="2"/>
      <c r="M2036" s="170" t="s">
        <v>455</v>
      </c>
      <c r="N2036" s="2" t="s">
        <v>406</v>
      </c>
      <c r="O2036" s="3">
        <v>0.5</v>
      </c>
      <c r="P2036" s="2" t="s">
        <v>73</v>
      </c>
      <c r="Q2036" s="3">
        <v>0.0</v>
      </c>
      <c r="T2036" s="2" t="s">
        <v>6193</v>
      </c>
      <c r="U2036" s="141"/>
      <c r="W2036" s="3">
        <v>200.0</v>
      </c>
      <c r="X2036" s="172">
        <v>46053.874826388885</v>
      </c>
      <c r="Y2036" s="172"/>
      <c r="Z2036" s="3">
        <v>46044.0</v>
      </c>
      <c r="AA2036" s="3"/>
    </row>
    <row r="2037">
      <c r="A2037" s="3">
        <v>6.877451059459E12</v>
      </c>
      <c r="B2037" s="2" t="s">
        <v>8502</v>
      </c>
      <c r="C2037" s="2" t="s">
        <v>8503</v>
      </c>
      <c r="D2037" s="169">
        <v>46044.0</v>
      </c>
      <c r="E2037" s="2">
        <v>3.339972495E9</v>
      </c>
      <c r="F2037" s="2" t="s">
        <v>8504</v>
      </c>
      <c r="G2037" s="2" t="s">
        <v>8505</v>
      </c>
      <c r="H2037" s="2">
        <v>2849.0</v>
      </c>
      <c r="I2037" s="2">
        <v>2.3120050021447E13</v>
      </c>
      <c r="J2037" s="3">
        <v>2.0</v>
      </c>
      <c r="K2037" s="2" t="s">
        <v>8506</v>
      </c>
      <c r="L2037" s="2" t="s">
        <v>2324</v>
      </c>
      <c r="M2037" s="174" t="s">
        <v>409</v>
      </c>
      <c r="N2037" s="2" t="s">
        <v>462</v>
      </c>
      <c r="O2037" s="3">
        <v>0.5</v>
      </c>
      <c r="P2037" s="2" t="s">
        <v>73</v>
      </c>
      <c r="Q2037" s="3">
        <v>920.0</v>
      </c>
      <c r="T2037" s="2" t="s">
        <v>6123</v>
      </c>
      <c r="U2037" s="171">
        <v>2849.0</v>
      </c>
      <c r="V2037" s="172">
        <v>46049.0</v>
      </c>
      <c r="W2037" s="3">
        <v>327.0</v>
      </c>
      <c r="X2037" s="172">
        <v>46046.545324074075</v>
      </c>
      <c r="Y2037" s="172"/>
      <c r="Z2037" s="3">
        <v>46044.0</v>
      </c>
      <c r="AA2037" s="3"/>
    </row>
    <row r="2038">
      <c r="A2038" s="3">
        <v>6.877556703491E12</v>
      </c>
      <c r="B2038" s="2" t="s">
        <v>8507</v>
      </c>
      <c r="C2038" s="2" t="s">
        <v>8508</v>
      </c>
      <c r="D2038" s="169">
        <v>46044.0</v>
      </c>
      <c r="E2038" s="2">
        <v>3.490846916E9</v>
      </c>
      <c r="F2038" s="2" t="s">
        <v>8468</v>
      </c>
      <c r="G2038" s="2" t="s">
        <v>493</v>
      </c>
      <c r="H2038" s="2">
        <v>3099.0</v>
      </c>
      <c r="I2038" s="2">
        <v>2.5120050021446E13</v>
      </c>
      <c r="J2038" s="3">
        <v>2.0</v>
      </c>
      <c r="K2038" s="2" t="s">
        <v>8509</v>
      </c>
      <c r="L2038" s="2" t="s">
        <v>906</v>
      </c>
      <c r="M2038" s="174" t="s">
        <v>409</v>
      </c>
      <c r="N2038" s="2" t="s">
        <v>462</v>
      </c>
      <c r="O2038" s="3">
        <v>0.5</v>
      </c>
      <c r="P2038" s="2" t="s">
        <v>73</v>
      </c>
      <c r="Q2038" s="3">
        <v>920.0</v>
      </c>
      <c r="T2038" s="2" t="s">
        <v>6123</v>
      </c>
      <c r="U2038" s="171">
        <v>3099.0</v>
      </c>
      <c r="V2038" s="172">
        <v>46049.0</v>
      </c>
      <c r="W2038" s="3">
        <v>337.0</v>
      </c>
      <c r="X2038" s="172">
        <v>46048.658587962964</v>
      </c>
      <c r="Y2038" s="172"/>
      <c r="Z2038" s="3">
        <v>46044.0</v>
      </c>
      <c r="AA2038" s="3"/>
    </row>
    <row r="2039">
      <c r="A2039" s="3">
        <v>6.877641801987E12</v>
      </c>
      <c r="B2039" s="2" t="s">
        <v>8510</v>
      </c>
      <c r="C2039" s="2" t="s">
        <v>8511</v>
      </c>
      <c r="D2039" s="169">
        <v>46044.0</v>
      </c>
      <c r="E2039" s="173" t="s">
        <v>8512</v>
      </c>
      <c r="F2039" s="2" t="s">
        <v>8513</v>
      </c>
      <c r="G2039" s="2" t="s">
        <v>493</v>
      </c>
      <c r="H2039" s="2">
        <v>3099.0</v>
      </c>
      <c r="I2039" s="2">
        <v>2.8120050021445E13</v>
      </c>
      <c r="J2039" s="3">
        <v>2.0</v>
      </c>
      <c r="K2039" s="2" t="s">
        <v>8514</v>
      </c>
      <c r="L2039" s="2" t="s">
        <v>228</v>
      </c>
      <c r="M2039" s="174" t="s">
        <v>409</v>
      </c>
      <c r="N2039" s="2" t="s">
        <v>462</v>
      </c>
      <c r="O2039" s="3">
        <v>0.5</v>
      </c>
      <c r="P2039" s="2" t="s">
        <v>73</v>
      </c>
      <c r="Q2039" s="3">
        <v>920.0</v>
      </c>
      <c r="T2039" s="2" t="s">
        <v>6123</v>
      </c>
      <c r="U2039" s="171">
        <v>3099.0</v>
      </c>
      <c r="V2039" s="172">
        <v>46049.0</v>
      </c>
      <c r="W2039" s="3">
        <v>351.0</v>
      </c>
      <c r="X2039" s="172">
        <v>46048.66008101852</v>
      </c>
      <c r="Y2039" s="172"/>
      <c r="Z2039" s="3">
        <v>46044.0</v>
      </c>
      <c r="AA2039" s="3"/>
    </row>
    <row r="2040">
      <c r="A2040" s="3">
        <v>6.877650518275E12</v>
      </c>
      <c r="B2040" s="2" t="s">
        <v>8515</v>
      </c>
      <c r="C2040" s="2" t="s">
        <v>8516</v>
      </c>
      <c r="D2040" s="169">
        <v>46044.0</v>
      </c>
      <c r="E2040" s="2">
        <v>3.318500089E9</v>
      </c>
      <c r="F2040" s="2" t="s">
        <v>8517</v>
      </c>
      <c r="G2040" s="2" t="s">
        <v>366</v>
      </c>
      <c r="H2040" s="2">
        <v>3099.0</v>
      </c>
      <c r="I2040" s="2">
        <v>2.7120050021534E13</v>
      </c>
      <c r="J2040" s="3">
        <v>2.0</v>
      </c>
      <c r="K2040" s="2" t="s">
        <v>8518</v>
      </c>
      <c r="L2040" s="2" t="s">
        <v>40</v>
      </c>
      <c r="M2040" s="2" t="s">
        <v>409</v>
      </c>
      <c r="N2040" s="2" t="s">
        <v>462</v>
      </c>
      <c r="O2040" s="3">
        <v>0.5</v>
      </c>
      <c r="P2040" s="2" t="s">
        <v>73</v>
      </c>
      <c r="Q2040" s="3">
        <v>920.0</v>
      </c>
      <c r="T2040" s="2" t="s">
        <v>8519</v>
      </c>
      <c r="U2040" s="171">
        <v>3099.0</v>
      </c>
      <c r="V2040" s="172">
        <v>46070.0</v>
      </c>
      <c r="W2040" s="3">
        <v>324.0</v>
      </c>
      <c r="X2040" s="172">
        <v>46066.50100549769</v>
      </c>
      <c r="Y2040" s="172"/>
      <c r="Z2040" s="3">
        <v>46044.0</v>
      </c>
      <c r="AA2040" s="3"/>
    </row>
    <row r="2041">
      <c r="A2041" s="3">
        <v>6.877670048003E12</v>
      </c>
      <c r="B2041" s="2" t="s">
        <v>8520</v>
      </c>
      <c r="C2041" s="2" t="s">
        <v>8521</v>
      </c>
      <c r="D2041" s="169">
        <v>46045.0</v>
      </c>
      <c r="E2041" s="2">
        <v>3.333888901E9</v>
      </c>
      <c r="F2041" s="2" t="s">
        <v>8522</v>
      </c>
      <c r="G2041" s="2" t="s">
        <v>493</v>
      </c>
      <c r="H2041" s="2">
        <v>2749.0</v>
      </c>
      <c r="I2041" s="2">
        <v>2.2120050021458E13</v>
      </c>
      <c r="J2041" s="3">
        <v>2.0</v>
      </c>
      <c r="K2041" s="2" t="s">
        <v>8523</v>
      </c>
      <c r="L2041" s="2" t="s">
        <v>8524</v>
      </c>
      <c r="M2041" s="174" t="s">
        <v>409</v>
      </c>
      <c r="N2041" s="2" t="s">
        <v>462</v>
      </c>
      <c r="O2041" s="3">
        <v>0.5</v>
      </c>
      <c r="P2041" s="2" t="s">
        <v>73</v>
      </c>
      <c r="Q2041" s="3">
        <v>1100.0</v>
      </c>
      <c r="T2041" s="2" t="s">
        <v>6336</v>
      </c>
      <c r="U2041" s="171">
        <v>2749.0</v>
      </c>
      <c r="V2041" s="172">
        <v>46052.0</v>
      </c>
      <c r="W2041" s="3">
        <v>337.0</v>
      </c>
      <c r="X2041" s="172">
        <v>46049.690833333334</v>
      </c>
      <c r="Y2041" s="172"/>
      <c r="Z2041" s="3">
        <v>46045.0</v>
      </c>
      <c r="AA2041" s="3"/>
    </row>
    <row r="2042">
      <c r="A2042" s="3">
        <v>6.877755867395E12</v>
      </c>
      <c r="B2042" s="2" t="s">
        <v>8525</v>
      </c>
      <c r="C2042" s="2" t="s">
        <v>8526</v>
      </c>
      <c r="D2042" s="169">
        <v>46045.0</v>
      </c>
      <c r="E2042" s="2">
        <v>3.2386E9</v>
      </c>
      <c r="F2042" s="2" t="s">
        <v>8527</v>
      </c>
      <c r="G2042" s="2" t="s">
        <v>374</v>
      </c>
      <c r="H2042" s="2">
        <v>4248.0</v>
      </c>
      <c r="I2042" s="2">
        <v>2.5120050021468E13</v>
      </c>
      <c r="J2042" s="3">
        <v>2.0</v>
      </c>
      <c r="K2042" s="2" t="s">
        <v>8528</v>
      </c>
      <c r="L2042" s="2" t="s">
        <v>532</v>
      </c>
      <c r="M2042" s="174" t="s">
        <v>409</v>
      </c>
      <c r="N2042" s="2" t="s">
        <v>462</v>
      </c>
      <c r="O2042" s="3">
        <v>0.5</v>
      </c>
      <c r="P2042" s="2" t="s">
        <v>73</v>
      </c>
      <c r="Q2042" s="3">
        <v>1700.0</v>
      </c>
      <c r="T2042" s="2" t="s">
        <v>6123</v>
      </c>
      <c r="U2042" s="171">
        <v>4248.0</v>
      </c>
      <c r="V2042" s="172">
        <v>46049.0</v>
      </c>
      <c r="W2042" s="3">
        <v>483.0</v>
      </c>
      <c r="X2042" s="172">
        <v>46048.525925925926</v>
      </c>
      <c r="Y2042" s="172"/>
      <c r="Z2042" s="3">
        <v>46045.0</v>
      </c>
      <c r="AA2042" s="3"/>
    </row>
    <row r="2043">
      <c r="A2043" s="3">
        <v>6.877807280387E12</v>
      </c>
      <c r="B2043" s="2" t="s">
        <v>8529</v>
      </c>
      <c r="C2043" s="2" t="s">
        <v>8530</v>
      </c>
      <c r="D2043" s="169">
        <v>46045.0</v>
      </c>
      <c r="E2043" s="173" t="s">
        <v>8531</v>
      </c>
      <c r="F2043" s="2" t="s">
        <v>8532</v>
      </c>
      <c r="G2043" s="2" t="s">
        <v>8533</v>
      </c>
      <c r="H2043" s="2">
        <v>249.0</v>
      </c>
      <c r="I2043" s="2">
        <v>2.0120050021489E13</v>
      </c>
      <c r="J2043" s="3">
        <v>0.0</v>
      </c>
      <c r="K2043" s="2" t="s">
        <v>8534</v>
      </c>
      <c r="L2043" s="2"/>
      <c r="M2043" s="170" t="s">
        <v>455</v>
      </c>
      <c r="N2043" s="2" t="s">
        <v>406</v>
      </c>
      <c r="O2043" s="3">
        <v>0.5</v>
      </c>
      <c r="P2043" s="2" t="s">
        <v>73</v>
      </c>
      <c r="Q2043" s="3">
        <v>0.0</v>
      </c>
      <c r="T2043" s="2" t="s">
        <v>6193</v>
      </c>
      <c r="U2043" s="141"/>
      <c r="W2043" s="3">
        <v>220.0</v>
      </c>
      <c r="X2043" s="172">
        <v>46053.874826388885</v>
      </c>
      <c r="Y2043" s="172"/>
      <c r="Z2043" s="3">
        <v>46045.0</v>
      </c>
      <c r="AA2043" s="3"/>
    </row>
    <row r="2044">
      <c r="A2044" s="3">
        <v>6.877920231683E12</v>
      </c>
      <c r="B2044" s="2" t="s">
        <v>8535</v>
      </c>
      <c r="C2044" s="2" t="s">
        <v>8536</v>
      </c>
      <c r="D2044" s="169">
        <v>46045.0</v>
      </c>
      <c r="E2044" s="2">
        <v>3.26404794E9</v>
      </c>
      <c r="F2044" s="2" t="s">
        <v>8537</v>
      </c>
      <c r="G2044" s="2" t="s">
        <v>368</v>
      </c>
      <c r="H2044" s="2">
        <v>4248.0</v>
      </c>
      <c r="I2044" s="2">
        <v>2.4120050021443E13</v>
      </c>
      <c r="J2044" s="3">
        <v>2.0</v>
      </c>
      <c r="K2044" s="2" t="s">
        <v>8538</v>
      </c>
      <c r="L2044" s="2" t="s">
        <v>913</v>
      </c>
      <c r="M2044" s="174" t="s">
        <v>409</v>
      </c>
      <c r="N2044" s="2" t="s">
        <v>462</v>
      </c>
      <c r="O2044" s="3">
        <v>0.5</v>
      </c>
      <c r="P2044" s="2" t="s">
        <v>73</v>
      </c>
      <c r="Q2044" s="3">
        <v>1700.0</v>
      </c>
      <c r="T2044" s="2" t="s">
        <v>6123</v>
      </c>
      <c r="U2044" s="171">
        <v>4248.0</v>
      </c>
      <c r="V2044" s="172">
        <v>46049.0</v>
      </c>
      <c r="W2044" s="3">
        <v>357.0</v>
      </c>
      <c r="X2044" s="172">
        <v>46046.54258101852</v>
      </c>
      <c r="Y2044" s="172"/>
      <c r="Z2044" s="3">
        <v>46045.0</v>
      </c>
      <c r="AA2044" s="3"/>
    </row>
    <row r="2045">
      <c r="A2045" s="3">
        <v>6.877996646659E12</v>
      </c>
      <c r="B2045" s="2" t="s">
        <v>8539</v>
      </c>
      <c r="C2045" s="2" t="s">
        <v>264</v>
      </c>
      <c r="D2045" s="169">
        <v>46045.0</v>
      </c>
      <c r="E2045" s="2">
        <v>3.021300113E9</v>
      </c>
      <c r="F2045" s="2" t="s">
        <v>8540</v>
      </c>
      <c r="G2045" s="2" t="s">
        <v>693</v>
      </c>
      <c r="H2045" s="2">
        <v>2749.0</v>
      </c>
      <c r="I2045" s="2">
        <v>2.3120050021442E13</v>
      </c>
      <c r="J2045" s="3">
        <v>2.0</v>
      </c>
      <c r="K2045" s="2" t="s">
        <v>8541</v>
      </c>
      <c r="L2045" s="2" t="s">
        <v>16</v>
      </c>
      <c r="M2045" s="174" t="s">
        <v>409</v>
      </c>
      <c r="N2045" s="2" t="s">
        <v>462</v>
      </c>
      <c r="O2045" s="3">
        <v>0.5</v>
      </c>
      <c r="P2045" s="2" t="s">
        <v>73</v>
      </c>
      <c r="Q2045" s="3">
        <v>980.0</v>
      </c>
      <c r="T2045" s="2" t="s">
        <v>6336</v>
      </c>
      <c r="U2045" s="171">
        <v>2749.0</v>
      </c>
      <c r="V2045" s="172">
        <v>46052.0</v>
      </c>
      <c r="W2045" s="3">
        <v>323.0</v>
      </c>
      <c r="X2045" s="172">
        <v>46050.8343287037</v>
      </c>
      <c r="Y2045" s="172"/>
      <c r="Z2045" s="3">
        <v>46045.0</v>
      </c>
      <c r="AA2045" s="3"/>
    </row>
    <row r="2046">
      <c r="A2046" s="3">
        <v>6.878102716675E12</v>
      </c>
      <c r="B2046" s="2" t="s">
        <v>8542</v>
      </c>
      <c r="C2046" s="2" t="s">
        <v>5559</v>
      </c>
      <c r="D2046" s="169">
        <v>46045.0</v>
      </c>
      <c r="E2046" s="2">
        <v>3.214223373E9</v>
      </c>
      <c r="F2046" s="2" t="s">
        <v>5560</v>
      </c>
      <c r="G2046" s="2" t="s">
        <v>368</v>
      </c>
      <c r="H2046" s="2">
        <v>249.0</v>
      </c>
      <c r="I2046" s="2">
        <v>2.7120050021482E13</v>
      </c>
      <c r="J2046" s="3">
        <v>0.0</v>
      </c>
      <c r="K2046" s="2" t="s">
        <v>8543</v>
      </c>
      <c r="L2046" s="2"/>
      <c r="M2046" s="170" t="s">
        <v>455</v>
      </c>
      <c r="N2046" s="2" t="s">
        <v>406</v>
      </c>
      <c r="O2046" s="3">
        <v>0.5</v>
      </c>
      <c r="P2046" s="2" t="s">
        <v>73</v>
      </c>
      <c r="Q2046" s="3">
        <v>0.0</v>
      </c>
      <c r="T2046" s="2" t="s">
        <v>6193</v>
      </c>
      <c r="U2046" s="141"/>
      <c r="W2046" s="3">
        <v>120.0</v>
      </c>
      <c r="X2046" s="172">
        <v>46053.874826388885</v>
      </c>
      <c r="Y2046" s="172"/>
      <c r="Z2046" s="3">
        <v>46045.0</v>
      </c>
      <c r="AA2046" s="3"/>
    </row>
    <row r="2047">
      <c r="A2047" s="3">
        <v>6.878140268803E12</v>
      </c>
      <c r="B2047" s="2" t="s">
        <v>8544</v>
      </c>
      <c r="C2047" s="2" t="s">
        <v>8545</v>
      </c>
      <c r="D2047" s="169">
        <v>46045.0</v>
      </c>
      <c r="E2047" s="173" t="s">
        <v>8546</v>
      </c>
      <c r="F2047" s="2" t="s">
        <v>8547</v>
      </c>
      <c r="G2047" s="2" t="s">
        <v>688</v>
      </c>
      <c r="H2047" s="2">
        <v>249.0</v>
      </c>
      <c r="I2047" s="2" t="s">
        <v>8548</v>
      </c>
      <c r="J2047" s="3">
        <v>0.0</v>
      </c>
      <c r="K2047" s="2" t="s">
        <v>8549</v>
      </c>
      <c r="L2047" s="2"/>
      <c r="M2047" s="170" t="s">
        <v>455</v>
      </c>
      <c r="N2047" s="2" t="s">
        <v>406</v>
      </c>
      <c r="O2047" s="3">
        <v>0.5</v>
      </c>
      <c r="P2047" s="2" t="s">
        <v>640</v>
      </c>
      <c r="Q2047" s="3">
        <v>0.0</v>
      </c>
      <c r="T2047" s="2" t="s">
        <v>8550</v>
      </c>
      <c r="U2047" s="141"/>
      <c r="W2047" s="3">
        <v>289.94</v>
      </c>
      <c r="X2047" s="172">
        <v>46084.45909940972</v>
      </c>
      <c r="Y2047" s="172"/>
      <c r="Z2047" s="3">
        <v>46045.0</v>
      </c>
      <c r="AA2047" s="3"/>
    </row>
    <row r="2048">
      <c r="A2048" s="3">
        <v>6.878141612291E12</v>
      </c>
      <c r="B2048" s="2" t="s">
        <v>8551</v>
      </c>
      <c r="C2048" s="2" t="s">
        <v>8552</v>
      </c>
      <c r="D2048" s="169">
        <v>46045.0</v>
      </c>
      <c r="E2048" s="2">
        <v>3.349890905E9</v>
      </c>
      <c r="F2048" s="2" t="s">
        <v>8553</v>
      </c>
      <c r="G2048" s="2" t="s">
        <v>506</v>
      </c>
      <c r="H2048" s="2">
        <v>0.0</v>
      </c>
      <c r="J2048" s="3">
        <v>0.0</v>
      </c>
      <c r="K2048" s="2" t="s">
        <v>8554</v>
      </c>
      <c r="L2048" s="2"/>
      <c r="M2048" s="2" t="s">
        <v>468</v>
      </c>
      <c r="N2048" s="2" t="s">
        <v>406</v>
      </c>
      <c r="O2048" s="3">
        <v>0.5</v>
      </c>
      <c r="Q2048" s="3">
        <v>0.0</v>
      </c>
      <c r="U2048" s="141"/>
      <c r="X2048" s="172">
        <v>46057.642782870375</v>
      </c>
      <c r="Y2048" s="172"/>
      <c r="Z2048" s="3">
        <v>46045.0</v>
      </c>
      <c r="AA2048" s="3"/>
    </row>
    <row r="2049">
      <c r="A2049" s="3">
        <v>6.878187716867E12</v>
      </c>
      <c r="B2049" s="2" t="s">
        <v>8555</v>
      </c>
      <c r="C2049" s="2" t="s">
        <v>8556</v>
      </c>
      <c r="D2049" s="169">
        <v>46045.0</v>
      </c>
      <c r="E2049" s="2">
        <v>3.498516644E9</v>
      </c>
      <c r="F2049" s="2" t="s">
        <v>8557</v>
      </c>
      <c r="G2049" s="2" t="s">
        <v>366</v>
      </c>
      <c r="H2049" s="2">
        <v>249.0</v>
      </c>
      <c r="I2049" s="2">
        <v>2.2120050021457E13</v>
      </c>
      <c r="J2049" s="3">
        <v>0.0</v>
      </c>
      <c r="K2049" s="2" t="s">
        <v>8558</v>
      </c>
      <c r="L2049" s="2"/>
      <c r="M2049" s="170" t="s">
        <v>455</v>
      </c>
      <c r="N2049" s="2" t="s">
        <v>406</v>
      </c>
      <c r="O2049" s="3">
        <v>0.5</v>
      </c>
      <c r="P2049" s="2" t="s">
        <v>73</v>
      </c>
      <c r="Q2049" s="3">
        <v>0.0</v>
      </c>
      <c r="U2049" s="141"/>
      <c r="W2049" s="3">
        <v>200.0</v>
      </c>
      <c r="X2049" s="172">
        <v>46063.0208562037</v>
      </c>
      <c r="Y2049" s="172"/>
      <c r="Z2049" s="3">
        <v>46045.0</v>
      </c>
      <c r="AA2049" s="3"/>
    </row>
    <row r="2050">
      <c r="A2050" s="3">
        <v>6.878195220739E12</v>
      </c>
      <c r="B2050" s="2" t="s">
        <v>8559</v>
      </c>
      <c r="C2050" s="2" t="s">
        <v>8560</v>
      </c>
      <c r="D2050" s="169">
        <v>46045.0</v>
      </c>
      <c r="E2050" s="2">
        <v>3.345558425E9</v>
      </c>
      <c r="F2050" s="2" t="s">
        <v>8561</v>
      </c>
      <c r="G2050" s="2" t="s">
        <v>506</v>
      </c>
      <c r="H2050" s="2">
        <v>3099.0</v>
      </c>
      <c r="I2050" s="2">
        <v>2.6120050021441E13</v>
      </c>
      <c r="J2050" s="3">
        <v>2.0</v>
      </c>
      <c r="K2050" s="2" t="s">
        <v>8562</v>
      </c>
      <c r="L2050" s="2" t="s">
        <v>8563</v>
      </c>
      <c r="M2050" s="174" t="s">
        <v>409</v>
      </c>
      <c r="N2050" s="2" t="s">
        <v>462</v>
      </c>
      <c r="O2050" s="3">
        <v>0.5</v>
      </c>
      <c r="P2050" s="2" t="s">
        <v>73</v>
      </c>
      <c r="Q2050" s="3">
        <v>920.0</v>
      </c>
      <c r="T2050" s="2" t="s">
        <v>6123</v>
      </c>
      <c r="U2050" s="171">
        <v>3099.0</v>
      </c>
      <c r="V2050" s="172">
        <v>46049.0</v>
      </c>
      <c r="W2050" s="3">
        <v>324.0</v>
      </c>
      <c r="X2050" s="172">
        <v>46048.68927083333</v>
      </c>
      <c r="Y2050" s="172"/>
      <c r="Z2050" s="3">
        <v>46045.0</v>
      </c>
      <c r="AA2050" s="3"/>
    </row>
    <row r="2051">
      <c r="A2051" s="3">
        <v>6.878328750339E12</v>
      </c>
      <c r="B2051" s="2" t="s">
        <v>8564</v>
      </c>
      <c r="C2051" s="2" t="s">
        <v>8565</v>
      </c>
      <c r="D2051" s="169">
        <v>46045.0</v>
      </c>
      <c r="E2051" s="173" t="s">
        <v>8566</v>
      </c>
      <c r="F2051" s="2" t="s">
        <v>8567</v>
      </c>
      <c r="G2051" s="2" t="s">
        <v>1619</v>
      </c>
      <c r="H2051" s="2">
        <v>2849.0</v>
      </c>
      <c r="I2051" s="2">
        <v>2.412005002144E13</v>
      </c>
      <c r="J2051" s="3">
        <v>2.0</v>
      </c>
      <c r="K2051" s="2" t="s">
        <v>8568</v>
      </c>
      <c r="L2051" s="2" t="s">
        <v>5916</v>
      </c>
      <c r="M2051" s="174" t="s">
        <v>409</v>
      </c>
      <c r="N2051" s="2" t="s">
        <v>462</v>
      </c>
      <c r="O2051" s="3">
        <v>0.5</v>
      </c>
      <c r="P2051" s="2" t="s">
        <v>73</v>
      </c>
      <c r="Q2051" s="3">
        <v>960.0</v>
      </c>
      <c r="T2051" s="2" t="s">
        <v>6123</v>
      </c>
      <c r="U2051" s="171">
        <v>2849.0</v>
      </c>
      <c r="V2051" s="172">
        <v>46049.0</v>
      </c>
      <c r="W2051" s="3">
        <v>221.0</v>
      </c>
      <c r="X2051" s="172">
        <v>46046.466875</v>
      </c>
      <c r="Y2051" s="172"/>
      <c r="Z2051" s="3">
        <v>46045.0</v>
      </c>
      <c r="AA2051" s="3"/>
    </row>
    <row r="2052">
      <c r="A2052" s="3">
        <v>6.878353228035E12</v>
      </c>
      <c r="B2052" s="2" t="s">
        <v>8569</v>
      </c>
      <c r="C2052" s="2" t="s">
        <v>8570</v>
      </c>
      <c r="D2052" s="169">
        <v>46045.0</v>
      </c>
      <c r="E2052" s="173" t="s">
        <v>8571</v>
      </c>
      <c r="F2052" s="2" t="s">
        <v>8572</v>
      </c>
      <c r="G2052" s="2" t="s">
        <v>8573</v>
      </c>
      <c r="H2052" s="2">
        <v>3099.0</v>
      </c>
      <c r="I2052" s="2">
        <v>2.3120050021462E13</v>
      </c>
      <c r="J2052" s="3">
        <v>2.0</v>
      </c>
      <c r="K2052" s="2" t="s">
        <v>8574</v>
      </c>
      <c r="L2052" s="2" t="s">
        <v>50</v>
      </c>
      <c r="M2052" s="174" t="s">
        <v>409</v>
      </c>
      <c r="N2052" s="2" t="s">
        <v>462</v>
      </c>
      <c r="O2052" s="3">
        <v>0.5</v>
      </c>
      <c r="P2052" s="2" t="s">
        <v>73</v>
      </c>
      <c r="Q2052" s="3">
        <v>920.0</v>
      </c>
      <c r="T2052" s="2" t="s">
        <v>6336</v>
      </c>
      <c r="U2052" s="171">
        <v>3099.0</v>
      </c>
      <c r="V2052" s="172">
        <v>46052.0</v>
      </c>
      <c r="W2052" s="3">
        <v>324.0</v>
      </c>
      <c r="X2052" s="172">
        <v>46050.688425925924</v>
      </c>
      <c r="Y2052" s="172"/>
      <c r="Z2052" s="3">
        <v>46045.0</v>
      </c>
      <c r="AA2052" s="3"/>
    </row>
    <row r="2053">
      <c r="A2053" s="3">
        <v>6.878365647107E12</v>
      </c>
      <c r="B2053" s="2" t="s">
        <v>8575</v>
      </c>
      <c r="C2053" s="2" t="s">
        <v>8576</v>
      </c>
      <c r="D2053" s="169">
        <v>46045.0</v>
      </c>
      <c r="E2053" s="2">
        <v>3.004859931E9</v>
      </c>
      <c r="F2053" s="2" t="s">
        <v>8577</v>
      </c>
      <c r="G2053" s="2" t="s">
        <v>5036</v>
      </c>
      <c r="H2053" s="2">
        <v>249.0</v>
      </c>
      <c r="I2053" s="2">
        <v>2.1120050021533E13</v>
      </c>
      <c r="J2053" s="3">
        <v>0.0</v>
      </c>
      <c r="K2053" s="2" t="s">
        <v>8578</v>
      </c>
      <c r="L2053" s="2"/>
      <c r="M2053" s="170" t="s">
        <v>455</v>
      </c>
      <c r="N2053" s="2" t="s">
        <v>406</v>
      </c>
      <c r="O2053" s="3">
        <v>0.5</v>
      </c>
      <c r="P2053" s="2" t="s">
        <v>73</v>
      </c>
      <c r="Q2053" s="3">
        <v>0.0</v>
      </c>
      <c r="U2053" s="141"/>
      <c r="W2053" s="3">
        <v>200.0</v>
      </c>
      <c r="X2053" s="172">
        <v>46072.791036319446</v>
      </c>
      <c r="Y2053" s="172"/>
      <c r="Z2053" s="3">
        <v>46045.0</v>
      </c>
      <c r="AA2053" s="3"/>
    </row>
    <row r="2054">
      <c r="A2054" s="3">
        <v>6.878366171395E12</v>
      </c>
      <c r="B2054" s="2" t="s">
        <v>8579</v>
      </c>
      <c r="C2054" s="2" t="s">
        <v>8580</v>
      </c>
      <c r="D2054" s="169">
        <v>46045.0</v>
      </c>
      <c r="E2054" s="2">
        <v>3.244763318E9</v>
      </c>
      <c r="F2054" s="2" t="s">
        <v>8581</v>
      </c>
      <c r="G2054" s="2" t="s">
        <v>368</v>
      </c>
      <c r="H2054" s="2">
        <v>2849.0</v>
      </c>
      <c r="I2054" s="2">
        <v>2.9120050021455E13</v>
      </c>
      <c r="J2054" s="3">
        <v>2.0</v>
      </c>
      <c r="K2054" s="2" t="s">
        <v>8582</v>
      </c>
      <c r="L2054" s="2" t="s">
        <v>1329</v>
      </c>
      <c r="M2054" s="174" t="s">
        <v>409</v>
      </c>
      <c r="N2054" s="2" t="s">
        <v>462</v>
      </c>
      <c r="O2054" s="3">
        <v>0.5</v>
      </c>
      <c r="P2054" s="2" t="s">
        <v>73</v>
      </c>
      <c r="Q2054" s="3">
        <v>960.0</v>
      </c>
      <c r="T2054" s="2" t="s">
        <v>6123</v>
      </c>
      <c r="U2054" s="171">
        <v>2849.0</v>
      </c>
      <c r="V2054" s="172">
        <v>46049.0</v>
      </c>
      <c r="W2054" s="3">
        <v>234.0</v>
      </c>
      <c r="X2054" s="172">
        <v>46046.614849537036</v>
      </c>
      <c r="Y2054" s="172"/>
      <c r="Z2054" s="3">
        <v>46045.0</v>
      </c>
      <c r="AA2054" s="3"/>
    </row>
    <row r="2055">
      <c r="A2055" s="3">
        <v>6.878371643651E12</v>
      </c>
      <c r="B2055" s="2" t="s">
        <v>8583</v>
      </c>
      <c r="C2055" s="2" t="s">
        <v>8584</v>
      </c>
      <c r="D2055" s="169">
        <v>46045.0</v>
      </c>
      <c r="E2055" s="2">
        <v>3.205279E9</v>
      </c>
      <c r="F2055" s="2" t="s">
        <v>8585</v>
      </c>
      <c r="G2055" s="2" t="s">
        <v>822</v>
      </c>
      <c r="H2055" s="2">
        <v>3099.0</v>
      </c>
      <c r="I2055" s="2">
        <v>2.9120050021488E13</v>
      </c>
      <c r="J2055" s="3">
        <v>2.0</v>
      </c>
      <c r="K2055" s="2" t="s">
        <v>8586</v>
      </c>
      <c r="L2055" s="2" t="s">
        <v>1116</v>
      </c>
      <c r="M2055" s="174" t="s">
        <v>409</v>
      </c>
      <c r="N2055" s="2" t="s">
        <v>462</v>
      </c>
      <c r="O2055" s="3">
        <v>0.5</v>
      </c>
      <c r="P2055" s="2" t="s">
        <v>73</v>
      </c>
      <c r="Q2055" s="3">
        <v>960.0</v>
      </c>
      <c r="T2055" s="2" t="s">
        <v>6123</v>
      </c>
      <c r="U2055" s="171">
        <v>3099.0</v>
      </c>
      <c r="V2055" s="172">
        <v>46049.0</v>
      </c>
      <c r="W2055" s="3">
        <v>324.0</v>
      </c>
      <c r="X2055" s="172">
        <v>46048.714224537034</v>
      </c>
      <c r="Y2055" s="172"/>
      <c r="Z2055" s="3">
        <v>46045.0</v>
      </c>
      <c r="AA2055" s="3"/>
    </row>
    <row r="2056">
      <c r="A2056" s="3">
        <v>6.878404804867E12</v>
      </c>
      <c r="B2056" s="2" t="s">
        <v>8587</v>
      </c>
      <c r="C2056" s="2" t="s">
        <v>8588</v>
      </c>
      <c r="D2056" s="169">
        <v>46045.0</v>
      </c>
      <c r="E2056" s="2">
        <v>3.218888042E9</v>
      </c>
      <c r="F2056" s="2" t="s">
        <v>8589</v>
      </c>
      <c r="G2056" s="2" t="s">
        <v>368</v>
      </c>
      <c r="H2056" s="2">
        <v>249.0</v>
      </c>
      <c r="I2056" s="2">
        <v>2.7120050021439E13</v>
      </c>
      <c r="J2056" s="3">
        <v>0.0</v>
      </c>
      <c r="K2056" s="2" t="s">
        <v>8590</v>
      </c>
      <c r="L2056" s="2"/>
      <c r="M2056" s="170" t="s">
        <v>455</v>
      </c>
      <c r="N2056" s="2" t="s">
        <v>406</v>
      </c>
      <c r="O2056" s="3">
        <v>0.5</v>
      </c>
      <c r="P2056" s="2" t="s">
        <v>73</v>
      </c>
      <c r="Q2056" s="3">
        <v>0.0</v>
      </c>
      <c r="T2056" s="2" t="s">
        <v>6193</v>
      </c>
      <c r="U2056" s="141"/>
      <c r="W2056" s="3">
        <v>107.0</v>
      </c>
      <c r="X2056" s="172">
        <v>46052.83976851852</v>
      </c>
      <c r="Y2056" s="172"/>
      <c r="Z2056" s="3">
        <v>46045.0</v>
      </c>
      <c r="AA2056" s="3"/>
    </row>
    <row r="2057">
      <c r="A2057" s="3">
        <v>6.878414274819E12</v>
      </c>
      <c r="B2057" s="2" t="s">
        <v>8591</v>
      </c>
      <c r="C2057" s="2" t="s">
        <v>8592</v>
      </c>
      <c r="D2057" s="169">
        <v>46045.0</v>
      </c>
      <c r="E2057" s="173" t="s">
        <v>8593</v>
      </c>
      <c r="F2057" s="2" t="s">
        <v>8594</v>
      </c>
      <c r="G2057" s="2" t="s">
        <v>8263</v>
      </c>
      <c r="H2057" s="2">
        <v>250.0</v>
      </c>
      <c r="I2057" s="2">
        <v>2.8120050021438E13</v>
      </c>
      <c r="J2057" s="3">
        <v>0.0</v>
      </c>
      <c r="K2057" s="2" t="s">
        <v>8595</v>
      </c>
      <c r="L2057" s="2"/>
      <c r="M2057" s="170" t="s">
        <v>455</v>
      </c>
      <c r="N2057" s="2" t="s">
        <v>406</v>
      </c>
      <c r="O2057" s="3">
        <v>0.5</v>
      </c>
      <c r="P2057" s="2" t="s">
        <v>73</v>
      </c>
      <c r="Q2057" s="3">
        <v>0.0</v>
      </c>
      <c r="T2057" s="2" t="s">
        <v>6193</v>
      </c>
      <c r="U2057" s="141"/>
      <c r="W2057" s="3">
        <v>200.0</v>
      </c>
      <c r="X2057" s="172">
        <v>46052.83976851852</v>
      </c>
      <c r="Y2057" s="172"/>
      <c r="Z2057" s="3">
        <v>46045.0</v>
      </c>
      <c r="AA2057" s="3"/>
    </row>
    <row r="2058">
      <c r="A2058" s="3">
        <v>6.878415978755E12</v>
      </c>
      <c r="B2058" s="2" t="s">
        <v>8596</v>
      </c>
      <c r="C2058" s="2" t="s">
        <v>7181</v>
      </c>
      <c r="D2058" s="169">
        <v>46045.0</v>
      </c>
      <c r="E2058" s="2">
        <v>3.368298888E9</v>
      </c>
      <c r="F2058" s="2" t="s">
        <v>7339</v>
      </c>
      <c r="G2058" s="2" t="s">
        <v>541</v>
      </c>
      <c r="H2058" s="2">
        <v>3099.0</v>
      </c>
      <c r="I2058" s="2">
        <v>2.5120050021461E13</v>
      </c>
      <c r="J2058" s="3">
        <v>2.0</v>
      </c>
      <c r="K2058" s="2" t="s">
        <v>8597</v>
      </c>
      <c r="L2058" s="2" t="s">
        <v>662</v>
      </c>
      <c r="M2058" s="174" t="s">
        <v>409</v>
      </c>
      <c r="N2058" s="2" t="s">
        <v>462</v>
      </c>
      <c r="O2058" s="3">
        <v>0.5</v>
      </c>
      <c r="P2058" s="2" t="s">
        <v>73</v>
      </c>
      <c r="Q2058" s="3">
        <v>960.0</v>
      </c>
      <c r="T2058" s="2" t="s">
        <v>6123</v>
      </c>
      <c r="U2058" s="171">
        <v>3099.0</v>
      </c>
      <c r="V2058" s="172">
        <v>46049.0</v>
      </c>
      <c r="W2058" s="3">
        <v>230.0</v>
      </c>
      <c r="X2058" s="172">
        <v>46047.53907407407</v>
      </c>
      <c r="Y2058" s="172"/>
      <c r="Z2058" s="3">
        <v>46045.0</v>
      </c>
      <c r="AA2058" s="3"/>
    </row>
    <row r="2059">
      <c r="A2059" s="3">
        <v>6.878426923267E12</v>
      </c>
      <c r="B2059" s="2" t="s">
        <v>8598</v>
      </c>
      <c r="C2059" s="2" t="s">
        <v>8599</v>
      </c>
      <c r="D2059" s="169">
        <v>46045.0</v>
      </c>
      <c r="E2059" s="2">
        <v>3.0098816E9</v>
      </c>
      <c r="F2059" s="2" t="s">
        <v>8600</v>
      </c>
      <c r="G2059" s="2" t="s">
        <v>855</v>
      </c>
      <c r="H2059" s="2">
        <v>3099.0</v>
      </c>
      <c r="I2059" s="2">
        <v>2.5120050021437E13</v>
      </c>
      <c r="J2059" s="3">
        <v>2.0</v>
      </c>
      <c r="K2059" s="2" t="s">
        <v>8601</v>
      </c>
      <c r="L2059" s="2" t="s">
        <v>906</v>
      </c>
      <c r="M2059" s="174" t="s">
        <v>409</v>
      </c>
      <c r="N2059" s="2" t="s">
        <v>462</v>
      </c>
      <c r="O2059" s="3">
        <v>0.5</v>
      </c>
      <c r="P2059" s="2" t="s">
        <v>73</v>
      </c>
      <c r="Q2059" s="3">
        <v>920.0</v>
      </c>
      <c r="T2059" s="2" t="s">
        <v>6123</v>
      </c>
      <c r="U2059" s="171">
        <v>3099.0</v>
      </c>
      <c r="V2059" s="172">
        <v>46049.0</v>
      </c>
      <c r="W2059" s="3">
        <v>324.0</v>
      </c>
      <c r="X2059" s="172">
        <v>46046.7156712963</v>
      </c>
      <c r="Y2059" s="172"/>
      <c r="Z2059" s="3">
        <v>46045.0</v>
      </c>
      <c r="AA2059" s="3"/>
    </row>
    <row r="2060">
      <c r="A2060" s="3">
        <v>6.878429380867E12</v>
      </c>
      <c r="B2060" s="2" t="s">
        <v>8602</v>
      </c>
      <c r="C2060" s="2" t="s">
        <v>8603</v>
      </c>
      <c r="D2060" s="169">
        <v>46045.0</v>
      </c>
      <c r="E2060" s="2">
        <v>3.243299255E9</v>
      </c>
      <c r="F2060" s="2" t="s">
        <v>8604</v>
      </c>
      <c r="G2060" s="2" t="s">
        <v>493</v>
      </c>
      <c r="H2060" s="2">
        <v>3099.0</v>
      </c>
      <c r="I2060" s="2">
        <v>2.7120050021436E13</v>
      </c>
      <c r="J2060" s="3">
        <v>2.0</v>
      </c>
      <c r="K2060" s="2" t="s">
        <v>8605</v>
      </c>
      <c r="L2060" s="2" t="s">
        <v>228</v>
      </c>
      <c r="M2060" s="174" t="s">
        <v>409</v>
      </c>
      <c r="N2060" s="2" t="s">
        <v>462</v>
      </c>
      <c r="O2060" s="3">
        <v>0.5</v>
      </c>
      <c r="P2060" s="2" t="s">
        <v>73</v>
      </c>
      <c r="Q2060" s="3">
        <v>920.0</v>
      </c>
      <c r="T2060" s="2" t="s">
        <v>6123</v>
      </c>
      <c r="U2060" s="171">
        <v>3099.0</v>
      </c>
      <c r="V2060" s="172">
        <v>46049.0</v>
      </c>
      <c r="W2060" s="3">
        <v>337.0</v>
      </c>
      <c r="X2060" s="172">
        <v>46048.70998842592</v>
      </c>
      <c r="Y2060" s="172"/>
      <c r="Z2060" s="3">
        <v>46045.0</v>
      </c>
      <c r="AA2060" s="3"/>
    </row>
    <row r="2061">
      <c r="A2061" s="3">
        <v>6.878458380547E12</v>
      </c>
      <c r="B2061" s="2" t="s">
        <v>8606</v>
      </c>
      <c r="C2061" s="2" t="s">
        <v>8607</v>
      </c>
      <c r="D2061" s="169">
        <v>46045.0</v>
      </c>
      <c r="E2061" s="2">
        <v>3.005245599E9</v>
      </c>
      <c r="F2061" s="2" t="s">
        <v>8608</v>
      </c>
      <c r="G2061" s="2" t="s">
        <v>374</v>
      </c>
      <c r="H2061" s="2">
        <v>249.0</v>
      </c>
      <c r="I2061" s="2">
        <v>2.312005002148E13</v>
      </c>
      <c r="J2061" s="3">
        <v>0.0</v>
      </c>
      <c r="K2061" s="2" t="s">
        <v>8609</v>
      </c>
      <c r="L2061" s="2"/>
      <c r="M2061" s="170" t="s">
        <v>455</v>
      </c>
      <c r="N2061" s="2" t="s">
        <v>406</v>
      </c>
      <c r="O2061" s="3">
        <v>0.5</v>
      </c>
      <c r="P2061" s="2" t="s">
        <v>73</v>
      </c>
      <c r="Q2061" s="3">
        <v>0.0</v>
      </c>
      <c r="T2061" s="2" t="s">
        <v>6193</v>
      </c>
      <c r="U2061" s="141"/>
      <c r="W2061" s="3">
        <v>220.0</v>
      </c>
      <c r="X2061" s="172">
        <v>46055.96199074074</v>
      </c>
      <c r="Y2061" s="172"/>
      <c r="Z2061" s="3">
        <v>46045.0</v>
      </c>
      <c r="AA2061" s="3"/>
    </row>
    <row r="2062">
      <c r="A2062" s="3">
        <v>6.878459101443E12</v>
      </c>
      <c r="B2062" s="2" t="s">
        <v>8610</v>
      </c>
      <c r="C2062" s="2" t="s">
        <v>8611</v>
      </c>
      <c r="D2062" s="169">
        <v>46045.0</v>
      </c>
      <c r="E2062" s="173" t="s">
        <v>8612</v>
      </c>
      <c r="F2062" s="2" t="s">
        <v>8613</v>
      </c>
      <c r="G2062" s="2" t="s">
        <v>8614</v>
      </c>
      <c r="H2062" s="2">
        <v>3099.0</v>
      </c>
      <c r="I2062" s="2">
        <v>2.8120050021435E13</v>
      </c>
      <c r="J2062" s="3">
        <v>2.0</v>
      </c>
      <c r="K2062" s="2" t="s">
        <v>8615</v>
      </c>
      <c r="L2062" s="2" t="s">
        <v>662</v>
      </c>
      <c r="M2062" s="174" t="s">
        <v>409</v>
      </c>
      <c r="N2062" s="2" t="s">
        <v>462</v>
      </c>
      <c r="O2062" s="3">
        <v>0.5</v>
      </c>
      <c r="P2062" s="2" t="s">
        <v>73</v>
      </c>
      <c r="Q2062" s="3">
        <v>960.0</v>
      </c>
      <c r="T2062" s="2" t="s">
        <v>6336</v>
      </c>
      <c r="U2062" s="171">
        <v>3099.0</v>
      </c>
      <c r="V2062" s="172">
        <v>46052.0</v>
      </c>
      <c r="W2062" s="3">
        <v>337.0</v>
      </c>
      <c r="X2062" s="172">
        <v>46049.82659722222</v>
      </c>
      <c r="Y2062" s="172"/>
      <c r="Z2062" s="3">
        <v>46045.0</v>
      </c>
      <c r="AA2062" s="3"/>
    </row>
    <row r="2063">
      <c r="A2063" s="3">
        <v>6.878467391747E12</v>
      </c>
      <c r="B2063" s="2" t="s">
        <v>8616</v>
      </c>
      <c r="C2063" s="2" t="s">
        <v>8617</v>
      </c>
      <c r="D2063" s="169">
        <v>46045.0</v>
      </c>
      <c r="E2063" s="2">
        <v>3.475838823E9</v>
      </c>
      <c r="F2063" s="2" t="s">
        <v>8618</v>
      </c>
      <c r="G2063" s="2" t="s">
        <v>506</v>
      </c>
      <c r="H2063" s="2">
        <v>1799.0</v>
      </c>
      <c r="I2063" s="2">
        <v>2.1120050021434E13</v>
      </c>
      <c r="J2063" s="3">
        <v>1.0</v>
      </c>
      <c r="K2063" s="2" t="s">
        <v>8619</v>
      </c>
      <c r="L2063" s="2" t="s">
        <v>4482</v>
      </c>
      <c r="M2063" s="174" t="s">
        <v>409</v>
      </c>
      <c r="N2063" s="2" t="s">
        <v>462</v>
      </c>
      <c r="O2063" s="3">
        <v>0.5</v>
      </c>
      <c r="P2063" s="2" t="s">
        <v>73</v>
      </c>
      <c r="Q2063" s="3">
        <v>490.0</v>
      </c>
      <c r="T2063" s="2" t="s">
        <v>6123</v>
      </c>
      <c r="U2063" s="171">
        <v>1799.0</v>
      </c>
      <c r="V2063" s="172">
        <v>46049.0</v>
      </c>
      <c r="W2063" s="3">
        <v>272.0</v>
      </c>
      <c r="X2063" s="172">
        <v>46048.79116898148</v>
      </c>
      <c r="Y2063" s="172"/>
      <c r="Z2063" s="3">
        <v>46045.0</v>
      </c>
      <c r="AA2063" s="3"/>
    </row>
    <row r="2064">
      <c r="A2064" s="3">
        <v>6.878502256899E12</v>
      </c>
      <c r="B2064" s="2" t="s">
        <v>8620</v>
      </c>
      <c r="C2064" s="2" t="s">
        <v>8621</v>
      </c>
      <c r="D2064" s="169">
        <v>46045.0</v>
      </c>
      <c r="E2064" s="173" t="s">
        <v>8622</v>
      </c>
      <c r="F2064" s="2" t="s">
        <v>8623</v>
      </c>
      <c r="G2064" s="2" t="s">
        <v>506</v>
      </c>
      <c r="H2064" s="2">
        <v>0.0</v>
      </c>
      <c r="J2064" s="3">
        <v>0.0</v>
      </c>
      <c r="K2064" s="2" t="s">
        <v>8624</v>
      </c>
      <c r="L2064" s="2"/>
      <c r="M2064" s="2" t="s">
        <v>468</v>
      </c>
      <c r="N2064" s="2" t="s">
        <v>406</v>
      </c>
      <c r="O2064" s="3">
        <v>0.5</v>
      </c>
      <c r="Q2064" s="3">
        <v>0.0</v>
      </c>
      <c r="U2064" s="141"/>
      <c r="X2064" s="172">
        <v>46057.642782870375</v>
      </c>
      <c r="Y2064" s="172"/>
      <c r="Z2064" s="3">
        <v>46045.0</v>
      </c>
      <c r="AA2064" s="3"/>
    </row>
    <row r="2065">
      <c r="A2065" s="3">
        <v>6.878508613891E12</v>
      </c>
      <c r="B2065" s="2" t="s">
        <v>8625</v>
      </c>
      <c r="C2065" s="2" t="s">
        <v>8626</v>
      </c>
      <c r="D2065" s="169">
        <v>46045.0</v>
      </c>
      <c r="E2065" s="2">
        <v>3.3462458E9</v>
      </c>
      <c r="F2065" s="2" t="s">
        <v>8627</v>
      </c>
      <c r="G2065" s="2" t="s">
        <v>8628</v>
      </c>
      <c r="H2065" s="2">
        <v>3099.0</v>
      </c>
      <c r="I2065" s="2">
        <v>2.9120050021454E13</v>
      </c>
      <c r="J2065" s="3">
        <v>2.0</v>
      </c>
      <c r="K2065" s="2" t="s">
        <v>8629</v>
      </c>
      <c r="L2065" s="2" t="s">
        <v>50</v>
      </c>
      <c r="M2065" s="174" t="s">
        <v>409</v>
      </c>
      <c r="N2065" s="2" t="s">
        <v>462</v>
      </c>
      <c r="O2065" s="3">
        <v>0.5</v>
      </c>
      <c r="P2065" s="2" t="s">
        <v>73</v>
      </c>
      <c r="Q2065" s="3">
        <v>920.0</v>
      </c>
      <c r="T2065" s="2" t="s">
        <v>6336</v>
      </c>
      <c r="U2065" s="171">
        <v>3099.0</v>
      </c>
      <c r="V2065" s="172">
        <v>46052.0</v>
      </c>
      <c r="W2065" s="3">
        <v>324.0</v>
      </c>
      <c r="X2065" s="172">
        <v>46049.622557870374</v>
      </c>
      <c r="Y2065" s="172"/>
      <c r="Z2065" s="3">
        <v>46045.0</v>
      </c>
      <c r="AA2065" s="3"/>
    </row>
    <row r="2066">
      <c r="A2066" s="3">
        <v>6.878540398851E12</v>
      </c>
      <c r="B2066" s="2" t="s">
        <v>8630</v>
      </c>
      <c r="C2066" s="2" t="s">
        <v>3513</v>
      </c>
      <c r="D2066" s="169">
        <v>46045.0</v>
      </c>
      <c r="E2066" s="2">
        <v>3.046466939E9</v>
      </c>
      <c r="F2066" s="2" t="s">
        <v>8631</v>
      </c>
      <c r="G2066" s="2" t="s">
        <v>855</v>
      </c>
      <c r="H2066" s="2">
        <v>3899.0</v>
      </c>
      <c r="I2066" s="2">
        <v>2.3120050021479E13</v>
      </c>
      <c r="J2066" s="3">
        <v>2.0</v>
      </c>
      <c r="K2066" s="2" t="s">
        <v>8632</v>
      </c>
      <c r="L2066" s="2" t="s">
        <v>8633</v>
      </c>
      <c r="M2066" s="174" t="s">
        <v>409</v>
      </c>
      <c r="N2066" s="2" t="s">
        <v>462</v>
      </c>
      <c r="O2066" s="3">
        <v>0.5</v>
      </c>
      <c r="P2066" s="2" t="s">
        <v>73</v>
      </c>
      <c r="Q2066" s="3">
        <v>1625.0</v>
      </c>
      <c r="T2066" s="2" t="s">
        <v>6336</v>
      </c>
      <c r="U2066" s="171">
        <v>3899.0</v>
      </c>
      <c r="V2066" s="172">
        <v>46052.0</v>
      </c>
      <c r="W2066" s="3">
        <v>376.0</v>
      </c>
      <c r="X2066" s="172">
        <v>46049.53004629629</v>
      </c>
      <c r="Y2066" s="172"/>
      <c r="Z2066" s="3">
        <v>46045.0</v>
      </c>
      <c r="AA2066" s="3"/>
    </row>
    <row r="2067">
      <c r="A2067" s="3">
        <v>6.878554358019E12</v>
      </c>
      <c r="B2067" s="2" t="s">
        <v>8634</v>
      </c>
      <c r="C2067" s="2" t="s">
        <v>8635</v>
      </c>
      <c r="D2067" s="169">
        <v>46045.0</v>
      </c>
      <c r="E2067" s="2">
        <v>3.212489151E9</v>
      </c>
      <c r="F2067" s="2" t="s">
        <v>8636</v>
      </c>
      <c r="G2067" s="2" t="s">
        <v>368</v>
      </c>
      <c r="H2067" s="2">
        <v>3099.0</v>
      </c>
      <c r="I2067" s="2">
        <v>2.9120050021478E13</v>
      </c>
      <c r="J2067" s="3">
        <v>2.0</v>
      </c>
      <c r="K2067" s="2" t="s">
        <v>8637</v>
      </c>
      <c r="L2067" s="2" t="s">
        <v>27</v>
      </c>
      <c r="M2067" s="174" t="s">
        <v>409</v>
      </c>
      <c r="N2067" s="2" t="s">
        <v>462</v>
      </c>
      <c r="O2067" s="3">
        <v>0.5</v>
      </c>
      <c r="P2067" s="2" t="s">
        <v>73</v>
      </c>
      <c r="Q2067" s="3">
        <v>920.0</v>
      </c>
      <c r="T2067" s="2" t="s">
        <v>6336</v>
      </c>
      <c r="U2067" s="171">
        <v>3099.0</v>
      </c>
      <c r="V2067" s="172">
        <v>46052.0</v>
      </c>
      <c r="W2067" s="3">
        <v>324.0</v>
      </c>
      <c r="X2067" s="172">
        <v>46050.71028935185</v>
      </c>
      <c r="Y2067" s="172"/>
      <c r="Z2067" s="3">
        <v>46045.0</v>
      </c>
      <c r="AA2067" s="3"/>
    </row>
    <row r="2068">
      <c r="A2068" s="3">
        <v>6.878595547395E12</v>
      </c>
      <c r="B2068" s="2" t="s">
        <v>8638</v>
      </c>
      <c r="C2068" s="2" t="s">
        <v>8639</v>
      </c>
      <c r="D2068" s="169">
        <v>46045.0</v>
      </c>
      <c r="E2068" s="2">
        <v>3.009466136E9</v>
      </c>
      <c r="F2068" s="2" t="s">
        <v>8640</v>
      </c>
      <c r="G2068" s="2" t="s">
        <v>368</v>
      </c>
      <c r="H2068" s="2">
        <v>0.0</v>
      </c>
      <c r="J2068" s="3">
        <v>0.0</v>
      </c>
      <c r="K2068" s="2" t="s">
        <v>8641</v>
      </c>
      <c r="L2068" s="2"/>
      <c r="M2068" s="2" t="s">
        <v>468</v>
      </c>
      <c r="N2068" s="2" t="s">
        <v>406</v>
      </c>
      <c r="O2068" s="3">
        <v>0.5</v>
      </c>
      <c r="Q2068" s="3">
        <v>0.0</v>
      </c>
      <c r="U2068" s="141"/>
      <c r="X2068" s="172">
        <v>46057.642782870375</v>
      </c>
      <c r="Y2068" s="172"/>
      <c r="Z2068" s="3">
        <v>46045.0</v>
      </c>
      <c r="AA2068" s="3"/>
    </row>
    <row r="2069">
      <c r="A2069" s="3">
        <v>6.878620123395E12</v>
      </c>
      <c r="B2069" s="2" t="s">
        <v>8642</v>
      </c>
      <c r="C2069" s="2" t="s">
        <v>5876</v>
      </c>
      <c r="D2069" s="169">
        <v>46045.0</v>
      </c>
      <c r="E2069" s="2">
        <v>3.178763229E9</v>
      </c>
      <c r="F2069" s="2" t="s">
        <v>8643</v>
      </c>
      <c r="G2069" s="2" t="s">
        <v>8644</v>
      </c>
      <c r="H2069" s="2">
        <v>0.0</v>
      </c>
      <c r="J2069" s="3">
        <v>0.0</v>
      </c>
      <c r="K2069" s="2" t="s">
        <v>8645</v>
      </c>
      <c r="L2069" s="2"/>
      <c r="M2069" s="2" t="s">
        <v>468</v>
      </c>
      <c r="N2069" s="2" t="s">
        <v>406</v>
      </c>
      <c r="O2069" s="3">
        <v>0.5</v>
      </c>
      <c r="Q2069" s="3">
        <v>0.0</v>
      </c>
      <c r="U2069" s="141"/>
      <c r="X2069" s="172">
        <v>46057.642782870375</v>
      </c>
      <c r="Y2069" s="172"/>
      <c r="Z2069" s="3">
        <v>46045.0</v>
      </c>
      <c r="AA2069" s="3"/>
    </row>
    <row r="2070">
      <c r="A2070" s="3">
        <v>6.878641881347E12</v>
      </c>
      <c r="B2070" s="2" t="s">
        <v>8646</v>
      </c>
      <c r="C2070" s="2" t="s">
        <v>8647</v>
      </c>
      <c r="D2070" s="169">
        <v>46045.0</v>
      </c>
      <c r="E2070" s="2">
        <v>3.337825915E9</v>
      </c>
      <c r="F2070" s="2" t="s">
        <v>8648</v>
      </c>
      <c r="G2070" s="2" t="s">
        <v>672</v>
      </c>
      <c r="H2070" s="2">
        <v>249.0</v>
      </c>
      <c r="I2070" s="2">
        <v>2.8120050021494E13</v>
      </c>
      <c r="J2070" s="3">
        <v>0.0</v>
      </c>
      <c r="K2070" s="2" t="s">
        <v>8649</v>
      </c>
      <c r="L2070" s="2"/>
      <c r="M2070" s="170" t="s">
        <v>455</v>
      </c>
      <c r="N2070" s="2" t="s">
        <v>406</v>
      </c>
      <c r="O2070" s="3">
        <v>0.5</v>
      </c>
      <c r="P2070" s="2" t="s">
        <v>73</v>
      </c>
      <c r="Q2070" s="3">
        <v>0.0</v>
      </c>
      <c r="U2070" s="141"/>
      <c r="W2070" s="3">
        <v>213.0</v>
      </c>
      <c r="X2070" s="172">
        <v>46063.0208690625</v>
      </c>
      <c r="Y2070" s="172"/>
      <c r="Z2070" s="3">
        <v>46045.0</v>
      </c>
      <c r="AA2070" s="3"/>
    </row>
    <row r="2071">
      <c r="A2071" s="3">
        <v>6.878682775811E12</v>
      </c>
      <c r="B2071" s="2" t="s">
        <v>8650</v>
      </c>
      <c r="C2071" s="2" t="s">
        <v>8651</v>
      </c>
      <c r="D2071" s="169">
        <v>46045.0</v>
      </c>
      <c r="E2071" s="173" t="s">
        <v>8652</v>
      </c>
      <c r="F2071" s="2" t="s">
        <v>8653</v>
      </c>
      <c r="G2071" s="2" t="s">
        <v>817</v>
      </c>
      <c r="H2071" s="2">
        <v>31000.0</v>
      </c>
      <c r="I2071" s="2">
        <v>1.122556699E9</v>
      </c>
      <c r="J2071" s="3">
        <v>3.0</v>
      </c>
      <c r="L2071" s="2" t="s">
        <v>8654</v>
      </c>
      <c r="M2071" s="174" t="s">
        <v>409</v>
      </c>
      <c r="N2071" s="2" t="s">
        <v>406</v>
      </c>
      <c r="O2071" s="3">
        <v>0.5</v>
      </c>
      <c r="P2071" s="2"/>
      <c r="Q2071" s="3">
        <v>17000.0</v>
      </c>
      <c r="U2071" s="171">
        <v>31000.0</v>
      </c>
      <c r="X2071" s="172">
        <v>46059.316722511576</v>
      </c>
      <c r="Y2071" s="172"/>
      <c r="Z2071" s="3">
        <v>46045.0</v>
      </c>
      <c r="AA2071" s="3"/>
    </row>
    <row r="2072">
      <c r="A2072" s="3">
        <v>6.878735433987E12</v>
      </c>
      <c r="B2072" s="2" t="s">
        <v>8655</v>
      </c>
      <c r="C2072" s="2" t="s">
        <v>5390</v>
      </c>
      <c r="D2072" s="169">
        <v>46045.0</v>
      </c>
      <c r="E2072" s="173" t="s">
        <v>5391</v>
      </c>
      <c r="F2072" s="2" t="s">
        <v>5392</v>
      </c>
      <c r="G2072" s="2" t="s">
        <v>493</v>
      </c>
      <c r="H2072" s="2">
        <v>249.0</v>
      </c>
      <c r="I2072" s="2">
        <v>2.3120050021477E13</v>
      </c>
      <c r="J2072" s="3">
        <v>0.0</v>
      </c>
      <c r="K2072" s="2" t="s">
        <v>8656</v>
      </c>
      <c r="L2072" s="2"/>
      <c r="M2072" s="170" t="s">
        <v>455</v>
      </c>
      <c r="N2072" s="2" t="s">
        <v>406</v>
      </c>
      <c r="O2072" s="3">
        <v>0.5</v>
      </c>
      <c r="P2072" s="2" t="s">
        <v>73</v>
      </c>
      <c r="Q2072" s="3">
        <v>0.0</v>
      </c>
      <c r="U2072" s="141"/>
      <c r="W2072" s="3">
        <v>213.0</v>
      </c>
      <c r="X2072" s="172">
        <v>46057.35021990741</v>
      </c>
      <c r="Y2072" s="172"/>
      <c r="Z2072" s="3">
        <v>46045.0</v>
      </c>
      <c r="AA2072" s="3"/>
    </row>
    <row r="2073">
      <c r="A2073" s="3">
        <v>6.878807490819E12</v>
      </c>
      <c r="B2073" s="2" t="s">
        <v>8657</v>
      </c>
      <c r="C2073" s="2" t="s">
        <v>8658</v>
      </c>
      <c r="D2073" s="169">
        <v>46045.0</v>
      </c>
      <c r="E2073" s="2">
        <v>3.335992624E9</v>
      </c>
      <c r="F2073" s="2" t="s">
        <v>8659</v>
      </c>
      <c r="G2073" s="2" t="s">
        <v>506</v>
      </c>
      <c r="H2073" s="2">
        <v>0.0</v>
      </c>
      <c r="J2073" s="3">
        <v>0.0</v>
      </c>
      <c r="K2073" s="2" t="s">
        <v>8660</v>
      </c>
      <c r="L2073" s="2"/>
      <c r="M2073" s="2" t="s">
        <v>468</v>
      </c>
      <c r="N2073" s="2" t="s">
        <v>406</v>
      </c>
      <c r="O2073" s="3">
        <v>0.5</v>
      </c>
      <c r="Q2073" s="3">
        <v>0.0</v>
      </c>
      <c r="U2073" s="141"/>
      <c r="X2073" s="172">
        <v>46057.642782870375</v>
      </c>
      <c r="Y2073" s="172"/>
      <c r="Z2073" s="3">
        <v>46045.0</v>
      </c>
      <c r="AA2073" s="3"/>
    </row>
    <row r="2074">
      <c r="A2074" s="3">
        <v>6.878828101891E12</v>
      </c>
      <c r="B2074" s="2" t="s">
        <v>8661</v>
      </c>
      <c r="C2074" s="2" t="s">
        <v>8662</v>
      </c>
      <c r="D2074" s="169">
        <v>46045.0</v>
      </c>
      <c r="E2074" s="2">
        <v>3.2721198E9</v>
      </c>
      <c r="F2074" s="2" t="s">
        <v>8663</v>
      </c>
      <c r="G2074" s="2" t="s">
        <v>493</v>
      </c>
      <c r="H2074" s="2">
        <v>249.0</v>
      </c>
      <c r="I2074" s="2">
        <v>2.9120050021476E13</v>
      </c>
      <c r="J2074" s="3">
        <v>0.0</v>
      </c>
      <c r="K2074" s="2" t="s">
        <v>8664</v>
      </c>
      <c r="L2074" s="2"/>
      <c r="M2074" s="170" t="s">
        <v>455</v>
      </c>
      <c r="N2074" s="2" t="s">
        <v>406</v>
      </c>
      <c r="O2074" s="3">
        <v>0.5</v>
      </c>
      <c r="P2074" s="2" t="s">
        <v>73</v>
      </c>
      <c r="Q2074" s="3">
        <v>0.0</v>
      </c>
      <c r="U2074" s="141"/>
      <c r="W2074" s="3">
        <v>227.0</v>
      </c>
      <c r="X2074" s="172">
        <v>46057.5878125</v>
      </c>
      <c r="Y2074" s="172"/>
      <c r="Z2074" s="3">
        <v>46045.0</v>
      </c>
      <c r="AA2074" s="3"/>
    </row>
    <row r="2075">
      <c r="A2075" s="3">
        <v>6.878888165635E12</v>
      </c>
      <c r="B2075" s="2" t="s">
        <v>8665</v>
      </c>
      <c r="C2075" s="2" t="s">
        <v>4920</v>
      </c>
      <c r="D2075" s="169">
        <v>46045.0</v>
      </c>
      <c r="E2075" s="2">
        <v>3.348602164E9</v>
      </c>
      <c r="F2075" s="2" t="s">
        <v>8666</v>
      </c>
      <c r="G2075" s="2" t="s">
        <v>822</v>
      </c>
      <c r="H2075" s="2">
        <v>249.0</v>
      </c>
      <c r="I2075" s="2">
        <v>2.1120050021532E13</v>
      </c>
      <c r="J2075" s="3">
        <v>0.0</v>
      </c>
      <c r="K2075" s="2" t="s">
        <v>8667</v>
      </c>
      <c r="L2075" s="2"/>
      <c r="M2075" s="170" t="s">
        <v>455</v>
      </c>
      <c r="N2075" s="2" t="s">
        <v>406</v>
      </c>
      <c r="O2075" s="3">
        <v>0.5</v>
      </c>
      <c r="P2075" s="2" t="s">
        <v>73</v>
      </c>
      <c r="Q2075" s="3">
        <v>0.0</v>
      </c>
      <c r="T2075" s="2" t="s">
        <v>6193</v>
      </c>
      <c r="U2075" s="141"/>
      <c r="W2075" s="3">
        <v>220.0</v>
      </c>
      <c r="X2075" s="172">
        <v>46053.874826388885</v>
      </c>
      <c r="Y2075" s="172"/>
      <c r="Z2075" s="3">
        <v>46045.0</v>
      </c>
      <c r="AA2075" s="3"/>
    </row>
    <row r="2076">
      <c r="A2076" s="3">
        <v>6.878914019587E12</v>
      </c>
      <c r="B2076" s="2" t="s">
        <v>8668</v>
      </c>
      <c r="C2076" s="2" t="s">
        <v>8503</v>
      </c>
      <c r="D2076" s="169">
        <v>46045.0</v>
      </c>
      <c r="E2076" s="2">
        <v>9.23339972495E11</v>
      </c>
      <c r="F2076" s="2" t="s">
        <v>8504</v>
      </c>
      <c r="G2076" s="2" t="s">
        <v>8505</v>
      </c>
      <c r="H2076" s="2">
        <v>2749.0</v>
      </c>
      <c r="I2076" s="2">
        <v>2.0120050021475E13</v>
      </c>
      <c r="J2076" s="3">
        <v>2.0</v>
      </c>
      <c r="K2076" s="2" t="s">
        <v>8669</v>
      </c>
      <c r="L2076" s="2" t="s">
        <v>16</v>
      </c>
      <c r="M2076" s="174" t="s">
        <v>409</v>
      </c>
      <c r="N2076" s="2" t="s">
        <v>462</v>
      </c>
      <c r="O2076" s="3">
        <v>0.5</v>
      </c>
      <c r="P2076" s="2" t="s">
        <v>73</v>
      </c>
      <c r="Q2076" s="3">
        <v>980.0</v>
      </c>
      <c r="T2076" s="2" t="s">
        <v>6123</v>
      </c>
      <c r="U2076" s="171">
        <v>2749.0</v>
      </c>
      <c r="V2076" s="172">
        <v>46049.0</v>
      </c>
      <c r="W2076" s="3">
        <v>323.0</v>
      </c>
      <c r="X2076" s="172">
        <v>46048.48150462963</v>
      </c>
      <c r="Y2076" s="172"/>
      <c r="Z2076" s="3">
        <v>46045.0</v>
      </c>
      <c r="AA2076" s="3"/>
    </row>
    <row r="2077">
      <c r="A2077" s="3">
        <v>6.878946197763E12</v>
      </c>
      <c r="B2077" s="2" t="s">
        <v>8670</v>
      </c>
      <c r="C2077" s="2" t="s">
        <v>8671</v>
      </c>
      <c r="D2077" s="169">
        <v>46045.0</v>
      </c>
      <c r="E2077" s="2">
        <v>3.33555513E9</v>
      </c>
      <c r="F2077" s="2" t="s">
        <v>8672</v>
      </c>
      <c r="G2077" s="2" t="s">
        <v>506</v>
      </c>
      <c r="H2077" s="2">
        <v>8347.0</v>
      </c>
      <c r="I2077" s="2">
        <v>2.1120050021587E13</v>
      </c>
      <c r="J2077" s="3">
        <v>4.0</v>
      </c>
      <c r="K2077" s="2" t="s">
        <v>8673</v>
      </c>
      <c r="L2077" s="2" t="s">
        <v>8674</v>
      </c>
      <c r="M2077" s="174" t="s">
        <v>409</v>
      </c>
      <c r="N2077" s="2" t="s">
        <v>462</v>
      </c>
      <c r="O2077" s="3">
        <v>0.5</v>
      </c>
      <c r="P2077" s="2" t="s">
        <v>73</v>
      </c>
      <c r="Q2077" s="3">
        <v>3500.0</v>
      </c>
      <c r="T2077" s="2" t="s">
        <v>6193</v>
      </c>
      <c r="U2077" s="171">
        <v>8347.0</v>
      </c>
      <c r="V2077" s="172">
        <v>46056.0</v>
      </c>
      <c r="W2077" s="3">
        <v>554.0</v>
      </c>
      <c r="X2077" s="172">
        <v>46052.59532407408</v>
      </c>
      <c r="Y2077" s="172"/>
      <c r="Z2077" s="3">
        <v>46045.0</v>
      </c>
      <c r="AA2077" s="3"/>
    </row>
    <row r="2078">
      <c r="A2078" s="3">
        <v>6.878980833539E12</v>
      </c>
      <c r="B2078" s="2" t="s">
        <v>8675</v>
      </c>
      <c r="C2078" s="2" t="s">
        <v>8676</v>
      </c>
      <c r="D2078" s="169">
        <v>46045.0</v>
      </c>
      <c r="E2078" s="2">
        <v>3.212182696E9</v>
      </c>
      <c r="F2078" s="2" t="s">
        <v>8677</v>
      </c>
      <c r="G2078" s="2" t="s">
        <v>493</v>
      </c>
      <c r="H2078" s="2">
        <v>3099.0</v>
      </c>
      <c r="I2078" s="2">
        <v>2.6120050021474E13</v>
      </c>
      <c r="J2078" s="3">
        <v>2.0</v>
      </c>
      <c r="K2078" s="2" t="s">
        <v>8678</v>
      </c>
      <c r="L2078" s="2" t="s">
        <v>228</v>
      </c>
      <c r="M2078" s="174" t="s">
        <v>409</v>
      </c>
      <c r="N2078" s="2" t="s">
        <v>462</v>
      </c>
      <c r="O2078" s="3">
        <v>0.5</v>
      </c>
      <c r="P2078" s="2" t="s">
        <v>73</v>
      </c>
      <c r="Q2078" s="3">
        <v>920.0</v>
      </c>
      <c r="T2078" s="2" t="s">
        <v>6336</v>
      </c>
      <c r="U2078" s="171">
        <v>3099.0</v>
      </c>
      <c r="V2078" s="172">
        <v>46052.0</v>
      </c>
      <c r="W2078" s="3">
        <v>337.0</v>
      </c>
      <c r="X2078" s="172">
        <v>46049.60922453704</v>
      </c>
      <c r="Y2078" s="172"/>
      <c r="Z2078" s="3">
        <v>46045.0</v>
      </c>
      <c r="AA2078" s="3"/>
    </row>
    <row r="2079">
      <c r="A2079" s="3">
        <v>6.879066161411E12</v>
      </c>
      <c r="B2079" s="2" t="s">
        <v>8679</v>
      </c>
      <c r="C2079" s="2" t="s">
        <v>8680</v>
      </c>
      <c r="D2079" s="169">
        <v>46045.0</v>
      </c>
      <c r="E2079" s="2">
        <v>3.001199717E9</v>
      </c>
      <c r="F2079" s="2" t="s">
        <v>8681</v>
      </c>
      <c r="G2079" s="2" t="s">
        <v>371</v>
      </c>
      <c r="H2079" s="2">
        <v>0.0</v>
      </c>
      <c r="J2079" s="3">
        <v>0.0</v>
      </c>
      <c r="K2079" s="2" t="s">
        <v>8682</v>
      </c>
      <c r="L2079" s="2"/>
      <c r="M2079" s="2" t="s">
        <v>468</v>
      </c>
      <c r="N2079" s="2" t="s">
        <v>406</v>
      </c>
      <c r="O2079" s="3">
        <v>0.5</v>
      </c>
      <c r="Q2079" s="3">
        <v>0.0</v>
      </c>
      <c r="U2079" s="141"/>
      <c r="X2079" s="172">
        <v>46057.642782870375</v>
      </c>
      <c r="Y2079" s="172"/>
      <c r="Z2079" s="3">
        <v>46045.0</v>
      </c>
      <c r="AA2079" s="3"/>
    </row>
    <row r="2080">
      <c r="A2080" s="3">
        <v>6.879150833923E12</v>
      </c>
      <c r="B2080" s="2" t="s">
        <v>8683</v>
      </c>
      <c r="C2080" s="2" t="s">
        <v>8684</v>
      </c>
      <c r="D2080" s="169">
        <v>46046.0</v>
      </c>
      <c r="E2080" s="2">
        <v>3.129170005E9</v>
      </c>
      <c r="F2080" s="2" t="s">
        <v>8685</v>
      </c>
      <c r="G2080" s="2" t="s">
        <v>693</v>
      </c>
      <c r="H2080" s="2">
        <v>249.0</v>
      </c>
      <c r="I2080" s="2">
        <v>2.7120050021487E13</v>
      </c>
      <c r="J2080" s="3">
        <v>0.0</v>
      </c>
      <c r="K2080" s="2" t="s">
        <v>8686</v>
      </c>
      <c r="L2080" s="2"/>
      <c r="M2080" s="170" t="s">
        <v>455</v>
      </c>
      <c r="N2080" s="2" t="s">
        <v>406</v>
      </c>
      <c r="O2080" s="3">
        <v>0.5</v>
      </c>
      <c r="P2080" s="2" t="s">
        <v>73</v>
      </c>
      <c r="Q2080" s="3">
        <v>0.0</v>
      </c>
      <c r="U2080" s="141"/>
      <c r="W2080" s="3">
        <v>213.0</v>
      </c>
      <c r="X2080" s="172">
        <v>46057.35021990741</v>
      </c>
      <c r="Y2080" s="172"/>
      <c r="Z2080" s="3">
        <v>46046.0</v>
      </c>
      <c r="AA2080" s="3"/>
    </row>
    <row r="2081">
      <c r="A2081" s="3">
        <v>6.879454396675E12</v>
      </c>
      <c r="B2081" s="2" t="s">
        <v>8687</v>
      </c>
      <c r="C2081" s="2" t="s">
        <v>8688</v>
      </c>
      <c r="D2081" s="169">
        <v>46046.0</v>
      </c>
      <c r="E2081" s="2">
        <v>3.408718008E9</v>
      </c>
      <c r="F2081" s="2" t="s">
        <v>8689</v>
      </c>
      <c r="G2081" s="2" t="s">
        <v>366</v>
      </c>
      <c r="H2081" s="2">
        <v>3099.0</v>
      </c>
      <c r="I2081" s="2">
        <v>2.4120050021486E13</v>
      </c>
      <c r="J2081" s="3">
        <v>2.0</v>
      </c>
      <c r="K2081" s="2" t="s">
        <v>8690</v>
      </c>
      <c r="L2081" s="2" t="s">
        <v>50</v>
      </c>
      <c r="M2081" s="174" t="s">
        <v>409</v>
      </c>
      <c r="N2081" s="2" t="s">
        <v>462</v>
      </c>
      <c r="O2081" s="3">
        <v>0.5</v>
      </c>
      <c r="P2081" s="2" t="s">
        <v>73</v>
      </c>
      <c r="Q2081" s="3">
        <v>920.0</v>
      </c>
      <c r="T2081" s="2" t="s">
        <v>6193</v>
      </c>
      <c r="U2081" s="171">
        <v>3099.0</v>
      </c>
      <c r="V2081" s="172">
        <v>46056.0</v>
      </c>
      <c r="W2081" s="3">
        <v>324.0</v>
      </c>
      <c r="X2081" s="172">
        <v>46053.634375</v>
      </c>
      <c r="Y2081" s="172"/>
      <c r="Z2081" s="3">
        <v>46046.0</v>
      </c>
      <c r="AA2081" s="3"/>
    </row>
    <row r="2082">
      <c r="A2082" s="3">
        <v>6.879461081347E12</v>
      </c>
      <c r="B2082" s="2" t="s">
        <v>8691</v>
      </c>
      <c r="C2082" s="2" t="s">
        <v>8692</v>
      </c>
      <c r="D2082" s="169">
        <v>46046.0</v>
      </c>
      <c r="E2082" s="2">
        <v>3.410054506E9</v>
      </c>
      <c r="F2082" s="2" t="s">
        <v>8693</v>
      </c>
      <c r="G2082" s="2" t="s">
        <v>5879</v>
      </c>
      <c r="H2082" s="2">
        <v>3099.0</v>
      </c>
      <c r="I2082" s="2" t="s">
        <v>8694</v>
      </c>
      <c r="J2082" s="3">
        <v>2.0</v>
      </c>
      <c r="K2082" s="2" t="s">
        <v>8695</v>
      </c>
      <c r="L2082" s="2" t="s">
        <v>296</v>
      </c>
      <c r="M2082" s="174" t="s">
        <v>409</v>
      </c>
      <c r="N2082" s="2" t="s">
        <v>462</v>
      </c>
      <c r="O2082" s="3">
        <v>0.5</v>
      </c>
      <c r="P2082" s="2" t="s">
        <v>640</v>
      </c>
      <c r="Q2082" s="3">
        <v>720.0</v>
      </c>
      <c r="T2082" s="2"/>
      <c r="U2082" s="171">
        <v>3099.0</v>
      </c>
      <c r="W2082" s="3">
        <v>301.5376</v>
      </c>
      <c r="X2082" s="172">
        <v>46057.65215199074</v>
      </c>
      <c r="Y2082" s="172"/>
      <c r="Z2082" s="3">
        <v>46046.0</v>
      </c>
      <c r="AA2082" s="3"/>
    </row>
    <row r="2083">
      <c r="A2083" s="3">
        <v>6.879611584771E12</v>
      </c>
      <c r="B2083" s="2" t="s">
        <v>8696</v>
      </c>
      <c r="C2083" s="2" t="s">
        <v>2104</v>
      </c>
      <c r="D2083" s="169">
        <v>46046.0</v>
      </c>
      <c r="E2083" s="2">
        <v>3.159573786E9</v>
      </c>
      <c r="F2083" s="2" t="s">
        <v>8697</v>
      </c>
      <c r="G2083" s="2" t="s">
        <v>2106</v>
      </c>
      <c r="H2083" s="2">
        <v>0.0</v>
      </c>
      <c r="I2083" s="2" t="s">
        <v>8698</v>
      </c>
      <c r="J2083" s="3">
        <v>0.0</v>
      </c>
      <c r="K2083" s="2" t="s">
        <v>8699</v>
      </c>
      <c r="L2083" s="2"/>
      <c r="M2083" s="174" t="s">
        <v>409</v>
      </c>
      <c r="N2083" s="2" t="s">
        <v>406</v>
      </c>
      <c r="O2083" s="3">
        <v>0.5</v>
      </c>
      <c r="P2083" s="2" t="s">
        <v>640</v>
      </c>
      <c r="Q2083" s="3">
        <v>0.0</v>
      </c>
      <c r="T2083" s="2"/>
      <c r="U2083" s="171">
        <v>0.0</v>
      </c>
      <c r="W2083" s="3">
        <v>271.3776</v>
      </c>
      <c r="X2083" s="172">
        <v>46057.652155613425</v>
      </c>
      <c r="Y2083" s="172"/>
      <c r="Z2083" s="3">
        <v>46046.0</v>
      </c>
      <c r="AA2083" s="3"/>
    </row>
    <row r="2084">
      <c r="A2084" s="3">
        <v>6.879660212483E12</v>
      </c>
      <c r="B2084" s="2" t="s">
        <v>8700</v>
      </c>
      <c r="C2084" s="2" t="s">
        <v>8701</v>
      </c>
      <c r="D2084" s="169">
        <v>46046.0</v>
      </c>
      <c r="E2084" s="2">
        <v>3.332691733E9</v>
      </c>
      <c r="F2084" s="2" t="s">
        <v>8702</v>
      </c>
      <c r="G2084" s="2" t="s">
        <v>693</v>
      </c>
      <c r="H2084" s="2">
        <v>4248.0</v>
      </c>
      <c r="I2084" s="2">
        <v>2.3120050021485E13</v>
      </c>
      <c r="J2084" s="3">
        <v>2.0</v>
      </c>
      <c r="K2084" s="2" t="s">
        <v>8703</v>
      </c>
      <c r="L2084" s="2" t="s">
        <v>994</v>
      </c>
      <c r="M2084" s="174" t="s">
        <v>409</v>
      </c>
      <c r="N2084" s="2" t="s">
        <v>462</v>
      </c>
      <c r="O2084" s="3">
        <v>0.5</v>
      </c>
      <c r="P2084" s="2" t="s">
        <v>73</v>
      </c>
      <c r="Q2084" s="3">
        <v>1700.0</v>
      </c>
      <c r="T2084" s="2" t="s">
        <v>6336</v>
      </c>
      <c r="U2084" s="171">
        <v>4248.0</v>
      </c>
      <c r="V2084" s="172">
        <v>46052.0</v>
      </c>
      <c r="W2084" s="3">
        <v>397.0</v>
      </c>
      <c r="X2084" s="172">
        <v>46049.56758101852</v>
      </c>
      <c r="Y2084" s="172"/>
      <c r="Z2084" s="3">
        <v>46046.0</v>
      </c>
      <c r="AA2084" s="3"/>
    </row>
    <row r="2085">
      <c r="A2085" s="3">
        <v>6.879725977859E12</v>
      </c>
      <c r="B2085" s="2" t="s">
        <v>8704</v>
      </c>
      <c r="C2085" s="2" t="s">
        <v>8705</v>
      </c>
      <c r="D2085" s="169">
        <v>46046.0</v>
      </c>
      <c r="E2085" s="173" t="s">
        <v>8706</v>
      </c>
      <c r="F2085" s="2" t="s">
        <v>8707</v>
      </c>
      <c r="G2085" s="2" t="s">
        <v>672</v>
      </c>
      <c r="H2085" s="2">
        <v>3099.0</v>
      </c>
      <c r="I2085" s="2">
        <v>2.6120050021531E13</v>
      </c>
      <c r="J2085" s="3">
        <v>2.0</v>
      </c>
      <c r="K2085" s="2" t="s">
        <v>8708</v>
      </c>
      <c r="L2085" s="2" t="s">
        <v>296</v>
      </c>
      <c r="M2085" s="174" t="s">
        <v>409</v>
      </c>
      <c r="N2085" s="2" t="s">
        <v>462</v>
      </c>
      <c r="O2085" s="3">
        <v>0.5</v>
      </c>
      <c r="P2085" s="2" t="s">
        <v>73</v>
      </c>
      <c r="Q2085" s="3">
        <v>920.0</v>
      </c>
      <c r="T2085" s="2" t="s">
        <v>6193</v>
      </c>
      <c r="U2085" s="171">
        <v>3099.0</v>
      </c>
      <c r="V2085" s="172">
        <v>46056.0</v>
      </c>
      <c r="W2085" s="3">
        <v>351.0</v>
      </c>
      <c r="X2085" s="172">
        <v>46052.69501157408</v>
      </c>
      <c r="Y2085" s="172"/>
      <c r="Z2085" s="3">
        <v>46046.0</v>
      </c>
      <c r="AA2085" s="3"/>
    </row>
    <row r="2086">
      <c r="A2086" s="3">
        <v>6.879743017219E12</v>
      </c>
      <c r="B2086" s="2" t="s">
        <v>8709</v>
      </c>
      <c r="C2086" s="2" t="s">
        <v>8710</v>
      </c>
      <c r="D2086" s="169">
        <v>46046.0</v>
      </c>
      <c r="E2086" s="2">
        <v>3.190063152E9</v>
      </c>
      <c r="F2086" s="2" t="s">
        <v>8711</v>
      </c>
      <c r="G2086" s="2" t="s">
        <v>493</v>
      </c>
      <c r="H2086" s="2">
        <v>249.0</v>
      </c>
      <c r="I2086" s="2">
        <v>2.8120050021471E13</v>
      </c>
      <c r="J2086" s="3">
        <v>0.0</v>
      </c>
      <c r="K2086" s="2" t="s">
        <v>8712</v>
      </c>
      <c r="L2086" s="2"/>
      <c r="M2086" s="170" t="s">
        <v>455</v>
      </c>
      <c r="N2086" s="2" t="s">
        <v>406</v>
      </c>
      <c r="O2086" s="3">
        <v>0.5</v>
      </c>
      <c r="P2086" s="2" t="s">
        <v>73</v>
      </c>
      <c r="Q2086" s="3">
        <v>0.0</v>
      </c>
      <c r="U2086" s="141"/>
      <c r="W2086" s="3">
        <v>213.0</v>
      </c>
      <c r="X2086" s="172">
        <v>46057.35021990741</v>
      </c>
      <c r="Y2086" s="172"/>
      <c r="Z2086" s="3">
        <v>46046.0</v>
      </c>
      <c r="AA2086" s="3"/>
    </row>
    <row r="2087">
      <c r="A2087" s="3">
        <v>6.879759433987E12</v>
      </c>
      <c r="B2087" s="2" t="s">
        <v>8713</v>
      </c>
      <c r="C2087" s="2" t="s">
        <v>8714</v>
      </c>
      <c r="D2087" s="169">
        <v>46046.0</v>
      </c>
      <c r="E2087" s="2">
        <v>3.073836964E9</v>
      </c>
      <c r="F2087" s="2" t="s">
        <v>8715</v>
      </c>
      <c r="G2087" s="2" t="s">
        <v>688</v>
      </c>
      <c r="H2087" s="2">
        <v>2749.0</v>
      </c>
      <c r="I2087" s="2">
        <v>2.512005002147E13</v>
      </c>
      <c r="J2087" s="3">
        <v>2.0</v>
      </c>
      <c r="K2087" s="2" t="s">
        <v>8716</v>
      </c>
      <c r="L2087" s="2" t="s">
        <v>35</v>
      </c>
      <c r="M2087" s="174" t="s">
        <v>409</v>
      </c>
      <c r="N2087" s="2" t="s">
        <v>462</v>
      </c>
      <c r="O2087" s="3">
        <v>0.5</v>
      </c>
      <c r="P2087" s="2" t="s">
        <v>73</v>
      </c>
      <c r="Q2087" s="3">
        <v>980.0</v>
      </c>
      <c r="T2087" s="2" t="s">
        <v>6123</v>
      </c>
      <c r="U2087" s="171">
        <v>2749.0</v>
      </c>
      <c r="V2087" s="172">
        <v>46049.0</v>
      </c>
      <c r="W2087" s="3">
        <v>310.0</v>
      </c>
      <c r="X2087" s="172">
        <v>46048.643275462964</v>
      </c>
      <c r="Y2087" s="172"/>
      <c r="Z2087" s="3">
        <v>46046.0</v>
      </c>
      <c r="AA2087" s="3"/>
    </row>
    <row r="2088">
      <c r="A2088" s="3">
        <v>6.879764054275E12</v>
      </c>
      <c r="B2088" s="2" t="s">
        <v>8717</v>
      </c>
      <c r="C2088" s="2" t="s">
        <v>8718</v>
      </c>
      <c r="D2088" s="169">
        <v>46046.0</v>
      </c>
      <c r="E2088" s="173" t="s">
        <v>8719</v>
      </c>
      <c r="F2088" s="2" t="s">
        <v>8720</v>
      </c>
      <c r="G2088" s="2" t="s">
        <v>678</v>
      </c>
      <c r="H2088" s="2">
        <v>3740.0</v>
      </c>
      <c r="I2088" s="2">
        <v>2.4120050021493E13</v>
      </c>
      <c r="J2088" s="3">
        <v>1.0</v>
      </c>
      <c r="K2088" s="2" t="s">
        <v>8721</v>
      </c>
      <c r="L2088" s="2" t="s">
        <v>8722</v>
      </c>
      <c r="M2088" s="174" t="s">
        <v>409</v>
      </c>
      <c r="N2088" s="2" t="s">
        <v>462</v>
      </c>
      <c r="O2088" s="3">
        <v>0.5</v>
      </c>
      <c r="P2088" s="2" t="s">
        <v>73</v>
      </c>
      <c r="Q2088" s="3">
        <v>1650.0</v>
      </c>
      <c r="T2088" s="2" t="s">
        <v>6123</v>
      </c>
      <c r="U2088" s="171">
        <v>3740.0</v>
      </c>
      <c r="V2088" s="172">
        <v>46049.0</v>
      </c>
      <c r="W2088" s="3">
        <v>270.0</v>
      </c>
      <c r="X2088" s="172">
        <v>46048.656435185185</v>
      </c>
      <c r="Y2088" s="172"/>
      <c r="Z2088" s="3">
        <v>46046.0</v>
      </c>
      <c r="AA2088" s="3"/>
    </row>
    <row r="2089">
      <c r="A2089" s="3">
        <v>6.879764545795E12</v>
      </c>
      <c r="B2089" s="2" t="s">
        <v>8723</v>
      </c>
      <c r="C2089" s="2" t="s">
        <v>8724</v>
      </c>
      <c r="D2089" s="169">
        <v>46046.0</v>
      </c>
      <c r="E2089" s="2">
        <v>3.451151146E9</v>
      </c>
      <c r="F2089" s="2" t="s">
        <v>8725</v>
      </c>
      <c r="G2089" s="2" t="s">
        <v>493</v>
      </c>
      <c r="H2089" s="2">
        <v>5100.0</v>
      </c>
      <c r="I2089" s="2">
        <v>2.8120050021466E13</v>
      </c>
      <c r="J2089" s="3">
        <v>2.0</v>
      </c>
      <c r="K2089" s="2" t="s">
        <v>8726</v>
      </c>
      <c r="L2089" s="2" t="s">
        <v>8727</v>
      </c>
      <c r="M2089" s="174" t="s">
        <v>409</v>
      </c>
      <c r="N2089" s="2" t="s">
        <v>462</v>
      </c>
      <c r="O2089" s="3">
        <v>0.5</v>
      </c>
      <c r="P2089" s="2" t="s">
        <v>73</v>
      </c>
      <c r="Q2089" s="3">
        <v>1700.0</v>
      </c>
      <c r="T2089" s="2" t="s">
        <v>6336</v>
      </c>
      <c r="U2089" s="171">
        <v>5100.0</v>
      </c>
      <c r="V2089" s="172">
        <v>46052.0</v>
      </c>
      <c r="W2089" s="3">
        <v>524.0</v>
      </c>
      <c r="X2089" s="172">
        <v>46049.53855324074</v>
      </c>
      <c r="Y2089" s="172"/>
      <c r="Z2089" s="3">
        <v>46046.0</v>
      </c>
      <c r="AA2089" s="3"/>
    </row>
    <row r="2090">
      <c r="A2090" s="3">
        <v>6.879768641795E12</v>
      </c>
      <c r="B2090" s="2" t="s">
        <v>8728</v>
      </c>
      <c r="C2090" s="2" t="s">
        <v>8729</v>
      </c>
      <c r="D2090" s="169">
        <v>46046.0</v>
      </c>
      <c r="E2090" s="2">
        <v>3.117959329E9</v>
      </c>
      <c r="F2090" s="2" t="s">
        <v>8730</v>
      </c>
      <c r="G2090" s="2" t="s">
        <v>8731</v>
      </c>
      <c r="H2090" s="2">
        <v>0.0</v>
      </c>
      <c r="J2090" s="3">
        <v>0.0</v>
      </c>
      <c r="K2090" s="2" t="s">
        <v>8732</v>
      </c>
      <c r="L2090" s="2"/>
      <c r="M2090" s="2" t="s">
        <v>468</v>
      </c>
      <c r="N2090" s="2" t="s">
        <v>406</v>
      </c>
      <c r="O2090" s="3">
        <v>0.5</v>
      </c>
      <c r="Q2090" s="3">
        <v>0.0</v>
      </c>
      <c r="U2090" s="141"/>
      <c r="X2090" s="172">
        <v>46057.64278288194</v>
      </c>
      <c r="Y2090" s="172"/>
      <c r="Z2090" s="3">
        <v>46046.0</v>
      </c>
      <c r="AA2090" s="3"/>
    </row>
    <row r="2091">
      <c r="A2091" s="3">
        <v>6.879770804483E12</v>
      </c>
      <c r="B2091" s="2" t="s">
        <v>8733</v>
      </c>
      <c r="C2091" s="2" t="s">
        <v>8729</v>
      </c>
      <c r="D2091" s="169">
        <v>46046.0</v>
      </c>
      <c r="E2091" s="2">
        <v>3.117959329E9</v>
      </c>
      <c r="F2091" s="2" t="s">
        <v>8730</v>
      </c>
      <c r="G2091" s="2" t="s">
        <v>8731</v>
      </c>
      <c r="H2091" s="2">
        <v>0.0</v>
      </c>
      <c r="J2091" s="3">
        <v>0.0</v>
      </c>
      <c r="K2091" s="2" t="s">
        <v>8732</v>
      </c>
      <c r="L2091" s="2"/>
      <c r="M2091" s="2" t="s">
        <v>468</v>
      </c>
      <c r="N2091" s="2" t="s">
        <v>406</v>
      </c>
      <c r="O2091" s="3">
        <v>0.5</v>
      </c>
      <c r="Q2091" s="3">
        <v>0.0</v>
      </c>
      <c r="U2091" s="141"/>
      <c r="X2091" s="172">
        <v>46057.64278288194</v>
      </c>
      <c r="Y2091" s="172"/>
      <c r="Z2091" s="3">
        <v>46046.0</v>
      </c>
      <c r="AA2091" s="3"/>
    </row>
    <row r="2092">
      <c r="A2092" s="3">
        <v>6.879798657283E12</v>
      </c>
      <c r="B2092" s="2" t="s">
        <v>8734</v>
      </c>
      <c r="C2092" s="2" t="s">
        <v>8735</v>
      </c>
      <c r="D2092" s="169">
        <v>46046.0</v>
      </c>
      <c r="E2092" s="173" t="s">
        <v>8736</v>
      </c>
      <c r="F2092" s="2" t="s">
        <v>8737</v>
      </c>
      <c r="G2092" s="2" t="s">
        <v>688</v>
      </c>
      <c r="H2092" s="2">
        <v>3100.0</v>
      </c>
      <c r="I2092" s="2">
        <v>2.0120050021465E13</v>
      </c>
      <c r="J2092" s="3">
        <v>2.0</v>
      </c>
      <c r="K2092" s="2" t="s">
        <v>8738</v>
      </c>
      <c r="L2092" s="2" t="s">
        <v>296</v>
      </c>
      <c r="M2092" s="174" t="s">
        <v>409</v>
      </c>
      <c r="N2092" s="2" t="s">
        <v>462</v>
      </c>
      <c r="O2092" s="3">
        <v>0.5</v>
      </c>
      <c r="P2092" s="2" t="s">
        <v>73</v>
      </c>
      <c r="Q2092" s="3">
        <v>920.0</v>
      </c>
      <c r="T2092" s="2" t="s">
        <v>6336</v>
      </c>
      <c r="U2092" s="171">
        <v>3100.0</v>
      </c>
      <c r="V2092" s="172">
        <v>46052.0</v>
      </c>
      <c r="W2092" s="3">
        <v>324.0</v>
      </c>
      <c r="X2092" s="172">
        <v>46049.60784722222</v>
      </c>
      <c r="Y2092" s="172"/>
      <c r="Z2092" s="3">
        <v>46046.0</v>
      </c>
      <c r="AA2092" s="3"/>
    </row>
    <row r="2093">
      <c r="A2093" s="3">
        <v>6.879802949891E12</v>
      </c>
      <c r="B2093" s="2" t="s">
        <v>8739</v>
      </c>
      <c r="C2093" s="2" t="s">
        <v>7995</v>
      </c>
      <c r="D2093" s="169">
        <v>46046.0</v>
      </c>
      <c r="E2093" s="173" t="s">
        <v>8740</v>
      </c>
      <c r="F2093" s="2" t="s">
        <v>8741</v>
      </c>
      <c r="G2093" s="2" t="s">
        <v>368</v>
      </c>
      <c r="H2093" s="2">
        <v>2550.0</v>
      </c>
      <c r="I2093" s="2" t="s">
        <v>8742</v>
      </c>
      <c r="J2093" s="3">
        <v>1.0</v>
      </c>
      <c r="K2093" s="2" t="s">
        <v>8743</v>
      </c>
      <c r="L2093" s="2" t="s">
        <v>557</v>
      </c>
      <c r="M2093" s="174" t="s">
        <v>409</v>
      </c>
      <c r="N2093" s="2" t="s">
        <v>406</v>
      </c>
      <c r="O2093" s="3">
        <v>0.5</v>
      </c>
      <c r="Q2093" s="3">
        <v>850.0</v>
      </c>
      <c r="U2093" s="19">
        <v>2550.0</v>
      </c>
      <c r="X2093" s="172">
        <v>46057.64278288194</v>
      </c>
      <c r="Y2093" s="172"/>
      <c r="Z2093" s="3">
        <v>46046.0</v>
      </c>
      <c r="AA2093" s="3"/>
    </row>
    <row r="2094">
      <c r="A2094" s="3">
        <v>6.879838568707E12</v>
      </c>
      <c r="B2094" s="2" t="s">
        <v>8744</v>
      </c>
      <c r="C2094" s="2" t="s">
        <v>8745</v>
      </c>
      <c r="D2094" s="169">
        <v>46046.0</v>
      </c>
      <c r="E2094" s="2">
        <v>3.342612099E9</v>
      </c>
      <c r="F2094" s="2" t="s">
        <v>8746</v>
      </c>
      <c r="G2094" s="2" t="s">
        <v>493</v>
      </c>
      <c r="H2094" s="2">
        <v>249.0</v>
      </c>
      <c r="I2094" s="2">
        <v>2.1120050021514E13</v>
      </c>
      <c r="J2094" s="3">
        <v>0.0</v>
      </c>
      <c r="K2094" s="2" t="s">
        <v>8747</v>
      </c>
      <c r="L2094" s="2"/>
      <c r="M2094" s="170" t="s">
        <v>455</v>
      </c>
      <c r="N2094" s="2" t="s">
        <v>406</v>
      </c>
      <c r="O2094" s="3">
        <v>0.5</v>
      </c>
      <c r="P2094" s="2" t="s">
        <v>73</v>
      </c>
      <c r="Q2094" s="3">
        <v>0.0</v>
      </c>
      <c r="U2094" s="141"/>
      <c r="W2094" s="3">
        <v>227.0</v>
      </c>
      <c r="X2094" s="172">
        <v>46057.5878125</v>
      </c>
      <c r="Y2094" s="172"/>
      <c r="Z2094" s="3">
        <v>46046.0</v>
      </c>
      <c r="AA2094" s="3"/>
    </row>
    <row r="2095">
      <c r="A2095" s="3">
        <v>6.879839912195E12</v>
      </c>
      <c r="B2095" s="2" t="s">
        <v>8748</v>
      </c>
      <c r="C2095" s="2" t="s">
        <v>8749</v>
      </c>
      <c r="D2095" s="169">
        <v>46046.0</v>
      </c>
      <c r="E2095" s="2">
        <v>3.110408009E9</v>
      </c>
      <c r="F2095" s="2" t="s">
        <v>8750</v>
      </c>
      <c r="G2095" s="2" t="s">
        <v>366</v>
      </c>
      <c r="H2095" s="2">
        <v>4248.0</v>
      </c>
      <c r="I2095" s="2">
        <v>2.6120050021492E13</v>
      </c>
      <c r="J2095" s="3">
        <v>2.0</v>
      </c>
      <c r="K2095" s="2" t="s">
        <v>8751</v>
      </c>
      <c r="L2095" s="2" t="s">
        <v>532</v>
      </c>
      <c r="M2095" s="174" t="s">
        <v>409</v>
      </c>
      <c r="N2095" s="2" t="s">
        <v>462</v>
      </c>
      <c r="O2095" s="3">
        <v>0.5</v>
      </c>
      <c r="P2095" s="2" t="s">
        <v>73</v>
      </c>
      <c r="Q2095" s="3">
        <v>1700.0</v>
      </c>
      <c r="T2095" s="2" t="s">
        <v>6123</v>
      </c>
      <c r="U2095" s="171">
        <v>4248.0</v>
      </c>
      <c r="V2095" s="172">
        <v>46049.0</v>
      </c>
      <c r="W2095" s="3">
        <v>390.0</v>
      </c>
      <c r="X2095" s="172">
        <v>46048.632893518516</v>
      </c>
      <c r="Y2095" s="172"/>
      <c r="Z2095" s="3">
        <v>46046.0</v>
      </c>
      <c r="AA2095" s="3"/>
    </row>
    <row r="2096">
      <c r="A2096" s="3">
        <v>6.879895060739E12</v>
      </c>
      <c r="B2096" s="2" t="s">
        <v>8752</v>
      </c>
      <c r="C2096" s="2" t="s">
        <v>4920</v>
      </c>
      <c r="D2096" s="169">
        <v>46046.0</v>
      </c>
      <c r="E2096" s="2">
        <v>3.009229881E9</v>
      </c>
      <c r="F2096" s="2" t="s">
        <v>6722</v>
      </c>
      <c r="G2096" s="2" t="s">
        <v>493</v>
      </c>
      <c r="H2096" s="2">
        <v>250.0</v>
      </c>
      <c r="I2096" s="2">
        <v>2.6120050021491E13</v>
      </c>
      <c r="J2096" s="3">
        <v>0.0</v>
      </c>
      <c r="K2096" s="2" t="s">
        <v>8753</v>
      </c>
      <c r="L2096" s="2"/>
      <c r="M2096" s="170" t="s">
        <v>455</v>
      </c>
      <c r="N2096" s="2" t="s">
        <v>406</v>
      </c>
      <c r="O2096" s="3">
        <v>0.5</v>
      </c>
      <c r="P2096" s="2" t="s">
        <v>73</v>
      </c>
      <c r="Q2096" s="3">
        <v>0.0</v>
      </c>
      <c r="U2096" s="141"/>
      <c r="W2096" s="3">
        <v>213.0</v>
      </c>
      <c r="X2096" s="172">
        <v>46063.02087851852</v>
      </c>
      <c r="Y2096" s="172"/>
      <c r="Z2096" s="3">
        <v>46046.0</v>
      </c>
      <c r="AA2096" s="3"/>
    </row>
    <row r="2097">
      <c r="A2097" s="3">
        <v>6.880032358659E12</v>
      </c>
      <c r="B2097" s="2" t="s">
        <v>8754</v>
      </c>
      <c r="C2097" s="2" t="s">
        <v>8755</v>
      </c>
      <c r="D2097" s="169">
        <v>46046.0</v>
      </c>
      <c r="E2097" s="2">
        <v>3.444994486E9</v>
      </c>
      <c r="F2097" s="2" t="s">
        <v>8756</v>
      </c>
      <c r="G2097" s="2" t="s">
        <v>1180</v>
      </c>
      <c r="H2097" s="2">
        <v>0.0</v>
      </c>
      <c r="J2097" s="3">
        <v>0.0</v>
      </c>
      <c r="K2097" s="2" t="s">
        <v>8757</v>
      </c>
      <c r="L2097" s="2"/>
      <c r="M2097" s="2" t="s">
        <v>468</v>
      </c>
      <c r="N2097" s="2" t="s">
        <v>406</v>
      </c>
      <c r="O2097" s="3">
        <v>0.5</v>
      </c>
      <c r="Q2097" s="3">
        <v>0.0</v>
      </c>
      <c r="U2097" s="141"/>
      <c r="X2097" s="172">
        <v>46057.64278288194</v>
      </c>
      <c r="Y2097" s="172"/>
      <c r="Z2097" s="3">
        <v>46046.0</v>
      </c>
      <c r="AA2097" s="3"/>
    </row>
    <row r="2098">
      <c r="A2098" s="3">
        <v>6.880076693763E12</v>
      </c>
      <c r="B2098" s="2" t="s">
        <v>8758</v>
      </c>
      <c r="C2098" s="2" t="s">
        <v>8759</v>
      </c>
      <c r="D2098" s="169">
        <v>46046.0</v>
      </c>
      <c r="E2098" s="2">
        <v>3.379235676E9</v>
      </c>
      <c r="F2098" s="2" t="s">
        <v>8760</v>
      </c>
      <c r="G2098" s="2" t="s">
        <v>473</v>
      </c>
      <c r="H2098" s="2">
        <v>0.0</v>
      </c>
      <c r="J2098" s="3">
        <v>0.0</v>
      </c>
      <c r="K2098" s="2" t="s">
        <v>8761</v>
      </c>
      <c r="L2098" s="2"/>
      <c r="M2098" s="2" t="s">
        <v>468</v>
      </c>
      <c r="N2098" s="2" t="s">
        <v>406</v>
      </c>
      <c r="O2098" s="3">
        <v>0.5</v>
      </c>
      <c r="Q2098" s="3">
        <v>0.0</v>
      </c>
      <c r="U2098" s="141"/>
      <c r="X2098" s="172">
        <v>46057.64278288194</v>
      </c>
      <c r="Y2098" s="172"/>
      <c r="Z2098" s="3">
        <v>46046.0</v>
      </c>
      <c r="AA2098" s="3"/>
    </row>
    <row r="2099">
      <c r="A2099" s="3">
        <v>6.880201212163E12</v>
      </c>
      <c r="B2099" s="2" t="s">
        <v>8762</v>
      </c>
      <c r="C2099" s="2" t="s">
        <v>8763</v>
      </c>
      <c r="D2099" s="169">
        <v>46046.0</v>
      </c>
      <c r="E2099" s="2">
        <v>3.119314888E9</v>
      </c>
      <c r="F2099" s="2" t="s">
        <v>8764</v>
      </c>
      <c r="G2099" s="2" t="s">
        <v>366</v>
      </c>
      <c r="H2099" s="2">
        <v>249.0</v>
      </c>
      <c r="I2099" s="2">
        <v>2.012005002153E13</v>
      </c>
      <c r="J2099" s="3">
        <v>0.0</v>
      </c>
      <c r="K2099" s="2" t="s">
        <v>8765</v>
      </c>
      <c r="L2099" s="2"/>
      <c r="M2099" s="170" t="s">
        <v>455</v>
      </c>
      <c r="N2099" s="2" t="s">
        <v>406</v>
      </c>
      <c r="O2099" s="3">
        <v>0.5</v>
      </c>
      <c r="P2099" s="2" t="s">
        <v>73</v>
      </c>
      <c r="Q2099" s="3">
        <v>0.0</v>
      </c>
      <c r="U2099" s="141"/>
      <c r="W2099" s="3">
        <v>200.0</v>
      </c>
      <c r="X2099" s="172">
        <v>46077.91596081018</v>
      </c>
      <c r="Y2099" s="172"/>
      <c r="Z2099" s="3">
        <v>46046.0</v>
      </c>
      <c r="AA2099" s="3"/>
    </row>
    <row r="2100">
      <c r="A2100" s="3">
        <v>6.880203538691E12</v>
      </c>
      <c r="B2100" s="2" t="s">
        <v>8766</v>
      </c>
      <c r="C2100" s="2" t="s">
        <v>8767</v>
      </c>
      <c r="D2100" s="169">
        <v>46046.0</v>
      </c>
      <c r="E2100" s="2">
        <v>3.26800717E9</v>
      </c>
      <c r="F2100" s="2" t="s">
        <v>8768</v>
      </c>
      <c r="G2100" s="2" t="s">
        <v>493</v>
      </c>
      <c r="H2100" s="2">
        <v>4248.0</v>
      </c>
      <c r="I2100" s="2">
        <v>2.4120050021512E13</v>
      </c>
      <c r="J2100" s="3">
        <v>2.0</v>
      </c>
      <c r="K2100" s="2" t="s">
        <v>8769</v>
      </c>
      <c r="L2100" s="2" t="s">
        <v>532</v>
      </c>
      <c r="M2100" s="174" t="s">
        <v>409</v>
      </c>
      <c r="N2100" s="2" t="s">
        <v>462</v>
      </c>
      <c r="O2100" s="3">
        <v>0.5</v>
      </c>
      <c r="P2100" s="2" t="s">
        <v>73</v>
      </c>
      <c r="Q2100" s="3">
        <v>1700.0</v>
      </c>
      <c r="T2100" s="2" t="s">
        <v>6336</v>
      </c>
      <c r="U2100" s="171">
        <v>4248.0</v>
      </c>
      <c r="V2100" s="172">
        <v>46052.0</v>
      </c>
      <c r="W2100" s="3">
        <v>490.0</v>
      </c>
      <c r="X2100" s="172">
        <v>46050.64122685185</v>
      </c>
      <c r="Y2100" s="172"/>
      <c r="Z2100" s="3">
        <v>46046.0</v>
      </c>
      <c r="AA2100" s="3"/>
    </row>
    <row r="2101">
      <c r="A2101" s="3">
        <v>6.880230375683E12</v>
      </c>
      <c r="B2101" s="2" t="s">
        <v>8770</v>
      </c>
      <c r="C2101" s="2" t="s">
        <v>8771</v>
      </c>
      <c r="D2101" s="169">
        <v>46046.0</v>
      </c>
      <c r="E2101" s="2">
        <v>3.0165729E9</v>
      </c>
      <c r="F2101" s="2" t="s">
        <v>8772</v>
      </c>
      <c r="G2101" s="2" t="s">
        <v>4683</v>
      </c>
      <c r="H2101" s="2">
        <v>249.0</v>
      </c>
      <c r="I2101" s="2">
        <v>2.8120050021529E13</v>
      </c>
      <c r="J2101" s="3">
        <v>0.0</v>
      </c>
      <c r="K2101" s="2" t="s">
        <v>8773</v>
      </c>
      <c r="L2101" s="2"/>
      <c r="M2101" s="170" t="s">
        <v>455</v>
      </c>
      <c r="N2101" s="2" t="s">
        <v>406</v>
      </c>
      <c r="O2101" s="3">
        <v>0.5</v>
      </c>
      <c r="P2101" s="2" t="s">
        <v>73</v>
      </c>
      <c r="Q2101" s="3">
        <v>0.0</v>
      </c>
      <c r="T2101" s="2" t="s">
        <v>6193</v>
      </c>
      <c r="U2101" s="141"/>
      <c r="W2101" s="3">
        <v>200.0</v>
      </c>
      <c r="X2101" s="172">
        <v>46055.96199074074</v>
      </c>
      <c r="Y2101" s="172"/>
      <c r="Z2101" s="3">
        <v>46046.0</v>
      </c>
      <c r="AA2101" s="3"/>
    </row>
    <row r="2102">
      <c r="A2102" s="3">
        <v>6.880237748483E12</v>
      </c>
      <c r="B2102" s="2" t="s">
        <v>8774</v>
      </c>
      <c r="C2102" s="2" t="s">
        <v>8775</v>
      </c>
      <c r="D2102" s="169">
        <v>46046.0</v>
      </c>
      <c r="E2102" s="2">
        <v>3.007821411E9</v>
      </c>
      <c r="F2102" s="2" t="s">
        <v>8776</v>
      </c>
      <c r="G2102" s="2" t="s">
        <v>8777</v>
      </c>
      <c r="H2102" s="2">
        <v>3099.0</v>
      </c>
      <c r="I2102" s="2">
        <v>2.9120050021528E13</v>
      </c>
      <c r="J2102" s="3">
        <v>2.0</v>
      </c>
      <c r="K2102" s="2" t="s">
        <v>8778</v>
      </c>
      <c r="L2102" s="2" t="s">
        <v>296</v>
      </c>
      <c r="M2102" s="174" t="s">
        <v>409</v>
      </c>
      <c r="N2102" s="2" t="s">
        <v>462</v>
      </c>
      <c r="O2102" s="3">
        <v>0.5</v>
      </c>
      <c r="P2102" s="2" t="s">
        <v>73</v>
      </c>
      <c r="Q2102" s="3">
        <v>920.0</v>
      </c>
      <c r="T2102" s="2" t="s">
        <v>6336</v>
      </c>
      <c r="U2102" s="171">
        <v>3099.0</v>
      </c>
      <c r="V2102" s="172">
        <v>46052.0</v>
      </c>
      <c r="W2102" s="3">
        <v>324.0</v>
      </c>
      <c r="X2102" s="172">
        <v>46051.785405092596</v>
      </c>
      <c r="Y2102" s="172"/>
      <c r="Z2102" s="3">
        <v>46046.0</v>
      </c>
      <c r="AA2102" s="3"/>
    </row>
    <row r="2103">
      <c r="A2103" s="3">
        <v>6.880243482883E12</v>
      </c>
      <c r="B2103" s="2" t="s">
        <v>8779</v>
      </c>
      <c r="C2103" s="2" t="s">
        <v>8780</v>
      </c>
      <c r="D2103" s="169">
        <v>46046.0</v>
      </c>
      <c r="E2103" s="2">
        <v>3.70418344E9</v>
      </c>
      <c r="F2103" s="2" t="s">
        <v>8781</v>
      </c>
      <c r="G2103" s="2" t="s">
        <v>1637</v>
      </c>
      <c r="H2103" s="2">
        <v>3099.0</v>
      </c>
      <c r="I2103" s="2">
        <v>2.6120050021527E13</v>
      </c>
      <c r="J2103" s="3">
        <v>2.0</v>
      </c>
      <c r="K2103" s="2" t="s">
        <v>8782</v>
      </c>
      <c r="L2103" s="2" t="s">
        <v>22</v>
      </c>
      <c r="M2103" s="174" t="s">
        <v>409</v>
      </c>
      <c r="N2103" s="2" t="s">
        <v>462</v>
      </c>
      <c r="O2103" s="3">
        <v>0.5</v>
      </c>
      <c r="P2103" s="2" t="s">
        <v>73</v>
      </c>
      <c r="Q2103" s="3">
        <v>960.0</v>
      </c>
      <c r="T2103" s="2" t="s">
        <v>6336</v>
      </c>
      <c r="U2103" s="171">
        <v>3099.0</v>
      </c>
      <c r="V2103" s="172">
        <v>46052.0</v>
      </c>
      <c r="W2103" s="3">
        <v>324.0</v>
      </c>
      <c r="X2103" s="172">
        <v>46049.789189814815</v>
      </c>
      <c r="Y2103" s="172"/>
      <c r="Z2103" s="3">
        <v>46046.0</v>
      </c>
      <c r="AA2103" s="3"/>
    </row>
    <row r="2104">
      <c r="A2104" s="3">
        <v>6.880304169219E12</v>
      </c>
      <c r="B2104" s="2" t="s">
        <v>8783</v>
      </c>
      <c r="C2104" s="2" t="s">
        <v>8784</v>
      </c>
      <c r="D2104" s="169">
        <v>46046.0</v>
      </c>
      <c r="E2104" s="173" t="s">
        <v>8785</v>
      </c>
      <c r="F2104" s="2" t="s">
        <v>8786</v>
      </c>
      <c r="G2104" s="2" t="s">
        <v>366</v>
      </c>
      <c r="H2104" s="2">
        <v>4248.0</v>
      </c>
      <c r="I2104" s="2">
        <v>2.8120050021511E13</v>
      </c>
      <c r="J2104" s="3">
        <v>2.0</v>
      </c>
      <c r="K2104" s="2" t="s">
        <v>8787</v>
      </c>
      <c r="L2104" s="2" t="s">
        <v>913</v>
      </c>
      <c r="M2104" s="174" t="s">
        <v>409</v>
      </c>
      <c r="N2104" s="2" t="s">
        <v>462</v>
      </c>
      <c r="O2104" s="3">
        <v>0.5</v>
      </c>
      <c r="P2104" s="2" t="s">
        <v>73</v>
      </c>
      <c r="Q2104" s="3">
        <v>1700.0</v>
      </c>
      <c r="T2104" s="2" t="s">
        <v>6336</v>
      </c>
      <c r="U2104" s="171">
        <v>4248.0</v>
      </c>
      <c r="V2104" s="172">
        <v>46052.0</v>
      </c>
      <c r="W2104" s="3">
        <v>390.0</v>
      </c>
      <c r="X2104" s="172">
        <v>46050.54892361111</v>
      </c>
      <c r="Y2104" s="172"/>
      <c r="Z2104" s="3">
        <v>46046.0</v>
      </c>
      <c r="AA2104" s="3"/>
    </row>
    <row r="2105">
      <c r="A2105" s="3">
        <v>6.880327762179E12</v>
      </c>
      <c r="B2105" s="2" t="s">
        <v>8788</v>
      </c>
      <c r="C2105" s="2" t="s">
        <v>8789</v>
      </c>
      <c r="D2105" s="169">
        <v>46046.0</v>
      </c>
      <c r="E2105" s="2">
        <v>3.018508499E9</v>
      </c>
      <c r="F2105" s="2" t="s">
        <v>8790</v>
      </c>
      <c r="G2105" s="2" t="s">
        <v>506</v>
      </c>
      <c r="H2105" s="2">
        <v>3099.0</v>
      </c>
      <c r="I2105" s="2">
        <v>2.412005002151E13</v>
      </c>
      <c r="J2105" s="3">
        <v>2.0</v>
      </c>
      <c r="K2105" s="2" t="s">
        <v>8791</v>
      </c>
      <c r="L2105" s="2" t="s">
        <v>50</v>
      </c>
      <c r="M2105" s="174" t="s">
        <v>409</v>
      </c>
      <c r="N2105" s="2" t="s">
        <v>462</v>
      </c>
      <c r="O2105" s="3">
        <v>0.5</v>
      </c>
      <c r="P2105" s="2" t="s">
        <v>73</v>
      </c>
      <c r="Q2105" s="3">
        <v>920.0</v>
      </c>
      <c r="T2105" s="2" t="s">
        <v>6193</v>
      </c>
      <c r="U2105" s="171">
        <v>3099.0</v>
      </c>
      <c r="V2105" s="172">
        <v>46056.0</v>
      </c>
      <c r="W2105" s="3">
        <v>344.0</v>
      </c>
      <c r="X2105" s="172">
        <v>46055.612025462964</v>
      </c>
      <c r="Y2105" s="172"/>
      <c r="Z2105" s="3">
        <v>46046.0</v>
      </c>
      <c r="AA2105" s="3"/>
    </row>
    <row r="2106">
      <c r="A2106" s="3">
        <v>6.880337264899E12</v>
      </c>
      <c r="B2106" s="2" t="s">
        <v>8792</v>
      </c>
      <c r="C2106" s="2" t="s">
        <v>8793</v>
      </c>
      <c r="D2106" s="169">
        <v>46046.0</v>
      </c>
      <c r="E2106" s="173" t="s">
        <v>8794</v>
      </c>
      <c r="F2106" s="2" t="s">
        <v>8795</v>
      </c>
      <c r="G2106" s="2" t="s">
        <v>1087</v>
      </c>
      <c r="H2106" s="2">
        <v>0.0</v>
      </c>
      <c r="J2106" s="3">
        <v>0.0</v>
      </c>
      <c r="K2106" s="2" t="s">
        <v>8796</v>
      </c>
      <c r="L2106" s="2"/>
      <c r="M2106" s="2" t="s">
        <v>468</v>
      </c>
      <c r="N2106" s="2" t="s">
        <v>406</v>
      </c>
      <c r="O2106" s="3">
        <v>0.5</v>
      </c>
      <c r="Q2106" s="3">
        <v>0.0</v>
      </c>
      <c r="U2106" s="141"/>
      <c r="X2106" s="172">
        <v>46057.64278288194</v>
      </c>
      <c r="Y2106" s="172"/>
      <c r="Z2106" s="3">
        <v>46046.0</v>
      </c>
      <c r="AA2106" s="3"/>
    </row>
    <row r="2107">
      <c r="A2107" s="3">
        <v>6.880344801539E12</v>
      </c>
      <c r="B2107" s="2" t="s">
        <v>8797</v>
      </c>
      <c r="C2107" s="2" t="s">
        <v>8617</v>
      </c>
      <c r="D2107" s="169">
        <v>46046.0</v>
      </c>
      <c r="E2107" s="2">
        <v>3.190946566E9</v>
      </c>
      <c r="F2107" s="2" t="s">
        <v>8798</v>
      </c>
      <c r="G2107" s="2" t="s">
        <v>1087</v>
      </c>
      <c r="H2107" s="2">
        <v>2799.0</v>
      </c>
      <c r="I2107" s="2">
        <v>2.7120050021526E13</v>
      </c>
      <c r="J2107" s="3">
        <v>1.0</v>
      </c>
      <c r="K2107" s="2" t="s">
        <v>8799</v>
      </c>
      <c r="L2107" s="2" t="s">
        <v>519</v>
      </c>
      <c r="M2107" s="174" t="s">
        <v>409</v>
      </c>
      <c r="N2107" s="2" t="s">
        <v>462</v>
      </c>
      <c r="O2107" s="3">
        <v>0.5</v>
      </c>
      <c r="P2107" s="2" t="s">
        <v>73</v>
      </c>
      <c r="Q2107" s="3">
        <v>850.0</v>
      </c>
      <c r="T2107" s="2" t="s">
        <v>6336</v>
      </c>
      <c r="U2107" s="171">
        <v>2799.0</v>
      </c>
      <c r="V2107" s="172">
        <v>46052.0</v>
      </c>
      <c r="W2107" s="3">
        <v>339.0</v>
      </c>
      <c r="X2107" s="172">
        <v>46050.53912037037</v>
      </c>
      <c r="Y2107" s="172"/>
      <c r="Z2107" s="3">
        <v>46046.0</v>
      </c>
      <c r="AA2107" s="3"/>
    </row>
    <row r="2108">
      <c r="A2108" s="3">
        <v>6.880377438467E12</v>
      </c>
      <c r="B2108" s="2" t="s">
        <v>8800</v>
      </c>
      <c r="C2108" s="2" t="s">
        <v>8801</v>
      </c>
      <c r="D2108" s="169">
        <v>46046.0</v>
      </c>
      <c r="E2108" s="2">
        <v>3.034449867E9</v>
      </c>
      <c r="F2108" s="2" t="s">
        <v>8802</v>
      </c>
      <c r="G2108" s="2" t="s">
        <v>368</v>
      </c>
      <c r="H2108" s="2">
        <v>2799.0</v>
      </c>
      <c r="I2108" s="2">
        <v>2.5120050021509E13</v>
      </c>
      <c r="J2108" s="3">
        <v>1.0</v>
      </c>
      <c r="K2108" s="2" t="s">
        <v>8803</v>
      </c>
      <c r="L2108" s="2" t="s">
        <v>519</v>
      </c>
      <c r="M2108" s="174" t="s">
        <v>409</v>
      </c>
      <c r="N2108" s="2" t="s">
        <v>462</v>
      </c>
      <c r="O2108" s="3">
        <v>0.5</v>
      </c>
      <c r="P2108" s="2" t="s">
        <v>73</v>
      </c>
      <c r="Q2108" s="3">
        <v>850.0</v>
      </c>
      <c r="T2108" s="2" t="s">
        <v>6336</v>
      </c>
      <c r="U2108" s="171">
        <v>2799.0</v>
      </c>
      <c r="V2108" s="172">
        <v>46052.0</v>
      </c>
      <c r="W2108" s="3">
        <v>219.0</v>
      </c>
      <c r="X2108" s="172">
        <v>46049.598125000004</v>
      </c>
      <c r="Y2108" s="172"/>
      <c r="Z2108" s="3">
        <v>46046.0</v>
      </c>
      <c r="AA2108" s="3"/>
    </row>
    <row r="2109">
      <c r="A2109" s="3">
        <v>6.880399589635E12</v>
      </c>
      <c r="B2109" s="2" t="s">
        <v>8804</v>
      </c>
      <c r="C2109" s="2" t="s">
        <v>8805</v>
      </c>
      <c r="D2109" s="169">
        <v>46046.0</v>
      </c>
      <c r="E2109" s="2">
        <v>3.22559121E9</v>
      </c>
      <c r="F2109" s="2" t="s">
        <v>8806</v>
      </c>
      <c r="G2109" s="2" t="s">
        <v>493</v>
      </c>
      <c r="H2109" s="2">
        <v>3099.0</v>
      </c>
      <c r="I2109" s="2">
        <v>2.2120050021525E13</v>
      </c>
      <c r="J2109" s="3">
        <v>2.0</v>
      </c>
      <c r="K2109" s="2" t="s">
        <v>8807</v>
      </c>
      <c r="L2109" s="2" t="s">
        <v>22</v>
      </c>
      <c r="M2109" s="174" t="s">
        <v>409</v>
      </c>
      <c r="N2109" s="2" t="s">
        <v>462</v>
      </c>
      <c r="O2109" s="3">
        <v>0.5</v>
      </c>
      <c r="P2109" s="2" t="s">
        <v>73</v>
      </c>
      <c r="Q2109" s="3">
        <v>960.0</v>
      </c>
      <c r="T2109" s="2" t="s">
        <v>6336</v>
      </c>
      <c r="U2109" s="171">
        <v>3099.0</v>
      </c>
      <c r="V2109" s="172">
        <v>46052.0</v>
      </c>
      <c r="W2109" s="3">
        <v>337.0</v>
      </c>
      <c r="X2109" s="172">
        <v>46050.50305555556</v>
      </c>
      <c r="Y2109" s="172"/>
      <c r="Z2109" s="3">
        <v>46046.0</v>
      </c>
      <c r="AA2109" s="3"/>
    </row>
    <row r="2110">
      <c r="A2110" s="3">
        <v>6.880428622083E12</v>
      </c>
      <c r="B2110" s="2" t="s">
        <v>8808</v>
      </c>
      <c r="C2110" s="2" t="s">
        <v>8809</v>
      </c>
      <c r="D2110" s="169">
        <v>46047.0</v>
      </c>
      <c r="E2110" s="173" t="s">
        <v>8810</v>
      </c>
      <c r="F2110" s="2" t="s">
        <v>8811</v>
      </c>
      <c r="G2110" s="2" t="s">
        <v>8812</v>
      </c>
      <c r="H2110" s="2">
        <v>0.0</v>
      </c>
      <c r="J2110" s="3">
        <v>0.0</v>
      </c>
      <c r="K2110" s="2" t="s">
        <v>8813</v>
      </c>
      <c r="L2110" s="2"/>
      <c r="M2110" s="2" t="s">
        <v>468</v>
      </c>
      <c r="N2110" s="2" t="s">
        <v>406</v>
      </c>
      <c r="O2110" s="3">
        <v>0.5</v>
      </c>
      <c r="Q2110" s="3">
        <v>0.0</v>
      </c>
      <c r="U2110" s="141"/>
      <c r="X2110" s="172">
        <v>46057.64278288194</v>
      </c>
      <c r="Y2110" s="172"/>
      <c r="Z2110" s="3">
        <v>46047.0</v>
      </c>
      <c r="AA2110" s="3"/>
    </row>
    <row r="2111">
      <c r="A2111" s="3">
        <v>6.880451100931E12</v>
      </c>
      <c r="B2111" s="2" t="s">
        <v>8814</v>
      </c>
      <c r="C2111" s="2" t="s">
        <v>8815</v>
      </c>
      <c r="D2111" s="169">
        <v>46047.0</v>
      </c>
      <c r="E2111" s="2">
        <v>3.008764398E9</v>
      </c>
      <c r="F2111" s="2" t="s">
        <v>8816</v>
      </c>
      <c r="G2111" s="2" t="s">
        <v>958</v>
      </c>
      <c r="H2111" s="2">
        <v>3099.0</v>
      </c>
      <c r="I2111" s="2">
        <v>2.3120050021508E13</v>
      </c>
      <c r="J2111" s="3">
        <v>2.0</v>
      </c>
      <c r="K2111" s="2" t="s">
        <v>8817</v>
      </c>
      <c r="L2111" s="2" t="s">
        <v>275</v>
      </c>
      <c r="M2111" s="174" t="s">
        <v>409</v>
      </c>
      <c r="N2111" s="2" t="s">
        <v>462</v>
      </c>
      <c r="O2111" s="3">
        <v>0.5</v>
      </c>
      <c r="P2111" s="2" t="s">
        <v>73</v>
      </c>
      <c r="Q2111" s="3">
        <v>960.0</v>
      </c>
      <c r="T2111" s="2" t="s">
        <v>6336</v>
      </c>
      <c r="U2111" s="171">
        <v>3099.0</v>
      </c>
      <c r="V2111" s="172">
        <v>46052.0</v>
      </c>
      <c r="W2111" s="3">
        <v>344.0</v>
      </c>
      <c r="X2111" s="172">
        <v>46050.715462962966</v>
      </c>
      <c r="Y2111" s="172"/>
      <c r="Z2111" s="3">
        <v>46047.0</v>
      </c>
      <c r="AA2111" s="3"/>
    </row>
    <row r="2112">
      <c r="A2112" s="3">
        <v>6.880738509059E12</v>
      </c>
      <c r="B2112" s="2" t="s">
        <v>8818</v>
      </c>
      <c r="C2112" s="2" t="s">
        <v>8819</v>
      </c>
      <c r="D2112" s="169">
        <v>46047.0</v>
      </c>
      <c r="E2112" s="2">
        <v>3.002000003E9</v>
      </c>
      <c r="F2112" s="2" t="s">
        <v>8820</v>
      </c>
      <c r="G2112" s="2" t="s">
        <v>493</v>
      </c>
      <c r="H2112" s="2">
        <v>2799.0</v>
      </c>
      <c r="I2112" s="2">
        <v>2.9120050021507E13</v>
      </c>
      <c r="J2112" s="3">
        <v>1.0</v>
      </c>
      <c r="K2112" s="2" t="s">
        <v>8821</v>
      </c>
      <c r="L2112" s="2" t="s">
        <v>557</v>
      </c>
      <c r="M2112" s="174" t="s">
        <v>409</v>
      </c>
      <c r="N2112" s="2" t="s">
        <v>462</v>
      </c>
      <c r="O2112" s="3">
        <v>0.5</v>
      </c>
      <c r="P2112" s="2" t="s">
        <v>73</v>
      </c>
      <c r="Q2112" s="3">
        <v>850.0</v>
      </c>
      <c r="T2112" s="2" t="s">
        <v>6193</v>
      </c>
      <c r="U2112" s="171">
        <v>2799.0</v>
      </c>
      <c r="V2112" s="172">
        <v>46056.0</v>
      </c>
      <c r="W2112" s="3">
        <v>339.0</v>
      </c>
      <c r="X2112" s="172">
        <v>46053.90378472222</v>
      </c>
      <c r="Y2112" s="172"/>
      <c r="Z2112" s="3">
        <v>46047.0</v>
      </c>
      <c r="AA2112" s="3"/>
    </row>
    <row r="2113">
      <c r="A2113" s="3">
        <v>6.880853983491E12</v>
      </c>
      <c r="B2113" s="2" t="s">
        <v>8822</v>
      </c>
      <c r="C2113" s="2" t="s">
        <v>8823</v>
      </c>
      <c r="D2113" s="169">
        <v>46047.0</v>
      </c>
      <c r="E2113" s="2">
        <v>3.038433999E9</v>
      </c>
      <c r="F2113" s="2" t="s">
        <v>8824</v>
      </c>
      <c r="G2113" s="2" t="s">
        <v>368</v>
      </c>
      <c r="H2113" s="2">
        <v>3049.0</v>
      </c>
      <c r="I2113" s="2">
        <v>2.3120050021506E13</v>
      </c>
      <c r="J2113" s="3">
        <v>2.0</v>
      </c>
      <c r="K2113" s="2" t="s">
        <v>8825</v>
      </c>
      <c r="L2113" s="2" t="s">
        <v>8826</v>
      </c>
      <c r="M2113" s="174" t="s">
        <v>409</v>
      </c>
      <c r="N2113" s="2" t="s">
        <v>462</v>
      </c>
      <c r="O2113" s="3">
        <v>0.5</v>
      </c>
      <c r="P2113" s="2" t="s">
        <v>73</v>
      </c>
      <c r="Q2113" s="3">
        <v>1240.0</v>
      </c>
      <c r="T2113" s="2" t="s">
        <v>6336</v>
      </c>
      <c r="U2113" s="171">
        <v>3049.0</v>
      </c>
      <c r="V2113" s="172">
        <v>46052.0</v>
      </c>
      <c r="W2113" s="3">
        <v>229.0</v>
      </c>
      <c r="X2113" s="172">
        <v>46050.655069444445</v>
      </c>
      <c r="Y2113" s="172"/>
      <c r="Z2113" s="3">
        <v>46047.0</v>
      </c>
      <c r="AA2113" s="3"/>
    </row>
    <row r="2114">
      <c r="A2114" s="3">
        <v>6.880912048387E12</v>
      </c>
      <c r="B2114" s="2" t="s">
        <v>8827</v>
      </c>
      <c r="C2114" s="2" t="s">
        <v>8828</v>
      </c>
      <c r="D2114" s="169">
        <v>46047.0</v>
      </c>
      <c r="E2114" s="2">
        <v>3.457290323E9</v>
      </c>
      <c r="F2114" s="2" t="s">
        <v>8829</v>
      </c>
      <c r="G2114" s="2" t="s">
        <v>7197</v>
      </c>
      <c r="H2114" s="2">
        <v>3099.0</v>
      </c>
      <c r="I2114" s="2">
        <v>2.6120050021524E13</v>
      </c>
      <c r="J2114" s="3">
        <v>1.0</v>
      </c>
      <c r="K2114" s="2" t="s">
        <v>8830</v>
      </c>
      <c r="L2114" s="2" t="s">
        <v>2075</v>
      </c>
      <c r="M2114" s="174" t="s">
        <v>409</v>
      </c>
      <c r="N2114" s="2" t="s">
        <v>462</v>
      </c>
      <c r="O2114" s="3">
        <v>0.5</v>
      </c>
      <c r="P2114" s="2" t="s">
        <v>73</v>
      </c>
      <c r="Q2114" s="3">
        <v>1300.0</v>
      </c>
      <c r="T2114" s="2" t="s">
        <v>6336</v>
      </c>
      <c r="U2114" s="171">
        <v>3099.0</v>
      </c>
      <c r="V2114" s="172">
        <v>46052.0</v>
      </c>
      <c r="W2114" s="3">
        <v>324.0</v>
      </c>
      <c r="X2114" s="172">
        <v>46050.73633101852</v>
      </c>
      <c r="Y2114" s="172"/>
      <c r="Z2114" s="3">
        <v>46047.0</v>
      </c>
      <c r="AA2114" s="3"/>
    </row>
    <row r="2115">
      <c r="A2115" s="3">
        <v>6.881062879491E12</v>
      </c>
      <c r="B2115" s="2" t="s">
        <v>8831</v>
      </c>
      <c r="C2115" s="2" t="s">
        <v>8832</v>
      </c>
      <c r="D2115" s="169">
        <v>46047.0</v>
      </c>
      <c r="E2115" s="2">
        <v>3.017623452E9</v>
      </c>
      <c r="F2115" s="2" t="s">
        <v>8833</v>
      </c>
      <c r="G2115" s="2" t="s">
        <v>8834</v>
      </c>
      <c r="H2115" s="2">
        <v>3099.0</v>
      </c>
      <c r="I2115" s="2">
        <v>2.7120050021523E13</v>
      </c>
      <c r="J2115" s="3">
        <v>2.0</v>
      </c>
      <c r="K2115" s="2" t="s">
        <v>8835</v>
      </c>
      <c r="L2115" s="2" t="s">
        <v>40</v>
      </c>
      <c r="M2115" s="2" t="s">
        <v>409</v>
      </c>
      <c r="N2115" s="2" t="s">
        <v>462</v>
      </c>
      <c r="O2115" s="3">
        <v>0.5</v>
      </c>
      <c r="P2115" s="2" t="s">
        <v>73</v>
      </c>
      <c r="Q2115" s="3">
        <v>920.0</v>
      </c>
      <c r="T2115" s="2" t="s">
        <v>8519</v>
      </c>
      <c r="U2115" s="171">
        <v>3099.0</v>
      </c>
      <c r="V2115" s="172">
        <v>46070.0</v>
      </c>
      <c r="W2115" s="3">
        <v>324.0</v>
      </c>
      <c r="X2115" s="172">
        <v>46066.73021248843</v>
      </c>
      <c r="Y2115" s="172"/>
      <c r="Z2115" s="3">
        <v>46047.0</v>
      </c>
      <c r="AA2115" s="3"/>
    </row>
    <row r="2116">
      <c r="A2116" s="3">
        <v>6.881078378755E12</v>
      </c>
      <c r="B2116" s="2" t="s">
        <v>8836</v>
      </c>
      <c r="C2116" s="2" t="s">
        <v>8837</v>
      </c>
      <c r="D2116" s="169">
        <v>46047.0</v>
      </c>
      <c r="E2116" s="2">
        <v>3.00627708E9</v>
      </c>
      <c r="F2116" s="2" t="s">
        <v>8838</v>
      </c>
      <c r="G2116" s="2" t="s">
        <v>8839</v>
      </c>
      <c r="H2116" s="2">
        <v>249.0</v>
      </c>
      <c r="I2116" s="2">
        <v>2.1120050021586E13</v>
      </c>
      <c r="J2116" s="3">
        <v>0.0</v>
      </c>
      <c r="K2116" s="2" t="s">
        <v>8840</v>
      </c>
      <c r="L2116" s="2"/>
      <c r="M2116" s="170" t="s">
        <v>455</v>
      </c>
      <c r="N2116" s="2" t="s">
        <v>406</v>
      </c>
      <c r="O2116" s="3">
        <v>0.5</v>
      </c>
      <c r="P2116" s="2" t="s">
        <v>73</v>
      </c>
      <c r="Q2116" s="3">
        <v>0.0</v>
      </c>
      <c r="U2116" s="141"/>
      <c r="W2116" s="3">
        <v>213.0</v>
      </c>
      <c r="X2116" s="172">
        <v>46063.020895752314</v>
      </c>
      <c r="Y2116" s="172"/>
      <c r="Z2116" s="3">
        <v>46047.0</v>
      </c>
      <c r="AA2116" s="3"/>
    </row>
    <row r="2117">
      <c r="A2117" s="3">
        <v>6.881122124035E12</v>
      </c>
      <c r="B2117" s="2" t="s">
        <v>8841</v>
      </c>
      <c r="C2117" s="2" t="s">
        <v>8842</v>
      </c>
      <c r="D2117" s="169">
        <v>46047.0</v>
      </c>
      <c r="E2117" s="2">
        <v>3.214309444E9</v>
      </c>
      <c r="F2117" s="2" t="s">
        <v>8843</v>
      </c>
      <c r="G2117" s="2" t="s">
        <v>368</v>
      </c>
      <c r="H2117" s="2">
        <v>249.0</v>
      </c>
      <c r="I2117" s="2">
        <v>2.6120050021561E13</v>
      </c>
      <c r="J2117" s="3">
        <v>0.0</v>
      </c>
      <c r="K2117" s="2" t="s">
        <v>8844</v>
      </c>
      <c r="L2117" s="2"/>
      <c r="M2117" s="170" t="s">
        <v>455</v>
      </c>
      <c r="N2117" s="2" t="s">
        <v>406</v>
      </c>
      <c r="O2117" s="3">
        <v>0.5</v>
      </c>
      <c r="P2117" s="2" t="s">
        <v>73</v>
      </c>
      <c r="Q2117" s="3">
        <v>0.0</v>
      </c>
      <c r="U2117" s="141"/>
      <c r="W2117" s="3">
        <v>107.0</v>
      </c>
      <c r="X2117" s="172">
        <v>46063.02089958334</v>
      </c>
      <c r="Y2117" s="172"/>
      <c r="Z2117" s="3">
        <v>46047.0</v>
      </c>
      <c r="AA2117" s="3"/>
    </row>
    <row r="2118">
      <c r="A2118" s="3">
        <v>6.881194606851E12</v>
      </c>
      <c r="B2118" s="2" t="s">
        <v>8845</v>
      </c>
      <c r="C2118" s="2" t="s">
        <v>2770</v>
      </c>
      <c r="D2118" s="169">
        <v>46047.0</v>
      </c>
      <c r="E2118" s="173" t="s">
        <v>8846</v>
      </c>
      <c r="F2118" s="2" t="s">
        <v>8847</v>
      </c>
      <c r="G2118" s="2" t="s">
        <v>3500</v>
      </c>
      <c r="H2118" s="2">
        <v>3099.0</v>
      </c>
      <c r="I2118" s="2">
        <v>2.4120050021505E13</v>
      </c>
      <c r="J2118" s="3">
        <v>2.0</v>
      </c>
      <c r="K2118" s="2" t="s">
        <v>8848</v>
      </c>
      <c r="L2118" s="2" t="s">
        <v>1116</v>
      </c>
      <c r="M2118" s="174" t="s">
        <v>409</v>
      </c>
      <c r="N2118" s="2" t="s">
        <v>462</v>
      </c>
      <c r="O2118" s="3">
        <v>0.5</v>
      </c>
      <c r="P2118" s="2" t="s">
        <v>73</v>
      </c>
      <c r="Q2118" s="3">
        <v>960.0</v>
      </c>
      <c r="T2118" s="2" t="s">
        <v>6336</v>
      </c>
      <c r="U2118" s="171">
        <v>3099.0</v>
      </c>
      <c r="V2118" s="172">
        <v>46052.0</v>
      </c>
      <c r="W2118" s="3">
        <v>351.0</v>
      </c>
      <c r="X2118" s="172">
        <v>46050.55927083333</v>
      </c>
      <c r="Y2118" s="172"/>
      <c r="Z2118" s="3">
        <v>46047.0</v>
      </c>
      <c r="AA2118" s="3"/>
    </row>
    <row r="2119">
      <c r="A2119" s="3">
        <v>6.881200996611E12</v>
      </c>
      <c r="B2119" s="2" t="s">
        <v>8849</v>
      </c>
      <c r="C2119" s="2" t="s">
        <v>8850</v>
      </c>
      <c r="D2119" s="169">
        <v>46047.0</v>
      </c>
      <c r="E2119" s="2">
        <v>3.008489929E9</v>
      </c>
      <c r="F2119" s="2" t="s">
        <v>8851</v>
      </c>
      <c r="G2119" s="2" t="s">
        <v>493</v>
      </c>
      <c r="H2119" s="2">
        <v>4248.0</v>
      </c>
      <c r="I2119" s="2">
        <v>2.2120050021504E13</v>
      </c>
      <c r="J2119" s="3">
        <v>2.0</v>
      </c>
      <c r="K2119" s="2" t="s">
        <v>8852</v>
      </c>
      <c r="L2119" s="2" t="s">
        <v>994</v>
      </c>
      <c r="M2119" s="174" t="s">
        <v>409</v>
      </c>
      <c r="N2119" s="2" t="s">
        <v>462</v>
      </c>
      <c r="O2119" s="3">
        <v>0.5</v>
      </c>
      <c r="P2119" s="2" t="s">
        <v>73</v>
      </c>
      <c r="Q2119" s="3">
        <v>1700.0</v>
      </c>
      <c r="T2119" s="2" t="s">
        <v>6336</v>
      </c>
      <c r="U2119" s="171">
        <v>4248.0</v>
      </c>
      <c r="V2119" s="172">
        <v>46052.0</v>
      </c>
      <c r="W2119" s="3">
        <v>490.0</v>
      </c>
      <c r="X2119" s="172">
        <v>46050.64959490741</v>
      </c>
      <c r="Y2119" s="172"/>
      <c r="Z2119" s="3">
        <v>46047.0</v>
      </c>
      <c r="AA2119" s="3"/>
    </row>
    <row r="2120">
      <c r="A2120" s="3">
        <v>6.881226981635E12</v>
      </c>
      <c r="B2120" s="2" t="s">
        <v>8853</v>
      </c>
      <c r="C2120" s="2" t="s">
        <v>8854</v>
      </c>
      <c r="D2120" s="169">
        <v>46047.0</v>
      </c>
      <c r="E2120" s="2">
        <v>3.053200039E9</v>
      </c>
      <c r="F2120" s="2" t="s">
        <v>8855</v>
      </c>
      <c r="G2120" s="2" t="s">
        <v>374</v>
      </c>
      <c r="H2120" s="2">
        <v>2049.0</v>
      </c>
      <c r="I2120" s="2">
        <v>2.6120050021522E13</v>
      </c>
      <c r="J2120" s="3">
        <v>1.0</v>
      </c>
      <c r="K2120" s="2" t="s">
        <v>8856</v>
      </c>
      <c r="L2120" s="2" t="s">
        <v>8857</v>
      </c>
      <c r="M2120" s="174" t="s">
        <v>409</v>
      </c>
      <c r="N2120" s="2" t="s">
        <v>462</v>
      </c>
      <c r="O2120" s="3">
        <v>0.5</v>
      </c>
      <c r="P2120" s="2" t="s">
        <v>73</v>
      </c>
      <c r="Q2120" s="3">
        <v>480.0</v>
      </c>
      <c r="T2120" s="2" t="s">
        <v>6336</v>
      </c>
      <c r="U2120" s="171">
        <v>2049.0</v>
      </c>
      <c r="V2120" s="172">
        <v>46052.0</v>
      </c>
      <c r="W2120" s="3">
        <v>282.0</v>
      </c>
      <c r="X2120" s="172">
        <v>46050.60028935185</v>
      </c>
      <c r="Y2120" s="172"/>
      <c r="Z2120" s="3">
        <v>46047.0</v>
      </c>
      <c r="AA2120" s="3"/>
    </row>
    <row r="2121">
      <c r="A2121" s="3">
        <v>6.881246806275E12</v>
      </c>
      <c r="B2121" s="2" t="s">
        <v>8858</v>
      </c>
      <c r="C2121" s="2" t="s">
        <v>8859</v>
      </c>
      <c r="D2121" s="169">
        <v>46047.0</v>
      </c>
      <c r="E2121" s="2">
        <v>3.455899377E9</v>
      </c>
      <c r="F2121" s="2" t="s">
        <v>8860</v>
      </c>
      <c r="G2121" s="2" t="s">
        <v>787</v>
      </c>
      <c r="H2121" s="2">
        <v>249.0</v>
      </c>
      <c r="I2121" s="2">
        <v>2.7120050021521E13</v>
      </c>
      <c r="J2121" s="3">
        <v>0.0</v>
      </c>
      <c r="K2121" s="2" t="s">
        <v>8861</v>
      </c>
      <c r="L2121" s="2"/>
      <c r="M2121" s="170" t="s">
        <v>455</v>
      </c>
      <c r="N2121" s="2" t="s">
        <v>406</v>
      </c>
      <c r="O2121" s="3">
        <v>0.5</v>
      </c>
      <c r="P2121" s="2" t="s">
        <v>73</v>
      </c>
      <c r="Q2121" s="3">
        <v>0.0</v>
      </c>
      <c r="U2121" s="141"/>
      <c r="W2121" s="3">
        <v>213.0</v>
      </c>
      <c r="X2121" s="172">
        <v>46057.35021990741</v>
      </c>
      <c r="Y2121" s="172"/>
      <c r="Z2121" s="3">
        <v>46047.0</v>
      </c>
      <c r="AA2121" s="3"/>
    </row>
    <row r="2122">
      <c r="A2122" s="3">
        <v>6.881656504579E12</v>
      </c>
      <c r="B2122" s="2" t="s">
        <v>8862</v>
      </c>
      <c r="C2122" s="2" t="s">
        <v>8745</v>
      </c>
      <c r="D2122" s="169">
        <v>46047.0</v>
      </c>
      <c r="E2122" s="173" t="s">
        <v>8863</v>
      </c>
      <c r="F2122" s="2" t="s">
        <v>8746</v>
      </c>
      <c r="G2122" s="2" t="s">
        <v>493</v>
      </c>
      <c r="H2122" s="2">
        <v>4248.0</v>
      </c>
      <c r="I2122" s="2">
        <v>2.1120050021503E13</v>
      </c>
      <c r="J2122" s="3">
        <v>2.0</v>
      </c>
      <c r="K2122" s="2" t="s">
        <v>8864</v>
      </c>
      <c r="L2122" s="2" t="s">
        <v>913</v>
      </c>
      <c r="M2122" s="174" t="s">
        <v>409</v>
      </c>
      <c r="N2122" s="2" t="s">
        <v>462</v>
      </c>
      <c r="O2122" s="3">
        <v>0.5</v>
      </c>
      <c r="P2122" s="2" t="s">
        <v>73</v>
      </c>
      <c r="Q2122" s="3">
        <v>1700.0</v>
      </c>
      <c r="T2122" s="2" t="s">
        <v>6336</v>
      </c>
      <c r="U2122" s="171">
        <v>4248.0</v>
      </c>
      <c r="V2122" s="172">
        <v>46052.0</v>
      </c>
      <c r="W2122" s="3">
        <v>490.0</v>
      </c>
      <c r="X2122" s="172">
        <v>46050.544687500005</v>
      </c>
      <c r="Y2122" s="172"/>
      <c r="Z2122" s="3">
        <v>46047.0</v>
      </c>
      <c r="AA2122" s="3"/>
    </row>
    <row r="2123">
      <c r="A2123" s="3">
        <v>6.881732395267E12</v>
      </c>
      <c r="B2123" s="2" t="s">
        <v>8865</v>
      </c>
      <c r="C2123" s="2" t="s">
        <v>8866</v>
      </c>
      <c r="D2123" s="169">
        <v>46047.0</v>
      </c>
      <c r="E2123" s="2">
        <v>3.494925817E9</v>
      </c>
      <c r="F2123" s="2" t="s">
        <v>8867</v>
      </c>
      <c r="G2123" s="2" t="s">
        <v>368</v>
      </c>
      <c r="H2123" s="2">
        <v>3099.0</v>
      </c>
      <c r="I2123" s="2">
        <v>2.1120050021502E13</v>
      </c>
      <c r="J2123" s="3">
        <v>2.0</v>
      </c>
      <c r="K2123" s="2" t="s">
        <v>8868</v>
      </c>
      <c r="L2123" s="2" t="s">
        <v>296</v>
      </c>
      <c r="M2123" s="174" t="s">
        <v>409</v>
      </c>
      <c r="N2123" s="2" t="s">
        <v>462</v>
      </c>
      <c r="O2123" s="3">
        <v>0.5</v>
      </c>
      <c r="P2123" s="2" t="s">
        <v>73</v>
      </c>
      <c r="Q2123" s="3">
        <v>920.0</v>
      </c>
      <c r="T2123" s="2" t="s">
        <v>6336</v>
      </c>
      <c r="U2123" s="171">
        <v>3099.0</v>
      </c>
      <c r="V2123" s="172">
        <v>46052.0</v>
      </c>
      <c r="W2123" s="3">
        <v>231.0</v>
      </c>
      <c r="X2123" s="172">
        <v>46049.53844907407</v>
      </c>
      <c r="Y2123" s="172"/>
      <c r="Z2123" s="3">
        <v>46047.0</v>
      </c>
      <c r="AA2123" s="3"/>
    </row>
    <row r="2124">
      <c r="A2124" s="3">
        <v>6.881980842243E12</v>
      </c>
      <c r="B2124" s="2" t="s">
        <v>8869</v>
      </c>
      <c r="C2124" s="2" t="s">
        <v>8870</v>
      </c>
      <c r="D2124" s="169">
        <v>46048.0</v>
      </c>
      <c r="E2124" s="2">
        <v>3.115372452E9</v>
      </c>
      <c r="F2124" s="2" t="s">
        <v>8871</v>
      </c>
      <c r="G2124" s="2" t="s">
        <v>8872</v>
      </c>
      <c r="H2124" s="2">
        <v>0.0</v>
      </c>
      <c r="J2124" s="3">
        <v>0.0</v>
      </c>
      <c r="K2124" s="2" t="s">
        <v>7954</v>
      </c>
      <c r="L2124" s="2"/>
      <c r="M2124" s="2" t="s">
        <v>468</v>
      </c>
      <c r="N2124" s="2" t="s">
        <v>406</v>
      </c>
      <c r="O2124" s="3">
        <v>0.5</v>
      </c>
      <c r="Q2124" s="3">
        <v>0.0</v>
      </c>
      <c r="U2124" s="141"/>
      <c r="X2124" s="172">
        <v>46057.64278288194</v>
      </c>
      <c r="Y2124" s="172"/>
      <c r="Z2124" s="3">
        <v>46048.0</v>
      </c>
      <c r="AA2124" s="3"/>
    </row>
    <row r="2125">
      <c r="A2125" s="3">
        <v>6.881982120195E12</v>
      </c>
      <c r="B2125" s="2" t="s">
        <v>8873</v>
      </c>
      <c r="C2125" s="2" t="s">
        <v>8870</v>
      </c>
      <c r="D2125" s="169">
        <v>46048.0</v>
      </c>
      <c r="E2125" s="173" t="s">
        <v>8874</v>
      </c>
      <c r="F2125" s="2" t="s">
        <v>8871</v>
      </c>
      <c r="G2125" s="2" t="s">
        <v>8872</v>
      </c>
      <c r="H2125" s="2">
        <v>0.0</v>
      </c>
      <c r="J2125" s="3">
        <v>0.0</v>
      </c>
      <c r="K2125" s="2" t="s">
        <v>7954</v>
      </c>
      <c r="L2125" s="2"/>
      <c r="M2125" s="2" t="s">
        <v>468</v>
      </c>
      <c r="N2125" s="2" t="s">
        <v>406</v>
      </c>
      <c r="O2125" s="3">
        <v>0.5</v>
      </c>
      <c r="Q2125" s="3">
        <v>0.0</v>
      </c>
      <c r="U2125" s="141"/>
      <c r="X2125" s="172">
        <v>46057.64278288194</v>
      </c>
      <c r="Y2125" s="172"/>
      <c r="Z2125" s="3">
        <v>46048.0</v>
      </c>
      <c r="AA2125" s="3"/>
    </row>
    <row r="2126">
      <c r="A2126" s="3">
        <v>6.881993654531E12</v>
      </c>
      <c r="B2126" s="2" t="s">
        <v>8875</v>
      </c>
      <c r="C2126" s="2" t="s">
        <v>8876</v>
      </c>
      <c r="D2126" s="169">
        <v>46048.0</v>
      </c>
      <c r="E2126" s="2">
        <v>3.198335767E9</v>
      </c>
      <c r="F2126" s="2" t="s">
        <v>8877</v>
      </c>
      <c r="G2126" s="2" t="s">
        <v>374</v>
      </c>
      <c r="H2126" s="2">
        <v>2849.0</v>
      </c>
      <c r="I2126" s="2">
        <v>2.412005002152E13</v>
      </c>
      <c r="J2126" s="3">
        <v>2.0</v>
      </c>
      <c r="K2126" s="2" t="s">
        <v>8878</v>
      </c>
      <c r="L2126" s="2" t="s">
        <v>2324</v>
      </c>
      <c r="M2126" s="174" t="s">
        <v>409</v>
      </c>
      <c r="N2126" s="2" t="s">
        <v>462</v>
      </c>
      <c r="O2126" s="3">
        <v>0.5</v>
      </c>
      <c r="P2126" s="2" t="s">
        <v>73</v>
      </c>
      <c r="Q2126" s="3">
        <v>920.0</v>
      </c>
      <c r="T2126" s="2" t="s">
        <v>6336</v>
      </c>
      <c r="U2126" s="171">
        <v>2849.0</v>
      </c>
      <c r="V2126" s="172">
        <v>46052.0</v>
      </c>
      <c r="W2126" s="3">
        <v>314.0</v>
      </c>
      <c r="X2126" s="172">
        <v>46050.69331018519</v>
      </c>
      <c r="Y2126" s="172"/>
      <c r="Z2126" s="3">
        <v>46048.0</v>
      </c>
      <c r="AA2126" s="3"/>
    </row>
    <row r="2127">
      <c r="A2127" s="3">
        <v>6.881996308739E12</v>
      </c>
      <c r="B2127" s="2" t="s">
        <v>8879</v>
      </c>
      <c r="C2127" s="2" t="s">
        <v>2450</v>
      </c>
      <c r="D2127" s="169">
        <v>46048.0</v>
      </c>
      <c r="E2127" s="173" t="s">
        <v>8880</v>
      </c>
      <c r="F2127" s="2" t="s">
        <v>8881</v>
      </c>
      <c r="G2127" s="2" t="s">
        <v>374</v>
      </c>
      <c r="H2127" s="2">
        <v>3099.0</v>
      </c>
      <c r="I2127" s="2">
        <v>2.7120050021519E13</v>
      </c>
      <c r="J2127" s="3">
        <v>2.0</v>
      </c>
      <c r="K2127" s="2" t="s">
        <v>8882</v>
      </c>
      <c r="L2127" s="2" t="s">
        <v>228</v>
      </c>
      <c r="M2127" s="174" t="s">
        <v>409</v>
      </c>
      <c r="N2127" s="2" t="s">
        <v>462</v>
      </c>
      <c r="O2127" s="3">
        <v>0.5</v>
      </c>
      <c r="P2127" s="2" t="s">
        <v>73</v>
      </c>
      <c r="Q2127" s="3">
        <v>920.0</v>
      </c>
      <c r="T2127" s="2" t="s">
        <v>6336</v>
      </c>
      <c r="U2127" s="171">
        <v>3099.0</v>
      </c>
      <c r="V2127" s="172">
        <v>46052.0</v>
      </c>
      <c r="W2127" s="3">
        <v>324.0</v>
      </c>
      <c r="X2127" s="172">
        <v>46050.46827546296</v>
      </c>
      <c r="Y2127" s="172"/>
      <c r="Z2127" s="3">
        <v>46048.0</v>
      </c>
      <c r="AA2127" s="3"/>
    </row>
    <row r="2128">
      <c r="A2128" s="3">
        <v>6.882007122179E12</v>
      </c>
      <c r="B2128" s="2" t="s">
        <v>8883</v>
      </c>
      <c r="C2128" s="2" t="s">
        <v>8870</v>
      </c>
      <c r="D2128" s="169">
        <v>46048.0</v>
      </c>
      <c r="E2128" s="173" t="s">
        <v>8874</v>
      </c>
      <c r="F2128" s="2" t="s">
        <v>8884</v>
      </c>
      <c r="G2128" s="2" t="s">
        <v>493</v>
      </c>
      <c r="H2128" s="2">
        <v>4249.0</v>
      </c>
      <c r="I2128" s="2">
        <v>2.6120050021552E13</v>
      </c>
      <c r="J2128" s="3">
        <v>2.0</v>
      </c>
      <c r="K2128" s="2" t="s">
        <v>8885</v>
      </c>
      <c r="L2128" s="2" t="s">
        <v>913</v>
      </c>
      <c r="M2128" s="174" t="s">
        <v>409</v>
      </c>
      <c r="N2128" s="2" t="s">
        <v>462</v>
      </c>
      <c r="O2128" s="3">
        <v>0.5</v>
      </c>
      <c r="P2128" s="2" t="s">
        <v>73</v>
      </c>
      <c r="Q2128" s="3">
        <v>1700.0</v>
      </c>
      <c r="T2128" s="2" t="s">
        <v>6193</v>
      </c>
      <c r="U2128" s="171">
        <v>4249.0</v>
      </c>
      <c r="V2128" s="172">
        <v>46056.0</v>
      </c>
      <c r="W2128" s="3">
        <v>397.0</v>
      </c>
      <c r="X2128" s="172">
        <v>46052.58076388889</v>
      </c>
      <c r="Y2128" s="172"/>
      <c r="Z2128" s="3">
        <v>46048.0</v>
      </c>
      <c r="AA2128" s="3"/>
    </row>
    <row r="2129">
      <c r="A2129" s="3">
        <v>6.882119844099E12</v>
      </c>
      <c r="B2129" s="2" t="s">
        <v>8886</v>
      </c>
      <c r="C2129" s="2" t="s">
        <v>8887</v>
      </c>
      <c r="D2129" s="169">
        <v>46048.0</v>
      </c>
      <c r="E2129" s="2">
        <v>3.431797031E9</v>
      </c>
      <c r="F2129" s="2" t="s">
        <v>8888</v>
      </c>
      <c r="G2129" s="2" t="s">
        <v>8889</v>
      </c>
      <c r="H2129" s="2">
        <v>0.0</v>
      </c>
      <c r="J2129" s="3">
        <v>0.0</v>
      </c>
      <c r="K2129" s="2" t="s">
        <v>8641</v>
      </c>
      <c r="L2129" s="2"/>
      <c r="M2129" s="2" t="s">
        <v>468</v>
      </c>
      <c r="N2129" s="2" t="s">
        <v>406</v>
      </c>
      <c r="O2129" s="3">
        <v>0.5</v>
      </c>
      <c r="Q2129" s="3">
        <v>0.0</v>
      </c>
      <c r="U2129" s="141"/>
      <c r="X2129" s="172">
        <v>46057.642782905095</v>
      </c>
      <c r="Y2129" s="172"/>
      <c r="Z2129" s="3">
        <v>46048.0</v>
      </c>
      <c r="AA2129" s="3"/>
    </row>
    <row r="2130">
      <c r="A2130" s="3">
        <v>6.882173780227E12</v>
      </c>
      <c r="B2130" s="2" t="s">
        <v>8890</v>
      </c>
      <c r="C2130" s="2" t="s">
        <v>3096</v>
      </c>
      <c r="D2130" s="169">
        <v>46048.0</v>
      </c>
      <c r="E2130" s="173" t="s">
        <v>8891</v>
      </c>
      <c r="F2130" s="2" t="s">
        <v>8892</v>
      </c>
      <c r="G2130" s="2" t="s">
        <v>3098</v>
      </c>
      <c r="H2130" s="2">
        <v>249.0</v>
      </c>
      <c r="I2130" s="2">
        <v>2.8120050021501E13</v>
      </c>
      <c r="J2130" s="3">
        <v>0.0</v>
      </c>
      <c r="K2130" s="2" t="s">
        <v>8893</v>
      </c>
      <c r="L2130" s="2"/>
      <c r="M2130" s="170" t="s">
        <v>455</v>
      </c>
      <c r="N2130" s="2" t="s">
        <v>406</v>
      </c>
      <c r="O2130" s="3">
        <v>0.5</v>
      </c>
      <c r="P2130" s="2" t="s">
        <v>73</v>
      </c>
      <c r="Q2130" s="3">
        <v>0.0</v>
      </c>
      <c r="U2130" s="141"/>
      <c r="W2130" s="3">
        <v>220.0</v>
      </c>
      <c r="X2130" s="172">
        <v>46057.5878125</v>
      </c>
      <c r="Y2130" s="172"/>
      <c r="Z2130" s="3">
        <v>46048.0</v>
      </c>
      <c r="AA2130" s="3"/>
    </row>
    <row r="2131">
      <c r="A2131" s="3">
        <v>6.882196455683E12</v>
      </c>
      <c r="B2131" s="2" t="s">
        <v>8894</v>
      </c>
      <c r="C2131" s="2" t="s">
        <v>8895</v>
      </c>
      <c r="D2131" s="169">
        <v>46048.0</v>
      </c>
      <c r="E2131" s="2">
        <v>3.005590678E9</v>
      </c>
      <c r="F2131" s="2" t="s">
        <v>8896</v>
      </c>
      <c r="G2131" s="2" t="s">
        <v>8182</v>
      </c>
      <c r="H2131" s="2">
        <v>2799.0</v>
      </c>
      <c r="I2131" s="2">
        <v>2.1120050021551E13</v>
      </c>
      <c r="J2131" s="3">
        <v>1.0</v>
      </c>
      <c r="K2131" s="2" t="s">
        <v>8897</v>
      </c>
      <c r="L2131" s="2" t="s">
        <v>1289</v>
      </c>
      <c r="M2131" s="174" t="s">
        <v>409</v>
      </c>
      <c r="N2131" s="2" t="s">
        <v>462</v>
      </c>
      <c r="O2131" s="3">
        <v>0.5</v>
      </c>
      <c r="P2131" s="2" t="s">
        <v>73</v>
      </c>
      <c r="Q2131" s="3">
        <v>850.0</v>
      </c>
      <c r="T2131" s="2" t="s">
        <v>6336</v>
      </c>
      <c r="U2131" s="171">
        <v>2799.0</v>
      </c>
      <c r="V2131" s="172">
        <v>46052.0</v>
      </c>
      <c r="W2131" s="3">
        <v>325.0</v>
      </c>
      <c r="X2131" s="172">
        <v>46051.58563657408</v>
      </c>
      <c r="Y2131" s="172"/>
      <c r="Z2131" s="3">
        <v>46048.0</v>
      </c>
      <c r="AA2131" s="3"/>
    </row>
    <row r="2132">
      <c r="A2132" s="3">
        <v>6.882225258755E12</v>
      </c>
      <c r="B2132" s="2" t="s">
        <v>8898</v>
      </c>
      <c r="C2132" s="2" t="s">
        <v>8899</v>
      </c>
      <c r="D2132" s="169">
        <v>46048.0</v>
      </c>
      <c r="E2132" s="2">
        <v>3.317825747E9</v>
      </c>
      <c r="F2132" s="2" t="s">
        <v>8900</v>
      </c>
      <c r="G2132" s="2" t="s">
        <v>4135</v>
      </c>
      <c r="H2132" s="2">
        <v>2849.0</v>
      </c>
      <c r="I2132" s="2">
        <v>2.31200500215E13</v>
      </c>
      <c r="J2132" s="3">
        <v>2.0</v>
      </c>
      <c r="K2132" s="2" t="s">
        <v>8901</v>
      </c>
      <c r="L2132" s="2" t="s">
        <v>2906</v>
      </c>
      <c r="M2132" s="2" t="s">
        <v>409</v>
      </c>
      <c r="N2132" s="2" t="s">
        <v>462</v>
      </c>
      <c r="O2132" s="3">
        <v>0.5</v>
      </c>
      <c r="P2132" s="2" t="s">
        <v>73</v>
      </c>
      <c r="Q2132" s="3">
        <v>960.0</v>
      </c>
      <c r="T2132" s="2" t="s">
        <v>8902</v>
      </c>
      <c r="U2132" s="171">
        <v>2849.0</v>
      </c>
      <c r="V2132" s="172">
        <v>46063.0</v>
      </c>
      <c r="W2132" s="3">
        <v>327.0</v>
      </c>
      <c r="X2132" s="172">
        <v>46059.7018531713</v>
      </c>
      <c r="Y2132" s="172"/>
      <c r="Z2132" s="3">
        <v>46048.0</v>
      </c>
      <c r="AA2132" s="3"/>
    </row>
    <row r="2133">
      <c r="A2133" s="3">
        <v>6.882237088003E12</v>
      </c>
      <c r="B2133" s="2" t="s">
        <v>8903</v>
      </c>
      <c r="C2133" s="2" t="s">
        <v>8904</v>
      </c>
      <c r="D2133" s="169">
        <v>46048.0</v>
      </c>
      <c r="E2133" s="2">
        <v>3.23526E9</v>
      </c>
      <c r="F2133" s="2" t="s">
        <v>8905</v>
      </c>
      <c r="G2133" s="2" t="s">
        <v>8906</v>
      </c>
      <c r="H2133" s="2">
        <v>4248.0</v>
      </c>
      <c r="I2133" s="2">
        <v>2.9120050021518E13</v>
      </c>
      <c r="J2133" s="3">
        <v>2.0</v>
      </c>
      <c r="K2133" s="2" t="s">
        <v>8907</v>
      </c>
      <c r="L2133" s="2" t="s">
        <v>913</v>
      </c>
      <c r="M2133" s="174" t="s">
        <v>409</v>
      </c>
      <c r="N2133" s="2" t="s">
        <v>462</v>
      </c>
      <c r="O2133" s="3">
        <v>0.5</v>
      </c>
      <c r="P2133" s="2" t="s">
        <v>73</v>
      </c>
      <c r="Q2133" s="3">
        <v>1700.0</v>
      </c>
      <c r="T2133" s="2" t="s">
        <v>6336</v>
      </c>
      <c r="U2133" s="171">
        <v>4248.0</v>
      </c>
      <c r="V2133" s="172">
        <v>46052.0</v>
      </c>
      <c r="W2133" s="3">
        <v>390.0</v>
      </c>
      <c r="X2133" s="172">
        <v>46051.63704861111</v>
      </c>
      <c r="Y2133" s="172"/>
      <c r="Z2133" s="3">
        <v>46048.0</v>
      </c>
      <c r="AA2133" s="3"/>
    </row>
    <row r="2134">
      <c r="A2134" s="3">
        <v>6.882249736451E12</v>
      </c>
      <c r="B2134" s="2" t="s">
        <v>8908</v>
      </c>
      <c r="C2134" s="2" t="s">
        <v>8909</v>
      </c>
      <c r="D2134" s="169">
        <v>46048.0</v>
      </c>
      <c r="E2134" s="173" t="s">
        <v>8910</v>
      </c>
      <c r="F2134" s="2" t="s">
        <v>8911</v>
      </c>
      <c r="G2134" s="2" t="s">
        <v>4788</v>
      </c>
      <c r="H2134" s="2">
        <v>249.0</v>
      </c>
      <c r="I2134" s="2">
        <v>2.6120050021499E13</v>
      </c>
      <c r="J2134" s="3">
        <v>0.0</v>
      </c>
      <c r="K2134" s="2" t="s">
        <v>8912</v>
      </c>
      <c r="L2134" s="2"/>
      <c r="M2134" s="170" t="s">
        <v>455</v>
      </c>
      <c r="N2134" s="2" t="s">
        <v>406</v>
      </c>
      <c r="O2134" s="3">
        <v>0.5</v>
      </c>
      <c r="P2134" s="2" t="s">
        <v>73</v>
      </c>
      <c r="Q2134" s="3">
        <v>0.0</v>
      </c>
      <c r="U2134" s="141"/>
      <c r="W2134" s="3">
        <v>213.0</v>
      </c>
      <c r="X2134" s="172">
        <v>46063.020904062505</v>
      </c>
      <c r="Y2134" s="172"/>
      <c r="Z2134" s="3">
        <v>46048.0</v>
      </c>
      <c r="AA2134" s="3"/>
    </row>
    <row r="2135">
      <c r="A2135" s="3">
        <v>6.882257207555E12</v>
      </c>
      <c r="B2135" s="2" t="s">
        <v>8913</v>
      </c>
      <c r="C2135" s="2" t="s">
        <v>8914</v>
      </c>
      <c r="D2135" s="169">
        <v>46048.0</v>
      </c>
      <c r="E2135" s="2">
        <v>3.089248348E9</v>
      </c>
      <c r="F2135" s="2" t="s">
        <v>8915</v>
      </c>
      <c r="G2135" s="2" t="s">
        <v>368</v>
      </c>
      <c r="H2135" s="2">
        <v>249.0</v>
      </c>
      <c r="I2135" s="2">
        <v>2.8120050021498E13</v>
      </c>
      <c r="J2135" s="3">
        <v>0.0</v>
      </c>
      <c r="K2135" s="2" t="s">
        <v>8916</v>
      </c>
      <c r="L2135" s="2"/>
      <c r="M2135" s="170" t="s">
        <v>455</v>
      </c>
      <c r="N2135" s="2" t="s">
        <v>406</v>
      </c>
      <c r="O2135" s="3">
        <v>0.5</v>
      </c>
      <c r="P2135" s="2" t="s">
        <v>73</v>
      </c>
      <c r="Q2135" s="3">
        <v>0.0</v>
      </c>
      <c r="T2135" s="2" t="s">
        <v>6193</v>
      </c>
      <c r="U2135" s="141"/>
      <c r="W2135" s="3">
        <v>107.0</v>
      </c>
      <c r="X2135" s="172">
        <v>46055.96199074074</v>
      </c>
      <c r="Y2135" s="172"/>
      <c r="Z2135" s="3">
        <v>46048.0</v>
      </c>
      <c r="AA2135" s="3"/>
    </row>
    <row r="2136">
      <c r="A2136" s="3">
        <v>6.882267726083E12</v>
      </c>
      <c r="B2136" s="2" t="s">
        <v>8917</v>
      </c>
      <c r="C2136" s="2" t="s">
        <v>8918</v>
      </c>
      <c r="D2136" s="169">
        <v>46048.0</v>
      </c>
      <c r="E2136" s="2">
        <v>3.329607126E9</v>
      </c>
      <c r="F2136" s="2" t="s">
        <v>8919</v>
      </c>
      <c r="G2136" s="2" t="s">
        <v>781</v>
      </c>
      <c r="H2136" s="2">
        <v>249.0</v>
      </c>
      <c r="I2136" s="2">
        <v>2.7120050021517E13</v>
      </c>
      <c r="J2136" s="3">
        <v>0.0</v>
      </c>
      <c r="K2136" s="2" t="s">
        <v>8920</v>
      </c>
      <c r="L2136" s="2"/>
      <c r="M2136" s="170" t="s">
        <v>455</v>
      </c>
      <c r="N2136" s="2" t="s">
        <v>406</v>
      </c>
      <c r="O2136" s="3">
        <v>0.5</v>
      </c>
      <c r="P2136" s="2" t="s">
        <v>73</v>
      </c>
      <c r="Q2136" s="3">
        <v>0.0</v>
      </c>
      <c r="U2136" s="141"/>
      <c r="W2136" s="3">
        <v>213.0</v>
      </c>
      <c r="X2136" s="172">
        <v>46070.91664069444</v>
      </c>
      <c r="Y2136" s="172"/>
      <c r="Z2136" s="3">
        <v>46048.0</v>
      </c>
      <c r="AA2136" s="3"/>
    </row>
    <row r="2137">
      <c r="A2137" s="3">
        <v>6.882286600451E12</v>
      </c>
      <c r="B2137" s="2" t="s">
        <v>8921</v>
      </c>
      <c r="C2137" s="2" t="s">
        <v>8922</v>
      </c>
      <c r="D2137" s="169">
        <v>46048.0</v>
      </c>
      <c r="E2137" s="2">
        <v>3.340312332E9</v>
      </c>
      <c r="F2137" s="2" t="s">
        <v>8923</v>
      </c>
      <c r="G2137" s="2" t="s">
        <v>781</v>
      </c>
      <c r="H2137" s="2">
        <v>1699.0</v>
      </c>
      <c r="I2137" s="2">
        <v>2.0120050021496E13</v>
      </c>
      <c r="J2137" s="3">
        <v>1.0</v>
      </c>
      <c r="K2137" s="2" t="s">
        <v>8924</v>
      </c>
      <c r="L2137" s="2" t="s">
        <v>5337</v>
      </c>
      <c r="M2137" s="174" t="s">
        <v>409</v>
      </c>
      <c r="N2137" s="2" t="s">
        <v>462</v>
      </c>
      <c r="O2137" s="3">
        <v>0.5</v>
      </c>
      <c r="P2137" s="2" t="s">
        <v>73</v>
      </c>
      <c r="Q2137" s="3">
        <v>550.0</v>
      </c>
      <c r="T2137" s="2" t="s">
        <v>6336</v>
      </c>
      <c r="U2137" s="171">
        <v>1699.0</v>
      </c>
      <c r="V2137" s="172">
        <v>46052.0</v>
      </c>
      <c r="W2137" s="3">
        <v>281.0</v>
      </c>
      <c r="X2137" s="172">
        <v>46050.51479166667</v>
      </c>
      <c r="Y2137" s="172"/>
      <c r="Z2137" s="3">
        <v>46048.0</v>
      </c>
      <c r="AA2137" s="3"/>
    </row>
    <row r="2138">
      <c r="A2138" s="3">
        <v>6.882309898499E12</v>
      </c>
      <c r="B2138" s="2" t="s">
        <v>8925</v>
      </c>
      <c r="C2138" s="2" t="s">
        <v>8926</v>
      </c>
      <c r="D2138" s="169">
        <v>46048.0</v>
      </c>
      <c r="E2138" s="2">
        <v>3.335631667E9</v>
      </c>
      <c r="F2138" s="2" t="s">
        <v>8927</v>
      </c>
      <c r="G2138" s="2" t="s">
        <v>506</v>
      </c>
      <c r="H2138" s="2">
        <v>0.0</v>
      </c>
      <c r="J2138" s="3">
        <v>0.0</v>
      </c>
      <c r="K2138" s="2" t="s">
        <v>8928</v>
      </c>
      <c r="L2138" s="2"/>
      <c r="M2138" s="2" t="s">
        <v>468</v>
      </c>
      <c r="N2138" s="2" t="s">
        <v>406</v>
      </c>
      <c r="O2138" s="3">
        <v>0.5</v>
      </c>
      <c r="Q2138" s="3">
        <v>0.0</v>
      </c>
      <c r="U2138" s="141"/>
      <c r="X2138" s="172">
        <v>46057.642782905095</v>
      </c>
      <c r="Y2138" s="172"/>
      <c r="Z2138" s="3">
        <v>46048.0</v>
      </c>
      <c r="AA2138" s="3"/>
    </row>
    <row r="2139">
      <c r="A2139" s="3">
        <v>6.882410397955E12</v>
      </c>
      <c r="B2139" s="2" t="s">
        <v>8929</v>
      </c>
      <c r="C2139" s="2" t="s">
        <v>8930</v>
      </c>
      <c r="D2139" s="169">
        <v>46048.0</v>
      </c>
      <c r="E2139" s="2">
        <v>3.469887834E9</v>
      </c>
      <c r="F2139" s="2" t="s">
        <v>8931</v>
      </c>
      <c r="G2139" s="2" t="s">
        <v>8932</v>
      </c>
      <c r="H2139" s="2">
        <v>2799.0</v>
      </c>
      <c r="I2139" s="2" t="s">
        <v>8933</v>
      </c>
      <c r="J2139" s="3">
        <v>1.0</v>
      </c>
      <c r="K2139" s="2" t="s">
        <v>8934</v>
      </c>
      <c r="L2139" s="2" t="s">
        <v>8935</v>
      </c>
      <c r="M2139" s="2" t="s">
        <v>409</v>
      </c>
      <c r="N2139" s="2" t="s">
        <v>462</v>
      </c>
      <c r="O2139" s="3">
        <v>0.5</v>
      </c>
      <c r="P2139" s="2" t="s">
        <v>640</v>
      </c>
      <c r="Q2139" s="3">
        <v>850.0</v>
      </c>
      <c r="T2139" s="2"/>
      <c r="U2139" s="171">
        <v>2799.0</v>
      </c>
      <c r="W2139" s="3">
        <v>301.5376</v>
      </c>
      <c r="X2139" s="172">
        <v>46072.499469594906</v>
      </c>
      <c r="Y2139" s="172"/>
      <c r="Z2139" s="3">
        <v>46048.0</v>
      </c>
      <c r="AA2139" s="3"/>
    </row>
    <row r="2140">
      <c r="A2140" s="3">
        <v>6.882424750339E12</v>
      </c>
      <c r="B2140" s="2" t="s">
        <v>8936</v>
      </c>
      <c r="C2140" s="2" t="s">
        <v>8937</v>
      </c>
      <c r="D2140" s="169">
        <v>46048.0</v>
      </c>
      <c r="E2140" s="2">
        <v>3.107034555E9</v>
      </c>
      <c r="F2140" s="2" t="s">
        <v>8938</v>
      </c>
      <c r="G2140" s="2" t="s">
        <v>374</v>
      </c>
      <c r="H2140" s="2">
        <v>1999.0</v>
      </c>
      <c r="I2140" s="2">
        <v>2.1120050021515E13</v>
      </c>
      <c r="J2140" s="3">
        <v>1.0</v>
      </c>
      <c r="K2140" s="2" t="s">
        <v>8939</v>
      </c>
      <c r="L2140" s="2" t="s">
        <v>8057</v>
      </c>
      <c r="M2140" s="174" t="s">
        <v>409</v>
      </c>
      <c r="N2140" s="2" t="s">
        <v>462</v>
      </c>
      <c r="O2140" s="3">
        <v>0.5</v>
      </c>
      <c r="P2140" s="2" t="s">
        <v>73</v>
      </c>
      <c r="Q2140" s="3">
        <v>1100.0</v>
      </c>
      <c r="T2140" s="2" t="s">
        <v>6336</v>
      </c>
      <c r="U2140" s="171">
        <v>1999.0</v>
      </c>
      <c r="V2140" s="172">
        <v>46052.0</v>
      </c>
      <c r="W2140" s="3">
        <v>300.0</v>
      </c>
      <c r="X2140" s="172">
        <v>46051.66893518518</v>
      </c>
      <c r="Y2140" s="172"/>
      <c r="Z2140" s="3">
        <v>46048.0</v>
      </c>
      <c r="AA2140" s="3"/>
    </row>
    <row r="2141">
      <c r="A2141" s="3">
        <v>6.882513879299E12</v>
      </c>
      <c r="B2141" s="2" t="s">
        <v>8940</v>
      </c>
      <c r="C2141" s="2" t="s">
        <v>6033</v>
      </c>
      <c r="D2141" s="169">
        <v>46048.0</v>
      </c>
      <c r="E2141" s="2">
        <v>3.222221941E9</v>
      </c>
      <c r="F2141" s="2" t="s">
        <v>8941</v>
      </c>
      <c r="G2141" s="2" t="s">
        <v>493</v>
      </c>
      <c r="H2141" s="2">
        <v>0.0</v>
      </c>
      <c r="J2141" s="3">
        <v>0.0</v>
      </c>
      <c r="K2141" s="2" t="s">
        <v>8942</v>
      </c>
      <c r="L2141" s="2"/>
      <c r="M2141" s="2" t="s">
        <v>468</v>
      </c>
      <c r="N2141" s="2" t="s">
        <v>406</v>
      </c>
      <c r="O2141" s="3">
        <v>0.5</v>
      </c>
      <c r="Q2141" s="3">
        <v>0.0</v>
      </c>
      <c r="U2141" s="141"/>
      <c r="X2141" s="172">
        <v>46057.642782905095</v>
      </c>
      <c r="Y2141" s="172"/>
      <c r="Z2141" s="3">
        <v>46048.0</v>
      </c>
      <c r="AA2141" s="3"/>
    </row>
    <row r="2142">
      <c r="A2142" s="3">
        <v>6.882529050883E12</v>
      </c>
      <c r="B2142" s="2" t="s">
        <v>8943</v>
      </c>
      <c r="C2142" s="2" t="s">
        <v>8944</v>
      </c>
      <c r="D2142" s="169">
        <v>46048.0</v>
      </c>
      <c r="E2142" s="2">
        <v>3.01810092E9</v>
      </c>
      <c r="F2142" s="2" t="s">
        <v>8945</v>
      </c>
      <c r="G2142" s="2" t="s">
        <v>2316</v>
      </c>
      <c r="H2142" s="2">
        <v>249.0</v>
      </c>
      <c r="I2142" s="2">
        <v>2.7120050021598E13</v>
      </c>
      <c r="J2142" s="3">
        <v>0.0</v>
      </c>
      <c r="K2142" s="2" t="s">
        <v>8946</v>
      </c>
      <c r="L2142" s="2"/>
      <c r="M2142" s="170" t="s">
        <v>455</v>
      </c>
      <c r="N2142" s="2" t="s">
        <v>406</v>
      </c>
      <c r="O2142" s="3">
        <v>0.5</v>
      </c>
      <c r="P2142" s="2" t="s">
        <v>73</v>
      </c>
      <c r="Q2142" s="3">
        <v>0.0</v>
      </c>
      <c r="U2142" s="141"/>
      <c r="W2142" s="3">
        <v>227.0</v>
      </c>
      <c r="X2142" s="172">
        <v>46064.81359877315</v>
      </c>
      <c r="Y2142" s="172"/>
      <c r="Z2142" s="3">
        <v>46048.0</v>
      </c>
      <c r="AA2142" s="3"/>
    </row>
    <row r="2143">
      <c r="A2143" s="3">
        <v>6.882531049731E12</v>
      </c>
      <c r="B2143" s="2" t="s">
        <v>8947</v>
      </c>
      <c r="C2143" s="2" t="s">
        <v>8944</v>
      </c>
      <c r="D2143" s="169">
        <v>46048.0</v>
      </c>
      <c r="E2143" s="2">
        <v>3.01810092E9</v>
      </c>
      <c r="F2143" s="2" t="s">
        <v>8948</v>
      </c>
      <c r="G2143" s="2" t="s">
        <v>2316</v>
      </c>
      <c r="H2143" s="2">
        <v>249.0</v>
      </c>
      <c r="I2143" s="2">
        <v>2.012005002156E13</v>
      </c>
      <c r="J2143" s="3">
        <v>0.0</v>
      </c>
      <c r="K2143" s="2" t="s">
        <v>8949</v>
      </c>
      <c r="L2143" s="2"/>
      <c r="M2143" s="170" t="s">
        <v>455</v>
      </c>
      <c r="N2143" s="2" t="s">
        <v>406</v>
      </c>
      <c r="O2143" s="3">
        <v>0.5</v>
      </c>
      <c r="P2143" s="2" t="s">
        <v>73</v>
      </c>
      <c r="Q2143" s="3">
        <v>0.0</v>
      </c>
      <c r="U2143" s="141"/>
      <c r="W2143" s="3">
        <v>227.0</v>
      </c>
      <c r="X2143" s="172">
        <v>46057.35021990741</v>
      </c>
      <c r="Y2143" s="172"/>
      <c r="Z2143" s="3">
        <v>46048.0</v>
      </c>
      <c r="AA2143" s="3"/>
    </row>
    <row r="2144">
      <c r="A2144" s="3">
        <v>6.882531115267E12</v>
      </c>
      <c r="B2144" s="2" t="s">
        <v>8950</v>
      </c>
      <c r="C2144" s="2" t="s">
        <v>8951</v>
      </c>
      <c r="D2144" s="169">
        <v>46048.0</v>
      </c>
      <c r="E2144" s="173" t="s">
        <v>8952</v>
      </c>
      <c r="F2144" s="2" t="s">
        <v>8953</v>
      </c>
      <c r="G2144" s="2" t="s">
        <v>368</v>
      </c>
      <c r="H2144" s="2">
        <v>3099.0</v>
      </c>
      <c r="I2144" s="2">
        <v>2.2120050021516E13</v>
      </c>
      <c r="J2144" s="3">
        <v>2.0</v>
      </c>
      <c r="K2144" s="2" t="s">
        <v>8954</v>
      </c>
      <c r="L2144" s="2" t="s">
        <v>22</v>
      </c>
      <c r="M2144" s="174" t="s">
        <v>409</v>
      </c>
      <c r="N2144" s="2" t="s">
        <v>462</v>
      </c>
      <c r="O2144" s="3">
        <v>0.5</v>
      </c>
      <c r="P2144" s="2" t="s">
        <v>73</v>
      </c>
      <c r="Q2144" s="3">
        <v>960.0</v>
      </c>
      <c r="T2144" s="2" t="s">
        <v>6336</v>
      </c>
      <c r="U2144" s="171">
        <v>3099.0</v>
      </c>
      <c r="V2144" s="172">
        <v>46052.0</v>
      </c>
      <c r="W2144" s="3">
        <v>244.0</v>
      </c>
      <c r="X2144" s="172">
        <v>46049.59532407408</v>
      </c>
      <c r="Y2144" s="172"/>
      <c r="Z2144" s="3">
        <v>46048.0</v>
      </c>
      <c r="AA2144" s="3"/>
    </row>
    <row r="2145">
      <c r="A2145" s="3">
        <v>6.882565914883E12</v>
      </c>
      <c r="B2145" s="2" t="s">
        <v>8955</v>
      </c>
      <c r="C2145" s="2" t="s">
        <v>8956</v>
      </c>
      <c r="D2145" s="169">
        <v>46048.0</v>
      </c>
      <c r="E2145" s="2">
        <v>3.48242862E9</v>
      </c>
      <c r="F2145" s="2" t="s">
        <v>8957</v>
      </c>
      <c r="G2145" s="2" t="s">
        <v>493</v>
      </c>
      <c r="H2145" s="2">
        <v>4248.0</v>
      </c>
      <c r="I2145" s="2">
        <v>2.712005002155E13</v>
      </c>
      <c r="J2145" s="3">
        <v>2.0</v>
      </c>
      <c r="K2145" s="2" t="s">
        <v>8958</v>
      </c>
      <c r="L2145" s="2" t="s">
        <v>479</v>
      </c>
      <c r="M2145" s="174" t="s">
        <v>409</v>
      </c>
      <c r="N2145" s="2" t="s">
        <v>462</v>
      </c>
      <c r="O2145" s="3">
        <v>0.5</v>
      </c>
      <c r="P2145" s="2" t="s">
        <v>73</v>
      </c>
      <c r="Q2145" s="3">
        <v>1700.0</v>
      </c>
      <c r="T2145" s="2" t="s">
        <v>6193</v>
      </c>
      <c r="U2145" s="171">
        <v>4248.0</v>
      </c>
      <c r="V2145" s="172">
        <v>46056.0</v>
      </c>
      <c r="W2145" s="3">
        <v>397.0</v>
      </c>
      <c r="X2145" s="172">
        <v>46052.52038194444</v>
      </c>
      <c r="Y2145" s="172"/>
      <c r="Z2145" s="3">
        <v>46048.0</v>
      </c>
      <c r="AA2145" s="3"/>
    </row>
    <row r="2146">
      <c r="A2146" s="3">
        <v>6.882613428483E12</v>
      </c>
      <c r="B2146" s="2" t="s">
        <v>8959</v>
      </c>
      <c r="C2146" s="2" t="s">
        <v>8960</v>
      </c>
      <c r="D2146" s="169">
        <v>46048.0</v>
      </c>
      <c r="E2146" s="2">
        <v>3.176737056E9</v>
      </c>
      <c r="F2146" s="2" t="s">
        <v>8961</v>
      </c>
      <c r="G2146" s="2" t="s">
        <v>672</v>
      </c>
      <c r="H2146" s="2">
        <v>249.0</v>
      </c>
      <c r="I2146" s="2">
        <v>2.0120050021559E13</v>
      </c>
      <c r="J2146" s="3">
        <v>0.0</v>
      </c>
      <c r="K2146" s="2" t="s">
        <v>8962</v>
      </c>
      <c r="L2146" s="2"/>
      <c r="M2146" s="170" t="s">
        <v>455</v>
      </c>
      <c r="N2146" s="2" t="s">
        <v>406</v>
      </c>
      <c r="O2146" s="3">
        <v>0.5</v>
      </c>
      <c r="P2146" s="2" t="s">
        <v>73</v>
      </c>
      <c r="Q2146" s="3">
        <v>0.0</v>
      </c>
      <c r="U2146" s="141"/>
      <c r="W2146" s="3">
        <v>213.0</v>
      </c>
      <c r="X2146" s="172">
        <v>46072.79103946759</v>
      </c>
      <c r="Y2146" s="172"/>
      <c r="Z2146" s="3">
        <v>46048.0</v>
      </c>
      <c r="AA2146" s="3"/>
    </row>
    <row r="2147">
      <c r="A2147" s="3">
        <v>6.882620145923E12</v>
      </c>
      <c r="B2147" s="2" t="s">
        <v>8963</v>
      </c>
      <c r="C2147" s="2" t="s">
        <v>8671</v>
      </c>
      <c r="D2147" s="169">
        <v>46048.0</v>
      </c>
      <c r="E2147" s="173" t="s">
        <v>8964</v>
      </c>
      <c r="F2147" s="2" t="s">
        <v>8672</v>
      </c>
      <c r="G2147" s="2" t="s">
        <v>506</v>
      </c>
      <c r="H2147" s="2">
        <v>7349.0</v>
      </c>
      <c r="I2147" s="2">
        <v>2.9120050021535E13</v>
      </c>
      <c r="J2147" s="3">
        <v>4.0</v>
      </c>
      <c r="K2147" s="2" t="s">
        <v>8965</v>
      </c>
      <c r="L2147" s="2" t="s">
        <v>8966</v>
      </c>
      <c r="M2147" s="174" t="s">
        <v>409</v>
      </c>
      <c r="N2147" s="2" t="s">
        <v>462</v>
      </c>
      <c r="O2147" s="3">
        <v>0.5</v>
      </c>
      <c r="P2147" s="2" t="s">
        <v>73</v>
      </c>
      <c r="Q2147" s="3">
        <v>4150.0</v>
      </c>
      <c r="T2147" s="2" t="s">
        <v>6336</v>
      </c>
      <c r="U2147" s="171">
        <v>7349.0</v>
      </c>
      <c r="V2147" s="172">
        <v>46052.0</v>
      </c>
      <c r="W2147" s="3">
        <v>514.0</v>
      </c>
      <c r="X2147" s="172">
        <v>46050.63150462963</v>
      </c>
      <c r="Y2147" s="172"/>
      <c r="Z2147" s="3">
        <v>46048.0</v>
      </c>
      <c r="AA2147" s="3"/>
    </row>
    <row r="2148">
      <c r="A2148" s="3">
        <v>6.882630533379E12</v>
      </c>
      <c r="B2148" s="2" t="s">
        <v>8967</v>
      </c>
      <c r="C2148" s="2" t="s">
        <v>8968</v>
      </c>
      <c r="D2148" s="169">
        <v>46048.0</v>
      </c>
      <c r="E2148" s="2">
        <v>3.705279723E9</v>
      </c>
      <c r="F2148" s="2" t="s">
        <v>8969</v>
      </c>
      <c r="G2148" s="2" t="s">
        <v>688</v>
      </c>
      <c r="H2148" s="2">
        <v>1699.0</v>
      </c>
      <c r="I2148" s="2">
        <v>2.6120050021549E13</v>
      </c>
      <c r="J2148" s="3">
        <v>1.0</v>
      </c>
      <c r="K2148" s="2" t="s">
        <v>8970</v>
      </c>
      <c r="L2148" s="2" t="s">
        <v>8971</v>
      </c>
      <c r="M2148" s="174" t="s">
        <v>409</v>
      </c>
      <c r="N2148" s="2" t="s">
        <v>462</v>
      </c>
      <c r="O2148" s="3">
        <v>0.5</v>
      </c>
      <c r="P2148" s="2" t="s">
        <v>73</v>
      </c>
      <c r="Q2148" s="3">
        <v>550.0</v>
      </c>
      <c r="T2148" s="2" t="s">
        <v>6336</v>
      </c>
      <c r="U2148" s="171">
        <v>1699.0</v>
      </c>
      <c r="V2148" s="172">
        <v>46052.0</v>
      </c>
      <c r="W2148" s="3">
        <v>268.0</v>
      </c>
      <c r="X2148" s="172">
        <v>46050.5196875</v>
      </c>
      <c r="Y2148" s="172"/>
      <c r="Z2148" s="3">
        <v>46048.0</v>
      </c>
      <c r="AA2148" s="3"/>
    </row>
    <row r="2149">
      <c r="A2149" s="3">
        <v>6.882634727683E12</v>
      </c>
      <c r="B2149" s="2" t="s">
        <v>8972</v>
      </c>
      <c r="C2149" s="2" t="s">
        <v>8973</v>
      </c>
      <c r="D2149" s="169">
        <v>46048.0</v>
      </c>
      <c r="E2149" s="2">
        <v>3.008856177E9</v>
      </c>
      <c r="F2149" s="2" t="s">
        <v>8974</v>
      </c>
      <c r="G2149" s="2" t="s">
        <v>8975</v>
      </c>
      <c r="H2149" s="2">
        <v>249.0</v>
      </c>
      <c r="I2149" s="2">
        <v>2.7120050021558E13</v>
      </c>
      <c r="J2149" s="3">
        <v>0.0</v>
      </c>
      <c r="K2149" s="2" t="s">
        <v>8976</v>
      </c>
      <c r="L2149" s="2"/>
      <c r="M2149" s="170" t="s">
        <v>455</v>
      </c>
      <c r="N2149" s="2" t="s">
        <v>406</v>
      </c>
      <c r="O2149" s="3">
        <v>0.5</v>
      </c>
      <c r="P2149" s="2" t="s">
        <v>73</v>
      </c>
      <c r="Q2149" s="3">
        <v>0.0</v>
      </c>
      <c r="T2149" s="2" t="s">
        <v>6193</v>
      </c>
      <c r="U2149" s="141"/>
      <c r="W2149" s="3">
        <v>200.0</v>
      </c>
      <c r="X2149" s="172">
        <v>46055.96199074074</v>
      </c>
      <c r="Y2149" s="172"/>
      <c r="Z2149" s="3">
        <v>46048.0</v>
      </c>
      <c r="AA2149" s="3"/>
    </row>
    <row r="2150">
      <c r="A2150" s="3">
        <v>6.882660155651E12</v>
      </c>
      <c r="B2150" s="2" t="s">
        <v>8977</v>
      </c>
      <c r="C2150" s="2" t="s">
        <v>8978</v>
      </c>
      <c r="D2150" s="169">
        <v>46048.0</v>
      </c>
      <c r="E2150" s="2">
        <v>3.0023359E9</v>
      </c>
      <c r="F2150" s="2" t="s">
        <v>8979</v>
      </c>
      <c r="G2150" s="2" t="s">
        <v>493</v>
      </c>
      <c r="H2150" s="2">
        <v>5450.0</v>
      </c>
      <c r="I2150" s="2">
        <v>2.3120050021548E13</v>
      </c>
      <c r="J2150" s="3">
        <v>4.0</v>
      </c>
      <c r="K2150" s="2" t="s">
        <v>8980</v>
      </c>
      <c r="L2150" s="2" t="s">
        <v>8981</v>
      </c>
      <c r="M2150" s="174" t="s">
        <v>409</v>
      </c>
      <c r="N2150" s="2" t="s">
        <v>462</v>
      </c>
      <c r="O2150" s="3">
        <v>0.5</v>
      </c>
      <c r="P2150" s="2" t="s">
        <v>73</v>
      </c>
      <c r="Q2150" s="3">
        <v>1960.0</v>
      </c>
      <c r="T2150" s="2" t="s">
        <v>6193</v>
      </c>
      <c r="U2150" s="171">
        <v>5450.0</v>
      </c>
      <c r="V2150" s="172">
        <v>46056.0</v>
      </c>
      <c r="W2150" s="3">
        <v>445.0</v>
      </c>
      <c r="X2150" s="172">
        <v>46052.66765046296</v>
      </c>
      <c r="Y2150" s="172"/>
      <c r="Z2150" s="3">
        <v>46048.0</v>
      </c>
      <c r="AA2150" s="3"/>
    </row>
    <row r="2151">
      <c r="A2151" s="3">
        <v>6.882661302531E12</v>
      </c>
      <c r="B2151" s="2" t="s">
        <v>8982</v>
      </c>
      <c r="C2151" s="2" t="s">
        <v>8983</v>
      </c>
      <c r="D2151" s="169">
        <v>46048.0</v>
      </c>
      <c r="E2151" s="2">
        <v>3.452223233E9</v>
      </c>
      <c r="F2151" s="2" t="s">
        <v>8984</v>
      </c>
      <c r="G2151" s="2" t="s">
        <v>493</v>
      </c>
      <c r="H2151" s="2">
        <v>249.0</v>
      </c>
      <c r="I2151" s="2">
        <v>2.5120050021557E13</v>
      </c>
      <c r="J2151" s="3">
        <v>0.0</v>
      </c>
      <c r="K2151" s="2" t="s">
        <v>8985</v>
      </c>
      <c r="L2151" s="2"/>
      <c r="M2151" s="170" t="s">
        <v>455</v>
      </c>
      <c r="N2151" s="2" t="s">
        <v>406</v>
      </c>
      <c r="O2151" s="3">
        <v>0.5</v>
      </c>
      <c r="P2151" s="2" t="s">
        <v>73</v>
      </c>
      <c r="Q2151" s="3">
        <v>0.0</v>
      </c>
      <c r="U2151" s="141"/>
      <c r="W2151" s="3">
        <v>213.0</v>
      </c>
      <c r="X2151" s="172">
        <v>46064.81360833334</v>
      </c>
      <c r="Y2151" s="172"/>
      <c r="Z2151" s="3">
        <v>46048.0</v>
      </c>
      <c r="AA2151" s="3"/>
    </row>
    <row r="2152">
      <c r="A2152" s="3">
        <v>6.882712781059E12</v>
      </c>
      <c r="B2152" s="2" t="s">
        <v>8986</v>
      </c>
      <c r="C2152" s="2" t="s">
        <v>8987</v>
      </c>
      <c r="D2152" s="169">
        <v>46048.0</v>
      </c>
      <c r="E2152" s="2">
        <v>3.330418228E9</v>
      </c>
      <c r="F2152" s="2" t="s">
        <v>8988</v>
      </c>
      <c r="G2152" s="2" t="s">
        <v>8989</v>
      </c>
      <c r="H2152" s="2">
        <v>249.0</v>
      </c>
      <c r="I2152" s="2">
        <v>1.73010343626E11</v>
      </c>
      <c r="J2152" s="3">
        <v>0.0</v>
      </c>
      <c r="K2152" s="2" t="s">
        <v>8990</v>
      </c>
      <c r="L2152" s="2"/>
      <c r="M2152" s="170" t="s">
        <v>455</v>
      </c>
      <c r="N2152" s="2" t="s">
        <v>406</v>
      </c>
      <c r="O2152" s="3">
        <v>0.5</v>
      </c>
      <c r="P2152" s="2" t="s">
        <v>501</v>
      </c>
      <c r="Q2152" s="3">
        <v>0.0</v>
      </c>
      <c r="T2152" s="2" t="s">
        <v>8991</v>
      </c>
      <c r="U2152" s="141"/>
      <c r="W2152" s="3">
        <v>290.99</v>
      </c>
      <c r="X2152" s="172">
        <v>46084.45913787037</v>
      </c>
      <c r="Y2152" s="172"/>
      <c r="Z2152" s="3">
        <v>46048.0</v>
      </c>
      <c r="AA2152" s="3"/>
    </row>
    <row r="2153">
      <c r="A2153" s="3">
        <v>6.882713895171E12</v>
      </c>
      <c r="B2153" s="2" t="s">
        <v>8992</v>
      </c>
      <c r="C2153" s="2" t="s">
        <v>8993</v>
      </c>
      <c r="D2153" s="169">
        <v>46048.0</v>
      </c>
      <c r="E2153" s="2">
        <v>3.33430636E9</v>
      </c>
      <c r="F2153" s="2" t="s">
        <v>8994</v>
      </c>
      <c r="G2153" s="2" t="s">
        <v>368</v>
      </c>
      <c r="H2153" s="2">
        <v>2849.0</v>
      </c>
      <c r="I2153" s="2">
        <v>2.3120050021547E13</v>
      </c>
      <c r="J2153" s="3">
        <v>2.0</v>
      </c>
      <c r="K2153" s="2" t="s">
        <v>8995</v>
      </c>
      <c r="L2153" s="2" t="s">
        <v>1920</v>
      </c>
      <c r="M2153" s="174" t="s">
        <v>409</v>
      </c>
      <c r="N2153" s="2" t="s">
        <v>462</v>
      </c>
      <c r="O2153" s="3">
        <v>0.5</v>
      </c>
      <c r="P2153" s="2" t="s">
        <v>73</v>
      </c>
      <c r="Q2153" s="3">
        <v>1050.0</v>
      </c>
      <c r="T2153" s="2" t="s">
        <v>6336</v>
      </c>
      <c r="U2153" s="171">
        <v>2849.0</v>
      </c>
      <c r="V2153" s="172">
        <v>46052.0</v>
      </c>
      <c r="W2153" s="3">
        <v>221.0</v>
      </c>
      <c r="X2153" s="172">
        <v>46050.54890046296</v>
      </c>
      <c r="Y2153" s="172"/>
      <c r="Z2153" s="3">
        <v>46048.0</v>
      </c>
      <c r="AA2153" s="3"/>
    </row>
    <row r="2154">
      <c r="A2154" s="3">
        <v>6.882750595331E12</v>
      </c>
      <c r="B2154" s="2" t="s">
        <v>8996</v>
      </c>
      <c r="C2154" s="2" t="s">
        <v>8997</v>
      </c>
      <c r="D2154" s="169">
        <v>46048.0</v>
      </c>
      <c r="E2154" s="2">
        <v>3.270887705E9</v>
      </c>
      <c r="F2154" s="2" t="s">
        <v>8998</v>
      </c>
      <c r="G2154" s="2" t="s">
        <v>374</v>
      </c>
      <c r="H2154" s="2">
        <v>3099.0</v>
      </c>
      <c r="I2154" s="2">
        <v>2.1120050021546E13</v>
      </c>
      <c r="J2154" s="3">
        <v>2.0</v>
      </c>
      <c r="K2154" s="2" t="s">
        <v>8999</v>
      </c>
      <c r="L2154" s="2" t="s">
        <v>27</v>
      </c>
      <c r="M2154" s="174" t="s">
        <v>409</v>
      </c>
      <c r="N2154" s="2" t="s">
        <v>462</v>
      </c>
      <c r="O2154" s="3">
        <v>0.5</v>
      </c>
      <c r="P2154" s="2" t="s">
        <v>73</v>
      </c>
      <c r="Q2154" s="3">
        <v>920.0</v>
      </c>
      <c r="T2154" s="2" t="s">
        <v>6336</v>
      </c>
      <c r="U2154" s="171">
        <v>3099.0</v>
      </c>
      <c r="V2154" s="172">
        <v>46052.0</v>
      </c>
      <c r="W2154" s="3">
        <v>324.0</v>
      </c>
      <c r="X2154" s="172">
        <v>46051.63008101852</v>
      </c>
      <c r="Y2154" s="172"/>
      <c r="Z2154" s="3">
        <v>46048.0</v>
      </c>
      <c r="AA2154" s="3"/>
    </row>
    <row r="2155">
      <c r="A2155" s="3">
        <v>6.882774384899E12</v>
      </c>
      <c r="B2155" s="2" t="s">
        <v>9000</v>
      </c>
      <c r="C2155" s="2" t="s">
        <v>9001</v>
      </c>
      <c r="D2155" s="169">
        <v>46048.0</v>
      </c>
      <c r="E2155" s="2">
        <v>3.002064767E9</v>
      </c>
      <c r="F2155" s="2" t="s">
        <v>9002</v>
      </c>
      <c r="G2155" s="2" t="s">
        <v>368</v>
      </c>
      <c r="H2155" s="2">
        <v>3099.0</v>
      </c>
      <c r="I2155" s="2">
        <v>2.5120050021545E13</v>
      </c>
      <c r="J2155" s="3">
        <v>2.0</v>
      </c>
      <c r="K2155" s="2" t="s">
        <v>9003</v>
      </c>
      <c r="L2155" s="2" t="s">
        <v>296</v>
      </c>
      <c r="M2155" s="174" t="s">
        <v>409</v>
      </c>
      <c r="N2155" s="2" t="s">
        <v>462</v>
      </c>
      <c r="O2155" s="3">
        <v>0.5</v>
      </c>
      <c r="P2155" s="2" t="s">
        <v>73</v>
      </c>
      <c r="Q2155" s="3">
        <v>920.0</v>
      </c>
      <c r="T2155" s="2" t="s">
        <v>6336</v>
      </c>
      <c r="U2155" s="171">
        <v>3099.0</v>
      </c>
      <c r="V2155" s="172">
        <v>46052.0</v>
      </c>
      <c r="W2155" s="3">
        <v>231.0</v>
      </c>
      <c r="X2155" s="172">
        <v>46050.630740740744</v>
      </c>
      <c r="Y2155" s="172"/>
      <c r="Z2155" s="3">
        <v>46048.0</v>
      </c>
      <c r="AA2155" s="3"/>
    </row>
    <row r="2156">
      <c r="A2156" s="3">
        <v>6.882824323331E12</v>
      </c>
      <c r="B2156" s="2" t="s">
        <v>9004</v>
      </c>
      <c r="C2156" s="2" t="s">
        <v>9005</v>
      </c>
      <c r="D2156" s="169">
        <v>46048.0</v>
      </c>
      <c r="E2156" s="2">
        <v>3.098873729E9</v>
      </c>
      <c r="F2156" s="2" t="s">
        <v>9006</v>
      </c>
      <c r="G2156" s="2" t="s">
        <v>9007</v>
      </c>
      <c r="H2156" s="2">
        <v>3099.0</v>
      </c>
      <c r="I2156" s="2">
        <v>2.4120050021628E13</v>
      </c>
      <c r="J2156" s="3">
        <v>2.0</v>
      </c>
      <c r="K2156" s="2" t="s">
        <v>9008</v>
      </c>
      <c r="L2156" s="2" t="s">
        <v>9009</v>
      </c>
      <c r="M2156" s="174" t="s">
        <v>409</v>
      </c>
      <c r="N2156" s="2" t="s">
        <v>462</v>
      </c>
      <c r="O2156" s="3">
        <v>0.5</v>
      </c>
      <c r="P2156" s="2" t="s">
        <v>73</v>
      </c>
      <c r="Q2156" s="3">
        <v>960.0</v>
      </c>
      <c r="T2156" s="2" t="s">
        <v>6193</v>
      </c>
      <c r="U2156" s="171">
        <v>3099.0</v>
      </c>
      <c r="V2156" s="172">
        <v>46056.0</v>
      </c>
      <c r="W2156" s="3">
        <v>324.0</v>
      </c>
      <c r="X2156" s="172">
        <v>46055.63494212963</v>
      </c>
      <c r="Y2156" s="172"/>
      <c r="Z2156" s="3">
        <v>46048.0</v>
      </c>
      <c r="AA2156" s="3"/>
    </row>
    <row r="2157">
      <c r="A2157" s="3">
        <v>6.882830516483E12</v>
      </c>
      <c r="B2157" s="2" t="s">
        <v>9010</v>
      </c>
      <c r="C2157" s="2" t="s">
        <v>6800</v>
      </c>
      <c r="D2157" s="169">
        <v>46048.0</v>
      </c>
      <c r="E2157" s="2">
        <v>3.336262137E9</v>
      </c>
      <c r="F2157" s="2" t="s">
        <v>9011</v>
      </c>
      <c r="G2157" s="2" t="s">
        <v>368</v>
      </c>
      <c r="H2157" s="2">
        <v>6849.0</v>
      </c>
      <c r="I2157" s="2">
        <v>2.4120050021556E13</v>
      </c>
      <c r="J2157" s="3">
        <v>4.0</v>
      </c>
      <c r="K2157" s="2" t="s">
        <v>9012</v>
      </c>
      <c r="L2157" s="2" t="s">
        <v>9013</v>
      </c>
      <c r="M2157" s="174" t="s">
        <v>409</v>
      </c>
      <c r="N2157" s="2" t="s">
        <v>462</v>
      </c>
      <c r="O2157" s="3">
        <v>0.5</v>
      </c>
      <c r="P2157" s="2" t="s">
        <v>73</v>
      </c>
      <c r="Q2157" s="3">
        <v>2660.0</v>
      </c>
      <c r="T2157" s="2" t="s">
        <v>6336</v>
      </c>
      <c r="U2157" s="171">
        <v>6849.0</v>
      </c>
      <c r="V2157" s="172">
        <v>46052.0</v>
      </c>
      <c r="W2157" s="3">
        <v>461.0</v>
      </c>
      <c r="X2157" s="172">
        <v>46050.543344907404</v>
      </c>
      <c r="Y2157" s="172"/>
      <c r="Z2157" s="3">
        <v>46048.0</v>
      </c>
      <c r="AA2157" s="3"/>
    </row>
    <row r="2158">
      <c r="A2158" s="3">
        <v>6.882885435651E12</v>
      </c>
      <c r="B2158" s="2" t="s">
        <v>9014</v>
      </c>
      <c r="C2158" s="2" t="s">
        <v>9015</v>
      </c>
      <c r="D2158" s="169">
        <v>46048.0</v>
      </c>
      <c r="E2158" s="2">
        <v>3.066466606E9</v>
      </c>
      <c r="F2158" s="2" t="s">
        <v>9016</v>
      </c>
      <c r="G2158" s="2" t="s">
        <v>855</v>
      </c>
      <c r="H2158" s="2">
        <v>3099.0</v>
      </c>
      <c r="I2158" s="2">
        <v>2.4120050021555E13</v>
      </c>
      <c r="J2158" s="3">
        <v>2.0</v>
      </c>
      <c r="K2158" s="2" t="s">
        <v>9017</v>
      </c>
      <c r="L2158" s="2" t="s">
        <v>40</v>
      </c>
      <c r="M2158" s="2" t="s">
        <v>409</v>
      </c>
      <c r="N2158" s="2" t="s">
        <v>462</v>
      </c>
      <c r="O2158" s="3">
        <v>0.5</v>
      </c>
      <c r="P2158" s="2" t="s">
        <v>73</v>
      </c>
      <c r="Q2158" s="3">
        <v>920.0</v>
      </c>
      <c r="T2158" s="2" t="s">
        <v>9018</v>
      </c>
      <c r="U2158" s="171">
        <v>3099.0</v>
      </c>
      <c r="V2158" s="172">
        <v>46066.0</v>
      </c>
      <c r="W2158" s="3">
        <v>324.0</v>
      </c>
      <c r="X2158" s="172">
        <v>46065.93859060185</v>
      </c>
      <c r="Y2158" s="172"/>
      <c r="Z2158" s="3">
        <v>46048.0</v>
      </c>
      <c r="AA2158" s="3"/>
    </row>
    <row r="2159">
      <c r="A2159" s="3">
        <v>6.882910404867E12</v>
      </c>
      <c r="B2159" s="2" t="s">
        <v>9019</v>
      </c>
      <c r="C2159" s="2" t="s">
        <v>9020</v>
      </c>
      <c r="D2159" s="169">
        <v>46048.0</v>
      </c>
      <c r="E2159" s="2">
        <v>3.410099055E9</v>
      </c>
      <c r="F2159" s="2" t="s">
        <v>9021</v>
      </c>
      <c r="G2159" s="2" t="s">
        <v>2675</v>
      </c>
      <c r="H2159" s="2">
        <v>249.0</v>
      </c>
      <c r="I2159" s="2" t="s">
        <v>9022</v>
      </c>
      <c r="J2159" s="3">
        <v>0.0</v>
      </c>
      <c r="K2159" s="2" t="s">
        <v>9023</v>
      </c>
      <c r="L2159" s="2"/>
      <c r="M2159" s="170" t="s">
        <v>455</v>
      </c>
      <c r="N2159" s="2" t="s">
        <v>406</v>
      </c>
      <c r="O2159" s="3">
        <v>0.5</v>
      </c>
      <c r="P2159" s="2" t="s">
        <v>640</v>
      </c>
      <c r="Q2159" s="3">
        <v>0.0</v>
      </c>
      <c r="T2159" s="2" t="s">
        <v>6891</v>
      </c>
      <c r="U2159" s="141"/>
      <c r="W2159" s="3">
        <v>289.94</v>
      </c>
      <c r="X2159" s="172">
        <v>46070.91703221065</v>
      </c>
      <c r="Y2159" s="172"/>
      <c r="Z2159" s="3">
        <v>46048.0</v>
      </c>
      <c r="AA2159" s="3"/>
    </row>
    <row r="2160">
      <c r="A2160" s="3">
        <v>6.882917712131E12</v>
      </c>
      <c r="B2160" s="2" t="s">
        <v>9024</v>
      </c>
      <c r="C2160" s="2" t="s">
        <v>9025</v>
      </c>
      <c r="D2160" s="169">
        <v>46048.0</v>
      </c>
      <c r="E2160" s="2">
        <v>3.012412454E9</v>
      </c>
      <c r="F2160" s="2" t="s">
        <v>9026</v>
      </c>
      <c r="G2160" s="2" t="s">
        <v>493</v>
      </c>
      <c r="H2160" s="2">
        <v>2749.0</v>
      </c>
      <c r="I2160" s="2">
        <v>2.9120050021544E13</v>
      </c>
      <c r="J2160" s="3">
        <v>2.0</v>
      </c>
      <c r="K2160" s="2" t="s">
        <v>9027</v>
      </c>
      <c r="L2160" s="2" t="s">
        <v>35</v>
      </c>
      <c r="M2160" s="174" t="s">
        <v>409</v>
      </c>
      <c r="N2160" s="2" t="s">
        <v>462</v>
      </c>
      <c r="O2160" s="3">
        <v>0.5</v>
      </c>
      <c r="P2160" s="2" t="s">
        <v>73</v>
      </c>
      <c r="Q2160" s="3">
        <v>980.0</v>
      </c>
      <c r="T2160" s="2" t="s">
        <v>6193</v>
      </c>
      <c r="U2160" s="171">
        <v>2749.0</v>
      </c>
      <c r="V2160" s="172">
        <v>46056.0</v>
      </c>
      <c r="W2160" s="3">
        <v>323.0</v>
      </c>
      <c r="X2160" s="172">
        <v>46052.591886574075</v>
      </c>
      <c r="Y2160" s="172"/>
      <c r="Z2160" s="3">
        <v>46048.0</v>
      </c>
      <c r="AA2160" s="3"/>
    </row>
    <row r="2161">
      <c r="A2161" s="3">
        <v>6.882965651715E12</v>
      </c>
      <c r="B2161" s="2" t="s">
        <v>9028</v>
      </c>
      <c r="C2161" s="2" t="s">
        <v>2624</v>
      </c>
      <c r="D2161" s="169">
        <v>46048.0</v>
      </c>
      <c r="E2161" s="2">
        <v>3.013872371E9</v>
      </c>
      <c r="F2161" s="2" t="s">
        <v>9029</v>
      </c>
      <c r="G2161" s="2" t="s">
        <v>506</v>
      </c>
      <c r="H2161" s="2">
        <v>2799.0</v>
      </c>
      <c r="I2161" s="2">
        <v>2.5120050021543E13</v>
      </c>
      <c r="J2161" s="3">
        <v>1.0</v>
      </c>
      <c r="K2161" s="2" t="s">
        <v>9030</v>
      </c>
      <c r="L2161" s="2" t="s">
        <v>519</v>
      </c>
      <c r="M2161" s="174" t="s">
        <v>409</v>
      </c>
      <c r="N2161" s="2" t="s">
        <v>462</v>
      </c>
      <c r="O2161" s="3">
        <v>0.5</v>
      </c>
      <c r="P2161" s="2" t="s">
        <v>73</v>
      </c>
      <c r="Q2161" s="3">
        <v>850.0</v>
      </c>
      <c r="T2161" s="2" t="s">
        <v>6336</v>
      </c>
      <c r="U2161" s="171">
        <v>2799.0</v>
      </c>
      <c r="V2161" s="172">
        <v>46052.0</v>
      </c>
      <c r="W2161" s="3">
        <v>332.0</v>
      </c>
      <c r="X2161" s="172">
        <v>46051.59052083333</v>
      </c>
      <c r="Y2161" s="172"/>
      <c r="Z2161" s="3">
        <v>46048.0</v>
      </c>
      <c r="AA2161" s="3"/>
    </row>
    <row r="2162">
      <c r="A2162" s="3">
        <v>6.883013820675E12</v>
      </c>
      <c r="B2162" s="2" t="s">
        <v>9031</v>
      </c>
      <c r="C2162" s="2" t="s">
        <v>9032</v>
      </c>
      <c r="D2162" s="169">
        <v>46049.0</v>
      </c>
      <c r="E2162" s="173" t="s">
        <v>9033</v>
      </c>
      <c r="F2162" s="2" t="s">
        <v>9034</v>
      </c>
      <c r="G2162" s="2" t="s">
        <v>9035</v>
      </c>
      <c r="H2162" s="2">
        <v>2749.0</v>
      </c>
      <c r="I2162" s="2">
        <v>2.8120050021542E13</v>
      </c>
      <c r="J2162" s="3">
        <v>2.0</v>
      </c>
      <c r="K2162" s="2" t="s">
        <v>9036</v>
      </c>
      <c r="L2162" s="2" t="s">
        <v>9037</v>
      </c>
      <c r="M2162" s="174" t="s">
        <v>409</v>
      </c>
      <c r="N2162" s="2" t="s">
        <v>462</v>
      </c>
      <c r="O2162" s="3">
        <v>0.5</v>
      </c>
      <c r="P2162" s="2" t="s">
        <v>73</v>
      </c>
      <c r="Q2162" s="3">
        <v>980.0</v>
      </c>
      <c r="T2162" s="2" t="s">
        <v>6336</v>
      </c>
      <c r="U2162" s="171">
        <v>2749.0</v>
      </c>
      <c r="V2162" s="172">
        <v>46052.0</v>
      </c>
      <c r="W2162" s="3">
        <v>310.0</v>
      </c>
      <c r="X2162" s="172">
        <v>46051.543333333335</v>
      </c>
      <c r="Y2162" s="172"/>
      <c r="Z2162" s="3">
        <v>46049.0</v>
      </c>
      <c r="AA2162" s="3"/>
    </row>
    <row r="2163">
      <c r="A2163" s="3">
        <v>6.883022602499E12</v>
      </c>
      <c r="B2163" s="2" t="s">
        <v>9038</v>
      </c>
      <c r="C2163" s="2" t="s">
        <v>2190</v>
      </c>
      <c r="D2163" s="169">
        <v>46049.0</v>
      </c>
      <c r="E2163" s="2">
        <v>3.129528365E9</v>
      </c>
      <c r="F2163" s="2" t="s">
        <v>9039</v>
      </c>
      <c r="G2163" s="2" t="s">
        <v>4949</v>
      </c>
      <c r="H2163" s="2">
        <v>0.0</v>
      </c>
      <c r="J2163" s="3">
        <v>0.0</v>
      </c>
      <c r="K2163" s="2" t="s">
        <v>9040</v>
      </c>
      <c r="L2163" s="2"/>
      <c r="M2163" s="2" t="s">
        <v>468</v>
      </c>
      <c r="N2163" s="2" t="s">
        <v>406</v>
      </c>
      <c r="O2163" s="3">
        <v>0.5</v>
      </c>
      <c r="Q2163" s="3">
        <v>0.0</v>
      </c>
      <c r="U2163" s="141"/>
      <c r="X2163" s="172">
        <v>46057.642782905095</v>
      </c>
      <c r="Y2163" s="172"/>
      <c r="Z2163" s="3">
        <v>46049.0</v>
      </c>
      <c r="AA2163" s="3"/>
    </row>
    <row r="2164">
      <c r="A2164" s="3">
        <v>6.883046097155E12</v>
      </c>
      <c r="B2164" s="2" t="s">
        <v>9041</v>
      </c>
      <c r="C2164" s="2" t="s">
        <v>9042</v>
      </c>
      <c r="D2164" s="169">
        <v>46049.0</v>
      </c>
      <c r="E2164" s="2">
        <v>3.126415751E9</v>
      </c>
      <c r="F2164" s="2" t="s">
        <v>9043</v>
      </c>
      <c r="G2164" s="2" t="s">
        <v>7736</v>
      </c>
      <c r="H2164" s="2">
        <v>249.0</v>
      </c>
      <c r="I2164" s="2">
        <v>2.2120050021541E13</v>
      </c>
      <c r="J2164" s="3">
        <v>0.0</v>
      </c>
      <c r="K2164" s="2" t="s">
        <v>9044</v>
      </c>
      <c r="L2164" s="2"/>
      <c r="M2164" s="170" t="s">
        <v>455</v>
      </c>
      <c r="N2164" s="2" t="s">
        <v>406</v>
      </c>
      <c r="O2164" s="3">
        <v>0.5</v>
      </c>
      <c r="P2164" s="2" t="s">
        <v>73</v>
      </c>
      <c r="Q2164" s="3">
        <v>0.0</v>
      </c>
      <c r="U2164" s="141"/>
      <c r="W2164" s="3">
        <v>227.0</v>
      </c>
      <c r="X2164" s="172">
        <v>46063.02094190972</v>
      </c>
      <c r="Y2164" s="172"/>
      <c r="Z2164" s="3">
        <v>46049.0</v>
      </c>
      <c r="AA2164" s="3"/>
    </row>
    <row r="2165">
      <c r="A2165" s="3">
        <v>6.883070771459E12</v>
      </c>
      <c r="B2165" s="2" t="s">
        <v>9045</v>
      </c>
      <c r="C2165" s="2" t="s">
        <v>9046</v>
      </c>
      <c r="D2165" s="169">
        <v>46049.0</v>
      </c>
      <c r="E2165" s="2">
        <v>3.327498411E9</v>
      </c>
      <c r="F2165" s="2" t="s">
        <v>9047</v>
      </c>
      <c r="G2165" s="2" t="s">
        <v>6017</v>
      </c>
      <c r="H2165" s="2">
        <v>3099.0</v>
      </c>
      <c r="I2165" s="2">
        <v>2.812005002154E13</v>
      </c>
      <c r="J2165" s="3">
        <v>2.0</v>
      </c>
      <c r="K2165" s="2" t="s">
        <v>9048</v>
      </c>
      <c r="L2165" s="2" t="s">
        <v>50</v>
      </c>
      <c r="M2165" s="2" t="s">
        <v>409</v>
      </c>
      <c r="N2165" s="2" t="s">
        <v>462</v>
      </c>
      <c r="O2165" s="3">
        <v>0.5</v>
      </c>
      <c r="P2165" s="2" t="s">
        <v>73</v>
      </c>
      <c r="Q2165" s="3">
        <v>920.0</v>
      </c>
      <c r="T2165" s="2" t="s">
        <v>9018</v>
      </c>
      <c r="U2165" s="171">
        <v>3099.0</v>
      </c>
      <c r="V2165" s="172">
        <v>46066.0</v>
      </c>
      <c r="W2165" s="3">
        <v>324.0</v>
      </c>
      <c r="X2165" s="172">
        <v>46063.77096851852</v>
      </c>
      <c r="Y2165" s="172"/>
      <c r="Z2165" s="3">
        <v>46049.0</v>
      </c>
      <c r="AA2165" s="3"/>
    </row>
    <row r="2166">
      <c r="A2166" s="3">
        <v>6.883083485443E12</v>
      </c>
      <c r="B2166" s="2" t="s">
        <v>9049</v>
      </c>
      <c r="C2166" s="2" t="s">
        <v>9050</v>
      </c>
      <c r="D2166" s="169">
        <v>46049.0</v>
      </c>
      <c r="E2166" s="2">
        <v>3.030538774E9</v>
      </c>
      <c r="F2166" s="2" t="s">
        <v>9051</v>
      </c>
      <c r="G2166" s="2" t="s">
        <v>933</v>
      </c>
      <c r="H2166" s="2">
        <v>0.0</v>
      </c>
      <c r="J2166" s="3">
        <v>0.0</v>
      </c>
      <c r="K2166" s="2" t="s">
        <v>9052</v>
      </c>
      <c r="L2166" s="2"/>
      <c r="M2166" s="2" t="s">
        <v>468</v>
      </c>
      <c r="N2166" s="2" t="s">
        <v>406</v>
      </c>
      <c r="O2166" s="3">
        <v>0.5</v>
      </c>
      <c r="Q2166" s="3">
        <v>0.0</v>
      </c>
      <c r="U2166" s="141"/>
      <c r="X2166" s="172">
        <v>46057.642782905095</v>
      </c>
      <c r="Y2166" s="172"/>
      <c r="Z2166" s="3">
        <v>46049.0</v>
      </c>
      <c r="AA2166" s="3"/>
    </row>
    <row r="2167">
      <c r="A2167" s="3">
        <v>6.883329278211E12</v>
      </c>
      <c r="B2167" s="2" t="s">
        <v>9053</v>
      </c>
      <c r="C2167" s="2" t="s">
        <v>9054</v>
      </c>
      <c r="D2167" s="169">
        <v>46049.0</v>
      </c>
      <c r="E2167" s="2">
        <v>3.022783526E9</v>
      </c>
      <c r="F2167" s="2" t="s">
        <v>9055</v>
      </c>
      <c r="G2167" s="2" t="s">
        <v>493</v>
      </c>
      <c r="H2167" s="2">
        <v>249.0</v>
      </c>
      <c r="I2167" s="2">
        <v>2.4120050021539E13</v>
      </c>
      <c r="J2167" s="3">
        <v>0.0</v>
      </c>
      <c r="K2167" s="2" t="s">
        <v>9056</v>
      </c>
      <c r="L2167" s="2"/>
      <c r="M2167" s="170" t="s">
        <v>455</v>
      </c>
      <c r="N2167" s="2" t="s">
        <v>406</v>
      </c>
      <c r="O2167" s="3">
        <v>0.5</v>
      </c>
      <c r="P2167" s="2" t="s">
        <v>73</v>
      </c>
      <c r="Q2167" s="3">
        <v>0.0</v>
      </c>
      <c r="U2167" s="141"/>
      <c r="W2167" s="3">
        <v>227.0</v>
      </c>
      <c r="X2167" s="172">
        <v>46057.5878125</v>
      </c>
      <c r="Y2167" s="172"/>
      <c r="Z2167" s="3">
        <v>46049.0</v>
      </c>
      <c r="AA2167" s="3"/>
    </row>
    <row r="2168">
      <c r="A2168" s="3">
        <v>6.883389767939E12</v>
      </c>
      <c r="B2168" s="2" t="s">
        <v>9057</v>
      </c>
      <c r="C2168" s="2" t="s">
        <v>9058</v>
      </c>
      <c r="D2168" s="169">
        <v>46049.0</v>
      </c>
      <c r="E2168" s="2">
        <v>3.555383274E9</v>
      </c>
      <c r="F2168" s="2" t="s">
        <v>9059</v>
      </c>
      <c r="G2168" s="2" t="s">
        <v>9060</v>
      </c>
      <c r="H2168" s="2">
        <v>1699.0</v>
      </c>
      <c r="I2168" s="2">
        <v>1.7301034363E11</v>
      </c>
      <c r="J2168" s="3">
        <v>1.0</v>
      </c>
      <c r="K2168" s="2" t="s">
        <v>9061</v>
      </c>
      <c r="L2168" s="2" t="s">
        <v>9062</v>
      </c>
      <c r="M2168" s="2" t="s">
        <v>409</v>
      </c>
      <c r="N2168" s="2" t="s">
        <v>462</v>
      </c>
      <c r="O2168" s="3">
        <v>0.5</v>
      </c>
      <c r="P2168" s="2" t="s">
        <v>501</v>
      </c>
      <c r="Q2168" s="3">
        <v>550.0</v>
      </c>
      <c r="T2168" s="2"/>
      <c r="U2168" s="171">
        <v>1699.0</v>
      </c>
      <c r="W2168" s="3">
        <v>301.5376</v>
      </c>
      <c r="X2168" s="172">
        <v>46070.520967442135</v>
      </c>
      <c r="Y2168" s="172"/>
      <c r="Z2168" s="3">
        <v>46049.0</v>
      </c>
      <c r="AA2168" s="3"/>
    </row>
    <row r="2169">
      <c r="A2169" s="3">
        <v>6.883477258499E12</v>
      </c>
      <c r="B2169" s="2" t="s">
        <v>9063</v>
      </c>
      <c r="C2169" s="2" t="s">
        <v>9064</v>
      </c>
      <c r="D2169" s="169">
        <v>46049.0</v>
      </c>
      <c r="E2169" s="2">
        <v>3.213742482E9</v>
      </c>
      <c r="F2169" s="2" t="s">
        <v>9065</v>
      </c>
      <c r="G2169" s="2" t="s">
        <v>493</v>
      </c>
      <c r="H2169" s="2">
        <v>249.0</v>
      </c>
      <c r="I2169" s="2">
        <v>2.4120050021538E13</v>
      </c>
      <c r="J2169" s="3">
        <v>0.0</v>
      </c>
      <c r="K2169" s="2" t="s">
        <v>9066</v>
      </c>
      <c r="L2169" s="2"/>
      <c r="M2169" s="170" t="s">
        <v>455</v>
      </c>
      <c r="N2169" s="2" t="s">
        <v>406</v>
      </c>
      <c r="O2169" s="3">
        <v>0.5</v>
      </c>
      <c r="P2169" s="2" t="s">
        <v>73</v>
      </c>
      <c r="Q2169" s="3">
        <v>0.0</v>
      </c>
      <c r="U2169" s="141"/>
      <c r="W2169" s="3">
        <v>213.0</v>
      </c>
      <c r="X2169" s="172">
        <v>46063.02095554398</v>
      </c>
      <c r="Y2169" s="172"/>
      <c r="Z2169" s="3">
        <v>46049.0</v>
      </c>
      <c r="AA2169" s="3"/>
    </row>
    <row r="2170">
      <c r="A2170" s="3">
        <v>6.883484500227E12</v>
      </c>
      <c r="B2170" s="2" t="s">
        <v>9067</v>
      </c>
      <c r="C2170" s="2" t="s">
        <v>9068</v>
      </c>
      <c r="D2170" s="169">
        <v>46049.0</v>
      </c>
      <c r="E2170" s="2">
        <v>3.217135228E9</v>
      </c>
      <c r="F2170" s="175" t="s">
        <v>9069</v>
      </c>
      <c r="G2170" s="175" t="s">
        <v>9070</v>
      </c>
      <c r="H2170" s="2">
        <v>0.0</v>
      </c>
      <c r="J2170" s="3">
        <v>0.0</v>
      </c>
      <c r="K2170" s="2" t="s">
        <v>8402</v>
      </c>
      <c r="L2170" s="2"/>
      <c r="M2170" s="2" t="s">
        <v>468</v>
      </c>
      <c r="N2170" s="2" t="s">
        <v>406</v>
      </c>
      <c r="O2170" s="3">
        <v>0.5</v>
      </c>
      <c r="Q2170" s="3">
        <v>0.0</v>
      </c>
      <c r="U2170" s="141"/>
      <c r="X2170" s="172">
        <v>46057.642782905095</v>
      </c>
      <c r="Y2170" s="172"/>
      <c r="Z2170" s="3">
        <v>46049.0</v>
      </c>
      <c r="AA2170" s="3"/>
    </row>
    <row r="2171">
      <c r="A2171" s="3">
        <v>6.883623010563E12</v>
      </c>
      <c r="B2171" s="2" t="s">
        <v>9071</v>
      </c>
      <c r="C2171" s="2" t="s">
        <v>2537</v>
      </c>
      <c r="D2171" s="169">
        <v>46049.0</v>
      </c>
      <c r="E2171" s="2">
        <v>3.327773622E9</v>
      </c>
      <c r="F2171" s="2" t="s">
        <v>2538</v>
      </c>
      <c r="G2171" s="2" t="s">
        <v>2539</v>
      </c>
      <c r="H2171" s="2">
        <v>0.0</v>
      </c>
      <c r="J2171" s="3">
        <v>0.0</v>
      </c>
      <c r="K2171" s="2" t="s">
        <v>8402</v>
      </c>
      <c r="L2171" s="2"/>
      <c r="M2171" s="2" t="s">
        <v>468</v>
      </c>
      <c r="N2171" s="2" t="s">
        <v>406</v>
      </c>
      <c r="O2171" s="3">
        <v>0.5</v>
      </c>
      <c r="Q2171" s="3">
        <v>0.0</v>
      </c>
      <c r="U2171" s="141"/>
      <c r="X2171" s="172">
        <v>46057.642782905095</v>
      </c>
      <c r="Y2171" s="172"/>
      <c r="Z2171" s="3">
        <v>46049.0</v>
      </c>
      <c r="AA2171" s="3"/>
    </row>
    <row r="2172">
      <c r="A2172" s="3">
        <v>6.883763028227E12</v>
      </c>
      <c r="B2172" s="2" t="s">
        <v>9072</v>
      </c>
      <c r="C2172" s="2" t="s">
        <v>4057</v>
      </c>
      <c r="D2172" s="169">
        <v>46049.0</v>
      </c>
      <c r="E2172" s="173" t="s">
        <v>6684</v>
      </c>
      <c r="F2172" s="2" t="s">
        <v>4058</v>
      </c>
      <c r="G2172" s="2" t="s">
        <v>693</v>
      </c>
      <c r="H2172" s="2">
        <v>0.0</v>
      </c>
      <c r="I2172" s="2">
        <v>2.2120050021537E13</v>
      </c>
      <c r="J2172" s="3">
        <v>0.0</v>
      </c>
      <c r="K2172" s="2" t="s">
        <v>9073</v>
      </c>
      <c r="L2172" s="2"/>
      <c r="M2172" s="170" t="s">
        <v>455</v>
      </c>
      <c r="N2172" s="2" t="s">
        <v>406</v>
      </c>
      <c r="O2172" s="3">
        <v>0.5</v>
      </c>
      <c r="P2172" s="2" t="s">
        <v>73</v>
      </c>
      <c r="Q2172" s="3">
        <v>0.0</v>
      </c>
      <c r="U2172" s="141"/>
      <c r="W2172" s="3">
        <v>213.0</v>
      </c>
      <c r="X2172" s="172">
        <v>46063.0209602199</v>
      </c>
      <c r="Y2172" s="172"/>
      <c r="Z2172" s="3">
        <v>46049.0</v>
      </c>
      <c r="AA2172" s="3"/>
    </row>
    <row r="2173">
      <c r="A2173" s="3">
        <v>6.883767943427E12</v>
      </c>
      <c r="B2173" s="2" t="s">
        <v>9074</v>
      </c>
      <c r="C2173" s="2" t="s">
        <v>9075</v>
      </c>
      <c r="D2173" s="169">
        <v>46049.0</v>
      </c>
      <c r="E2173" s="173" t="s">
        <v>9076</v>
      </c>
      <c r="F2173" s="2" t="s">
        <v>9077</v>
      </c>
      <c r="G2173" s="2" t="s">
        <v>855</v>
      </c>
      <c r="H2173" s="2">
        <v>3100.0</v>
      </c>
      <c r="I2173" s="2">
        <v>2.9120050021597E13</v>
      </c>
      <c r="J2173" s="3">
        <v>2.0</v>
      </c>
      <c r="K2173" s="2" t="s">
        <v>9078</v>
      </c>
      <c r="L2173" s="2" t="s">
        <v>50</v>
      </c>
      <c r="M2173" s="2" t="s">
        <v>409</v>
      </c>
      <c r="N2173" s="2" t="s">
        <v>462</v>
      </c>
      <c r="O2173" s="3">
        <v>0.5</v>
      </c>
      <c r="P2173" s="2" t="s">
        <v>73</v>
      </c>
      <c r="Q2173" s="3">
        <v>920.0</v>
      </c>
      <c r="T2173" s="2" t="s">
        <v>9018</v>
      </c>
      <c r="U2173" s="171">
        <v>3100.0</v>
      </c>
      <c r="V2173" s="172">
        <v>46066.0</v>
      </c>
      <c r="W2173" s="3">
        <v>324.0</v>
      </c>
      <c r="X2173" s="172">
        <v>46063.77097884259</v>
      </c>
      <c r="Y2173" s="172"/>
      <c r="Z2173" s="3">
        <v>46049.0</v>
      </c>
      <c r="AA2173" s="3"/>
    </row>
    <row r="2174">
      <c r="A2174" s="3">
        <v>6.883797401859E12</v>
      </c>
      <c r="B2174" s="2" t="s">
        <v>9079</v>
      </c>
      <c r="C2174" s="2" t="s">
        <v>4920</v>
      </c>
      <c r="D2174" s="169">
        <v>46049.0</v>
      </c>
      <c r="E2174" s="2">
        <v>3.009229881E9</v>
      </c>
      <c r="F2174" s="2" t="s">
        <v>6722</v>
      </c>
      <c r="G2174" s="2" t="s">
        <v>493</v>
      </c>
      <c r="H2174" s="2">
        <v>2749.0</v>
      </c>
      <c r="I2174" s="2">
        <v>2.8120050021536E13</v>
      </c>
      <c r="J2174" s="3">
        <v>2.0</v>
      </c>
      <c r="K2174" s="2" t="s">
        <v>9080</v>
      </c>
      <c r="L2174" s="2" t="s">
        <v>16</v>
      </c>
      <c r="M2174" s="174" t="s">
        <v>409</v>
      </c>
      <c r="N2174" s="2" t="s">
        <v>462</v>
      </c>
      <c r="O2174" s="3">
        <v>0.5</v>
      </c>
      <c r="P2174" s="2" t="s">
        <v>73</v>
      </c>
      <c r="Q2174" s="3">
        <v>980.0</v>
      </c>
      <c r="T2174" s="2" t="s">
        <v>6193</v>
      </c>
      <c r="U2174" s="19">
        <v>2749.0</v>
      </c>
      <c r="V2174" s="172">
        <v>46056.0</v>
      </c>
      <c r="W2174" s="3">
        <v>223.0</v>
      </c>
      <c r="X2174" s="172">
        <v>46053.6759375</v>
      </c>
      <c r="Y2174" s="172"/>
      <c r="Z2174" s="3">
        <v>46049.0</v>
      </c>
      <c r="AA2174" s="3"/>
    </row>
    <row r="2175">
      <c r="A2175" s="3">
        <v>6.883850223875E12</v>
      </c>
      <c r="B2175" s="2" t="s">
        <v>9081</v>
      </c>
      <c r="C2175" s="2" t="s">
        <v>9082</v>
      </c>
      <c r="D2175" s="169">
        <v>46049.0</v>
      </c>
      <c r="E2175" s="2">
        <v>3.36660604E9</v>
      </c>
      <c r="F2175" s="2" t="s">
        <v>9083</v>
      </c>
      <c r="G2175" s="2" t="s">
        <v>9084</v>
      </c>
      <c r="H2175" s="2">
        <v>2849.0</v>
      </c>
      <c r="I2175" s="2">
        <v>2.0120050021585E13</v>
      </c>
      <c r="J2175" s="3">
        <v>2.0</v>
      </c>
      <c r="K2175" s="2" t="s">
        <v>9085</v>
      </c>
      <c r="L2175" s="2" t="s">
        <v>2324</v>
      </c>
      <c r="M2175" s="174" t="s">
        <v>409</v>
      </c>
      <c r="N2175" s="2" t="s">
        <v>462</v>
      </c>
      <c r="O2175" s="3">
        <v>0.5</v>
      </c>
      <c r="P2175" s="2" t="s">
        <v>73</v>
      </c>
      <c r="Q2175" s="3">
        <v>920.0</v>
      </c>
      <c r="T2175" s="2" t="s">
        <v>6193</v>
      </c>
      <c r="U2175" s="171">
        <v>2849.0</v>
      </c>
      <c r="V2175" s="172">
        <v>46056.0</v>
      </c>
      <c r="W2175" s="3">
        <v>314.0</v>
      </c>
      <c r="X2175" s="172">
        <v>46055.84265046296</v>
      </c>
      <c r="Y2175" s="172"/>
      <c r="Z2175" s="3">
        <v>46049.0</v>
      </c>
      <c r="AA2175" s="3"/>
    </row>
    <row r="2176">
      <c r="A2176" s="3">
        <v>6.883884302595E12</v>
      </c>
      <c r="B2176" s="2" t="s">
        <v>9086</v>
      </c>
      <c r="C2176" s="2" t="s">
        <v>8771</v>
      </c>
      <c r="D2176" s="169">
        <v>46049.0</v>
      </c>
      <c r="E2176" s="2">
        <v>3.234084145E9</v>
      </c>
      <c r="F2176" s="2" t="s">
        <v>9087</v>
      </c>
      <c r="G2176" s="2" t="s">
        <v>368</v>
      </c>
      <c r="H2176" s="2">
        <v>249.0</v>
      </c>
      <c r="I2176" s="2">
        <v>2.2120050021554E13</v>
      </c>
      <c r="J2176" s="3">
        <v>0.0</v>
      </c>
      <c r="K2176" s="2" t="s">
        <v>9088</v>
      </c>
      <c r="L2176" s="2"/>
      <c r="M2176" s="170" t="s">
        <v>455</v>
      </c>
      <c r="N2176" s="2" t="s">
        <v>406</v>
      </c>
      <c r="O2176" s="3">
        <v>0.5</v>
      </c>
      <c r="P2176" s="2" t="s">
        <v>73</v>
      </c>
      <c r="Q2176" s="3">
        <v>0.0</v>
      </c>
      <c r="T2176" s="2" t="s">
        <v>6193</v>
      </c>
      <c r="U2176" s="141"/>
      <c r="W2176" s="3">
        <v>107.0</v>
      </c>
      <c r="X2176" s="172">
        <v>46055.96199074074</v>
      </c>
      <c r="Y2176" s="172"/>
      <c r="Z2176" s="3">
        <v>46049.0</v>
      </c>
      <c r="AA2176" s="3"/>
    </row>
    <row r="2177">
      <c r="A2177" s="3">
        <v>6.883888726275E12</v>
      </c>
      <c r="B2177" s="2" t="s">
        <v>9089</v>
      </c>
      <c r="C2177" s="2" t="s">
        <v>9090</v>
      </c>
      <c r="D2177" s="169">
        <v>46049.0</v>
      </c>
      <c r="E2177" s="173" t="s">
        <v>9091</v>
      </c>
      <c r="F2177" s="2" t="s">
        <v>9092</v>
      </c>
      <c r="G2177" s="2" t="s">
        <v>1619</v>
      </c>
      <c r="H2177" s="2">
        <v>2450.0</v>
      </c>
      <c r="I2177" s="2">
        <v>2.5120050021553E13</v>
      </c>
      <c r="J2177" s="3">
        <v>2.0</v>
      </c>
      <c r="K2177" s="2" t="s">
        <v>9093</v>
      </c>
      <c r="L2177" s="2" t="s">
        <v>9094</v>
      </c>
      <c r="M2177" s="174" t="s">
        <v>409</v>
      </c>
      <c r="N2177" s="2" t="s">
        <v>462</v>
      </c>
      <c r="O2177" s="3">
        <v>0.5</v>
      </c>
      <c r="P2177" s="2" t="s">
        <v>73</v>
      </c>
      <c r="Q2177" s="3">
        <v>1005.0</v>
      </c>
      <c r="T2177" s="2" t="s">
        <v>6336</v>
      </c>
      <c r="U2177" s="171">
        <v>2450.0</v>
      </c>
      <c r="V2177" s="172">
        <v>46052.0</v>
      </c>
      <c r="W2177" s="3">
        <v>205.0</v>
      </c>
      <c r="X2177" s="172">
        <v>46050.54047453703</v>
      </c>
      <c r="Y2177" s="172"/>
      <c r="Z2177" s="3">
        <v>46049.0</v>
      </c>
      <c r="AA2177" s="3"/>
    </row>
    <row r="2178">
      <c r="A2178" s="3">
        <v>6.883929129219E12</v>
      </c>
      <c r="B2178" s="2" t="s">
        <v>9095</v>
      </c>
      <c r="C2178" s="2" t="s">
        <v>9096</v>
      </c>
      <c r="D2178" s="169">
        <v>46049.0</v>
      </c>
      <c r="E2178" s="173" t="s">
        <v>9097</v>
      </c>
      <c r="F2178" s="2" t="s">
        <v>9098</v>
      </c>
      <c r="G2178" s="2" t="s">
        <v>1395</v>
      </c>
      <c r="H2178" s="2">
        <v>249.0</v>
      </c>
      <c r="I2178" s="2">
        <v>2.2120050021582E13</v>
      </c>
      <c r="J2178" s="3">
        <v>0.0</v>
      </c>
      <c r="K2178" s="2" t="s">
        <v>9099</v>
      </c>
      <c r="L2178" s="2"/>
      <c r="M2178" s="170" t="s">
        <v>455</v>
      </c>
      <c r="N2178" s="2" t="s">
        <v>406</v>
      </c>
      <c r="O2178" s="3">
        <v>0.5</v>
      </c>
      <c r="P2178" s="2" t="s">
        <v>73</v>
      </c>
      <c r="Q2178" s="3">
        <v>0.0</v>
      </c>
      <c r="U2178" s="141"/>
      <c r="W2178" s="3">
        <v>213.0</v>
      </c>
      <c r="X2178" s="172">
        <v>46063.02096982639</v>
      </c>
      <c r="Y2178" s="172"/>
      <c r="Z2178" s="3">
        <v>46049.0</v>
      </c>
      <c r="AA2178" s="3"/>
    </row>
    <row r="2179">
      <c r="A2179" s="3">
        <v>6.883968221443E12</v>
      </c>
      <c r="B2179" s="2" t="s">
        <v>9100</v>
      </c>
      <c r="C2179" s="2" t="s">
        <v>9101</v>
      </c>
      <c r="D2179" s="169">
        <v>46049.0</v>
      </c>
      <c r="E2179" s="2">
        <v>3.009033367E9</v>
      </c>
      <c r="F2179" s="2" t="s">
        <v>9102</v>
      </c>
      <c r="G2179" s="2" t="s">
        <v>506</v>
      </c>
      <c r="H2179" s="2">
        <v>2849.0</v>
      </c>
      <c r="I2179" s="2">
        <v>2.5120050021581E13</v>
      </c>
      <c r="J2179" s="3">
        <v>2.0</v>
      </c>
      <c r="K2179" s="2" t="s">
        <v>9103</v>
      </c>
      <c r="L2179" s="2" t="s">
        <v>5839</v>
      </c>
      <c r="M2179" s="174" t="s">
        <v>409</v>
      </c>
      <c r="N2179" s="2" t="s">
        <v>462</v>
      </c>
      <c r="O2179" s="3">
        <v>0.5</v>
      </c>
      <c r="P2179" s="2" t="s">
        <v>73</v>
      </c>
      <c r="Q2179" s="3">
        <v>1050.0</v>
      </c>
      <c r="T2179" s="2" t="s">
        <v>6193</v>
      </c>
      <c r="U2179" s="171">
        <v>2849.0</v>
      </c>
      <c r="V2179" s="172">
        <v>46056.0</v>
      </c>
      <c r="W2179" s="3">
        <v>314.0</v>
      </c>
      <c r="X2179" s="172">
        <v>46052.72313657407</v>
      </c>
      <c r="Y2179" s="172"/>
      <c r="Z2179" s="3">
        <v>46049.0</v>
      </c>
      <c r="AA2179" s="3"/>
    </row>
    <row r="2180">
      <c r="A2180" s="3">
        <v>6.883999678723E12</v>
      </c>
      <c r="B2180" s="2" t="s">
        <v>9104</v>
      </c>
      <c r="C2180" s="2" t="s">
        <v>9105</v>
      </c>
      <c r="D2180" s="169">
        <v>46049.0</v>
      </c>
      <c r="E2180" s="2">
        <v>3.055164989E9</v>
      </c>
      <c r="F2180" s="2" t="s">
        <v>9106</v>
      </c>
      <c r="G2180" s="2" t="s">
        <v>4186</v>
      </c>
      <c r="H2180" s="2">
        <v>0.0</v>
      </c>
      <c r="J2180" s="3">
        <v>0.0</v>
      </c>
      <c r="K2180" s="2" t="s">
        <v>9107</v>
      </c>
      <c r="L2180" s="2"/>
      <c r="M2180" s="2" t="s">
        <v>468</v>
      </c>
      <c r="N2180" s="2" t="s">
        <v>406</v>
      </c>
      <c r="O2180" s="3">
        <v>0.5</v>
      </c>
      <c r="Q2180" s="3">
        <v>0.0</v>
      </c>
      <c r="U2180" s="141"/>
      <c r="X2180" s="172">
        <v>46057.642782905095</v>
      </c>
      <c r="Y2180" s="172"/>
      <c r="Z2180" s="3">
        <v>46049.0</v>
      </c>
      <c r="AA2180" s="3"/>
    </row>
    <row r="2181">
      <c r="A2181" s="3">
        <v>6.884054008067E12</v>
      </c>
      <c r="B2181" s="2" t="s">
        <v>9108</v>
      </c>
      <c r="C2181" s="2" t="s">
        <v>9109</v>
      </c>
      <c r="D2181" s="169">
        <v>46049.0</v>
      </c>
      <c r="E2181" s="2">
        <v>3.238433074E9</v>
      </c>
      <c r="F2181" s="2" t="s">
        <v>9110</v>
      </c>
      <c r="G2181" s="2" t="s">
        <v>493</v>
      </c>
      <c r="H2181" s="2">
        <v>3249.0</v>
      </c>
      <c r="I2181" s="2">
        <v>2.612005002158E13</v>
      </c>
      <c r="J2181" s="3">
        <v>2.0</v>
      </c>
      <c r="K2181" s="2" t="s">
        <v>9111</v>
      </c>
      <c r="L2181" s="2" t="s">
        <v>9112</v>
      </c>
      <c r="M2181" s="174" t="s">
        <v>409</v>
      </c>
      <c r="N2181" s="2" t="s">
        <v>462</v>
      </c>
      <c r="O2181" s="3">
        <v>0.5</v>
      </c>
      <c r="P2181" s="2" t="s">
        <v>73</v>
      </c>
      <c r="Q2181" s="3">
        <v>1850.0</v>
      </c>
      <c r="T2181" s="2" t="s">
        <v>6193</v>
      </c>
      <c r="U2181" s="171">
        <v>3249.0</v>
      </c>
      <c r="V2181" s="172">
        <v>46056.0</v>
      </c>
      <c r="W2181" s="3">
        <v>343.0</v>
      </c>
      <c r="X2181" s="172">
        <v>46053.581458333334</v>
      </c>
      <c r="Y2181" s="172"/>
      <c r="Z2181" s="3">
        <v>46049.0</v>
      </c>
      <c r="AA2181" s="3"/>
    </row>
    <row r="2182">
      <c r="A2182" s="3">
        <v>6.884133437699E12</v>
      </c>
      <c r="B2182" s="2" t="s">
        <v>9113</v>
      </c>
      <c r="C2182" s="2" t="s">
        <v>8560</v>
      </c>
      <c r="D2182" s="169">
        <v>46049.0</v>
      </c>
      <c r="E2182" s="2">
        <v>3.345558425E9</v>
      </c>
      <c r="F2182" s="2" t="s">
        <v>8561</v>
      </c>
      <c r="G2182" s="2" t="s">
        <v>506</v>
      </c>
      <c r="H2182" s="2">
        <v>4248.0</v>
      </c>
      <c r="I2182" s="2">
        <v>2.7120050021579E13</v>
      </c>
      <c r="J2182" s="3">
        <v>2.0</v>
      </c>
      <c r="K2182" s="2" t="s">
        <v>9114</v>
      </c>
      <c r="L2182" s="2" t="s">
        <v>913</v>
      </c>
      <c r="M2182" s="174" t="s">
        <v>409</v>
      </c>
      <c r="N2182" s="2" t="s">
        <v>462</v>
      </c>
      <c r="O2182" s="3">
        <v>0.5</v>
      </c>
      <c r="P2182" s="2" t="s">
        <v>73</v>
      </c>
      <c r="Q2182" s="3">
        <v>1700.0</v>
      </c>
      <c r="T2182" s="2" t="s">
        <v>6193</v>
      </c>
      <c r="U2182" s="171">
        <v>4248.0</v>
      </c>
      <c r="V2182" s="172">
        <v>46056.0</v>
      </c>
      <c r="W2182" s="3">
        <v>483.0</v>
      </c>
      <c r="X2182" s="172">
        <v>46052.51619212963</v>
      </c>
      <c r="Y2182" s="172"/>
      <c r="Z2182" s="3">
        <v>46049.0</v>
      </c>
      <c r="AA2182" s="3"/>
    </row>
    <row r="2183">
      <c r="A2183" s="3">
        <v>6.884170105091E12</v>
      </c>
      <c r="B2183" s="2" t="s">
        <v>9115</v>
      </c>
      <c r="C2183" s="2" t="s">
        <v>9116</v>
      </c>
      <c r="D2183" s="169">
        <v>46049.0</v>
      </c>
      <c r="E2183" s="2">
        <v>3.339940164E9</v>
      </c>
      <c r="F2183" s="2" t="s">
        <v>9117</v>
      </c>
      <c r="G2183" s="2" t="s">
        <v>9118</v>
      </c>
      <c r="H2183" s="2">
        <v>3099.0</v>
      </c>
      <c r="I2183" s="2">
        <v>2.4120050021578E13</v>
      </c>
      <c r="J2183" s="3">
        <v>2.0</v>
      </c>
      <c r="K2183" s="2" t="s">
        <v>9119</v>
      </c>
      <c r="L2183" s="2" t="s">
        <v>296</v>
      </c>
      <c r="M2183" s="174" t="s">
        <v>409</v>
      </c>
      <c r="N2183" s="2" t="s">
        <v>462</v>
      </c>
      <c r="O2183" s="3">
        <v>0.5</v>
      </c>
      <c r="P2183" s="2" t="s">
        <v>73</v>
      </c>
      <c r="Q2183" s="3">
        <v>920.0</v>
      </c>
      <c r="T2183" s="2" t="s">
        <v>6336</v>
      </c>
      <c r="U2183" s="171">
        <v>3099.0</v>
      </c>
      <c r="V2183" s="172">
        <v>46052.0</v>
      </c>
      <c r="W2183" s="3">
        <v>324.0</v>
      </c>
      <c r="X2183" s="172">
        <v>46051.83660879629</v>
      </c>
      <c r="Y2183" s="172"/>
      <c r="Z2183" s="3">
        <v>46049.0</v>
      </c>
      <c r="AA2183" s="3"/>
    </row>
    <row r="2184">
      <c r="A2184" s="3">
        <v>6.884213620995E12</v>
      </c>
      <c r="B2184" s="2" t="s">
        <v>9120</v>
      </c>
      <c r="C2184" s="2" t="s">
        <v>9121</v>
      </c>
      <c r="D2184" s="169">
        <v>46049.0</v>
      </c>
      <c r="E2184" s="2">
        <v>3.232571261E9</v>
      </c>
      <c r="F2184" s="2" t="s">
        <v>9122</v>
      </c>
      <c r="G2184" s="2" t="s">
        <v>493</v>
      </c>
      <c r="H2184" s="2">
        <v>3449.0</v>
      </c>
      <c r="I2184" s="2">
        <v>2.7120050021577E13</v>
      </c>
      <c r="J2184" s="3">
        <v>2.0</v>
      </c>
      <c r="K2184" s="2" t="s">
        <v>9123</v>
      </c>
      <c r="L2184" s="2" t="s">
        <v>9124</v>
      </c>
      <c r="M2184" s="174" t="s">
        <v>409</v>
      </c>
      <c r="N2184" s="2" t="s">
        <v>462</v>
      </c>
      <c r="O2184" s="3">
        <v>0.5</v>
      </c>
      <c r="P2184" s="2" t="s">
        <v>73</v>
      </c>
      <c r="Q2184" s="3">
        <v>1650.0</v>
      </c>
      <c r="T2184" s="2" t="s">
        <v>6193</v>
      </c>
      <c r="U2184" s="171">
        <v>3449.0</v>
      </c>
      <c r="V2184" s="172">
        <v>46056.0</v>
      </c>
      <c r="W2184" s="3">
        <v>365.0</v>
      </c>
      <c r="X2184" s="172">
        <v>46053.54467592592</v>
      </c>
      <c r="Y2184" s="172"/>
      <c r="Z2184" s="3">
        <v>46049.0</v>
      </c>
      <c r="AA2184" s="3"/>
    </row>
    <row r="2185">
      <c r="A2185" s="3">
        <v>6.884261593347E12</v>
      </c>
      <c r="B2185" s="2" t="s">
        <v>9125</v>
      </c>
      <c r="C2185" s="2" t="s">
        <v>9126</v>
      </c>
      <c r="D2185" s="169">
        <v>46049.0</v>
      </c>
      <c r="E2185" s="2">
        <v>3.45204444E9</v>
      </c>
      <c r="F2185" s="2" t="s">
        <v>9127</v>
      </c>
      <c r="G2185" s="2" t="s">
        <v>693</v>
      </c>
      <c r="H2185" s="2">
        <v>3099.0</v>
      </c>
      <c r="I2185" s="2">
        <v>2.4120050021576E13</v>
      </c>
      <c r="J2185" s="3">
        <v>2.0</v>
      </c>
      <c r="K2185" s="2" t="s">
        <v>9128</v>
      </c>
      <c r="L2185" s="2" t="s">
        <v>275</v>
      </c>
      <c r="M2185" s="174" t="s">
        <v>409</v>
      </c>
      <c r="N2185" s="2" t="s">
        <v>462</v>
      </c>
      <c r="O2185" s="3">
        <v>0.5</v>
      </c>
      <c r="P2185" s="2" t="s">
        <v>73</v>
      </c>
      <c r="Q2185" s="3">
        <v>960.0</v>
      </c>
      <c r="T2185" s="2" t="s">
        <v>6193</v>
      </c>
      <c r="U2185" s="171">
        <v>3099.0</v>
      </c>
      <c r="V2185" s="172">
        <v>46056.0</v>
      </c>
      <c r="W2185" s="3">
        <v>337.0</v>
      </c>
      <c r="X2185" s="172">
        <v>46053.5093287037</v>
      </c>
      <c r="Y2185" s="172"/>
      <c r="Z2185" s="3">
        <v>46049.0</v>
      </c>
      <c r="AA2185" s="3"/>
    </row>
    <row r="2186">
      <c r="A2186" s="3">
        <v>6.884301046019E12</v>
      </c>
      <c r="B2186" s="2" t="s">
        <v>9129</v>
      </c>
      <c r="C2186" s="2" t="s">
        <v>9130</v>
      </c>
      <c r="D2186" s="169">
        <v>46049.0</v>
      </c>
      <c r="E2186" s="173" t="s">
        <v>9131</v>
      </c>
      <c r="F2186" s="2" t="s">
        <v>9132</v>
      </c>
      <c r="G2186" s="2" t="s">
        <v>9133</v>
      </c>
      <c r="H2186" s="2">
        <v>0.0</v>
      </c>
      <c r="J2186" s="3">
        <v>0.0</v>
      </c>
      <c r="K2186" s="2" t="s">
        <v>9134</v>
      </c>
      <c r="L2186" s="2"/>
      <c r="M2186" s="2" t="s">
        <v>468</v>
      </c>
      <c r="N2186" s="2" t="s">
        <v>406</v>
      </c>
      <c r="O2186" s="3">
        <v>0.5</v>
      </c>
      <c r="Q2186" s="3">
        <v>0.0</v>
      </c>
      <c r="U2186" s="141"/>
      <c r="X2186" s="172">
        <v>46057.642782905095</v>
      </c>
      <c r="Y2186" s="172"/>
      <c r="Z2186" s="3">
        <v>46049.0</v>
      </c>
      <c r="AA2186" s="3"/>
    </row>
    <row r="2187">
      <c r="A2187" s="3">
        <v>6.884320215299E12</v>
      </c>
      <c r="B2187" s="2" t="s">
        <v>9135</v>
      </c>
      <c r="C2187" s="2" t="s">
        <v>9136</v>
      </c>
      <c r="D2187" s="169">
        <v>46049.0</v>
      </c>
      <c r="E2187" s="2">
        <v>3.32787077E9</v>
      </c>
      <c r="F2187" s="2" t="s">
        <v>9137</v>
      </c>
      <c r="G2187" s="2" t="s">
        <v>9138</v>
      </c>
      <c r="H2187" s="2">
        <v>0.0</v>
      </c>
      <c r="J2187" s="3">
        <v>0.0</v>
      </c>
      <c r="K2187" s="2" t="s">
        <v>9139</v>
      </c>
      <c r="L2187" s="2"/>
      <c r="M2187" s="2" t="s">
        <v>468</v>
      </c>
      <c r="N2187" s="2" t="s">
        <v>406</v>
      </c>
      <c r="O2187" s="3">
        <v>0.5</v>
      </c>
      <c r="Q2187" s="3">
        <v>0.0</v>
      </c>
      <c r="U2187" s="141"/>
      <c r="X2187" s="172">
        <v>46057.642782905095</v>
      </c>
      <c r="Y2187" s="172"/>
      <c r="Z2187" s="3">
        <v>46049.0</v>
      </c>
      <c r="AA2187" s="3"/>
    </row>
    <row r="2188">
      <c r="A2188" s="3">
        <v>6.884387389699E12</v>
      </c>
      <c r="B2188" s="2" t="s">
        <v>9140</v>
      </c>
      <c r="C2188" s="2" t="s">
        <v>9141</v>
      </c>
      <c r="D2188" s="169">
        <v>46049.0</v>
      </c>
      <c r="E2188" s="2">
        <v>3.330338259E9</v>
      </c>
      <c r="F2188" s="2" t="s">
        <v>9142</v>
      </c>
      <c r="G2188" s="2" t="s">
        <v>672</v>
      </c>
      <c r="H2188" s="2">
        <v>249.0</v>
      </c>
      <c r="I2188" s="2">
        <v>2.3120050021575E13</v>
      </c>
      <c r="J2188" s="3">
        <v>0.0</v>
      </c>
      <c r="K2188" s="2" t="s">
        <v>9143</v>
      </c>
      <c r="L2188" s="2"/>
      <c r="M2188" s="170" t="s">
        <v>455</v>
      </c>
      <c r="N2188" s="2" t="s">
        <v>406</v>
      </c>
      <c r="O2188" s="3">
        <v>0.5</v>
      </c>
      <c r="P2188" s="2" t="s">
        <v>73</v>
      </c>
      <c r="Q2188" s="3">
        <v>0.0</v>
      </c>
      <c r="U2188" s="141"/>
      <c r="W2188" s="3">
        <v>213.0</v>
      </c>
      <c r="X2188" s="172">
        <v>46064.81363228009</v>
      </c>
      <c r="Y2188" s="172"/>
      <c r="Z2188" s="3">
        <v>46049.0</v>
      </c>
      <c r="AA2188" s="3"/>
    </row>
    <row r="2189">
      <c r="A2189" s="3">
        <v>6.884453646595E12</v>
      </c>
      <c r="B2189" s="2" t="s">
        <v>9144</v>
      </c>
      <c r="C2189" s="2" t="s">
        <v>9145</v>
      </c>
      <c r="D2189" s="169">
        <v>46049.0</v>
      </c>
      <c r="E2189" s="2">
        <v>3.339030441E9</v>
      </c>
      <c r="F2189" s="2" t="s">
        <v>9146</v>
      </c>
      <c r="G2189" s="2" t="s">
        <v>9147</v>
      </c>
      <c r="H2189" s="2">
        <v>249.0</v>
      </c>
      <c r="I2189" s="2">
        <v>2.8120050021574E13</v>
      </c>
      <c r="J2189" s="3">
        <v>0.0</v>
      </c>
      <c r="K2189" s="2" t="s">
        <v>9148</v>
      </c>
      <c r="L2189" s="2"/>
      <c r="M2189" s="170" t="s">
        <v>455</v>
      </c>
      <c r="N2189" s="2" t="s">
        <v>406</v>
      </c>
      <c r="O2189" s="3">
        <v>0.5</v>
      </c>
      <c r="P2189" s="2" t="s">
        <v>73</v>
      </c>
      <c r="Q2189" s="3">
        <v>0.0</v>
      </c>
      <c r="U2189" s="141"/>
      <c r="W2189" s="3">
        <v>220.0</v>
      </c>
      <c r="X2189" s="172">
        <v>46057.35021990741</v>
      </c>
      <c r="Y2189" s="172"/>
      <c r="Z2189" s="3">
        <v>46049.0</v>
      </c>
      <c r="AA2189" s="3"/>
    </row>
    <row r="2190">
      <c r="A2190" s="3">
        <v>6.884491264259E12</v>
      </c>
      <c r="B2190" s="2" t="s">
        <v>9149</v>
      </c>
      <c r="C2190" s="2" t="s">
        <v>9150</v>
      </c>
      <c r="D2190" s="169">
        <v>46049.0</v>
      </c>
      <c r="E2190" s="2">
        <v>3.005943916E9</v>
      </c>
      <c r="F2190" s="2" t="s">
        <v>9151</v>
      </c>
      <c r="G2190" s="2" t="s">
        <v>9152</v>
      </c>
      <c r="H2190" s="2">
        <v>249.0</v>
      </c>
      <c r="I2190" s="2">
        <v>2.6120050021573E13</v>
      </c>
      <c r="J2190" s="3">
        <v>0.0</v>
      </c>
      <c r="K2190" s="2" t="s">
        <v>9153</v>
      </c>
      <c r="L2190" s="2"/>
      <c r="M2190" s="170" t="s">
        <v>455</v>
      </c>
      <c r="N2190" s="2" t="s">
        <v>406</v>
      </c>
      <c r="O2190" s="3">
        <v>0.5</v>
      </c>
      <c r="P2190" s="2" t="s">
        <v>73</v>
      </c>
      <c r="Q2190" s="3">
        <v>0.0</v>
      </c>
      <c r="U2190" s="141"/>
      <c r="W2190" s="3">
        <v>213.0</v>
      </c>
      <c r="X2190" s="172">
        <v>46070.916649756946</v>
      </c>
      <c r="Y2190" s="172"/>
      <c r="Z2190" s="3">
        <v>46049.0</v>
      </c>
      <c r="AA2190" s="3"/>
    </row>
    <row r="2191">
      <c r="A2191" s="3">
        <v>6.884516397315E12</v>
      </c>
      <c r="B2191" s="2" t="s">
        <v>9154</v>
      </c>
      <c r="C2191" s="2" t="s">
        <v>9155</v>
      </c>
      <c r="D2191" s="169">
        <v>46049.0</v>
      </c>
      <c r="E2191" s="2">
        <v>3.117731025E9</v>
      </c>
      <c r="F2191" s="2" t="s">
        <v>9156</v>
      </c>
      <c r="G2191" s="2" t="s">
        <v>9157</v>
      </c>
      <c r="H2191" s="2">
        <v>1799.0</v>
      </c>
      <c r="I2191" s="2">
        <v>2.5120050021604E13</v>
      </c>
      <c r="J2191" s="3">
        <v>1.0</v>
      </c>
      <c r="K2191" s="2" t="s">
        <v>9158</v>
      </c>
      <c r="L2191" s="2" t="s">
        <v>4872</v>
      </c>
      <c r="M2191" s="174" t="s">
        <v>409</v>
      </c>
      <c r="N2191" s="2" t="s">
        <v>462</v>
      </c>
      <c r="O2191" s="3">
        <v>0.5</v>
      </c>
      <c r="P2191" s="2" t="s">
        <v>73</v>
      </c>
      <c r="Q2191" s="3">
        <v>490.0</v>
      </c>
      <c r="T2191" s="2" t="s">
        <v>6193</v>
      </c>
      <c r="U2191" s="171">
        <v>1799.0</v>
      </c>
      <c r="V2191" s="172">
        <v>46056.0</v>
      </c>
      <c r="W2191" s="3">
        <v>285.0</v>
      </c>
      <c r="X2191" s="172">
        <v>46055.60575231482</v>
      </c>
      <c r="Y2191" s="172"/>
      <c r="Z2191" s="3">
        <v>46049.0</v>
      </c>
      <c r="AA2191" s="3"/>
    </row>
    <row r="2192">
      <c r="A2192" s="3">
        <v>6.884523639043E12</v>
      </c>
      <c r="B2192" s="2" t="s">
        <v>9159</v>
      </c>
      <c r="C2192" s="2" t="s">
        <v>9160</v>
      </c>
      <c r="D2192" s="169">
        <v>46050.0</v>
      </c>
      <c r="E2192" s="2">
        <v>3.003500601E9</v>
      </c>
      <c r="F2192" s="2" t="s">
        <v>9161</v>
      </c>
      <c r="G2192" s="2" t="s">
        <v>9162</v>
      </c>
      <c r="H2192" s="2">
        <v>0.0</v>
      </c>
      <c r="J2192" s="3">
        <v>0.0</v>
      </c>
      <c r="K2192" s="2" t="s">
        <v>9163</v>
      </c>
      <c r="L2192" s="2"/>
      <c r="M2192" s="2" t="s">
        <v>468</v>
      </c>
      <c r="N2192" s="2" t="s">
        <v>406</v>
      </c>
      <c r="O2192" s="3">
        <v>0.5</v>
      </c>
      <c r="Q2192" s="3">
        <v>0.0</v>
      </c>
      <c r="U2192" s="141"/>
      <c r="X2192" s="172">
        <v>46057.642782905095</v>
      </c>
      <c r="Y2192" s="172"/>
      <c r="Z2192" s="3">
        <v>46050.0</v>
      </c>
      <c r="AA2192" s="3"/>
    </row>
    <row r="2193">
      <c r="A2193" s="3">
        <v>6.884592288003E12</v>
      </c>
      <c r="B2193" s="2" t="s">
        <v>9164</v>
      </c>
      <c r="C2193" s="2" t="s">
        <v>8960</v>
      </c>
      <c r="D2193" s="169">
        <v>46050.0</v>
      </c>
      <c r="E2193" s="2">
        <v>3.176737056E9</v>
      </c>
      <c r="F2193" s="2" t="s">
        <v>8961</v>
      </c>
      <c r="G2193" s="2" t="s">
        <v>672</v>
      </c>
      <c r="H2193" s="2">
        <v>2850.0</v>
      </c>
      <c r="I2193" s="2">
        <v>2.7120050021835E13</v>
      </c>
      <c r="J2193" s="3">
        <v>2.0</v>
      </c>
      <c r="K2193" s="2" t="s">
        <v>9165</v>
      </c>
      <c r="L2193" s="2" t="s">
        <v>1446</v>
      </c>
      <c r="M2193" s="2" t="s">
        <v>409</v>
      </c>
      <c r="N2193" s="2" t="s">
        <v>462</v>
      </c>
      <c r="O2193" s="3">
        <v>0.5</v>
      </c>
      <c r="P2193" s="2" t="s">
        <v>73</v>
      </c>
      <c r="Q2193" s="3">
        <v>920.0</v>
      </c>
      <c r="T2193" s="2" t="s">
        <v>8519</v>
      </c>
      <c r="U2193" s="171">
        <v>2850.0</v>
      </c>
      <c r="V2193" s="172">
        <v>46070.0</v>
      </c>
      <c r="W2193" s="3">
        <v>327.0</v>
      </c>
      <c r="X2193" s="172">
        <v>46067.6260850463</v>
      </c>
      <c r="Y2193" s="172"/>
      <c r="Z2193" s="3">
        <v>46050.0</v>
      </c>
      <c r="AA2193" s="3"/>
    </row>
    <row r="2194">
      <c r="A2194" s="3">
        <v>6.884704026883E12</v>
      </c>
      <c r="B2194" s="2" t="s">
        <v>9166</v>
      </c>
      <c r="C2194" s="2" t="s">
        <v>9167</v>
      </c>
      <c r="D2194" s="169">
        <v>46050.0</v>
      </c>
      <c r="E2194" s="2">
        <v>3.228641155E9</v>
      </c>
      <c r="F2194" s="2" t="s">
        <v>9168</v>
      </c>
      <c r="G2194" s="2" t="s">
        <v>9169</v>
      </c>
      <c r="H2194" s="2">
        <v>2799.0</v>
      </c>
      <c r="I2194" s="2">
        <v>2.2120050021572E13</v>
      </c>
      <c r="J2194" s="3">
        <v>1.0</v>
      </c>
      <c r="K2194" s="2" t="s">
        <v>9170</v>
      </c>
      <c r="L2194" s="2" t="s">
        <v>519</v>
      </c>
      <c r="M2194" s="174" t="s">
        <v>409</v>
      </c>
      <c r="N2194" s="2" t="s">
        <v>462</v>
      </c>
      <c r="O2194" s="3">
        <v>0.5</v>
      </c>
      <c r="P2194" s="2" t="s">
        <v>73</v>
      </c>
      <c r="Q2194" s="3">
        <v>850.0</v>
      </c>
      <c r="T2194" s="2" t="s">
        <v>6336</v>
      </c>
      <c r="U2194" s="171">
        <v>2799.0</v>
      </c>
      <c r="V2194" s="172">
        <v>46052.0</v>
      </c>
      <c r="W2194" s="3">
        <v>332.0</v>
      </c>
      <c r="X2194" s="172">
        <v>46051.67527777777</v>
      </c>
      <c r="Y2194" s="172"/>
      <c r="Z2194" s="3">
        <v>46050.0</v>
      </c>
      <c r="AA2194" s="3"/>
    </row>
    <row r="2195">
      <c r="A2195" s="3">
        <v>6.884971118851E12</v>
      </c>
      <c r="B2195" s="2" t="s">
        <v>9171</v>
      </c>
      <c r="C2195" s="2" t="s">
        <v>9172</v>
      </c>
      <c r="D2195" s="169">
        <v>46050.0</v>
      </c>
      <c r="E2195" s="2">
        <v>3.425000091E9</v>
      </c>
      <c r="F2195" s="2" t="s">
        <v>9173</v>
      </c>
      <c r="G2195" s="2" t="s">
        <v>9174</v>
      </c>
      <c r="H2195" s="2">
        <v>249.0</v>
      </c>
      <c r="I2195" s="2">
        <v>2.1120050021571E13</v>
      </c>
      <c r="J2195" s="3">
        <v>0.0</v>
      </c>
      <c r="K2195" s="2" t="s">
        <v>9175</v>
      </c>
      <c r="L2195" s="2"/>
      <c r="M2195" s="170" t="s">
        <v>455</v>
      </c>
      <c r="N2195" s="2" t="s">
        <v>406</v>
      </c>
      <c r="O2195" s="3">
        <v>0.5</v>
      </c>
      <c r="P2195" s="2" t="s">
        <v>73</v>
      </c>
      <c r="Q2195" s="3">
        <v>0.0</v>
      </c>
      <c r="U2195" s="141"/>
      <c r="W2195" s="3">
        <v>200.0</v>
      </c>
      <c r="X2195" s="172">
        <v>46063.02098335648</v>
      </c>
      <c r="Y2195" s="172"/>
      <c r="Z2195" s="3">
        <v>46050.0</v>
      </c>
      <c r="AA2195" s="3"/>
    </row>
    <row r="2196">
      <c r="A2196" s="3">
        <v>6.884973248771E12</v>
      </c>
      <c r="B2196" s="2" t="s">
        <v>9176</v>
      </c>
      <c r="C2196" s="2" t="s">
        <v>9172</v>
      </c>
      <c r="D2196" s="169">
        <v>46050.0</v>
      </c>
      <c r="E2196" s="2">
        <v>3.425000091E9</v>
      </c>
      <c r="F2196" s="2" t="s">
        <v>9173</v>
      </c>
      <c r="G2196" s="2" t="s">
        <v>9174</v>
      </c>
      <c r="H2196" s="2">
        <v>0.0</v>
      </c>
      <c r="J2196" s="3">
        <v>0.0</v>
      </c>
      <c r="K2196" s="2" t="s">
        <v>7954</v>
      </c>
      <c r="L2196" s="2"/>
      <c r="M2196" s="2" t="s">
        <v>468</v>
      </c>
      <c r="N2196" s="2" t="s">
        <v>406</v>
      </c>
      <c r="O2196" s="3">
        <v>0.5</v>
      </c>
      <c r="Q2196" s="3">
        <v>0.0</v>
      </c>
      <c r="U2196" s="141"/>
      <c r="X2196" s="172">
        <v>46057.642782905095</v>
      </c>
      <c r="Y2196" s="172"/>
      <c r="Z2196" s="3">
        <v>46050.0</v>
      </c>
      <c r="AA2196" s="3"/>
    </row>
    <row r="2197">
      <c r="A2197" s="3">
        <v>6.884973314307E12</v>
      </c>
      <c r="B2197" s="2" t="s">
        <v>9177</v>
      </c>
      <c r="C2197" s="2" t="s">
        <v>9178</v>
      </c>
      <c r="D2197" s="169">
        <v>46050.0</v>
      </c>
      <c r="E2197" s="2">
        <v>3.360031375E9</v>
      </c>
      <c r="F2197" s="2" t="s">
        <v>9179</v>
      </c>
      <c r="G2197" s="2" t="s">
        <v>493</v>
      </c>
      <c r="H2197" s="2">
        <v>5199.0</v>
      </c>
      <c r="I2197" s="2">
        <v>2.912005002157E13</v>
      </c>
      <c r="J2197" s="3">
        <v>3.0</v>
      </c>
      <c r="K2197" s="2" t="s">
        <v>9180</v>
      </c>
      <c r="L2197" s="2" t="s">
        <v>9181</v>
      </c>
      <c r="M2197" s="174" t="s">
        <v>409</v>
      </c>
      <c r="N2197" s="2" t="s">
        <v>462</v>
      </c>
      <c r="O2197" s="3">
        <v>0.5</v>
      </c>
      <c r="P2197" s="2" t="s">
        <v>73</v>
      </c>
      <c r="Q2197" s="3">
        <v>2290.0</v>
      </c>
      <c r="T2197" s="2" t="s">
        <v>6193</v>
      </c>
      <c r="U2197" s="171">
        <v>5199.0</v>
      </c>
      <c r="V2197" s="172">
        <v>46056.0</v>
      </c>
      <c r="W2197" s="3">
        <v>435.0</v>
      </c>
      <c r="X2197" s="172">
        <v>46053.88072916667</v>
      </c>
      <c r="Y2197" s="172"/>
      <c r="Z2197" s="3">
        <v>46050.0</v>
      </c>
      <c r="AA2197" s="3"/>
    </row>
    <row r="2198">
      <c r="A2198" s="3">
        <v>6.885012308227E12</v>
      </c>
      <c r="B2198" s="2" t="s">
        <v>9182</v>
      </c>
      <c r="C2198" s="2" t="s">
        <v>9183</v>
      </c>
      <c r="D2198" s="169">
        <v>46050.0</v>
      </c>
      <c r="E2198" s="2">
        <v>3.215044616E9</v>
      </c>
      <c r="F2198" s="2" t="s">
        <v>9184</v>
      </c>
      <c r="G2198" s="2" t="s">
        <v>366</v>
      </c>
      <c r="H2198" s="2">
        <v>0.0</v>
      </c>
      <c r="I2198" s="2">
        <v>2.0120050021584E13</v>
      </c>
      <c r="J2198" s="3">
        <v>0.0</v>
      </c>
      <c r="K2198" s="2" t="s">
        <v>9185</v>
      </c>
      <c r="L2198" s="2"/>
      <c r="M2198" s="170" t="s">
        <v>455</v>
      </c>
      <c r="N2198" s="2" t="s">
        <v>406</v>
      </c>
      <c r="O2198" s="3">
        <v>0.5</v>
      </c>
      <c r="P2198" s="2" t="s">
        <v>73</v>
      </c>
      <c r="Q2198" s="3">
        <v>0.0</v>
      </c>
      <c r="U2198" s="141"/>
      <c r="W2198" s="3">
        <v>220.0</v>
      </c>
      <c r="X2198" s="172">
        <v>46057.5878125</v>
      </c>
      <c r="Y2198" s="172"/>
      <c r="Z2198" s="3">
        <v>46050.0</v>
      </c>
      <c r="AA2198" s="3"/>
    </row>
    <row r="2199">
      <c r="A2199" s="3">
        <v>6.885039243523E12</v>
      </c>
      <c r="B2199" s="2" t="s">
        <v>9186</v>
      </c>
      <c r="C2199" s="2" t="s">
        <v>9187</v>
      </c>
      <c r="D2199" s="169">
        <v>46050.0</v>
      </c>
      <c r="E2199" s="2">
        <v>3.449168678E9</v>
      </c>
      <c r="F2199" s="2" t="s">
        <v>9188</v>
      </c>
      <c r="G2199" s="2" t="s">
        <v>9189</v>
      </c>
      <c r="H2199" s="2">
        <v>0.0</v>
      </c>
      <c r="J2199" s="3">
        <v>0.0</v>
      </c>
      <c r="K2199" s="2" t="s">
        <v>9190</v>
      </c>
      <c r="L2199" s="2"/>
      <c r="M2199" s="2" t="s">
        <v>468</v>
      </c>
      <c r="N2199" s="2" t="s">
        <v>406</v>
      </c>
      <c r="O2199" s="3">
        <v>0.5</v>
      </c>
      <c r="Q2199" s="3">
        <v>0.0</v>
      </c>
      <c r="U2199" s="141"/>
      <c r="X2199" s="172">
        <v>46057.642782905095</v>
      </c>
      <c r="Y2199" s="172"/>
      <c r="Z2199" s="3">
        <v>46050.0</v>
      </c>
      <c r="AA2199" s="3"/>
    </row>
    <row r="2200">
      <c r="A2200" s="3">
        <v>6.885097570563E12</v>
      </c>
      <c r="B2200" s="2" t="s">
        <v>9191</v>
      </c>
      <c r="C2200" s="2" t="s">
        <v>9192</v>
      </c>
      <c r="D2200" s="169">
        <v>46050.0</v>
      </c>
      <c r="E2200" s="2">
        <v>3.453099106E9</v>
      </c>
      <c r="F2200" s="2" t="s">
        <v>9193</v>
      </c>
      <c r="G2200" s="2" t="s">
        <v>493</v>
      </c>
      <c r="H2200" s="2">
        <v>249.0</v>
      </c>
      <c r="I2200" s="2">
        <v>2.2120050021569E13</v>
      </c>
      <c r="J2200" s="3">
        <v>0.0</v>
      </c>
      <c r="K2200" s="2" t="s">
        <v>9194</v>
      </c>
      <c r="L2200" s="2"/>
      <c r="M2200" s="170" t="s">
        <v>455</v>
      </c>
      <c r="N2200" s="2" t="s">
        <v>406</v>
      </c>
      <c r="O2200" s="3">
        <v>0.5</v>
      </c>
      <c r="P2200" s="2" t="s">
        <v>73</v>
      </c>
      <c r="Q2200" s="3">
        <v>0.0</v>
      </c>
      <c r="U2200" s="141"/>
      <c r="W2200" s="3">
        <v>227.0</v>
      </c>
      <c r="X2200" s="172">
        <v>46064.020842708334</v>
      </c>
      <c r="Y2200" s="172"/>
      <c r="Z2200" s="3">
        <v>46050.0</v>
      </c>
      <c r="AA2200" s="3"/>
    </row>
    <row r="2201">
      <c r="A2201" s="3">
        <v>6.885120540931E12</v>
      </c>
      <c r="B2201" s="2" t="s">
        <v>9195</v>
      </c>
      <c r="C2201" s="2" t="s">
        <v>9196</v>
      </c>
      <c r="D2201" s="169">
        <v>46050.0</v>
      </c>
      <c r="E2201" s="2">
        <v>3.158015788E9</v>
      </c>
      <c r="F2201" s="2" t="s">
        <v>9197</v>
      </c>
      <c r="G2201" s="2" t="s">
        <v>672</v>
      </c>
      <c r="H2201" s="2">
        <v>1999.0</v>
      </c>
      <c r="I2201" s="2">
        <v>2.3120050021583E13</v>
      </c>
      <c r="J2201" s="3">
        <v>1.0</v>
      </c>
      <c r="K2201" s="2" t="s">
        <v>9198</v>
      </c>
      <c r="L2201" s="2" t="s">
        <v>3744</v>
      </c>
      <c r="M2201" s="174" t="s">
        <v>409</v>
      </c>
      <c r="N2201" s="2" t="s">
        <v>462</v>
      </c>
      <c r="O2201" s="3">
        <v>0.5</v>
      </c>
      <c r="P2201" s="2" t="s">
        <v>73</v>
      </c>
      <c r="Q2201" s="3">
        <v>1100.0</v>
      </c>
      <c r="T2201" s="2" t="s">
        <v>9199</v>
      </c>
      <c r="U2201" s="171">
        <v>1999.0</v>
      </c>
      <c r="V2201" s="172">
        <v>46059.0</v>
      </c>
      <c r="W2201" s="3">
        <v>293.0</v>
      </c>
      <c r="X2201" s="172">
        <v>46056.60228009259</v>
      </c>
      <c r="Y2201" s="172"/>
      <c r="Z2201" s="3">
        <v>46050.0</v>
      </c>
      <c r="AA2201" s="3"/>
    </row>
    <row r="2202">
      <c r="A2202" s="3">
        <v>6.885135515907E12</v>
      </c>
      <c r="B2202" s="2" t="s">
        <v>9200</v>
      </c>
      <c r="C2202" s="2" t="s">
        <v>9201</v>
      </c>
      <c r="D2202" s="169">
        <v>46050.0</v>
      </c>
      <c r="E2202" s="2">
        <v>3.083806219E9</v>
      </c>
      <c r="F2202" s="2" t="s">
        <v>9202</v>
      </c>
      <c r="G2202" s="2" t="s">
        <v>3295</v>
      </c>
      <c r="H2202" s="2">
        <v>1449.0</v>
      </c>
      <c r="I2202" s="2">
        <v>2.7120050021568E13</v>
      </c>
      <c r="J2202" s="3">
        <v>1.0</v>
      </c>
      <c r="K2202" s="2" t="s">
        <v>9203</v>
      </c>
      <c r="L2202" s="2" t="s">
        <v>9204</v>
      </c>
      <c r="M2202" s="174" t="s">
        <v>409</v>
      </c>
      <c r="N2202" s="2" t="s">
        <v>462</v>
      </c>
      <c r="O2202" s="3">
        <v>0.5</v>
      </c>
      <c r="P2202" s="2" t="s">
        <v>73</v>
      </c>
      <c r="Q2202" s="3">
        <v>550.0</v>
      </c>
      <c r="T2202" s="2" t="s">
        <v>6193</v>
      </c>
      <c r="U2202" s="171">
        <v>1449.0</v>
      </c>
      <c r="V2202" s="172">
        <v>46056.0</v>
      </c>
      <c r="W2202" s="3">
        <v>271.0</v>
      </c>
      <c r="X2202" s="172">
        <v>46052.51826388889</v>
      </c>
      <c r="Y2202" s="172"/>
      <c r="Z2202" s="3">
        <v>46050.0</v>
      </c>
      <c r="AA2202" s="3"/>
    </row>
    <row r="2203">
      <c r="A2203" s="3">
        <v>6.885232967939E12</v>
      </c>
      <c r="B2203" s="2" t="s">
        <v>9205</v>
      </c>
      <c r="C2203" s="2" t="s">
        <v>2537</v>
      </c>
      <c r="D2203" s="169">
        <v>46050.0</v>
      </c>
      <c r="E2203" s="2">
        <v>3.327773622E9</v>
      </c>
      <c r="F2203" s="2" t="s">
        <v>2538</v>
      </c>
      <c r="G2203" s="2" t="s">
        <v>2539</v>
      </c>
      <c r="H2203" s="2">
        <v>0.0</v>
      </c>
      <c r="J2203" s="3">
        <v>0.0</v>
      </c>
      <c r="K2203" s="2" t="s">
        <v>9206</v>
      </c>
      <c r="L2203" s="2"/>
      <c r="M2203" s="2" t="s">
        <v>468</v>
      </c>
      <c r="N2203" s="2" t="s">
        <v>406</v>
      </c>
      <c r="O2203" s="3">
        <v>0.5</v>
      </c>
      <c r="Q2203" s="3">
        <v>0.0</v>
      </c>
      <c r="U2203" s="141"/>
      <c r="X2203" s="172">
        <v>46057.642782905095</v>
      </c>
      <c r="Y2203" s="172"/>
      <c r="Z2203" s="3">
        <v>46050.0</v>
      </c>
      <c r="AA2203" s="3"/>
    </row>
    <row r="2204">
      <c r="A2204" s="3">
        <v>6.885238931715E12</v>
      </c>
      <c r="B2204" s="2" t="s">
        <v>9207</v>
      </c>
      <c r="C2204" s="2" t="s">
        <v>9208</v>
      </c>
      <c r="D2204" s="169">
        <v>46050.0</v>
      </c>
      <c r="E2204" s="2">
        <v>3.04561982E9</v>
      </c>
      <c r="F2204" s="2" t="s">
        <v>9209</v>
      </c>
      <c r="G2204" s="2" t="s">
        <v>9210</v>
      </c>
      <c r="H2204" s="2">
        <v>249.0</v>
      </c>
      <c r="I2204" s="2">
        <v>2.5120050021567E13</v>
      </c>
      <c r="J2204" s="3">
        <v>0.0</v>
      </c>
      <c r="K2204" s="2" t="s">
        <v>9211</v>
      </c>
      <c r="L2204" s="2"/>
      <c r="M2204" s="170" t="s">
        <v>455</v>
      </c>
      <c r="N2204" s="2" t="s">
        <v>406</v>
      </c>
      <c r="O2204" s="3">
        <v>0.5</v>
      </c>
      <c r="P2204" s="2" t="s">
        <v>73</v>
      </c>
      <c r="Q2204" s="3">
        <v>0.0</v>
      </c>
      <c r="U2204" s="141"/>
      <c r="W2204" s="3">
        <v>107.0</v>
      </c>
      <c r="X2204" s="172">
        <v>46057.5878125</v>
      </c>
      <c r="Y2204" s="172"/>
      <c r="Z2204" s="3">
        <v>46050.0</v>
      </c>
      <c r="AA2204" s="3"/>
    </row>
    <row r="2205">
      <c r="A2205" s="3">
        <v>6.885240832259E12</v>
      </c>
      <c r="B2205" s="2" t="s">
        <v>9212</v>
      </c>
      <c r="C2205" s="2" t="s">
        <v>9213</v>
      </c>
      <c r="D2205" s="169">
        <v>46050.0</v>
      </c>
      <c r="E2205" s="2">
        <v>3.344717782E9</v>
      </c>
      <c r="F2205" s="2" t="s">
        <v>9214</v>
      </c>
      <c r="G2205" s="2" t="s">
        <v>368</v>
      </c>
      <c r="H2205" s="2">
        <v>4248.0</v>
      </c>
      <c r="I2205" s="2">
        <v>2.2120050021566E13</v>
      </c>
      <c r="J2205" s="3">
        <v>2.0</v>
      </c>
      <c r="K2205" s="2" t="s">
        <v>9215</v>
      </c>
      <c r="L2205" s="2" t="s">
        <v>532</v>
      </c>
      <c r="M2205" s="174" t="s">
        <v>409</v>
      </c>
      <c r="N2205" s="2" t="s">
        <v>462</v>
      </c>
      <c r="O2205" s="3">
        <v>0.5</v>
      </c>
      <c r="P2205" s="2" t="s">
        <v>73</v>
      </c>
      <c r="Q2205" s="3">
        <v>1700.0</v>
      </c>
      <c r="T2205" s="2" t="s">
        <v>6336</v>
      </c>
      <c r="U2205" s="171">
        <v>4248.0</v>
      </c>
      <c r="V2205" s="172">
        <v>46052.0</v>
      </c>
      <c r="W2205" s="3">
        <v>290.0</v>
      </c>
      <c r="X2205" s="172">
        <v>46051.62105324074</v>
      </c>
      <c r="Y2205" s="172"/>
      <c r="Z2205" s="3">
        <v>46050.0</v>
      </c>
      <c r="AA2205" s="3"/>
    </row>
    <row r="2206">
      <c r="A2206" s="3">
        <v>6.885292966147E12</v>
      </c>
      <c r="B2206" s="2" t="s">
        <v>9216</v>
      </c>
      <c r="C2206" s="2" t="s">
        <v>9217</v>
      </c>
      <c r="D2206" s="169">
        <v>46050.0</v>
      </c>
      <c r="E2206" s="2">
        <v>3.477601012E9</v>
      </c>
      <c r="F2206" s="2" t="s">
        <v>9218</v>
      </c>
      <c r="G2206" s="2" t="s">
        <v>9219</v>
      </c>
      <c r="H2206" s="2">
        <v>1799.0</v>
      </c>
      <c r="I2206" s="2">
        <v>2.8120050021565E13</v>
      </c>
      <c r="J2206" s="3">
        <v>1.0</v>
      </c>
      <c r="K2206" s="2" t="s">
        <v>9220</v>
      </c>
      <c r="L2206" s="2" t="s">
        <v>1185</v>
      </c>
      <c r="M2206" s="174" t="s">
        <v>409</v>
      </c>
      <c r="N2206" s="2" t="s">
        <v>462</v>
      </c>
      <c r="O2206" s="3">
        <v>0.5</v>
      </c>
      <c r="P2206" s="2" t="s">
        <v>73</v>
      </c>
      <c r="Q2206" s="3">
        <v>490.0</v>
      </c>
      <c r="T2206" s="2" t="s">
        <v>6193</v>
      </c>
      <c r="U2206" s="171">
        <v>1799.0</v>
      </c>
      <c r="V2206" s="172">
        <v>46056.0</v>
      </c>
      <c r="W2206" s="3">
        <v>272.0</v>
      </c>
      <c r="X2206" s="172">
        <v>46055.574594907404</v>
      </c>
      <c r="Y2206" s="172"/>
      <c r="Z2206" s="3">
        <v>46050.0</v>
      </c>
      <c r="AA2206" s="3"/>
    </row>
    <row r="2207">
      <c r="A2207" s="3">
        <v>6.885350080771E12</v>
      </c>
      <c r="B2207" s="2" t="s">
        <v>9221</v>
      </c>
      <c r="C2207" s="2" t="s">
        <v>9222</v>
      </c>
      <c r="D2207" s="169">
        <v>46050.0</v>
      </c>
      <c r="E2207" s="2" t="s">
        <v>9223</v>
      </c>
      <c r="F2207" s="2" t="s">
        <v>9224</v>
      </c>
      <c r="G2207" s="2" t="s">
        <v>9225</v>
      </c>
      <c r="H2207" s="2">
        <v>2850.0</v>
      </c>
      <c r="I2207" s="2">
        <v>2.7120050021564E13</v>
      </c>
      <c r="J2207" s="3">
        <v>2.0</v>
      </c>
      <c r="K2207" s="2" t="s">
        <v>9226</v>
      </c>
      <c r="L2207" s="2" t="s">
        <v>1920</v>
      </c>
      <c r="M2207" s="174" t="s">
        <v>409</v>
      </c>
      <c r="N2207" s="2" t="s">
        <v>462</v>
      </c>
      <c r="O2207" s="3">
        <v>0.5</v>
      </c>
      <c r="P2207" s="2" t="s">
        <v>73</v>
      </c>
      <c r="Q2207" s="3">
        <v>1050.0</v>
      </c>
      <c r="T2207" s="2" t="s">
        <v>6193</v>
      </c>
      <c r="U2207" s="171">
        <v>2850.0</v>
      </c>
      <c r="V2207" s="172">
        <v>46056.0</v>
      </c>
      <c r="W2207" s="3">
        <v>221.0</v>
      </c>
      <c r="X2207" s="172">
        <v>46052.540509259255</v>
      </c>
      <c r="Y2207" s="172"/>
      <c r="Z2207" s="3">
        <v>46050.0</v>
      </c>
      <c r="AA2207" s="3"/>
    </row>
    <row r="2208">
      <c r="A2208" s="3">
        <v>6.885357945091E12</v>
      </c>
      <c r="B2208" s="2" t="s">
        <v>9227</v>
      </c>
      <c r="C2208" s="2" t="s">
        <v>9228</v>
      </c>
      <c r="D2208" s="169">
        <v>46050.0</v>
      </c>
      <c r="E2208" s="173" t="s">
        <v>9229</v>
      </c>
      <c r="F2208" s="2" t="s">
        <v>9230</v>
      </c>
      <c r="G2208" s="2" t="s">
        <v>368</v>
      </c>
      <c r="H2208" s="2">
        <v>4250.0</v>
      </c>
      <c r="I2208" s="2">
        <v>2.3120050021563E13</v>
      </c>
      <c r="J2208" s="3">
        <v>2.0</v>
      </c>
      <c r="K2208" s="2" t="s">
        <v>9231</v>
      </c>
      <c r="L2208" s="2" t="s">
        <v>9232</v>
      </c>
      <c r="M2208" s="174" t="s">
        <v>409</v>
      </c>
      <c r="N2208" s="2" t="s">
        <v>462</v>
      </c>
      <c r="O2208" s="3">
        <v>0.5</v>
      </c>
      <c r="P2208" s="2" t="s">
        <v>73</v>
      </c>
      <c r="Q2208" s="3">
        <v>1700.0</v>
      </c>
      <c r="T2208" s="2" t="s">
        <v>6336</v>
      </c>
      <c r="U2208" s="171">
        <v>4250.0</v>
      </c>
      <c r="V2208" s="172">
        <v>46052.0</v>
      </c>
      <c r="W2208" s="3">
        <v>290.0</v>
      </c>
      <c r="X2208" s="172">
        <v>46051.68854166666</v>
      </c>
      <c r="Y2208" s="172"/>
      <c r="Z2208" s="3">
        <v>46050.0</v>
      </c>
      <c r="AA2208" s="3"/>
    </row>
    <row r="2209">
      <c r="A2209" s="3">
        <v>6.885363286275E12</v>
      </c>
      <c r="B2209" s="2" t="s">
        <v>9233</v>
      </c>
      <c r="C2209" s="2" t="s">
        <v>9234</v>
      </c>
      <c r="D2209" s="169">
        <v>46050.0</v>
      </c>
      <c r="E2209" s="2">
        <v>3.145765863E9</v>
      </c>
      <c r="F2209" s="2" t="s">
        <v>9235</v>
      </c>
      <c r="G2209" s="2" t="s">
        <v>506</v>
      </c>
      <c r="H2209" s="2">
        <v>3099.0</v>
      </c>
      <c r="I2209" s="2">
        <v>2.4120050021627E13</v>
      </c>
      <c r="J2209" s="3">
        <v>2.0</v>
      </c>
      <c r="K2209" s="2" t="s">
        <v>9236</v>
      </c>
      <c r="L2209" s="2" t="s">
        <v>296</v>
      </c>
      <c r="M2209" s="174" t="s">
        <v>409</v>
      </c>
      <c r="N2209" s="2" t="s">
        <v>462</v>
      </c>
      <c r="O2209" s="3">
        <v>0.5</v>
      </c>
      <c r="P2209" s="2" t="s">
        <v>73</v>
      </c>
      <c r="Q2209" s="3">
        <v>920.0</v>
      </c>
      <c r="T2209" s="2" t="s">
        <v>9199</v>
      </c>
      <c r="U2209" s="171">
        <v>3099.0</v>
      </c>
      <c r="V2209" s="172">
        <v>46059.0</v>
      </c>
      <c r="W2209" s="3">
        <v>324.0</v>
      </c>
      <c r="X2209" s="172">
        <v>46058.4890625</v>
      </c>
      <c r="Y2209" s="172"/>
      <c r="Z2209" s="3">
        <v>46050.0</v>
      </c>
      <c r="AA2209" s="3"/>
    </row>
    <row r="2210">
      <c r="A2210" s="3">
        <v>6.885417844995E12</v>
      </c>
      <c r="B2210" s="2" t="s">
        <v>9237</v>
      </c>
      <c r="C2210" s="2" t="s">
        <v>9238</v>
      </c>
      <c r="D2210" s="169">
        <v>46050.0</v>
      </c>
      <c r="E2210" s="2">
        <v>3.002535372E9</v>
      </c>
      <c r="F2210" s="2" t="s">
        <v>9239</v>
      </c>
      <c r="G2210" s="2" t="s">
        <v>493</v>
      </c>
      <c r="H2210" s="2">
        <v>3099.0</v>
      </c>
      <c r="I2210" s="2">
        <v>2.5120050021626E13</v>
      </c>
      <c r="J2210" s="3">
        <v>2.0</v>
      </c>
      <c r="K2210" s="2" t="s">
        <v>9240</v>
      </c>
      <c r="L2210" s="2" t="s">
        <v>40</v>
      </c>
      <c r="M2210" s="2" t="s">
        <v>409</v>
      </c>
      <c r="N2210" s="2" t="s">
        <v>462</v>
      </c>
      <c r="O2210" s="3">
        <v>0.5</v>
      </c>
      <c r="P2210" s="2" t="s">
        <v>73</v>
      </c>
      <c r="Q2210" s="3">
        <v>920.0</v>
      </c>
      <c r="T2210" s="2" t="s">
        <v>9018</v>
      </c>
      <c r="U2210" s="171">
        <v>3099.0</v>
      </c>
      <c r="V2210" s="172">
        <v>46066.0</v>
      </c>
      <c r="W2210" s="3">
        <v>337.0</v>
      </c>
      <c r="X2210" s="172">
        <v>46065.73773800926</v>
      </c>
      <c r="Y2210" s="172"/>
      <c r="Z2210" s="3">
        <v>46050.0</v>
      </c>
      <c r="AA2210" s="3"/>
    </row>
    <row r="2211">
      <c r="A2211" s="3">
        <v>6.885424300291E12</v>
      </c>
      <c r="B2211" s="2" t="s">
        <v>9241</v>
      </c>
      <c r="C2211" s="2" t="s">
        <v>8780</v>
      </c>
      <c r="D2211" s="169">
        <v>46050.0</v>
      </c>
      <c r="E2211" s="173" t="s">
        <v>9242</v>
      </c>
      <c r="F2211" s="2" t="s">
        <v>9243</v>
      </c>
      <c r="G2211" s="2" t="s">
        <v>1637</v>
      </c>
      <c r="H2211" s="2">
        <v>2799.0</v>
      </c>
      <c r="I2211" s="2">
        <v>2.5120050021562E13</v>
      </c>
      <c r="J2211" s="3">
        <v>1.0</v>
      </c>
      <c r="K2211" s="2" t="s">
        <v>9244</v>
      </c>
      <c r="L2211" s="2" t="s">
        <v>500</v>
      </c>
      <c r="M2211" s="174" t="s">
        <v>409</v>
      </c>
      <c r="N2211" s="2" t="s">
        <v>462</v>
      </c>
      <c r="O2211" s="3">
        <v>0.5</v>
      </c>
      <c r="P2211" s="2" t="s">
        <v>73</v>
      </c>
      <c r="Q2211" s="3">
        <v>850.0</v>
      </c>
      <c r="T2211" s="2" t="s">
        <v>6193</v>
      </c>
      <c r="U2211" s="171">
        <v>2799.0</v>
      </c>
      <c r="V2211" s="172">
        <v>46056.0</v>
      </c>
      <c r="W2211" s="3">
        <v>312.0</v>
      </c>
      <c r="X2211" s="172">
        <v>46053.775925925926</v>
      </c>
      <c r="Y2211" s="172"/>
      <c r="Z2211" s="3">
        <v>46050.0</v>
      </c>
      <c r="AA2211" s="3"/>
    </row>
    <row r="2212">
      <c r="A2212" s="3">
        <v>6.885440323843E12</v>
      </c>
      <c r="B2212" s="2" t="s">
        <v>9245</v>
      </c>
      <c r="C2212" s="2" t="s">
        <v>9246</v>
      </c>
      <c r="D2212" s="169">
        <v>46050.0</v>
      </c>
      <c r="E2212" s="2">
        <v>3.128556552E9</v>
      </c>
      <c r="F2212" s="2" t="s">
        <v>9247</v>
      </c>
      <c r="G2212" s="2" t="s">
        <v>506</v>
      </c>
      <c r="H2212" s="2">
        <v>1699.0</v>
      </c>
      <c r="I2212" s="2">
        <v>2.0120050021607E13</v>
      </c>
      <c r="J2212" s="3">
        <v>1.0</v>
      </c>
      <c r="K2212" s="2" t="s">
        <v>9248</v>
      </c>
      <c r="L2212" s="2" t="s">
        <v>9249</v>
      </c>
      <c r="M2212" s="174" t="s">
        <v>409</v>
      </c>
      <c r="N2212" s="2" t="s">
        <v>462</v>
      </c>
      <c r="O2212" s="3">
        <v>0.5</v>
      </c>
      <c r="P2212" s="2" t="s">
        <v>73</v>
      </c>
      <c r="Q2212" s="3">
        <v>550.0</v>
      </c>
      <c r="T2212" s="2" t="s">
        <v>6193</v>
      </c>
      <c r="U2212" s="171">
        <v>1699.0</v>
      </c>
      <c r="V2212" s="172">
        <v>46056.0</v>
      </c>
      <c r="W2212" s="3">
        <v>268.0</v>
      </c>
      <c r="X2212" s="172">
        <v>46053.51893518519</v>
      </c>
      <c r="Y2212" s="172"/>
      <c r="Z2212" s="3">
        <v>46050.0</v>
      </c>
      <c r="AA2212" s="3"/>
    </row>
    <row r="2213">
      <c r="A2213" s="3">
        <v>6.885475614979E12</v>
      </c>
      <c r="B2213" s="2" t="s">
        <v>9250</v>
      </c>
      <c r="C2213" s="2" t="s">
        <v>9251</v>
      </c>
      <c r="D2213" s="169">
        <v>46050.0</v>
      </c>
      <c r="E2213" s="2">
        <v>3.430102651E9</v>
      </c>
      <c r="F2213" s="2" t="s">
        <v>9252</v>
      </c>
      <c r="G2213" s="2" t="s">
        <v>693</v>
      </c>
      <c r="H2213" s="2">
        <v>1449.0</v>
      </c>
      <c r="I2213" s="2">
        <v>2.7120050021603E13</v>
      </c>
      <c r="J2213" s="3">
        <v>1.0</v>
      </c>
      <c r="K2213" s="2" t="s">
        <v>9253</v>
      </c>
      <c r="L2213" s="2" t="s">
        <v>741</v>
      </c>
      <c r="M2213" s="174" t="s">
        <v>409</v>
      </c>
      <c r="N2213" s="2" t="s">
        <v>462</v>
      </c>
      <c r="O2213" s="3">
        <v>0.5</v>
      </c>
      <c r="P2213" s="2" t="s">
        <v>73</v>
      </c>
      <c r="Q2213" s="3">
        <v>550.0</v>
      </c>
      <c r="T2213" s="2" t="s">
        <v>6193</v>
      </c>
      <c r="U2213" s="171">
        <v>1449.0</v>
      </c>
      <c r="V2213" s="172">
        <v>46056.0</v>
      </c>
      <c r="W2213" s="3">
        <v>271.0</v>
      </c>
      <c r="X2213" s="172">
        <v>46055.53284722222</v>
      </c>
      <c r="Y2213" s="172"/>
      <c r="Z2213" s="3">
        <v>46050.0</v>
      </c>
      <c r="AA2213" s="3"/>
    </row>
    <row r="2214">
      <c r="A2214" s="3">
        <v>6.885525979395E12</v>
      </c>
      <c r="B2214" s="2" t="s">
        <v>9254</v>
      </c>
      <c r="C2214" s="2" t="s">
        <v>9255</v>
      </c>
      <c r="D2214" s="169">
        <v>46050.0</v>
      </c>
      <c r="E2214" s="2">
        <v>3.007334245E9</v>
      </c>
      <c r="F2214" s="2" t="s">
        <v>9256</v>
      </c>
      <c r="G2214" s="2" t="s">
        <v>1016</v>
      </c>
      <c r="H2214" s="2">
        <v>3749.0</v>
      </c>
      <c r="I2214" s="2">
        <v>2.4120050021602E13</v>
      </c>
      <c r="J2214" s="3">
        <v>2.0</v>
      </c>
      <c r="K2214" s="2" t="s">
        <v>9257</v>
      </c>
      <c r="L2214" s="2" t="s">
        <v>9258</v>
      </c>
      <c r="M2214" s="174" t="s">
        <v>409</v>
      </c>
      <c r="N2214" s="2" t="s">
        <v>462</v>
      </c>
      <c r="O2214" s="3">
        <v>0.5</v>
      </c>
      <c r="P2214" s="2" t="s">
        <v>73</v>
      </c>
      <c r="Q2214" s="3">
        <v>2200.0</v>
      </c>
      <c r="T2214" s="2" t="s">
        <v>6193</v>
      </c>
      <c r="U2214" s="171">
        <v>3749.0</v>
      </c>
      <c r="V2214" s="172">
        <v>46056.0</v>
      </c>
      <c r="W2214" s="3">
        <v>350.0</v>
      </c>
      <c r="X2214" s="172">
        <v>46053.57105324074</v>
      </c>
      <c r="Y2214" s="172"/>
      <c r="Z2214" s="3">
        <v>46050.0</v>
      </c>
      <c r="AA2214" s="3"/>
    </row>
    <row r="2215">
      <c r="A2215" s="3">
        <v>6.885534466307E12</v>
      </c>
      <c r="B2215" s="2" t="s">
        <v>9259</v>
      </c>
      <c r="C2215" s="2" t="s">
        <v>9260</v>
      </c>
      <c r="D2215" s="169">
        <v>46050.0</v>
      </c>
      <c r="E2215" s="2">
        <v>3.027520155E9</v>
      </c>
      <c r="F2215" s="2" t="s">
        <v>9261</v>
      </c>
      <c r="G2215" s="2" t="s">
        <v>2608</v>
      </c>
      <c r="H2215" s="2">
        <v>6150.0</v>
      </c>
      <c r="I2215" s="2">
        <v>2.7120050021629E13</v>
      </c>
      <c r="J2215" s="3">
        <v>3.0</v>
      </c>
      <c r="K2215" s="2" t="s">
        <v>9262</v>
      </c>
      <c r="L2215" s="2" t="s">
        <v>9263</v>
      </c>
      <c r="M2215" s="174" t="s">
        <v>409</v>
      </c>
      <c r="N2215" s="2" t="s">
        <v>462</v>
      </c>
      <c r="O2215" s="3">
        <v>0.5</v>
      </c>
      <c r="P2215" s="2" t="s">
        <v>73</v>
      </c>
      <c r="Q2215" s="3">
        <v>2320.0</v>
      </c>
      <c r="T2215" s="2" t="s">
        <v>6193</v>
      </c>
      <c r="U2215" s="171">
        <v>6150.0</v>
      </c>
      <c r="V2215" s="172">
        <v>46056.0</v>
      </c>
      <c r="W2215" s="3">
        <v>220.0</v>
      </c>
      <c r="X2215" s="172">
        <v>46055.81134259259</v>
      </c>
      <c r="Y2215" s="172"/>
      <c r="Z2215" s="3">
        <v>46050.0</v>
      </c>
      <c r="AA2215" s="3"/>
    </row>
    <row r="2216">
      <c r="A2216" s="3">
        <v>6.885641617667E12</v>
      </c>
      <c r="B2216" s="2" t="s">
        <v>9264</v>
      </c>
      <c r="C2216" s="2" t="s">
        <v>9265</v>
      </c>
      <c r="D2216" s="169">
        <v>46050.0</v>
      </c>
      <c r="E2216" s="2">
        <v>3.4895854E9</v>
      </c>
      <c r="F2216" s="2" t="s">
        <v>9266</v>
      </c>
      <c r="G2216" s="2" t="s">
        <v>9267</v>
      </c>
      <c r="H2216" s="2">
        <v>249.0</v>
      </c>
      <c r="I2216" s="2">
        <v>2.4120050021601E13</v>
      </c>
      <c r="J2216" s="3">
        <v>0.0</v>
      </c>
      <c r="K2216" s="2" t="s">
        <v>9268</v>
      </c>
      <c r="L2216" s="2"/>
      <c r="M2216" s="170" t="s">
        <v>455</v>
      </c>
      <c r="N2216" s="2" t="s">
        <v>406</v>
      </c>
      <c r="O2216" s="3">
        <v>0.5</v>
      </c>
      <c r="P2216" s="2" t="s">
        <v>73</v>
      </c>
      <c r="Q2216" s="3">
        <v>0.0</v>
      </c>
      <c r="U2216" s="141"/>
      <c r="W2216" s="3">
        <v>200.0</v>
      </c>
      <c r="X2216" s="172">
        <v>46064.81365118056</v>
      </c>
      <c r="Y2216" s="172"/>
      <c r="Z2216" s="3">
        <v>46050.0</v>
      </c>
      <c r="AA2216" s="3"/>
    </row>
    <row r="2217">
      <c r="A2217" s="3">
        <v>6.885712756995E12</v>
      </c>
      <c r="B2217" s="2" t="s">
        <v>9269</v>
      </c>
      <c r="C2217" s="2" t="s">
        <v>9270</v>
      </c>
      <c r="D2217" s="169">
        <v>46050.0</v>
      </c>
      <c r="E2217" s="2">
        <v>3.238241925E9</v>
      </c>
      <c r="F2217" s="2" t="s">
        <v>9271</v>
      </c>
      <c r="G2217" s="2" t="s">
        <v>9272</v>
      </c>
      <c r="H2217" s="2">
        <v>2850.0</v>
      </c>
      <c r="I2217" s="2" t="s">
        <v>9273</v>
      </c>
      <c r="J2217" s="3">
        <v>1.0</v>
      </c>
      <c r="K2217" s="2" t="s">
        <v>9274</v>
      </c>
      <c r="L2217" s="2" t="s">
        <v>5794</v>
      </c>
      <c r="M2217" s="2" t="s">
        <v>409</v>
      </c>
      <c r="N2217" s="2" t="s">
        <v>406</v>
      </c>
      <c r="O2217" s="3">
        <v>0.5</v>
      </c>
      <c r="P2217" s="2" t="s">
        <v>640</v>
      </c>
      <c r="Q2217" s="3">
        <v>1300.0</v>
      </c>
      <c r="T2217" s="2" t="s">
        <v>9275</v>
      </c>
      <c r="U2217" s="141"/>
      <c r="W2217" s="3">
        <v>290.99</v>
      </c>
      <c r="X2217" s="172">
        <v>46097.500853310186</v>
      </c>
      <c r="Y2217" s="172"/>
      <c r="Z2217" s="3">
        <v>46050.0</v>
      </c>
      <c r="AA2217" s="3"/>
    </row>
    <row r="2218">
      <c r="A2218" s="3">
        <v>6.885894816003E12</v>
      </c>
      <c r="B2218" s="2" t="s">
        <v>9276</v>
      </c>
      <c r="C2218" s="2" t="s">
        <v>9277</v>
      </c>
      <c r="D2218" s="169">
        <v>46050.0</v>
      </c>
      <c r="E2218" s="2">
        <v>3.30361631E9</v>
      </c>
      <c r="F2218" s="2" t="s">
        <v>9278</v>
      </c>
      <c r="G2218" s="2" t="s">
        <v>493</v>
      </c>
      <c r="H2218" s="2">
        <v>2849.0</v>
      </c>
      <c r="I2218" s="2">
        <v>2.51200500216E13</v>
      </c>
      <c r="J2218" s="3">
        <v>2.0</v>
      </c>
      <c r="K2218" s="2" t="s">
        <v>9279</v>
      </c>
      <c r="L2218" s="2" t="s">
        <v>4209</v>
      </c>
      <c r="M2218" s="174" t="s">
        <v>409</v>
      </c>
      <c r="N2218" s="2" t="s">
        <v>462</v>
      </c>
      <c r="O2218" s="3">
        <v>0.5</v>
      </c>
      <c r="P2218" s="2" t="s">
        <v>73</v>
      </c>
      <c r="Q2218" s="3">
        <v>920.0</v>
      </c>
      <c r="T2218" s="2" t="s">
        <v>6193</v>
      </c>
      <c r="U2218" s="171">
        <v>2849.0</v>
      </c>
      <c r="V2218" s="172">
        <v>46056.0</v>
      </c>
      <c r="W2218" s="3">
        <v>327.0</v>
      </c>
      <c r="X2218" s="172">
        <v>46053.45228009259</v>
      </c>
      <c r="Y2218" s="172"/>
      <c r="Z2218" s="3">
        <v>46050.0</v>
      </c>
      <c r="AA2218" s="3"/>
    </row>
    <row r="2219">
      <c r="A2219" s="3">
        <v>6.885991088387E12</v>
      </c>
      <c r="B2219" s="2" t="s">
        <v>9280</v>
      </c>
      <c r="C2219" s="2" t="s">
        <v>9281</v>
      </c>
      <c r="D2219" s="169">
        <v>46050.0</v>
      </c>
      <c r="E2219" s="173" t="s">
        <v>9282</v>
      </c>
      <c r="F2219" s="2" t="s">
        <v>9283</v>
      </c>
      <c r="G2219" s="2" t="s">
        <v>5915</v>
      </c>
      <c r="H2219" s="2">
        <v>249.0</v>
      </c>
      <c r="I2219" s="2">
        <v>2.7120050021606E13</v>
      </c>
      <c r="J2219" s="3">
        <v>0.0</v>
      </c>
      <c r="K2219" s="2" t="s">
        <v>9284</v>
      </c>
      <c r="L2219" s="2"/>
      <c r="M2219" s="170" t="s">
        <v>455</v>
      </c>
      <c r="N2219" s="2" t="s">
        <v>406</v>
      </c>
      <c r="O2219" s="3">
        <v>0.5</v>
      </c>
      <c r="P2219" s="2" t="s">
        <v>73</v>
      </c>
      <c r="Q2219" s="3">
        <v>0.0</v>
      </c>
      <c r="U2219" s="141"/>
      <c r="W2219" s="3">
        <v>200.0</v>
      </c>
      <c r="X2219" s="172">
        <v>46064.02085743056</v>
      </c>
      <c r="Y2219" s="172"/>
      <c r="Z2219" s="3">
        <v>46050.0</v>
      </c>
      <c r="AA2219" s="3"/>
    </row>
    <row r="2220">
      <c r="A2220" s="3">
        <v>6.886065307907E12</v>
      </c>
      <c r="B2220" s="2" t="s">
        <v>9285</v>
      </c>
      <c r="C2220" s="2" t="s">
        <v>9286</v>
      </c>
      <c r="D2220" s="169">
        <v>46050.0</v>
      </c>
      <c r="E2220" s="173" t="s">
        <v>9287</v>
      </c>
      <c r="F2220" s="2" t="s">
        <v>9288</v>
      </c>
      <c r="G2220" s="2" t="s">
        <v>1948</v>
      </c>
      <c r="H2220" s="2">
        <v>4549.0</v>
      </c>
      <c r="I2220" s="2">
        <v>2.8120050021625E13</v>
      </c>
      <c r="J2220" s="3">
        <v>3.0</v>
      </c>
      <c r="K2220" s="2" t="s">
        <v>9289</v>
      </c>
      <c r="L2220" s="2" t="s">
        <v>9290</v>
      </c>
      <c r="M2220" s="174" t="s">
        <v>409</v>
      </c>
      <c r="N2220" s="2" t="s">
        <v>462</v>
      </c>
      <c r="O2220" s="3">
        <v>0.5</v>
      </c>
      <c r="P2220" s="2" t="s">
        <v>73</v>
      </c>
      <c r="Q2220" s="3">
        <v>1510.0</v>
      </c>
      <c r="T2220" s="2" t="s">
        <v>6193</v>
      </c>
      <c r="U2220" s="171">
        <v>4549.0</v>
      </c>
      <c r="V2220" s="172">
        <v>46056.0</v>
      </c>
      <c r="W2220" s="3">
        <v>402.0</v>
      </c>
      <c r="X2220" s="172">
        <v>46055.700219907405</v>
      </c>
      <c r="Y2220" s="172"/>
      <c r="Z2220" s="3">
        <v>46050.0</v>
      </c>
      <c r="AA2220" s="3"/>
    </row>
    <row r="2221">
      <c r="A2221" s="3">
        <v>6.886110068995E12</v>
      </c>
      <c r="B2221" s="2" t="s">
        <v>9291</v>
      </c>
      <c r="C2221" s="2" t="s">
        <v>9292</v>
      </c>
      <c r="D2221" s="169">
        <v>46050.0</v>
      </c>
      <c r="E2221" s="2">
        <v>3.030797977E9</v>
      </c>
      <c r="F2221" s="2" t="s">
        <v>9293</v>
      </c>
      <c r="G2221" s="2" t="s">
        <v>374</v>
      </c>
      <c r="H2221" s="2">
        <v>0.0</v>
      </c>
      <c r="J2221" s="3">
        <v>0.0</v>
      </c>
      <c r="K2221" s="2" t="s">
        <v>7809</v>
      </c>
      <c r="L2221" s="2"/>
      <c r="M2221" s="2" t="s">
        <v>468</v>
      </c>
      <c r="N2221" s="2" t="s">
        <v>406</v>
      </c>
      <c r="O2221" s="3">
        <v>0.5</v>
      </c>
      <c r="Q2221" s="3">
        <v>0.0</v>
      </c>
      <c r="U2221" s="141"/>
      <c r="X2221" s="172">
        <v>46057.642782905095</v>
      </c>
      <c r="Y2221" s="172"/>
      <c r="Z2221" s="3">
        <v>46050.0</v>
      </c>
      <c r="AA2221" s="3"/>
    </row>
    <row r="2222">
      <c r="A2222" s="3">
        <v>6.886211715331E12</v>
      </c>
      <c r="B2222" s="2" t="s">
        <v>9294</v>
      </c>
      <c r="C2222" s="2" t="s">
        <v>9295</v>
      </c>
      <c r="D2222" s="169">
        <v>46051.0</v>
      </c>
      <c r="E2222" s="2">
        <v>3.452388625E9</v>
      </c>
      <c r="F2222" s="2" t="s">
        <v>9296</v>
      </c>
      <c r="G2222" s="2" t="s">
        <v>493</v>
      </c>
      <c r="H2222" s="2">
        <v>4549.0</v>
      </c>
      <c r="I2222" s="2">
        <v>2.5120050021599E13</v>
      </c>
      <c r="J2222" s="3">
        <v>2.0</v>
      </c>
      <c r="K2222" s="2" t="s">
        <v>9297</v>
      </c>
      <c r="L2222" s="2" t="s">
        <v>9298</v>
      </c>
      <c r="M2222" s="174" t="s">
        <v>409</v>
      </c>
      <c r="N2222" s="2" t="s">
        <v>462</v>
      </c>
      <c r="O2222" s="3">
        <v>0.5</v>
      </c>
      <c r="P2222" s="2" t="s">
        <v>73</v>
      </c>
      <c r="Q2222" s="3">
        <v>1950.0</v>
      </c>
      <c r="T2222" s="2" t="s">
        <v>6193</v>
      </c>
      <c r="U2222" s="171">
        <v>4549.0</v>
      </c>
      <c r="V2222" s="172">
        <v>46056.0</v>
      </c>
      <c r="W2222" s="3">
        <v>409.0</v>
      </c>
      <c r="X2222" s="172">
        <v>46053.77469907407</v>
      </c>
      <c r="Y2222" s="172"/>
      <c r="Z2222" s="3">
        <v>46051.0</v>
      </c>
      <c r="AA2222" s="3"/>
    </row>
    <row r="2223">
      <c r="A2223" s="3">
        <v>6.886325485827E12</v>
      </c>
      <c r="B2223" s="2" t="s">
        <v>9299</v>
      </c>
      <c r="C2223" s="2" t="s">
        <v>9300</v>
      </c>
      <c r="D2223" s="169">
        <v>46051.0</v>
      </c>
      <c r="E2223" s="2">
        <v>3.170073456E9</v>
      </c>
      <c r="F2223" s="2" t="s">
        <v>9301</v>
      </c>
      <c r="G2223" s="2" t="s">
        <v>1619</v>
      </c>
      <c r="H2223" s="2">
        <v>3099.0</v>
      </c>
      <c r="I2223" s="2">
        <v>2.7120050021624E13</v>
      </c>
      <c r="J2223" s="3">
        <v>2.0</v>
      </c>
      <c r="K2223" s="2" t="s">
        <v>9302</v>
      </c>
      <c r="L2223" s="2" t="s">
        <v>50</v>
      </c>
      <c r="M2223" s="2" t="s">
        <v>409</v>
      </c>
      <c r="N2223" s="2" t="s">
        <v>462</v>
      </c>
      <c r="O2223" s="3">
        <v>0.5</v>
      </c>
      <c r="P2223" s="2" t="s">
        <v>73</v>
      </c>
      <c r="Q2223" s="3">
        <v>920.0</v>
      </c>
      <c r="T2223" s="2" t="s">
        <v>9018</v>
      </c>
      <c r="U2223" s="171">
        <v>3099.0</v>
      </c>
      <c r="V2223" s="172">
        <v>46066.0</v>
      </c>
      <c r="W2223" s="3">
        <v>231.0</v>
      </c>
      <c r="X2223" s="172">
        <v>46063.77102403935</v>
      </c>
      <c r="Y2223" s="172"/>
      <c r="Z2223" s="3">
        <v>46051.0</v>
      </c>
      <c r="AA2223" s="3"/>
    </row>
    <row r="2224">
      <c r="A2224" s="3">
        <v>6.886412255491E12</v>
      </c>
      <c r="B2224" s="2" t="s">
        <v>9303</v>
      </c>
      <c r="C2224" s="2" t="s">
        <v>9304</v>
      </c>
      <c r="D2224" s="169">
        <v>46051.0</v>
      </c>
      <c r="E2224" s="2">
        <v>3.222234271E9</v>
      </c>
      <c r="F2224" s="2" t="s">
        <v>9305</v>
      </c>
      <c r="G2224" s="2" t="s">
        <v>368</v>
      </c>
      <c r="H2224" s="2">
        <v>249.0</v>
      </c>
      <c r="I2224" s="2">
        <v>2.5120050021596E13</v>
      </c>
      <c r="J2224" s="3">
        <v>0.0</v>
      </c>
      <c r="K2224" s="2" t="s">
        <v>9306</v>
      </c>
      <c r="L2224" s="2"/>
      <c r="M2224" s="170" t="s">
        <v>455</v>
      </c>
      <c r="N2224" s="2" t="s">
        <v>406</v>
      </c>
      <c r="O2224" s="3">
        <v>0.5</v>
      </c>
      <c r="P2224" s="2" t="s">
        <v>73</v>
      </c>
      <c r="Q2224" s="3">
        <v>0.0</v>
      </c>
      <c r="U2224" s="141"/>
      <c r="W2224" s="3">
        <v>120.0</v>
      </c>
      <c r="X2224" s="172">
        <v>46070.91665190972</v>
      </c>
      <c r="Y2224" s="172"/>
      <c r="Z2224" s="3">
        <v>46051.0</v>
      </c>
      <c r="AA2224" s="3"/>
    </row>
    <row r="2225">
      <c r="A2225" s="3">
        <v>6.886415433987E12</v>
      </c>
      <c r="B2225" s="2" t="s">
        <v>9307</v>
      </c>
      <c r="C2225" s="2" t="s">
        <v>9304</v>
      </c>
      <c r="D2225" s="169">
        <v>46051.0</v>
      </c>
      <c r="E2225" s="2">
        <v>3.222234271E9</v>
      </c>
      <c r="F2225" s="2" t="s">
        <v>9308</v>
      </c>
      <c r="G2225" s="2" t="s">
        <v>368</v>
      </c>
      <c r="H2225" s="2">
        <v>0.0</v>
      </c>
      <c r="J2225" s="3">
        <v>0.0</v>
      </c>
      <c r="K2225" s="2" t="s">
        <v>9309</v>
      </c>
      <c r="L2225" s="2"/>
      <c r="M2225" s="2" t="s">
        <v>468</v>
      </c>
      <c r="N2225" s="2" t="s">
        <v>406</v>
      </c>
      <c r="O2225" s="3">
        <v>0.5</v>
      </c>
      <c r="Q2225" s="3">
        <v>0.0</v>
      </c>
      <c r="U2225" s="141"/>
      <c r="X2225" s="172">
        <v>46057.642782905095</v>
      </c>
      <c r="Y2225" s="172"/>
      <c r="Z2225" s="3">
        <v>46051.0</v>
      </c>
      <c r="AA2225" s="3"/>
    </row>
    <row r="2226">
      <c r="A2226" s="3">
        <v>6.886599655683E12</v>
      </c>
      <c r="B2226" s="2" t="s">
        <v>9310</v>
      </c>
      <c r="C2226" s="2" t="s">
        <v>9311</v>
      </c>
      <c r="D2226" s="169">
        <v>46051.0</v>
      </c>
      <c r="E2226" s="2">
        <v>3.128496961E9</v>
      </c>
      <c r="F2226" s="2" t="s">
        <v>9312</v>
      </c>
      <c r="G2226" s="2" t="s">
        <v>506</v>
      </c>
      <c r="H2226" s="2">
        <v>11300.0</v>
      </c>
      <c r="I2226" s="2">
        <v>2.2120050021595E13</v>
      </c>
      <c r="J2226" s="3">
        <v>6.0</v>
      </c>
      <c r="K2226" s="2" t="s">
        <v>9313</v>
      </c>
      <c r="L2226" s="2" t="s">
        <v>9314</v>
      </c>
      <c r="M2226" s="174" t="s">
        <v>409</v>
      </c>
      <c r="N2226" s="2" t="s">
        <v>462</v>
      </c>
      <c r="O2226" s="3">
        <v>0.5</v>
      </c>
      <c r="P2226" s="2" t="s">
        <v>73</v>
      </c>
      <c r="Q2226" s="3">
        <v>4410.0</v>
      </c>
      <c r="T2226" s="2" t="s">
        <v>6193</v>
      </c>
      <c r="U2226" s="171">
        <v>11300.0</v>
      </c>
      <c r="V2226" s="172">
        <v>46056.0</v>
      </c>
      <c r="W2226" s="3">
        <v>859.0</v>
      </c>
      <c r="X2226" s="172">
        <v>46052.64978009259</v>
      </c>
      <c r="Y2226" s="172"/>
      <c r="Z2226" s="3">
        <v>46051.0</v>
      </c>
      <c r="AA2226" s="3"/>
    </row>
    <row r="2227">
      <c r="A2227" s="3">
        <v>6.886672695555E12</v>
      </c>
      <c r="B2227" s="2" t="s">
        <v>9315</v>
      </c>
      <c r="C2227" s="2" t="s">
        <v>9316</v>
      </c>
      <c r="D2227" s="169">
        <v>46051.0</v>
      </c>
      <c r="E2227" s="2">
        <v>3.218440124E9</v>
      </c>
      <c r="F2227" s="2" t="s">
        <v>9317</v>
      </c>
      <c r="G2227" s="2" t="s">
        <v>9318</v>
      </c>
      <c r="H2227" s="2">
        <v>2749.0</v>
      </c>
      <c r="I2227" s="2">
        <v>2.5120050021594E13</v>
      </c>
      <c r="J2227" s="3">
        <v>2.0</v>
      </c>
      <c r="K2227" s="2" t="s">
        <v>9319</v>
      </c>
      <c r="L2227" s="2" t="s">
        <v>16</v>
      </c>
      <c r="M2227" s="2" t="s">
        <v>409</v>
      </c>
      <c r="N2227" s="2" t="s">
        <v>462</v>
      </c>
      <c r="O2227" s="3">
        <v>0.5</v>
      </c>
      <c r="P2227" s="2" t="s">
        <v>73</v>
      </c>
      <c r="Q2227" s="3">
        <v>980.0</v>
      </c>
      <c r="T2227" s="2" t="s">
        <v>9018</v>
      </c>
      <c r="U2227" s="171">
        <v>2749.0</v>
      </c>
      <c r="V2227" s="172">
        <v>46066.0</v>
      </c>
      <c r="W2227" s="3">
        <v>310.0</v>
      </c>
      <c r="X2227" s="172">
        <v>46063.771035474536</v>
      </c>
      <c r="Y2227" s="172"/>
      <c r="Z2227" s="3">
        <v>46051.0</v>
      </c>
      <c r="AA2227" s="3"/>
    </row>
    <row r="2228">
      <c r="A2228" s="3">
        <v>6.886690783491E12</v>
      </c>
      <c r="B2228" s="2" t="s">
        <v>9320</v>
      </c>
      <c r="C2228" s="2" t="s">
        <v>9321</v>
      </c>
      <c r="D2228" s="169">
        <v>46051.0</v>
      </c>
      <c r="E2228" s="2">
        <v>3.3594079E9</v>
      </c>
      <c r="F2228" s="2" t="s">
        <v>9322</v>
      </c>
      <c r="G2228" s="2" t="s">
        <v>368</v>
      </c>
      <c r="H2228" s="2">
        <v>249.0</v>
      </c>
      <c r="I2228" s="2">
        <v>2.4120050021605E13</v>
      </c>
      <c r="J2228" s="3">
        <v>0.0</v>
      </c>
      <c r="K2228" s="2" t="s">
        <v>9323</v>
      </c>
      <c r="L2228" s="2"/>
      <c r="M2228" s="170" t="s">
        <v>455</v>
      </c>
      <c r="N2228" s="2" t="s">
        <v>406</v>
      </c>
      <c r="O2228" s="3">
        <v>0.5</v>
      </c>
      <c r="P2228" s="2" t="s">
        <v>73</v>
      </c>
      <c r="Q2228" s="3">
        <v>0.0</v>
      </c>
      <c r="U2228" s="141"/>
      <c r="W2228" s="3">
        <v>107.0</v>
      </c>
      <c r="X2228" s="172">
        <v>46057.5878125</v>
      </c>
      <c r="Y2228" s="172"/>
      <c r="Z2228" s="3">
        <v>46051.0</v>
      </c>
      <c r="AA2228" s="3"/>
    </row>
    <row r="2229">
      <c r="A2229" s="3">
        <v>6.886792626435E12</v>
      </c>
      <c r="B2229" s="2" t="s">
        <v>9324</v>
      </c>
      <c r="C2229" s="2" t="s">
        <v>9325</v>
      </c>
      <c r="D2229" s="169">
        <v>46051.0</v>
      </c>
      <c r="E2229" s="173" t="s">
        <v>9326</v>
      </c>
      <c r="F2229" s="2" t="s">
        <v>9327</v>
      </c>
      <c r="G2229" s="2" t="s">
        <v>493</v>
      </c>
      <c r="H2229" s="2">
        <v>2849.0</v>
      </c>
      <c r="I2229" s="2">
        <v>2.4120050021593E13</v>
      </c>
      <c r="J2229" s="3">
        <v>2.0</v>
      </c>
      <c r="K2229" s="2" t="s">
        <v>9328</v>
      </c>
      <c r="L2229" s="2" t="s">
        <v>1920</v>
      </c>
      <c r="M2229" s="174" t="s">
        <v>409</v>
      </c>
      <c r="N2229" s="2" t="s">
        <v>462</v>
      </c>
      <c r="O2229" s="3">
        <v>0.5</v>
      </c>
      <c r="P2229" s="2" t="s">
        <v>73</v>
      </c>
      <c r="Q2229" s="3">
        <v>1050.0</v>
      </c>
      <c r="T2229" s="2" t="s">
        <v>9199</v>
      </c>
      <c r="U2229" s="171">
        <v>2849.0</v>
      </c>
      <c r="V2229" s="172">
        <v>46059.0</v>
      </c>
      <c r="W2229" s="3">
        <v>327.0</v>
      </c>
      <c r="X2229" s="172">
        <v>46056.57452546296</v>
      </c>
      <c r="Y2229" s="172"/>
      <c r="Z2229" s="3">
        <v>46051.0</v>
      </c>
      <c r="AA2229" s="3"/>
    </row>
    <row r="2230">
      <c r="A2230" s="3">
        <v>6.886838567171E12</v>
      </c>
      <c r="B2230" s="2" t="s">
        <v>9329</v>
      </c>
      <c r="C2230" s="2" t="s">
        <v>9330</v>
      </c>
      <c r="D2230" s="169">
        <v>46051.0</v>
      </c>
      <c r="E2230" s="2">
        <v>3.186386884E9</v>
      </c>
      <c r="F2230" s="2" t="s">
        <v>9331</v>
      </c>
      <c r="G2230" s="2" t="s">
        <v>9332</v>
      </c>
      <c r="H2230" s="2">
        <v>249.0</v>
      </c>
      <c r="I2230" s="2" t="s">
        <v>9333</v>
      </c>
      <c r="J2230" s="3">
        <v>0.0</v>
      </c>
      <c r="K2230" s="2" t="s">
        <v>9334</v>
      </c>
      <c r="L2230" s="2"/>
      <c r="M2230" s="170" t="s">
        <v>455</v>
      </c>
      <c r="N2230" s="2" t="s">
        <v>406</v>
      </c>
      <c r="O2230" s="3">
        <v>0.5</v>
      </c>
      <c r="P2230" s="2" t="s">
        <v>640</v>
      </c>
      <c r="Q2230" s="3">
        <v>0.0</v>
      </c>
      <c r="T2230" s="2" t="s">
        <v>8550</v>
      </c>
      <c r="U2230" s="141"/>
      <c r="W2230" s="3">
        <v>289.94</v>
      </c>
      <c r="X2230" s="172">
        <v>46078.83429240741</v>
      </c>
      <c r="Y2230" s="172"/>
      <c r="Z2230" s="3">
        <v>46051.0</v>
      </c>
      <c r="AA2230" s="3"/>
    </row>
    <row r="2231">
      <c r="A2231" s="3">
        <v>6.886877430019E12</v>
      </c>
      <c r="B2231" s="2" t="s">
        <v>9335</v>
      </c>
      <c r="C2231" s="2" t="s">
        <v>4832</v>
      </c>
      <c r="D2231" s="169">
        <v>46051.0</v>
      </c>
      <c r="E2231" s="173" t="s">
        <v>9336</v>
      </c>
      <c r="F2231" s="2" t="s">
        <v>9337</v>
      </c>
      <c r="G2231" s="2" t="s">
        <v>368</v>
      </c>
      <c r="H2231" s="2">
        <v>249.0</v>
      </c>
      <c r="I2231" s="2">
        <v>2.5120050021592E13</v>
      </c>
      <c r="J2231" s="3">
        <v>0.0</v>
      </c>
      <c r="K2231" s="2" t="s">
        <v>9338</v>
      </c>
      <c r="L2231" s="2"/>
      <c r="M2231" s="170" t="s">
        <v>455</v>
      </c>
      <c r="N2231" s="2" t="s">
        <v>406</v>
      </c>
      <c r="O2231" s="3">
        <v>0.5</v>
      </c>
      <c r="P2231" s="2" t="s">
        <v>73</v>
      </c>
      <c r="Q2231" s="3">
        <v>0.0</v>
      </c>
      <c r="U2231" s="141"/>
      <c r="W2231" s="3">
        <v>107.0</v>
      </c>
      <c r="X2231" s="172">
        <v>46057.5878125</v>
      </c>
      <c r="Y2231" s="172"/>
      <c r="Z2231" s="3">
        <v>46051.0</v>
      </c>
      <c r="AA2231" s="3"/>
    </row>
    <row r="2232">
      <c r="A2232" s="3">
        <v>6.886880346371E12</v>
      </c>
      <c r="B2232" s="2" t="s">
        <v>9339</v>
      </c>
      <c r="C2232" s="2" t="s">
        <v>9340</v>
      </c>
      <c r="D2232" s="169">
        <v>46051.0</v>
      </c>
      <c r="E2232" s="173" t="s">
        <v>9341</v>
      </c>
      <c r="F2232" s="2" t="s">
        <v>9342</v>
      </c>
      <c r="G2232" s="2" t="s">
        <v>9343</v>
      </c>
      <c r="H2232" s="2">
        <v>2049.0</v>
      </c>
      <c r="I2232" s="2">
        <v>2.2120050021591E13</v>
      </c>
      <c r="J2232" s="3">
        <v>1.0</v>
      </c>
      <c r="K2232" s="2" t="s">
        <v>9344</v>
      </c>
      <c r="L2232" s="2" t="s">
        <v>9345</v>
      </c>
      <c r="M2232" s="174" t="s">
        <v>409</v>
      </c>
      <c r="N2232" s="2" t="s">
        <v>462</v>
      </c>
      <c r="O2232" s="3">
        <v>0.5</v>
      </c>
      <c r="P2232" s="2" t="s">
        <v>73</v>
      </c>
      <c r="Q2232" s="3">
        <v>480.0</v>
      </c>
      <c r="T2232" s="2" t="s">
        <v>6336</v>
      </c>
      <c r="U2232" s="171">
        <v>2049.0</v>
      </c>
      <c r="V2232" s="172">
        <v>46052.0</v>
      </c>
      <c r="W2232" s="3">
        <v>282.0</v>
      </c>
      <c r="X2232" s="172">
        <v>46052.46478009259</v>
      </c>
      <c r="Y2232" s="172"/>
      <c r="Z2232" s="3">
        <v>46051.0</v>
      </c>
      <c r="AA2232" s="3"/>
    </row>
    <row r="2233">
      <c r="A2233" s="3">
        <v>6.886887325955E12</v>
      </c>
      <c r="B2233" s="2" t="s">
        <v>9346</v>
      </c>
      <c r="C2233" s="2" t="s">
        <v>9347</v>
      </c>
      <c r="D2233" s="169">
        <v>46051.0</v>
      </c>
      <c r="E2233" s="2">
        <v>3.057200215E9</v>
      </c>
      <c r="F2233" s="2" t="s">
        <v>9348</v>
      </c>
      <c r="G2233" s="2" t="s">
        <v>1257</v>
      </c>
      <c r="H2233" s="2">
        <v>4248.0</v>
      </c>
      <c r="I2233" s="2">
        <v>2.012005002159E13</v>
      </c>
      <c r="J2233" s="3">
        <v>2.0</v>
      </c>
      <c r="K2233" s="2" t="s">
        <v>9349</v>
      </c>
      <c r="L2233" s="2" t="s">
        <v>479</v>
      </c>
      <c r="M2233" s="174" t="s">
        <v>409</v>
      </c>
      <c r="N2233" s="2" t="s">
        <v>462</v>
      </c>
      <c r="O2233" s="3">
        <v>0.5</v>
      </c>
      <c r="P2233" s="2" t="s">
        <v>73</v>
      </c>
      <c r="Q2233" s="3">
        <v>1700.0</v>
      </c>
      <c r="T2233" s="2" t="s">
        <v>6193</v>
      </c>
      <c r="U2233" s="171">
        <v>4248.0</v>
      </c>
      <c r="V2233" s="172">
        <v>46056.0</v>
      </c>
      <c r="W2233" s="3">
        <v>390.0</v>
      </c>
      <c r="X2233" s="172">
        <v>46052.48076388889</v>
      </c>
      <c r="Y2233" s="172"/>
      <c r="Z2233" s="3">
        <v>46051.0</v>
      </c>
      <c r="AA2233" s="3"/>
    </row>
    <row r="2234">
      <c r="A2234" s="3">
        <v>6.886891389187E12</v>
      </c>
      <c r="B2234" s="2" t="s">
        <v>9350</v>
      </c>
      <c r="C2234" s="2" t="s">
        <v>9351</v>
      </c>
      <c r="D2234" s="169">
        <v>46051.0</v>
      </c>
      <c r="E2234" s="2">
        <v>3.488498018E9</v>
      </c>
      <c r="F2234" s="2" t="s">
        <v>9352</v>
      </c>
      <c r="G2234" s="2" t="s">
        <v>688</v>
      </c>
      <c r="H2234" s="2">
        <v>2849.0</v>
      </c>
      <c r="I2234" s="2">
        <v>2.4120050021589E13</v>
      </c>
      <c r="J2234" s="3">
        <v>2.0</v>
      </c>
      <c r="K2234" s="2" t="s">
        <v>9353</v>
      </c>
      <c r="L2234" s="2" t="s">
        <v>1920</v>
      </c>
      <c r="M2234" s="174" t="s">
        <v>409</v>
      </c>
      <c r="N2234" s="2" t="s">
        <v>462</v>
      </c>
      <c r="O2234" s="3">
        <v>0.5</v>
      </c>
      <c r="P2234" s="2" t="s">
        <v>73</v>
      </c>
      <c r="Q2234" s="3">
        <v>1050.0</v>
      </c>
      <c r="T2234" s="2" t="s">
        <v>6193</v>
      </c>
      <c r="U2234" s="171">
        <v>2849.0</v>
      </c>
      <c r="V2234" s="172">
        <v>46056.0</v>
      </c>
      <c r="W2234" s="3">
        <v>314.0</v>
      </c>
      <c r="X2234" s="172">
        <v>46052.59883101852</v>
      </c>
      <c r="Y2234" s="172"/>
      <c r="Z2234" s="3">
        <v>46051.0</v>
      </c>
      <c r="AA2234" s="3"/>
    </row>
    <row r="2235">
      <c r="A2235" s="3">
        <v>6.886897582339E12</v>
      </c>
      <c r="B2235" s="2" t="s">
        <v>9354</v>
      </c>
      <c r="C2235" s="2" t="s">
        <v>9355</v>
      </c>
      <c r="D2235" s="169">
        <v>46051.0</v>
      </c>
      <c r="E2235" s="2">
        <v>3.244284837E9</v>
      </c>
      <c r="F2235" s="2" t="s">
        <v>9356</v>
      </c>
      <c r="G2235" s="2" t="s">
        <v>5001</v>
      </c>
      <c r="H2235" s="2">
        <v>1449.0</v>
      </c>
      <c r="I2235" s="2">
        <v>2.9120050021588E13</v>
      </c>
      <c r="J2235" s="3">
        <v>1.0</v>
      </c>
      <c r="K2235" s="2" t="s">
        <v>9357</v>
      </c>
      <c r="L2235" s="2" t="s">
        <v>6825</v>
      </c>
      <c r="M2235" s="174" t="s">
        <v>409</v>
      </c>
      <c r="N2235" s="2" t="s">
        <v>462</v>
      </c>
      <c r="O2235" s="3">
        <v>0.5</v>
      </c>
      <c r="P2235" s="2" t="s">
        <v>73</v>
      </c>
      <c r="Q2235" s="3">
        <v>550.0</v>
      </c>
      <c r="T2235" s="2" t="s">
        <v>6193</v>
      </c>
      <c r="U2235" s="171">
        <v>1449.0</v>
      </c>
      <c r="V2235" s="172">
        <v>46056.0</v>
      </c>
      <c r="W2235" s="3">
        <v>258.0</v>
      </c>
      <c r="X2235" s="172">
        <v>46052.73287037037</v>
      </c>
      <c r="Y2235" s="172"/>
      <c r="Z2235" s="3">
        <v>46051.0</v>
      </c>
      <c r="AA2235" s="3"/>
    </row>
    <row r="2236">
      <c r="A2236" s="3">
        <v>6.886944014595E12</v>
      </c>
      <c r="B2236" s="2" t="s">
        <v>9358</v>
      </c>
      <c r="C2236" s="2" t="s">
        <v>9359</v>
      </c>
      <c r="D2236" s="169">
        <v>46051.0</v>
      </c>
      <c r="E2236" s="2">
        <v>3.157564374E9</v>
      </c>
      <c r="F2236" s="2" t="s">
        <v>9360</v>
      </c>
      <c r="G2236" s="2" t="s">
        <v>374</v>
      </c>
      <c r="H2236" s="2">
        <v>0.0</v>
      </c>
      <c r="J2236" s="3">
        <v>0.0</v>
      </c>
      <c r="K2236" s="2" t="s">
        <v>9361</v>
      </c>
      <c r="L2236" s="2"/>
      <c r="M2236" s="2" t="s">
        <v>468</v>
      </c>
      <c r="N2236" s="2" t="s">
        <v>406</v>
      </c>
      <c r="O2236" s="3">
        <v>0.5</v>
      </c>
      <c r="Q2236" s="3">
        <v>0.0</v>
      </c>
      <c r="U2236" s="141"/>
      <c r="X2236" s="172">
        <v>46057.642782905095</v>
      </c>
      <c r="Y2236" s="172"/>
      <c r="Z2236" s="3">
        <v>46051.0</v>
      </c>
      <c r="AA2236" s="3"/>
    </row>
    <row r="2237">
      <c r="A2237" s="3">
        <v>6.886945718531E12</v>
      </c>
      <c r="B2237" s="2" t="s">
        <v>9362</v>
      </c>
      <c r="C2237" s="2" t="s">
        <v>9363</v>
      </c>
      <c r="D2237" s="169">
        <v>46051.0</v>
      </c>
      <c r="E2237" s="173" t="s">
        <v>9364</v>
      </c>
      <c r="F2237" s="2" t="s">
        <v>9365</v>
      </c>
      <c r="G2237" s="2" t="s">
        <v>1619</v>
      </c>
      <c r="H2237" s="2">
        <v>190700.0</v>
      </c>
      <c r="I2237" s="2" t="s">
        <v>9366</v>
      </c>
      <c r="J2237" s="3">
        <v>85.0</v>
      </c>
      <c r="K2237" s="2" t="s">
        <v>9367</v>
      </c>
      <c r="L2237" s="2" t="s">
        <v>9368</v>
      </c>
      <c r="M2237" s="2" t="s">
        <v>406</v>
      </c>
      <c r="N2237" s="2" t="s">
        <v>406</v>
      </c>
      <c r="O2237" s="3">
        <v>0.5</v>
      </c>
      <c r="Q2237" s="3">
        <v>176880.0</v>
      </c>
      <c r="U2237" s="141"/>
      <c r="X2237" s="172">
        <v>46057.642782905095</v>
      </c>
      <c r="Y2237" s="172"/>
      <c r="Z2237" s="3">
        <v>46051.0</v>
      </c>
      <c r="AA2237" s="3"/>
    </row>
    <row r="2238">
      <c r="A2238" s="3">
        <v>6.886947881219E12</v>
      </c>
      <c r="B2238" s="2" t="s">
        <v>9369</v>
      </c>
      <c r="C2238" s="2" t="s">
        <v>9370</v>
      </c>
      <c r="D2238" s="169">
        <v>46051.0</v>
      </c>
      <c r="E2238" s="2">
        <v>3.248824892E9</v>
      </c>
      <c r="F2238" s="2" t="s">
        <v>9371</v>
      </c>
      <c r="G2238" s="2" t="s">
        <v>368</v>
      </c>
      <c r="H2238" s="2">
        <v>0.0</v>
      </c>
      <c r="J2238" s="3">
        <v>0.0</v>
      </c>
      <c r="K2238" s="2" t="s">
        <v>9372</v>
      </c>
      <c r="L2238" s="2"/>
      <c r="M2238" s="2" t="s">
        <v>468</v>
      </c>
      <c r="N2238" s="2" t="s">
        <v>406</v>
      </c>
      <c r="O2238" s="3">
        <v>0.5</v>
      </c>
      <c r="Q2238" s="3">
        <v>0.0</v>
      </c>
      <c r="U2238" s="141"/>
      <c r="X2238" s="172">
        <v>46057.642782905095</v>
      </c>
      <c r="Y2238" s="172"/>
      <c r="Z2238" s="3">
        <v>46051.0</v>
      </c>
      <c r="AA2238" s="3"/>
    </row>
    <row r="2239">
      <c r="A2239" s="3">
        <v>6.886963970307E12</v>
      </c>
      <c r="B2239" s="2" t="s">
        <v>9373</v>
      </c>
      <c r="C2239" s="2" t="s">
        <v>1385</v>
      </c>
      <c r="D2239" s="169">
        <v>46051.0</v>
      </c>
      <c r="E2239" s="173" t="s">
        <v>9374</v>
      </c>
      <c r="F2239" s="2" t="s">
        <v>9375</v>
      </c>
      <c r="G2239" s="2" t="s">
        <v>9376</v>
      </c>
      <c r="H2239" s="2">
        <v>249.0</v>
      </c>
      <c r="I2239" s="2">
        <v>2.7120050021623E13</v>
      </c>
      <c r="J2239" s="3">
        <v>0.0</v>
      </c>
      <c r="K2239" s="2" t="s">
        <v>9377</v>
      </c>
      <c r="L2239" s="2"/>
      <c r="M2239" s="170" t="s">
        <v>455</v>
      </c>
      <c r="N2239" s="2" t="s">
        <v>406</v>
      </c>
      <c r="O2239" s="3">
        <v>0.5</v>
      </c>
      <c r="P2239" s="2" t="s">
        <v>73</v>
      </c>
      <c r="Q2239" s="3">
        <v>0.0</v>
      </c>
      <c r="U2239" s="141"/>
      <c r="W2239" s="3">
        <v>213.0</v>
      </c>
      <c r="X2239" s="172">
        <v>46063.02102872686</v>
      </c>
      <c r="Y2239" s="172"/>
      <c r="Z2239" s="3">
        <v>46051.0</v>
      </c>
      <c r="AA2239" s="3"/>
    </row>
    <row r="2240">
      <c r="A2240" s="3">
        <v>6.886965772547E12</v>
      </c>
      <c r="B2240" s="2" t="s">
        <v>9378</v>
      </c>
      <c r="C2240" s="2" t="s">
        <v>9379</v>
      </c>
      <c r="D2240" s="169">
        <v>46051.0</v>
      </c>
      <c r="E2240" s="173" t="s">
        <v>9380</v>
      </c>
      <c r="F2240" s="2" t="s">
        <v>9381</v>
      </c>
      <c r="G2240" s="2" t="s">
        <v>945</v>
      </c>
      <c r="H2240" s="2">
        <v>2749.0</v>
      </c>
      <c r="I2240" s="2">
        <v>2.4120050021622E13</v>
      </c>
      <c r="J2240" s="3">
        <v>2.0</v>
      </c>
      <c r="K2240" s="2" t="s">
        <v>9382</v>
      </c>
      <c r="L2240" s="2" t="s">
        <v>16</v>
      </c>
      <c r="M2240" s="2" t="s">
        <v>409</v>
      </c>
      <c r="N2240" s="2" t="s">
        <v>462</v>
      </c>
      <c r="O2240" s="3">
        <v>0.5</v>
      </c>
      <c r="P2240" s="2" t="s">
        <v>73</v>
      </c>
      <c r="Q2240" s="3">
        <v>980.0</v>
      </c>
      <c r="T2240" s="2" t="s">
        <v>9018</v>
      </c>
      <c r="U2240" s="171">
        <v>2749.0</v>
      </c>
      <c r="V2240" s="172">
        <v>46066.0</v>
      </c>
      <c r="W2240" s="3">
        <v>323.0</v>
      </c>
      <c r="X2240" s="172">
        <v>46064.73032335648</v>
      </c>
      <c r="Y2240" s="172"/>
      <c r="Z2240" s="3">
        <v>46051.0</v>
      </c>
      <c r="AA2240" s="3"/>
    </row>
    <row r="2241">
      <c r="A2241" s="3">
        <v>6.886985761027E12</v>
      </c>
      <c r="B2241" s="2" t="s">
        <v>9383</v>
      </c>
      <c r="C2241" s="2" t="s">
        <v>9384</v>
      </c>
      <c r="D2241" s="169">
        <v>46051.0</v>
      </c>
      <c r="E2241" s="2">
        <v>3.33444135E9</v>
      </c>
      <c r="F2241" s="2" t="s">
        <v>9385</v>
      </c>
      <c r="G2241" s="2" t="s">
        <v>9386</v>
      </c>
      <c r="H2241" s="2">
        <v>249.0</v>
      </c>
      <c r="I2241" s="2">
        <v>2.0120050021621E13</v>
      </c>
      <c r="J2241" s="3">
        <v>0.0</v>
      </c>
      <c r="K2241" s="2" t="s">
        <v>9387</v>
      </c>
      <c r="L2241" s="2"/>
      <c r="M2241" s="170" t="s">
        <v>455</v>
      </c>
      <c r="N2241" s="2" t="s">
        <v>406</v>
      </c>
      <c r="O2241" s="3">
        <v>0.5</v>
      </c>
      <c r="P2241" s="2" t="s">
        <v>73</v>
      </c>
      <c r="Q2241" s="3">
        <v>0.0</v>
      </c>
      <c r="U2241" s="141"/>
      <c r="W2241" s="3">
        <v>200.0</v>
      </c>
      <c r="X2241" s="172">
        <v>46071.77084716436</v>
      </c>
      <c r="Y2241" s="172"/>
      <c r="Z2241" s="3">
        <v>46051.0</v>
      </c>
      <c r="AA2241" s="3"/>
    </row>
    <row r="2242">
      <c r="A2242" s="3">
        <v>6.887004963075E12</v>
      </c>
      <c r="B2242" s="2" t="s">
        <v>9388</v>
      </c>
      <c r="C2242" s="2" t="s">
        <v>1496</v>
      </c>
      <c r="D2242" s="169">
        <v>46051.0</v>
      </c>
      <c r="E2242" s="2">
        <v>3.002507438E9</v>
      </c>
      <c r="F2242" s="2" t="s">
        <v>9389</v>
      </c>
      <c r="G2242" s="2" t="s">
        <v>1498</v>
      </c>
      <c r="H2242" s="2">
        <v>0.0</v>
      </c>
      <c r="J2242" s="3">
        <v>0.0</v>
      </c>
      <c r="K2242" s="2" t="s">
        <v>8446</v>
      </c>
      <c r="L2242" s="2"/>
      <c r="M2242" s="2" t="s">
        <v>468</v>
      </c>
      <c r="N2242" s="2" t="s">
        <v>406</v>
      </c>
      <c r="O2242" s="3">
        <v>0.5</v>
      </c>
      <c r="Q2242" s="3">
        <v>0.0</v>
      </c>
      <c r="U2242" s="141"/>
      <c r="X2242" s="172">
        <v>46057.642782905095</v>
      </c>
      <c r="Y2242" s="172"/>
      <c r="Z2242" s="3">
        <v>46051.0</v>
      </c>
      <c r="AA2242" s="3"/>
    </row>
    <row r="2243">
      <c r="A2243" s="3">
        <v>6.887006339331E12</v>
      </c>
      <c r="B2243" s="2" t="s">
        <v>9390</v>
      </c>
      <c r="C2243" s="2" t="s">
        <v>1496</v>
      </c>
      <c r="D2243" s="169">
        <v>46051.0</v>
      </c>
      <c r="E2243" s="2">
        <v>3.00250743E9</v>
      </c>
      <c r="F2243" s="2" t="s">
        <v>9389</v>
      </c>
      <c r="G2243" s="2" t="s">
        <v>1498</v>
      </c>
      <c r="H2243" s="2">
        <v>249.0</v>
      </c>
      <c r="I2243" s="2">
        <v>2.412005002162E13</v>
      </c>
      <c r="J2243" s="3">
        <v>0.0</v>
      </c>
      <c r="K2243" s="2" t="s">
        <v>9391</v>
      </c>
      <c r="L2243" s="2"/>
      <c r="M2243" s="170" t="s">
        <v>455</v>
      </c>
      <c r="N2243" s="2" t="s">
        <v>406</v>
      </c>
      <c r="O2243" s="3">
        <v>0.5</v>
      </c>
      <c r="P2243" s="2" t="s">
        <v>73</v>
      </c>
      <c r="Q2243" s="3">
        <v>0.0</v>
      </c>
      <c r="U2243" s="141"/>
      <c r="W2243" s="3">
        <v>213.0</v>
      </c>
      <c r="X2243" s="172">
        <v>46063.02104346065</v>
      </c>
      <c r="Y2243" s="172"/>
      <c r="Z2243" s="3">
        <v>46051.0</v>
      </c>
      <c r="AA2243" s="3"/>
    </row>
    <row r="2244">
      <c r="A2244" s="3">
        <v>6.887204487427E12</v>
      </c>
      <c r="B2244" s="2" t="s">
        <v>9392</v>
      </c>
      <c r="C2244" s="2" t="s">
        <v>2104</v>
      </c>
      <c r="D2244" s="169">
        <v>46051.0</v>
      </c>
      <c r="E2244" s="2">
        <v>3.159573786E9</v>
      </c>
      <c r="F2244" s="2" t="s">
        <v>2105</v>
      </c>
      <c r="G2244" s="2" t="s">
        <v>2106</v>
      </c>
      <c r="H2244" s="2">
        <v>0.0</v>
      </c>
      <c r="J2244" s="3">
        <v>0.0</v>
      </c>
      <c r="K2244" s="2" t="s">
        <v>9393</v>
      </c>
      <c r="L2244" s="2"/>
      <c r="M2244" s="2" t="s">
        <v>468</v>
      </c>
      <c r="N2244" s="2" t="s">
        <v>406</v>
      </c>
      <c r="O2244" s="3">
        <v>0.5</v>
      </c>
      <c r="Q2244" s="3">
        <v>0.0</v>
      </c>
      <c r="U2244" s="141"/>
      <c r="X2244" s="172">
        <v>46057.642782905095</v>
      </c>
      <c r="Y2244" s="172"/>
      <c r="Z2244" s="3">
        <v>46051.0</v>
      </c>
      <c r="AA2244" s="3"/>
    </row>
    <row r="2245">
      <c r="A2245" s="3">
        <v>6.887230669059E12</v>
      </c>
      <c r="B2245" s="2" t="s">
        <v>9394</v>
      </c>
      <c r="C2245" s="2" t="s">
        <v>9395</v>
      </c>
      <c r="D2245" s="169">
        <v>46051.0</v>
      </c>
      <c r="E2245" s="173" t="s">
        <v>9396</v>
      </c>
      <c r="F2245" s="2" t="s">
        <v>9397</v>
      </c>
      <c r="G2245" s="2" t="s">
        <v>1830</v>
      </c>
      <c r="H2245" s="2">
        <v>250.0</v>
      </c>
      <c r="I2245" s="2">
        <v>2.8120050021619E13</v>
      </c>
      <c r="J2245" s="3">
        <v>0.0</v>
      </c>
      <c r="K2245" s="2" t="s">
        <v>9398</v>
      </c>
      <c r="L2245" s="2"/>
      <c r="M2245" s="170" t="s">
        <v>455</v>
      </c>
      <c r="N2245" s="2" t="s">
        <v>406</v>
      </c>
      <c r="O2245" s="3">
        <v>0.5</v>
      </c>
      <c r="P2245" s="2" t="s">
        <v>73</v>
      </c>
      <c r="Q2245" s="3">
        <v>0.0</v>
      </c>
      <c r="U2245" s="141"/>
      <c r="W2245" s="3">
        <v>200.0</v>
      </c>
      <c r="X2245" s="172">
        <v>46063.0210481713</v>
      </c>
      <c r="Y2245" s="172"/>
      <c r="Z2245" s="3">
        <v>46051.0</v>
      </c>
      <c r="AA2245" s="3"/>
    </row>
    <row r="2246">
      <c r="A2246" s="3">
        <v>6.887329825027E12</v>
      </c>
      <c r="B2246" s="2" t="s">
        <v>9399</v>
      </c>
      <c r="C2246" s="2" t="s">
        <v>9400</v>
      </c>
      <c r="D2246" s="169">
        <v>46051.0</v>
      </c>
      <c r="E2246" s="2">
        <v>3.014453699E9</v>
      </c>
      <c r="F2246" s="2" t="s">
        <v>9401</v>
      </c>
      <c r="G2246" s="2" t="s">
        <v>368</v>
      </c>
      <c r="H2246" s="2">
        <v>249.0</v>
      </c>
      <c r="I2246" s="2">
        <v>1.7301073607E11</v>
      </c>
      <c r="J2246" s="3">
        <v>0.0</v>
      </c>
      <c r="K2246" s="2" t="s">
        <v>9402</v>
      </c>
      <c r="L2246" s="2"/>
      <c r="M2246" s="170" t="s">
        <v>455</v>
      </c>
      <c r="N2246" s="2" t="s">
        <v>406</v>
      </c>
      <c r="O2246" s="3">
        <v>0.5</v>
      </c>
      <c r="P2246" s="2" t="s">
        <v>501</v>
      </c>
      <c r="Q2246" s="3">
        <v>0.0</v>
      </c>
      <c r="T2246" s="2" t="s">
        <v>8550</v>
      </c>
      <c r="U2246" s="141"/>
      <c r="W2246" s="3">
        <v>168.14</v>
      </c>
      <c r="X2246" s="172">
        <v>46078.834337824075</v>
      </c>
      <c r="Y2246" s="172"/>
      <c r="Z2246" s="3">
        <v>46051.0</v>
      </c>
      <c r="AA2246" s="3"/>
    </row>
    <row r="2247">
      <c r="A2247" s="3">
        <v>6.887500677379E12</v>
      </c>
      <c r="B2247" s="2" t="s">
        <v>9403</v>
      </c>
      <c r="C2247" s="2" t="s">
        <v>9404</v>
      </c>
      <c r="D2247" s="169">
        <v>46051.0</v>
      </c>
      <c r="E2247" s="2">
        <v>3.169021655E9</v>
      </c>
      <c r="F2247" s="2" t="s">
        <v>9405</v>
      </c>
      <c r="G2247" s="2" t="s">
        <v>9406</v>
      </c>
      <c r="H2247" s="2">
        <v>0.0</v>
      </c>
      <c r="J2247" s="3">
        <v>0.0</v>
      </c>
      <c r="K2247" s="2" t="s">
        <v>7954</v>
      </c>
      <c r="L2247" s="2"/>
      <c r="M2247" s="2" t="s">
        <v>468</v>
      </c>
      <c r="N2247" s="2" t="s">
        <v>406</v>
      </c>
      <c r="O2247" s="3">
        <v>0.5</v>
      </c>
      <c r="Q2247" s="3">
        <v>0.0</v>
      </c>
      <c r="U2247" s="141"/>
      <c r="X2247" s="172">
        <v>46057.642782905095</v>
      </c>
      <c r="Y2247" s="172"/>
      <c r="Z2247" s="3">
        <v>46051.0</v>
      </c>
      <c r="AA2247" s="3"/>
    </row>
    <row r="2248">
      <c r="A2248" s="3">
        <v>6.887519322371E12</v>
      </c>
      <c r="B2248" s="2" t="s">
        <v>9407</v>
      </c>
      <c r="C2248" s="2" t="s">
        <v>9404</v>
      </c>
      <c r="D2248" s="169">
        <v>46051.0</v>
      </c>
      <c r="E2248" s="173" t="s">
        <v>9408</v>
      </c>
      <c r="F2248" s="2" t="s">
        <v>9405</v>
      </c>
      <c r="G2248" s="2" t="s">
        <v>9406</v>
      </c>
      <c r="H2248" s="2">
        <v>7098.0</v>
      </c>
      <c r="I2248" s="2">
        <v>2.6120050021618E13</v>
      </c>
      <c r="J2248" s="3">
        <v>4.0</v>
      </c>
      <c r="K2248" s="2" t="s">
        <v>9409</v>
      </c>
      <c r="L2248" s="2" t="s">
        <v>9410</v>
      </c>
      <c r="M2248" s="174" t="s">
        <v>409</v>
      </c>
      <c r="N2248" s="2" t="s">
        <v>462</v>
      </c>
      <c r="O2248" s="3">
        <v>0.5</v>
      </c>
      <c r="P2248" s="2" t="s">
        <v>73</v>
      </c>
      <c r="Q2248" s="3">
        <v>2750.0</v>
      </c>
      <c r="T2248" s="2" t="s">
        <v>9199</v>
      </c>
      <c r="U2248" s="171">
        <v>7098.0</v>
      </c>
      <c r="V2248" s="172">
        <v>46059.0</v>
      </c>
      <c r="W2248" s="3">
        <v>597.0</v>
      </c>
      <c r="X2248" s="172">
        <v>46057.715578703705</v>
      </c>
      <c r="Y2248" s="172"/>
      <c r="Z2248" s="3">
        <v>46051.0</v>
      </c>
      <c r="AA2248" s="3"/>
    </row>
    <row r="2249">
      <c r="A2249" s="3">
        <v>6.887557300483E12</v>
      </c>
      <c r="B2249" s="2" t="s">
        <v>9411</v>
      </c>
      <c r="C2249" s="2" t="s">
        <v>9412</v>
      </c>
      <c r="D2249" s="169">
        <v>46051.0</v>
      </c>
      <c r="E2249" s="2">
        <v>3.002559089E9</v>
      </c>
      <c r="F2249" s="2" t="s">
        <v>9413</v>
      </c>
      <c r="G2249" s="2" t="s">
        <v>945</v>
      </c>
      <c r="H2249" s="2">
        <v>249.0</v>
      </c>
      <c r="I2249" s="2">
        <v>2.4120050021617E13</v>
      </c>
      <c r="J2249" s="3">
        <v>0.0</v>
      </c>
      <c r="K2249" s="2" t="s">
        <v>9414</v>
      </c>
      <c r="L2249" s="2"/>
      <c r="M2249" s="170" t="s">
        <v>455</v>
      </c>
      <c r="N2249" s="2" t="s">
        <v>406</v>
      </c>
      <c r="O2249" s="3">
        <v>0.5</v>
      </c>
      <c r="P2249" s="2" t="s">
        <v>73</v>
      </c>
      <c r="Q2249" s="3">
        <v>0.0</v>
      </c>
      <c r="U2249" s="141"/>
      <c r="W2249" s="3">
        <v>213.0</v>
      </c>
      <c r="X2249" s="172">
        <v>46077.9159614699</v>
      </c>
      <c r="Y2249" s="172"/>
      <c r="Z2249" s="3">
        <v>46051.0</v>
      </c>
      <c r="AA2249" s="3"/>
    </row>
    <row r="2250">
      <c r="A2250" s="3">
        <v>6.887653474563E12</v>
      </c>
      <c r="B2250" s="2" t="s">
        <v>9415</v>
      </c>
      <c r="C2250" s="2" t="s">
        <v>9416</v>
      </c>
      <c r="D2250" s="169">
        <v>46052.0</v>
      </c>
      <c r="E2250" s="2">
        <v>3.329109411E9</v>
      </c>
      <c r="F2250" s="2" t="s">
        <v>9417</v>
      </c>
      <c r="G2250" s="2" t="s">
        <v>506</v>
      </c>
      <c r="H2250" s="2">
        <v>2849.0</v>
      </c>
      <c r="I2250" s="2">
        <v>2.5120050021616E13</v>
      </c>
      <c r="J2250" s="3">
        <v>2.0</v>
      </c>
      <c r="K2250" s="2" t="s">
        <v>9418</v>
      </c>
      <c r="L2250" s="2" t="s">
        <v>1920</v>
      </c>
      <c r="M2250" s="174" t="s">
        <v>409</v>
      </c>
      <c r="N2250" s="2" t="s">
        <v>462</v>
      </c>
      <c r="O2250" s="3">
        <v>0.5</v>
      </c>
      <c r="P2250" s="2" t="s">
        <v>73</v>
      </c>
      <c r="Q2250" s="3">
        <v>1050.0</v>
      </c>
      <c r="T2250" s="2" t="s">
        <v>6193</v>
      </c>
      <c r="U2250" s="171">
        <v>2849.0</v>
      </c>
      <c r="V2250" s="172">
        <v>46056.0</v>
      </c>
      <c r="W2250" s="3">
        <v>314.0</v>
      </c>
      <c r="X2250" s="172">
        <v>46055.77405092593</v>
      </c>
      <c r="Y2250" s="172"/>
      <c r="Z2250" s="3">
        <v>46052.0</v>
      </c>
      <c r="AA2250" s="3"/>
    </row>
    <row r="2251">
      <c r="A2251" s="3">
        <v>6.887808696579E12</v>
      </c>
      <c r="B2251" s="2" t="s">
        <v>9419</v>
      </c>
      <c r="C2251" s="2" t="s">
        <v>9420</v>
      </c>
      <c r="D2251" s="169">
        <v>46052.0</v>
      </c>
      <c r="E2251" s="2">
        <v>3.343403031E9</v>
      </c>
      <c r="F2251" s="2" t="s">
        <v>9421</v>
      </c>
      <c r="G2251" s="2" t="s">
        <v>9422</v>
      </c>
      <c r="H2251" s="2">
        <v>2148.0</v>
      </c>
      <c r="I2251" s="2">
        <v>2.8120050021615E13</v>
      </c>
      <c r="J2251" s="3">
        <v>1.0</v>
      </c>
      <c r="K2251" s="2" t="s">
        <v>9423</v>
      </c>
      <c r="L2251" s="2" t="s">
        <v>4251</v>
      </c>
      <c r="M2251" s="2" t="s">
        <v>409</v>
      </c>
      <c r="N2251" s="2" t="s">
        <v>462</v>
      </c>
      <c r="O2251" s="3">
        <v>0.5</v>
      </c>
      <c r="P2251" s="2" t="s">
        <v>73</v>
      </c>
      <c r="Q2251" s="3">
        <v>850.0</v>
      </c>
      <c r="T2251" s="2" t="s">
        <v>8519</v>
      </c>
      <c r="U2251" s="171">
        <v>2148.0</v>
      </c>
      <c r="V2251" s="172">
        <v>46070.0</v>
      </c>
      <c r="W2251" s="3">
        <v>299.0</v>
      </c>
      <c r="X2251" s="172">
        <v>46066.52190902778</v>
      </c>
      <c r="Y2251" s="172"/>
      <c r="Z2251" s="3">
        <v>46052.0</v>
      </c>
      <c r="AA2251" s="3"/>
    </row>
    <row r="2252">
      <c r="A2252" s="3">
        <v>6.888088076547E12</v>
      </c>
      <c r="B2252" s="2" t="s">
        <v>9424</v>
      </c>
      <c r="C2252" s="2" t="s">
        <v>9425</v>
      </c>
      <c r="D2252" s="169">
        <v>46052.0</v>
      </c>
      <c r="E2252" s="173" t="s">
        <v>9426</v>
      </c>
      <c r="F2252" s="2" t="s">
        <v>9427</v>
      </c>
      <c r="G2252" s="2" t="s">
        <v>822</v>
      </c>
      <c r="H2252" s="2">
        <v>249.0</v>
      </c>
      <c r="I2252" s="2">
        <v>2.0120050021614E13</v>
      </c>
      <c r="J2252" s="3">
        <v>0.0</v>
      </c>
      <c r="K2252" s="2" t="s">
        <v>9428</v>
      </c>
      <c r="L2252" s="2"/>
      <c r="M2252" s="170" t="s">
        <v>455</v>
      </c>
      <c r="N2252" s="2" t="s">
        <v>406</v>
      </c>
      <c r="O2252" s="3">
        <v>0.5</v>
      </c>
      <c r="P2252" s="2" t="s">
        <v>73</v>
      </c>
      <c r="Q2252" s="3">
        <v>0.0</v>
      </c>
      <c r="U2252" s="141"/>
      <c r="W2252" s="3">
        <v>220.0</v>
      </c>
      <c r="X2252" s="172">
        <v>46064.81369268519</v>
      </c>
      <c r="Y2252" s="172"/>
      <c r="Z2252" s="3">
        <v>46052.0</v>
      </c>
      <c r="AA2252" s="3"/>
    </row>
    <row r="2253">
      <c r="A2253" s="3">
        <v>6.888118190339E12</v>
      </c>
      <c r="B2253" s="2" t="s">
        <v>9429</v>
      </c>
      <c r="C2253" s="2" t="s">
        <v>2104</v>
      </c>
      <c r="D2253" s="169">
        <v>46052.0</v>
      </c>
      <c r="E2253" s="2">
        <v>3.159573786E9</v>
      </c>
      <c r="F2253" s="2" t="s">
        <v>2105</v>
      </c>
      <c r="G2253" s="2" t="s">
        <v>2106</v>
      </c>
      <c r="H2253" s="2">
        <v>0.0</v>
      </c>
      <c r="J2253" s="3">
        <v>0.0</v>
      </c>
      <c r="K2253" s="2" t="s">
        <v>9393</v>
      </c>
      <c r="L2253" s="2"/>
      <c r="M2253" s="2" t="s">
        <v>468</v>
      </c>
      <c r="N2253" s="2" t="s">
        <v>406</v>
      </c>
      <c r="O2253" s="3">
        <v>0.5</v>
      </c>
      <c r="Q2253" s="3">
        <v>0.0</v>
      </c>
      <c r="U2253" s="141"/>
      <c r="X2253" s="172">
        <v>46057.642782905095</v>
      </c>
      <c r="Y2253" s="172"/>
      <c r="Z2253" s="3">
        <v>46052.0</v>
      </c>
      <c r="AA2253" s="3"/>
    </row>
    <row r="2254">
      <c r="A2254" s="3">
        <v>6.888209449219E12</v>
      </c>
      <c r="B2254" s="2" t="s">
        <v>9430</v>
      </c>
      <c r="C2254" s="2" t="s">
        <v>9431</v>
      </c>
      <c r="D2254" s="169">
        <v>46052.0</v>
      </c>
      <c r="E2254" s="2">
        <v>3.455510667E9</v>
      </c>
      <c r="F2254" s="2" t="s">
        <v>9432</v>
      </c>
      <c r="G2254" s="2" t="s">
        <v>9433</v>
      </c>
      <c r="H2254" s="2">
        <v>3099.0</v>
      </c>
      <c r="I2254" s="2">
        <v>2.2120050021613E13</v>
      </c>
      <c r="J2254" s="3">
        <v>2.0</v>
      </c>
      <c r="K2254" s="2" t="s">
        <v>9434</v>
      </c>
      <c r="L2254" s="2" t="s">
        <v>1258</v>
      </c>
      <c r="M2254" s="174" t="s">
        <v>409</v>
      </c>
      <c r="N2254" s="2" t="s">
        <v>462</v>
      </c>
      <c r="O2254" s="3">
        <v>0.5</v>
      </c>
      <c r="P2254" s="2" t="s">
        <v>73</v>
      </c>
      <c r="Q2254" s="3">
        <v>960.0</v>
      </c>
      <c r="T2254" s="2" t="s">
        <v>6193</v>
      </c>
      <c r="U2254" s="171">
        <v>3099.0</v>
      </c>
      <c r="V2254" s="172">
        <v>46056.0</v>
      </c>
      <c r="W2254" s="3">
        <v>337.0</v>
      </c>
      <c r="X2254" s="172">
        <v>46054.52657407407</v>
      </c>
      <c r="Y2254" s="172"/>
      <c r="Z2254" s="3">
        <v>46052.0</v>
      </c>
      <c r="AA2254" s="3"/>
    </row>
    <row r="2255">
      <c r="A2255" s="3">
        <v>6.888311521539E12</v>
      </c>
      <c r="B2255" s="2" t="s">
        <v>9435</v>
      </c>
      <c r="C2255" s="2" t="s">
        <v>9436</v>
      </c>
      <c r="D2255" s="169">
        <v>46052.0</v>
      </c>
      <c r="E2255" s="2">
        <v>3.081020307E9</v>
      </c>
      <c r="F2255" s="2" t="s">
        <v>9437</v>
      </c>
      <c r="G2255" s="2" t="s">
        <v>5879</v>
      </c>
      <c r="H2255" s="2">
        <v>3099.0</v>
      </c>
      <c r="I2255" s="2">
        <v>2.9120050021612E13</v>
      </c>
      <c r="J2255" s="3">
        <v>2.0</v>
      </c>
      <c r="K2255" s="2" t="s">
        <v>9438</v>
      </c>
      <c r="L2255" s="2" t="s">
        <v>906</v>
      </c>
      <c r="M2255" s="174" t="s">
        <v>409</v>
      </c>
      <c r="N2255" s="2" t="s">
        <v>462</v>
      </c>
      <c r="O2255" s="3">
        <v>0.5</v>
      </c>
      <c r="P2255" s="2" t="s">
        <v>73</v>
      </c>
      <c r="Q2255" s="3">
        <v>920.0</v>
      </c>
      <c r="T2255" s="2" t="s">
        <v>6193</v>
      </c>
      <c r="U2255" s="171">
        <v>3099.0</v>
      </c>
      <c r="V2255" s="172">
        <v>46056.0</v>
      </c>
      <c r="W2255" s="3">
        <v>324.0</v>
      </c>
      <c r="X2255" s="172">
        <v>46053.48421296296</v>
      </c>
      <c r="Y2255" s="172"/>
      <c r="Z2255" s="3">
        <v>46052.0</v>
      </c>
      <c r="AA2255" s="3"/>
    </row>
    <row r="2256">
      <c r="A2256" s="3">
        <v>6.888355725571E12</v>
      </c>
      <c r="B2256" s="2" t="s">
        <v>9439</v>
      </c>
      <c r="C2256" s="2" t="s">
        <v>9440</v>
      </c>
      <c r="D2256" s="169">
        <v>46052.0</v>
      </c>
      <c r="E2256" s="173" t="s">
        <v>9441</v>
      </c>
      <c r="F2256" s="2" t="s">
        <v>9442</v>
      </c>
      <c r="G2256" s="2" t="s">
        <v>693</v>
      </c>
      <c r="H2256" s="2">
        <v>249.0</v>
      </c>
      <c r="I2256" s="2">
        <v>2.2120050021611E13</v>
      </c>
      <c r="J2256" s="3">
        <v>0.0</v>
      </c>
      <c r="K2256" s="2" t="s">
        <v>9443</v>
      </c>
      <c r="L2256" s="2"/>
      <c r="M2256" s="170" t="s">
        <v>455</v>
      </c>
      <c r="N2256" s="2" t="s">
        <v>406</v>
      </c>
      <c r="O2256" s="3">
        <v>0.5</v>
      </c>
      <c r="P2256" s="2" t="s">
        <v>73</v>
      </c>
      <c r="Q2256" s="3">
        <v>0.0</v>
      </c>
      <c r="U2256" s="141"/>
      <c r="W2256" s="3">
        <v>213.0</v>
      </c>
      <c r="X2256" s="172">
        <v>46064.81369728009</v>
      </c>
      <c r="Y2256" s="172"/>
      <c r="Z2256" s="3">
        <v>46052.0</v>
      </c>
      <c r="AA2256" s="3"/>
    </row>
    <row r="2257">
      <c r="A2257" s="3">
        <v>6.888383447299E12</v>
      </c>
      <c r="B2257" s="2" t="s">
        <v>9444</v>
      </c>
      <c r="C2257" s="2" t="s">
        <v>9445</v>
      </c>
      <c r="D2257" s="169">
        <v>46052.0</v>
      </c>
      <c r="E2257" s="2">
        <v>3.001619634E9</v>
      </c>
      <c r="F2257" s="2" t="s">
        <v>9446</v>
      </c>
      <c r="G2257" s="2" t="s">
        <v>7828</v>
      </c>
      <c r="H2257" s="2">
        <v>3099.0</v>
      </c>
      <c r="I2257" s="2">
        <v>2.212005002161E13</v>
      </c>
      <c r="J2257" s="3">
        <v>2.0</v>
      </c>
      <c r="K2257" s="2" t="s">
        <v>9447</v>
      </c>
      <c r="L2257" s="2" t="s">
        <v>9448</v>
      </c>
      <c r="M2257" s="2" t="s">
        <v>409</v>
      </c>
      <c r="N2257" s="2" t="s">
        <v>462</v>
      </c>
      <c r="O2257" s="3">
        <v>0.5</v>
      </c>
      <c r="P2257" s="2" t="s">
        <v>73</v>
      </c>
      <c r="Q2257" s="3">
        <v>940.0</v>
      </c>
      <c r="T2257" s="2" t="s">
        <v>9018</v>
      </c>
      <c r="U2257" s="171">
        <v>3099.0</v>
      </c>
      <c r="V2257" s="172">
        <v>46066.0</v>
      </c>
      <c r="W2257" s="3">
        <v>324.0</v>
      </c>
      <c r="X2257" s="172">
        <v>46065.64698340278</v>
      </c>
      <c r="Y2257" s="172"/>
      <c r="Z2257" s="3">
        <v>46052.0</v>
      </c>
      <c r="AA2257" s="3"/>
    </row>
    <row r="2258">
      <c r="A2258" s="3">
        <v>6.888393834755E12</v>
      </c>
      <c r="B2258" s="2" t="s">
        <v>9449</v>
      </c>
      <c r="C2258" s="2" t="s">
        <v>9450</v>
      </c>
      <c r="D2258" s="169">
        <v>46052.0</v>
      </c>
      <c r="E2258" s="173" t="s">
        <v>9451</v>
      </c>
      <c r="F2258" s="2" t="s">
        <v>9452</v>
      </c>
      <c r="G2258" s="2" t="s">
        <v>9453</v>
      </c>
      <c r="H2258" s="2">
        <v>3099.0</v>
      </c>
      <c r="I2258" s="2">
        <v>2.3120050021609E13</v>
      </c>
      <c r="J2258" s="3">
        <v>2.0</v>
      </c>
      <c r="K2258" s="2" t="s">
        <v>9454</v>
      </c>
      <c r="L2258" s="2" t="s">
        <v>2275</v>
      </c>
      <c r="M2258" s="174" t="s">
        <v>409</v>
      </c>
      <c r="N2258" s="2" t="s">
        <v>462</v>
      </c>
      <c r="O2258" s="3">
        <v>0.5</v>
      </c>
      <c r="P2258" s="2" t="s">
        <v>73</v>
      </c>
      <c r="Q2258" s="3">
        <v>960.0</v>
      </c>
      <c r="T2258" s="2" t="s">
        <v>9199</v>
      </c>
      <c r="U2258" s="171">
        <v>3099.0</v>
      </c>
      <c r="V2258" s="172">
        <v>46059.0</v>
      </c>
      <c r="W2258" s="3">
        <v>324.0</v>
      </c>
      <c r="X2258" s="172">
        <v>46056.591932870375</v>
      </c>
      <c r="Y2258" s="172"/>
      <c r="Z2258" s="3">
        <v>46052.0</v>
      </c>
      <c r="AA2258" s="3"/>
    </row>
    <row r="2259">
      <c r="A2259" s="3">
        <v>6.888399700227E12</v>
      </c>
      <c r="B2259" s="2" t="s">
        <v>9455</v>
      </c>
      <c r="C2259" s="2" t="s">
        <v>9456</v>
      </c>
      <c r="D2259" s="169">
        <v>46052.0</v>
      </c>
      <c r="E2259" s="173" t="s">
        <v>9457</v>
      </c>
      <c r="F2259" s="2" t="s">
        <v>9458</v>
      </c>
      <c r="G2259" s="2" t="s">
        <v>9459</v>
      </c>
      <c r="H2259" s="2">
        <v>249.0</v>
      </c>
      <c r="I2259" s="2">
        <v>2.7120050021608E13</v>
      </c>
      <c r="J2259" s="3">
        <v>0.0</v>
      </c>
      <c r="K2259" s="2" t="s">
        <v>9460</v>
      </c>
      <c r="L2259" s="2"/>
      <c r="M2259" s="170" t="s">
        <v>455</v>
      </c>
      <c r="N2259" s="2" t="s">
        <v>406</v>
      </c>
      <c r="O2259" s="3">
        <v>0.5</v>
      </c>
      <c r="P2259" s="2" t="s">
        <v>73</v>
      </c>
      <c r="Q2259" s="3">
        <v>0.0</v>
      </c>
      <c r="U2259" s="141"/>
      <c r="W2259" s="3">
        <v>213.0</v>
      </c>
      <c r="X2259" s="172">
        <v>46064.81370763889</v>
      </c>
      <c r="Y2259" s="172"/>
      <c r="Z2259" s="3">
        <v>46052.0</v>
      </c>
      <c r="AA2259" s="3"/>
    </row>
    <row r="2260">
      <c r="A2260" s="3">
        <v>6.888400421123E12</v>
      </c>
      <c r="B2260" s="2" t="s">
        <v>9461</v>
      </c>
      <c r="C2260" s="2" t="s">
        <v>9456</v>
      </c>
      <c r="D2260" s="169">
        <v>46052.0</v>
      </c>
      <c r="E2260" s="173" t="s">
        <v>9457</v>
      </c>
      <c r="F2260" s="2" t="s">
        <v>9458</v>
      </c>
      <c r="G2260" s="2" t="s">
        <v>9459</v>
      </c>
      <c r="H2260" s="2">
        <v>0.0</v>
      </c>
      <c r="J2260" s="3">
        <v>0.0</v>
      </c>
      <c r="K2260" s="2" t="s">
        <v>9462</v>
      </c>
      <c r="L2260" s="2"/>
      <c r="M2260" s="2" t="s">
        <v>468</v>
      </c>
      <c r="N2260" s="2" t="s">
        <v>406</v>
      </c>
      <c r="O2260" s="3">
        <v>0.5</v>
      </c>
      <c r="Q2260" s="3">
        <v>0.0</v>
      </c>
      <c r="U2260" s="141"/>
      <c r="X2260" s="172">
        <v>46057.642782905095</v>
      </c>
      <c r="Y2260" s="172"/>
      <c r="Z2260" s="3">
        <v>46052.0</v>
      </c>
      <c r="AA2260" s="3"/>
    </row>
    <row r="2261">
      <c r="A2261" s="3">
        <v>6.888488009987E12</v>
      </c>
      <c r="B2261" s="2" t="s">
        <v>9463</v>
      </c>
      <c r="C2261" s="2" t="s">
        <v>8450</v>
      </c>
      <c r="D2261" s="169">
        <v>46052.0</v>
      </c>
      <c r="E2261" s="2">
        <v>3.222718779E9</v>
      </c>
      <c r="F2261" s="2" t="s">
        <v>9464</v>
      </c>
      <c r="G2261" s="2" t="s">
        <v>493</v>
      </c>
      <c r="H2261" s="2">
        <v>249.0</v>
      </c>
      <c r="I2261" s="2">
        <v>2.8120050021647E13</v>
      </c>
      <c r="J2261" s="3">
        <v>0.0</v>
      </c>
      <c r="K2261" s="2" t="s">
        <v>9465</v>
      </c>
      <c r="L2261" s="2"/>
      <c r="M2261" s="170" t="s">
        <v>455</v>
      </c>
      <c r="N2261" s="2" t="s">
        <v>406</v>
      </c>
      <c r="O2261" s="3">
        <v>0.5</v>
      </c>
      <c r="P2261" s="2" t="s">
        <v>73</v>
      </c>
      <c r="Q2261" s="3">
        <v>0.0</v>
      </c>
      <c r="U2261" s="141"/>
      <c r="W2261" s="3">
        <v>213.0</v>
      </c>
      <c r="X2261" s="172">
        <v>46064.81371333334</v>
      </c>
      <c r="Y2261" s="172"/>
      <c r="Z2261" s="3">
        <v>46052.0</v>
      </c>
      <c r="AA2261" s="3"/>
    </row>
    <row r="2262">
      <c r="A2262" s="3">
        <v>6.888506065155E12</v>
      </c>
      <c r="B2262" s="2" t="s">
        <v>9466</v>
      </c>
      <c r="C2262" s="2" t="s">
        <v>9467</v>
      </c>
      <c r="D2262" s="169">
        <v>46052.0</v>
      </c>
      <c r="E2262" s="173" t="s">
        <v>9468</v>
      </c>
      <c r="F2262" s="2" t="s">
        <v>9469</v>
      </c>
      <c r="G2262" s="2" t="s">
        <v>506</v>
      </c>
      <c r="H2262" s="2">
        <v>3099.0</v>
      </c>
      <c r="I2262" s="2">
        <v>2.8120050021631E13</v>
      </c>
      <c r="J2262" s="3">
        <v>2.0</v>
      </c>
      <c r="K2262" s="2" t="s">
        <v>9470</v>
      </c>
      <c r="L2262" s="2" t="s">
        <v>50</v>
      </c>
      <c r="M2262" s="2" t="s">
        <v>409</v>
      </c>
      <c r="N2262" s="2" t="s">
        <v>462</v>
      </c>
      <c r="O2262" s="3">
        <v>0.5</v>
      </c>
      <c r="P2262" s="2" t="s">
        <v>73</v>
      </c>
      <c r="Q2262" s="3">
        <v>920.0</v>
      </c>
      <c r="T2262" s="2" t="s">
        <v>9018</v>
      </c>
      <c r="U2262" s="171">
        <v>3099.0</v>
      </c>
      <c r="V2262" s="172">
        <v>46066.0</v>
      </c>
      <c r="W2262" s="3">
        <v>324.0</v>
      </c>
      <c r="X2262" s="172">
        <v>46064.79282512731</v>
      </c>
      <c r="Y2262" s="172"/>
      <c r="Z2262" s="3">
        <v>46052.0</v>
      </c>
      <c r="AA2262" s="3"/>
    </row>
    <row r="2263">
      <c r="A2263" s="3">
        <v>6.888548466947E12</v>
      </c>
      <c r="B2263" s="2" t="s">
        <v>9471</v>
      </c>
      <c r="C2263" s="2" t="s">
        <v>8252</v>
      </c>
      <c r="D2263" s="169">
        <v>46052.0</v>
      </c>
      <c r="E2263" s="173" t="s">
        <v>9472</v>
      </c>
      <c r="F2263" s="2" t="s">
        <v>8253</v>
      </c>
      <c r="G2263" s="2" t="s">
        <v>1434</v>
      </c>
      <c r="H2263" s="2">
        <v>4248.0</v>
      </c>
      <c r="I2263" s="2">
        <v>2.812005002163E13</v>
      </c>
      <c r="J2263" s="3">
        <v>2.0</v>
      </c>
      <c r="K2263" s="2" t="s">
        <v>9473</v>
      </c>
      <c r="L2263" s="2" t="s">
        <v>913</v>
      </c>
      <c r="M2263" s="174" t="s">
        <v>409</v>
      </c>
      <c r="N2263" s="2" t="s">
        <v>462</v>
      </c>
      <c r="O2263" s="3">
        <v>0.5</v>
      </c>
      <c r="P2263" s="2" t="s">
        <v>73</v>
      </c>
      <c r="Q2263" s="3">
        <v>1700.0</v>
      </c>
      <c r="T2263" s="2" t="s">
        <v>6193</v>
      </c>
      <c r="U2263" s="171">
        <v>4248.0</v>
      </c>
      <c r="V2263" s="172">
        <v>46056.0</v>
      </c>
      <c r="W2263" s="3">
        <v>390.0</v>
      </c>
      <c r="X2263" s="172">
        <v>46056.45302083333</v>
      </c>
      <c r="Y2263" s="172"/>
      <c r="Z2263" s="3">
        <v>46052.0</v>
      </c>
      <c r="AA2263" s="3"/>
    </row>
    <row r="2264">
      <c r="A2264" s="3">
        <v>6.888782790915E12</v>
      </c>
      <c r="B2264" s="2" t="s">
        <v>9474</v>
      </c>
      <c r="C2264" s="2" t="s">
        <v>9475</v>
      </c>
      <c r="D2264" s="169">
        <v>46052.0</v>
      </c>
      <c r="E2264" s="2">
        <v>3.438836095E9</v>
      </c>
      <c r="F2264" s="2" t="s">
        <v>9476</v>
      </c>
      <c r="G2264" s="2" t="s">
        <v>484</v>
      </c>
      <c r="H2264" s="2">
        <v>3099.0</v>
      </c>
      <c r="I2264" s="2">
        <v>2.4120050021646E13</v>
      </c>
      <c r="J2264" s="3">
        <v>2.0</v>
      </c>
      <c r="K2264" s="2" t="s">
        <v>9477</v>
      </c>
      <c r="L2264" s="2" t="s">
        <v>218</v>
      </c>
      <c r="M2264" s="2" t="s">
        <v>409</v>
      </c>
      <c r="N2264" s="2" t="s">
        <v>462</v>
      </c>
      <c r="O2264" s="3">
        <v>0.5</v>
      </c>
      <c r="P2264" s="2" t="s">
        <v>73</v>
      </c>
      <c r="Q2264" s="3">
        <v>920.0</v>
      </c>
      <c r="T2264" s="2" t="s">
        <v>9018</v>
      </c>
      <c r="U2264" s="171">
        <v>3099.0</v>
      </c>
      <c r="V2264" s="172">
        <v>46066.0</v>
      </c>
      <c r="W2264" s="3">
        <v>337.0</v>
      </c>
      <c r="X2264" s="172">
        <v>46065.751140567125</v>
      </c>
      <c r="Y2264" s="172"/>
      <c r="Z2264" s="3">
        <v>46052.0</v>
      </c>
      <c r="AA2264" s="3"/>
    </row>
    <row r="2265">
      <c r="A2265" s="3">
        <v>6.888822833411E12</v>
      </c>
      <c r="B2265" s="2" t="s">
        <v>9478</v>
      </c>
      <c r="C2265" s="2" t="s">
        <v>9479</v>
      </c>
      <c r="D2265" s="169">
        <v>46052.0</v>
      </c>
      <c r="E2265" s="2">
        <v>3.00643328E9</v>
      </c>
      <c r="F2265" s="2" t="s">
        <v>9480</v>
      </c>
      <c r="G2265" s="2" t="s">
        <v>855</v>
      </c>
      <c r="H2265" s="2">
        <v>3099.0</v>
      </c>
      <c r="I2265" s="2">
        <v>2.8120050021645E13</v>
      </c>
      <c r="J2265" s="3">
        <v>2.0</v>
      </c>
      <c r="K2265" s="2" t="s">
        <v>9481</v>
      </c>
      <c r="L2265" s="2" t="s">
        <v>1258</v>
      </c>
      <c r="M2265" s="174" t="s">
        <v>409</v>
      </c>
      <c r="N2265" s="2" t="s">
        <v>462</v>
      </c>
      <c r="O2265" s="3">
        <v>0.5</v>
      </c>
      <c r="P2265" s="2" t="s">
        <v>73</v>
      </c>
      <c r="Q2265" s="3">
        <v>960.0</v>
      </c>
      <c r="T2265" s="2" t="s">
        <v>9199</v>
      </c>
      <c r="U2265" s="171">
        <v>3099.0</v>
      </c>
      <c r="V2265" s="172">
        <v>46059.0</v>
      </c>
      <c r="W2265" s="3">
        <v>324.0</v>
      </c>
      <c r="X2265" s="172">
        <v>46057.67328703703</v>
      </c>
      <c r="Y2265" s="172"/>
      <c r="Z2265" s="3">
        <v>46052.0</v>
      </c>
      <c r="AA2265" s="3"/>
    </row>
    <row r="2266">
      <c r="A2266" s="3">
        <v>6.888887124227E12</v>
      </c>
      <c r="B2266" s="2" t="s">
        <v>9482</v>
      </c>
      <c r="C2266" s="2" t="s">
        <v>3505</v>
      </c>
      <c r="D2266" s="169">
        <v>46052.0</v>
      </c>
      <c r="E2266" s="2">
        <v>3.315526645E9</v>
      </c>
      <c r="F2266" s="2" t="s">
        <v>9483</v>
      </c>
      <c r="G2266" s="2" t="s">
        <v>9484</v>
      </c>
      <c r="H2266" s="2">
        <v>1999.0</v>
      </c>
      <c r="I2266" s="2" t="s">
        <v>9485</v>
      </c>
      <c r="J2266" s="3">
        <v>1.0</v>
      </c>
      <c r="K2266" s="2" t="s">
        <v>9486</v>
      </c>
      <c r="L2266" s="2" t="s">
        <v>8057</v>
      </c>
      <c r="M2266" s="2" t="s">
        <v>409</v>
      </c>
      <c r="N2266" s="2" t="s">
        <v>462</v>
      </c>
      <c r="O2266" s="3">
        <v>0.5</v>
      </c>
      <c r="P2266" s="2" t="s">
        <v>640</v>
      </c>
      <c r="Q2266" s="3">
        <v>1100.0</v>
      </c>
      <c r="T2266" s="2"/>
      <c r="U2266" s="171">
        <v>1999.0</v>
      </c>
      <c r="W2266" s="3">
        <v>301.5376</v>
      </c>
      <c r="X2266" s="172">
        <v>46068.00510597222</v>
      </c>
      <c r="Y2266" s="172"/>
      <c r="Z2266" s="3">
        <v>46052.0</v>
      </c>
      <c r="AA2266" s="3"/>
    </row>
    <row r="2267">
      <c r="A2267" s="3">
        <v>6.889153495299E12</v>
      </c>
      <c r="B2267" s="2" t="s">
        <v>9487</v>
      </c>
      <c r="C2267" s="2" t="s">
        <v>9488</v>
      </c>
      <c r="D2267" s="169">
        <v>46053.0</v>
      </c>
      <c r="E2267" s="2">
        <v>3.108407797E9</v>
      </c>
      <c r="F2267" s="2" t="s">
        <v>9489</v>
      </c>
      <c r="G2267" s="2" t="s">
        <v>9490</v>
      </c>
      <c r="H2267" s="2">
        <v>249.0</v>
      </c>
      <c r="I2267" s="2">
        <v>2.4120050021644E13</v>
      </c>
      <c r="J2267" s="3">
        <v>0.0</v>
      </c>
      <c r="K2267" s="2" t="s">
        <v>9491</v>
      </c>
      <c r="L2267" s="2"/>
      <c r="M2267" s="170" t="s">
        <v>455</v>
      </c>
      <c r="N2267" s="2" t="s">
        <v>406</v>
      </c>
      <c r="O2267" s="3">
        <v>0.5</v>
      </c>
      <c r="P2267" s="2" t="s">
        <v>73</v>
      </c>
      <c r="Q2267" s="3">
        <v>0.0</v>
      </c>
      <c r="U2267" s="141"/>
      <c r="W2267" s="3">
        <v>220.0</v>
      </c>
      <c r="X2267" s="172">
        <v>46069.95761974537</v>
      </c>
      <c r="Y2267" s="172"/>
      <c r="Z2267" s="3">
        <v>46053.0</v>
      </c>
      <c r="AA2267" s="3"/>
    </row>
    <row r="2268">
      <c r="A2268" s="3">
        <v>6.889155428611E12</v>
      </c>
      <c r="B2268" s="2" t="s">
        <v>9492</v>
      </c>
      <c r="C2268" s="2" t="s">
        <v>9493</v>
      </c>
      <c r="D2268" s="169">
        <v>46053.0</v>
      </c>
      <c r="E2268" s="2">
        <v>3.426575567E9</v>
      </c>
      <c r="F2268" s="2" t="s">
        <v>9494</v>
      </c>
      <c r="G2268" s="2" t="s">
        <v>8731</v>
      </c>
      <c r="H2268" s="2">
        <v>249.0</v>
      </c>
      <c r="I2268" s="2">
        <v>2.3120050021643E13</v>
      </c>
      <c r="J2268" s="3">
        <v>0.0</v>
      </c>
      <c r="K2268" s="2" t="s">
        <v>9495</v>
      </c>
      <c r="L2268" s="2"/>
      <c r="M2268" s="170" t="s">
        <v>455</v>
      </c>
      <c r="N2268" s="2" t="s">
        <v>406</v>
      </c>
      <c r="O2268" s="3">
        <v>0.5</v>
      </c>
      <c r="P2268" s="2" t="s">
        <v>73</v>
      </c>
      <c r="Q2268" s="3">
        <v>0.0</v>
      </c>
      <c r="U2268" s="141"/>
      <c r="W2268" s="3">
        <v>200.0</v>
      </c>
      <c r="X2268" s="172">
        <v>46070.91665630787</v>
      </c>
      <c r="Y2268" s="172"/>
      <c r="Z2268" s="3">
        <v>46053.0</v>
      </c>
      <c r="AA2268" s="3"/>
    </row>
    <row r="2269">
      <c r="A2269" s="3">
        <v>6.889191768323E12</v>
      </c>
      <c r="B2269" s="2" t="s">
        <v>9496</v>
      </c>
      <c r="C2269" s="2" t="s">
        <v>9497</v>
      </c>
      <c r="D2269" s="169">
        <v>46053.0</v>
      </c>
      <c r="E2269" s="2">
        <v>3.488414748E9</v>
      </c>
      <c r="F2269" s="2" t="s">
        <v>9498</v>
      </c>
      <c r="G2269" s="2" t="s">
        <v>506</v>
      </c>
      <c r="H2269" s="2">
        <v>249.0</v>
      </c>
      <c r="I2269" s="2">
        <v>2.8120050021642E13</v>
      </c>
      <c r="J2269" s="3">
        <v>0.0</v>
      </c>
      <c r="K2269" s="2" t="s">
        <v>9499</v>
      </c>
      <c r="L2269" s="2"/>
      <c r="M2269" s="170" t="s">
        <v>455</v>
      </c>
      <c r="N2269" s="2" t="s">
        <v>406</v>
      </c>
      <c r="O2269" s="3">
        <v>0.5</v>
      </c>
      <c r="P2269" s="2" t="s">
        <v>73</v>
      </c>
      <c r="Q2269" s="3">
        <v>0.0</v>
      </c>
      <c r="U2269" s="141"/>
      <c r="W2269" s="3">
        <v>200.0</v>
      </c>
      <c r="X2269" s="172">
        <v>46064.85693787037</v>
      </c>
      <c r="Y2269" s="172"/>
      <c r="Z2269" s="3">
        <v>46053.0</v>
      </c>
      <c r="AA2269" s="3"/>
    </row>
    <row r="2270">
      <c r="A2270" s="3">
        <v>6.889307767043E12</v>
      </c>
      <c r="B2270" s="2" t="s">
        <v>9500</v>
      </c>
      <c r="C2270" s="2" t="s">
        <v>9501</v>
      </c>
      <c r="D2270" s="169">
        <v>46053.0</v>
      </c>
      <c r="E2270" s="2">
        <v>3.114736998E9</v>
      </c>
      <c r="F2270" s="2" t="s">
        <v>9502</v>
      </c>
      <c r="G2270" s="2" t="s">
        <v>368</v>
      </c>
      <c r="H2270" s="2">
        <v>2749.0</v>
      </c>
      <c r="I2270" s="2">
        <v>2.0120050021641E13</v>
      </c>
      <c r="J2270" s="3">
        <v>2.0</v>
      </c>
      <c r="K2270" s="2" t="s">
        <v>9503</v>
      </c>
      <c r="L2270" s="2" t="s">
        <v>16</v>
      </c>
      <c r="M2270" s="2" t="s">
        <v>409</v>
      </c>
      <c r="N2270" s="2" t="s">
        <v>462</v>
      </c>
      <c r="O2270" s="3">
        <v>0.5</v>
      </c>
      <c r="P2270" s="2" t="s">
        <v>73</v>
      </c>
      <c r="Q2270" s="3">
        <v>980.0</v>
      </c>
      <c r="T2270" s="2" t="s">
        <v>9018</v>
      </c>
      <c r="U2270" s="171">
        <v>2749.0</v>
      </c>
      <c r="V2270" s="172">
        <v>46066.0</v>
      </c>
      <c r="W2270" s="3">
        <v>217.0</v>
      </c>
      <c r="X2270" s="172">
        <v>46063.77113436343</v>
      </c>
      <c r="Y2270" s="172"/>
      <c r="Z2270" s="3">
        <v>46053.0</v>
      </c>
      <c r="AA2270" s="3"/>
    </row>
    <row r="2271">
      <c r="A2271" s="3">
        <v>6.889363603715E12</v>
      </c>
      <c r="B2271" s="2" t="s">
        <v>9504</v>
      </c>
      <c r="C2271" s="2" t="s">
        <v>9505</v>
      </c>
      <c r="D2271" s="169">
        <v>46053.0</v>
      </c>
      <c r="E2271" s="2">
        <v>3.015827334E9</v>
      </c>
      <c r="F2271" s="2" t="s">
        <v>9506</v>
      </c>
      <c r="G2271" s="2" t="s">
        <v>506</v>
      </c>
      <c r="H2271" s="2">
        <v>2749.0</v>
      </c>
      <c r="I2271" s="2">
        <v>2.712005002164E13</v>
      </c>
      <c r="J2271" s="3">
        <v>2.0</v>
      </c>
      <c r="K2271" s="2" t="s">
        <v>9507</v>
      </c>
      <c r="L2271" s="2" t="s">
        <v>9508</v>
      </c>
      <c r="M2271" s="174" t="s">
        <v>409</v>
      </c>
      <c r="N2271" s="2" t="s">
        <v>462</v>
      </c>
      <c r="O2271" s="3">
        <v>0.5</v>
      </c>
      <c r="P2271" s="2" t="s">
        <v>73</v>
      </c>
      <c r="Q2271" s="3">
        <v>1500.0</v>
      </c>
      <c r="T2271" s="2" t="s">
        <v>6193</v>
      </c>
      <c r="U2271" s="171">
        <v>2749.0</v>
      </c>
      <c r="V2271" s="172">
        <v>46056.0</v>
      </c>
      <c r="W2271" s="3">
        <v>310.0</v>
      </c>
      <c r="X2271" s="172">
        <v>46055.61702546296</v>
      </c>
      <c r="Y2271" s="172"/>
      <c r="Z2271" s="3">
        <v>46053.0</v>
      </c>
      <c r="AA2271" s="3"/>
    </row>
    <row r="2272">
      <c r="A2272" s="3">
        <v>6.889385132291E12</v>
      </c>
      <c r="B2272" s="2" t="s">
        <v>9509</v>
      </c>
      <c r="C2272" s="2" t="s">
        <v>14</v>
      </c>
      <c r="D2272" s="169">
        <v>46053.0</v>
      </c>
      <c r="E2272" s="2">
        <v>3.14394498E9</v>
      </c>
      <c r="F2272" s="2" t="s">
        <v>15</v>
      </c>
      <c r="G2272" s="2" t="s">
        <v>672</v>
      </c>
      <c r="H2272" s="2">
        <v>249.0</v>
      </c>
      <c r="I2272" s="2">
        <v>2.4120050021639E13</v>
      </c>
      <c r="J2272" s="3">
        <v>0.0</v>
      </c>
      <c r="K2272" s="2" t="s">
        <v>9510</v>
      </c>
      <c r="L2272" s="2"/>
      <c r="M2272" s="170" t="s">
        <v>455</v>
      </c>
      <c r="N2272" s="2" t="s">
        <v>406</v>
      </c>
      <c r="O2272" s="3">
        <v>0.5</v>
      </c>
      <c r="P2272" s="2" t="s">
        <v>73</v>
      </c>
      <c r="Q2272" s="3">
        <v>0.0</v>
      </c>
      <c r="U2272" s="141"/>
      <c r="W2272" s="3">
        <v>213.0</v>
      </c>
      <c r="X2272" s="172">
        <v>46077.915961562496</v>
      </c>
      <c r="Y2272" s="172"/>
      <c r="Z2272" s="3">
        <v>46053.0</v>
      </c>
      <c r="AA2272" s="3"/>
    </row>
    <row r="2273">
      <c r="A2273" s="3">
        <v>6.889622569219E12</v>
      </c>
      <c r="B2273" s="2" t="s">
        <v>9511</v>
      </c>
      <c r="C2273" s="2" t="s">
        <v>9512</v>
      </c>
      <c r="D2273" s="169">
        <v>46053.0</v>
      </c>
      <c r="E2273" s="173" t="s">
        <v>9513</v>
      </c>
      <c r="F2273" s="2" t="s">
        <v>9514</v>
      </c>
      <c r="G2273" s="2" t="s">
        <v>493</v>
      </c>
      <c r="H2273" s="2">
        <v>3099.0</v>
      </c>
      <c r="I2273" s="2">
        <v>2.8120050021638E13</v>
      </c>
      <c r="J2273" s="3">
        <v>2.0</v>
      </c>
      <c r="K2273" s="2" t="s">
        <v>9515</v>
      </c>
      <c r="L2273" s="2" t="s">
        <v>9448</v>
      </c>
      <c r="M2273" s="2" t="s">
        <v>409</v>
      </c>
      <c r="N2273" s="2" t="s">
        <v>462</v>
      </c>
      <c r="O2273" s="3">
        <v>0.5</v>
      </c>
      <c r="P2273" s="2" t="s">
        <v>73</v>
      </c>
      <c r="Q2273" s="3">
        <v>940.0</v>
      </c>
      <c r="T2273" s="2" t="s">
        <v>8519</v>
      </c>
      <c r="U2273" s="171">
        <v>3099.0</v>
      </c>
      <c r="V2273" s="172">
        <v>46070.0</v>
      </c>
      <c r="W2273" s="3">
        <v>337.0</v>
      </c>
      <c r="X2273" s="172">
        <v>46067.81361304398</v>
      </c>
      <c r="Y2273" s="172"/>
      <c r="Z2273" s="3">
        <v>46053.0</v>
      </c>
      <c r="AA2273" s="3"/>
    </row>
    <row r="2274">
      <c r="A2274" s="3">
        <v>6.889634824451E12</v>
      </c>
      <c r="B2274" s="2" t="s">
        <v>9516</v>
      </c>
      <c r="C2274" s="2" t="s">
        <v>9517</v>
      </c>
      <c r="D2274" s="169">
        <v>46053.0</v>
      </c>
      <c r="E2274" s="2">
        <v>3.183504485E9</v>
      </c>
      <c r="F2274" s="2" t="s">
        <v>9518</v>
      </c>
      <c r="G2274" s="2" t="s">
        <v>9519</v>
      </c>
      <c r="H2274" s="2">
        <v>249.0</v>
      </c>
      <c r="I2274" s="2">
        <v>2.7120050021637E13</v>
      </c>
      <c r="J2274" s="3">
        <v>0.0</v>
      </c>
      <c r="K2274" s="2" t="s">
        <v>9520</v>
      </c>
      <c r="L2274" s="2"/>
      <c r="M2274" s="170" t="s">
        <v>455</v>
      </c>
      <c r="N2274" s="2" t="s">
        <v>406</v>
      </c>
      <c r="O2274" s="3">
        <v>0.5</v>
      </c>
      <c r="P2274" s="2" t="s">
        <v>73</v>
      </c>
      <c r="Q2274" s="3">
        <v>0.0</v>
      </c>
      <c r="U2274" s="141"/>
      <c r="W2274" s="3">
        <v>200.0</v>
      </c>
      <c r="X2274" s="172">
        <v>46070.916659166665</v>
      </c>
      <c r="Y2274" s="172"/>
      <c r="Z2274" s="3">
        <v>46053.0</v>
      </c>
      <c r="AA2274" s="3"/>
    </row>
    <row r="2275">
      <c r="A2275" s="3">
        <v>6.889666740483E12</v>
      </c>
      <c r="B2275" s="2" t="s">
        <v>9521</v>
      </c>
      <c r="C2275" s="2" t="s">
        <v>9522</v>
      </c>
      <c r="D2275" s="169">
        <v>46053.0</v>
      </c>
      <c r="E2275" s="2">
        <v>3.136393127E9</v>
      </c>
      <c r="F2275" s="2" t="s">
        <v>9523</v>
      </c>
      <c r="G2275" s="2" t="s">
        <v>541</v>
      </c>
      <c r="H2275" s="2">
        <v>249.0</v>
      </c>
      <c r="I2275" s="2">
        <v>2.2120050021636E13</v>
      </c>
      <c r="J2275" s="3">
        <v>0.0</v>
      </c>
      <c r="K2275" s="2" t="s">
        <v>9524</v>
      </c>
      <c r="L2275" s="2"/>
      <c r="M2275" s="170" t="s">
        <v>455</v>
      </c>
      <c r="N2275" s="2" t="s">
        <v>406</v>
      </c>
      <c r="O2275" s="3">
        <v>0.5</v>
      </c>
      <c r="P2275" s="2" t="s">
        <v>73</v>
      </c>
      <c r="Q2275" s="3">
        <v>0.0</v>
      </c>
      <c r="U2275" s="141"/>
      <c r="W2275" s="3">
        <v>200.0</v>
      </c>
      <c r="X2275" s="172">
        <v>46063.02113255787</v>
      </c>
      <c r="Y2275" s="172"/>
      <c r="Z2275" s="3">
        <v>46053.0</v>
      </c>
      <c r="AA2275" s="3"/>
    </row>
    <row r="2276">
      <c r="A2276" s="3">
        <v>6.889712845059E12</v>
      </c>
      <c r="B2276" s="2" t="s">
        <v>9525</v>
      </c>
      <c r="C2276" s="2" t="s">
        <v>9526</v>
      </c>
      <c r="D2276" s="169">
        <v>46053.0</v>
      </c>
      <c r="E2276" s="2">
        <v>3.091582373E9</v>
      </c>
      <c r="F2276" s="2" t="s">
        <v>9527</v>
      </c>
      <c r="G2276" s="2" t="s">
        <v>958</v>
      </c>
      <c r="H2276" s="2">
        <v>2849.0</v>
      </c>
      <c r="I2276" s="2">
        <v>2.5120050021635E13</v>
      </c>
      <c r="J2276" s="3">
        <v>2.0</v>
      </c>
      <c r="K2276" s="2" t="s">
        <v>9528</v>
      </c>
      <c r="L2276" s="2" t="s">
        <v>4209</v>
      </c>
      <c r="M2276" s="174" t="s">
        <v>409</v>
      </c>
      <c r="N2276" s="2" t="s">
        <v>462</v>
      </c>
      <c r="O2276" s="3">
        <v>0.5</v>
      </c>
      <c r="P2276" s="2" t="s">
        <v>73</v>
      </c>
      <c r="Q2276" s="3">
        <v>920.0</v>
      </c>
      <c r="T2276" s="2" t="s">
        <v>6193</v>
      </c>
      <c r="U2276" s="171">
        <v>2849.0</v>
      </c>
      <c r="V2276" s="172">
        <v>46056.0</v>
      </c>
      <c r="W2276" s="3">
        <v>314.0</v>
      </c>
      <c r="X2276" s="172">
        <v>46055.628009259264</v>
      </c>
      <c r="Y2276" s="172"/>
      <c r="Z2276" s="3">
        <v>46053.0</v>
      </c>
      <c r="AA2276" s="3"/>
    </row>
    <row r="2277">
      <c r="A2277" s="3">
        <v>6.889724510467E12</v>
      </c>
      <c r="B2277" s="2" t="s">
        <v>9529</v>
      </c>
      <c r="C2277" s="2" t="s">
        <v>9530</v>
      </c>
      <c r="D2277" s="169">
        <v>46053.0</v>
      </c>
      <c r="E2277" s="173" t="s">
        <v>9531</v>
      </c>
      <c r="F2277" s="2" t="s">
        <v>9532</v>
      </c>
      <c r="G2277" s="2" t="s">
        <v>9533</v>
      </c>
      <c r="H2277" s="2">
        <v>249.0</v>
      </c>
      <c r="I2277" s="2">
        <v>2.8120050021693E13</v>
      </c>
      <c r="J2277" s="3">
        <v>0.0</v>
      </c>
      <c r="K2277" s="2" t="s">
        <v>9534</v>
      </c>
      <c r="L2277" s="2"/>
      <c r="M2277" s="170" t="s">
        <v>455</v>
      </c>
      <c r="N2277" s="2" t="s">
        <v>406</v>
      </c>
      <c r="O2277" s="3">
        <v>0.5</v>
      </c>
      <c r="P2277" s="2" t="s">
        <v>73</v>
      </c>
      <c r="Q2277" s="3">
        <v>0.0</v>
      </c>
      <c r="U2277" s="141"/>
      <c r="W2277" s="3">
        <v>213.0</v>
      </c>
      <c r="X2277" s="172">
        <v>46064.813754953706</v>
      </c>
      <c r="Y2277" s="172"/>
      <c r="Z2277" s="3">
        <v>46053.0</v>
      </c>
      <c r="AA2277" s="3"/>
    </row>
    <row r="2278">
      <c r="A2278" s="3">
        <v>6.889794240771E12</v>
      </c>
      <c r="B2278" s="2" t="s">
        <v>9535</v>
      </c>
      <c r="C2278" s="2" t="s">
        <v>9536</v>
      </c>
      <c r="D2278" s="169">
        <v>46053.0</v>
      </c>
      <c r="E2278" s="2">
        <v>3.028241535E9</v>
      </c>
      <c r="F2278" s="2" t="s">
        <v>9537</v>
      </c>
      <c r="G2278" s="2" t="s">
        <v>493</v>
      </c>
      <c r="H2278" s="2">
        <v>7850.0</v>
      </c>
      <c r="I2278" s="2">
        <v>2.1120050021634E13</v>
      </c>
      <c r="J2278" s="3">
        <v>5.0</v>
      </c>
      <c r="K2278" s="2" t="s">
        <v>9538</v>
      </c>
      <c r="L2278" s="2" t="s">
        <v>9539</v>
      </c>
      <c r="M2278" s="174" t="s">
        <v>409</v>
      </c>
      <c r="N2278" s="2" t="s">
        <v>462</v>
      </c>
      <c r="O2278" s="3">
        <v>0.5</v>
      </c>
      <c r="P2278" s="2" t="s">
        <v>73</v>
      </c>
      <c r="Q2278" s="3">
        <v>3850.0</v>
      </c>
      <c r="T2278" s="2" t="s">
        <v>9199</v>
      </c>
      <c r="U2278" s="171">
        <v>7850.0</v>
      </c>
      <c r="V2278" s="172">
        <v>46059.0</v>
      </c>
      <c r="W2278" s="3">
        <v>634.0</v>
      </c>
      <c r="X2278" s="172">
        <v>46056.57173611112</v>
      </c>
      <c r="Y2278" s="172"/>
      <c r="Z2278" s="3">
        <v>46053.0</v>
      </c>
      <c r="AA2278" s="3"/>
    </row>
    <row r="2279">
      <c r="A2279" s="3">
        <v>6.889910141187E12</v>
      </c>
      <c r="B2279" s="2" t="s">
        <v>9540</v>
      </c>
      <c r="C2279" s="2" t="s">
        <v>7739</v>
      </c>
      <c r="D2279" s="169">
        <v>46053.0</v>
      </c>
      <c r="E2279" s="2">
        <v>3.212099866E9</v>
      </c>
      <c r="F2279" s="2" t="s">
        <v>7740</v>
      </c>
      <c r="G2279" s="2" t="s">
        <v>493</v>
      </c>
      <c r="H2279" s="2">
        <v>3100.0</v>
      </c>
      <c r="I2279" s="2">
        <v>2.9120050021652E13</v>
      </c>
      <c r="J2279" s="3">
        <v>2.0</v>
      </c>
      <c r="K2279" s="2" t="s">
        <v>9541</v>
      </c>
      <c r="L2279" s="2" t="s">
        <v>9542</v>
      </c>
      <c r="M2279" s="174" t="s">
        <v>409</v>
      </c>
      <c r="N2279" s="2" t="s">
        <v>462</v>
      </c>
      <c r="O2279" s="3">
        <v>0.5</v>
      </c>
      <c r="P2279" s="2" t="s">
        <v>73</v>
      </c>
      <c r="Q2279" s="3">
        <v>950.0</v>
      </c>
      <c r="T2279" s="2" t="s">
        <v>9199</v>
      </c>
      <c r="U2279" s="19">
        <v>3100.0</v>
      </c>
      <c r="V2279" s="172">
        <v>46059.0</v>
      </c>
      <c r="W2279" s="3">
        <v>223.0</v>
      </c>
      <c r="X2279" s="172">
        <v>46058.85365740741</v>
      </c>
      <c r="Y2279" s="172"/>
      <c r="Z2279" s="3">
        <v>46053.0</v>
      </c>
      <c r="AA2279" s="3"/>
    </row>
    <row r="2280">
      <c r="A2280" s="3">
        <v>6.889916662019E12</v>
      </c>
      <c r="B2280" s="2" t="s">
        <v>9543</v>
      </c>
      <c r="C2280" s="2" t="s">
        <v>7374</v>
      </c>
      <c r="D2280" s="169">
        <v>46053.0</v>
      </c>
      <c r="E2280" s="2">
        <v>3.45220802E9</v>
      </c>
      <c r="F2280" s="2" t="s">
        <v>7375</v>
      </c>
      <c r="G2280" s="2" t="s">
        <v>493</v>
      </c>
      <c r="H2280" s="2">
        <v>3100.0</v>
      </c>
      <c r="I2280" s="2">
        <v>2.3120050021651E13</v>
      </c>
      <c r="J2280" s="3">
        <v>2.0</v>
      </c>
      <c r="K2280" s="2" t="s">
        <v>9544</v>
      </c>
      <c r="L2280" s="2" t="s">
        <v>2562</v>
      </c>
      <c r="M2280" s="2" t="s">
        <v>409</v>
      </c>
      <c r="N2280" s="2" t="s">
        <v>462</v>
      </c>
      <c r="O2280" s="3">
        <v>0.5</v>
      </c>
      <c r="P2280" s="2" t="s">
        <v>73</v>
      </c>
      <c r="Q2280" s="3">
        <v>1000.0</v>
      </c>
      <c r="T2280" s="2" t="s">
        <v>8519</v>
      </c>
      <c r="U2280" s="2">
        <v>3100.0</v>
      </c>
      <c r="V2280" s="172">
        <v>46070.0</v>
      </c>
      <c r="W2280" s="3">
        <v>223.0</v>
      </c>
      <c r="X2280" s="172">
        <v>46067.5428000463</v>
      </c>
      <c r="Y2280" s="172"/>
      <c r="Z2280" s="3">
        <v>46053.0</v>
      </c>
      <c r="AA2280" s="3"/>
    </row>
    <row r="2281">
      <c r="A2281" s="3">
        <v>6.889949790467E12</v>
      </c>
      <c r="B2281" s="2" t="s">
        <v>9545</v>
      </c>
      <c r="C2281" s="2" t="s">
        <v>9068</v>
      </c>
      <c r="D2281" s="169">
        <v>46053.0</v>
      </c>
      <c r="E2281" s="2" t="s">
        <v>9546</v>
      </c>
      <c r="F2281" s="2" t="s">
        <v>9547</v>
      </c>
      <c r="G2281" s="2" t="s">
        <v>688</v>
      </c>
      <c r="H2281" s="2">
        <v>3099.0</v>
      </c>
      <c r="I2281" s="2">
        <v>2.2120050021633E13</v>
      </c>
      <c r="J2281" s="3">
        <v>2.0</v>
      </c>
      <c r="K2281" s="2" t="s">
        <v>9548</v>
      </c>
      <c r="L2281" s="2" t="s">
        <v>9549</v>
      </c>
      <c r="M2281" s="174" t="s">
        <v>409</v>
      </c>
      <c r="N2281" s="2" t="s">
        <v>462</v>
      </c>
      <c r="O2281" s="3">
        <v>0.5</v>
      </c>
      <c r="P2281" s="2" t="s">
        <v>73</v>
      </c>
      <c r="Q2281" s="3">
        <v>960.0</v>
      </c>
      <c r="T2281" s="2" t="s">
        <v>6193</v>
      </c>
      <c r="U2281" s="171">
        <v>3099.0</v>
      </c>
      <c r="V2281" s="172">
        <v>46056.0</v>
      </c>
      <c r="W2281" s="3">
        <v>324.0</v>
      </c>
      <c r="X2281" s="172">
        <v>46055.776979166665</v>
      </c>
      <c r="Y2281" s="172"/>
      <c r="Z2281" s="3">
        <v>46053.0</v>
      </c>
      <c r="AA2281" s="3"/>
    </row>
    <row r="2282">
      <c r="A2282" s="3">
        <v>6.889956966659E12</v>
      </c>
      <c r="B2282" s="2" t="s">
        <v>9550</v>
      </c>
      <c r="C2282" s="2" t="s">
        <v>9551</v>
      </c>
      <c r="D2282" s="169">
        <v>46053.0</v>
      </c>
      <c r="E2282" s="173" t="s">
        <v>9552</v>
      </c>
      <c r="F2282" s="2" t="s">
        <v>9553</v>
      </c>
      <c r="G2282" s="2" t="s">
        <v>4067</v>
      </c>
      <c r="H2282" s="2">
        <v>2750.0</v>
      </c>
      <c r="I2282" s="2">
        <v>2.2120050021632E13</v>
      </c>
      <c r="J2282" s="3">
        <v>2.0</v>
      </c>
      <c r="K2282" s="2" t="s">
        <v>9554</v>
      </c>
      <c r="L2282" s="2" t="s">
        <v>9555</v>
      </c>
      <c r="M2282" s="2" t="s">
        <v>409</v>
      </c>
      <c r="N2282" s="2" t="s">
        <v>462</v>
      </c>
      <c r="O2282" s="3">
        <v>0.5</v>
      </c>
      <c r="P2282" s="2" t="s">
        <v>73</v>
      </c>
      <c r="Q2282" s="3">
        <v>980.0</v>
      </c>
      <c r="T2282" s="2" t="s">
        <v>8902</v>
      </c>
      <c r="U2282" s="171">
        <v>2750.0</v>
      </c>
      <c r="V2282" s="172">
        <v>46063.0</v>
      </c>
      <c r="W2282" s="3">
        <v>323.0</v>
      </c>
      <c r="X2282" s="172">
        <v>46059.702099710645</v>
      </c>
      <c r="Y2282" s="172"/>
      <c r="Z2282" s="3">
        <v>46053.0</v>
      </c>
      <c r="AA2282" s="3"/>
    </row>
    <row r="2283">
      <c r="A2283" s="3">
        <v>6.889965388035E12</v>
      </c>
      <c r="B2283" s="2" t="s">
        <v>9556</v>
      </c>
      <c r="C2283" s="2" t="s">
        <v>9557</v>
      </c>
      <c r="D2283" s="169">
        <v>46053.0</v>
      </c>
      <c r="E2283" s="173" t="s">
        <v>9558</v>
      </c>
      <c r="F2283" s="2" t="s">
        <v>9559</v>
      </c>
      <c r="G2283" s="2" t="s">
        <v>6815</v>
      </c>
      <c r="H2283" s="2">
        <v>2093.0</v>
      </c>
      <c r="I2283" s="2">
        <v>2.812005002165E13</v>
      </c>
      <c r="J2283" s="3">
        <v>1.0</v>
      </c>
      <c r="K2283" s="2" t="s">
        <v>9560</v>
      </c>
      <c r="L2283" s="2" t="s">
        <v>9561</v>
      </c>
      <c r="M2283" s="2" t="s">
        <v>409</v>
      </c>
      <c r="N2283" s="2" t="s">
        <v>462</v>
      </c>
      <c r="O2283" s="3">
        <v>0.5</v>
      </c>
      <c r="P2283" s="2" t="s">
        <v>73</v>
      </c>
      <c r="Q2283" s="3">
        <v>525.0</v>
      </c>
      <c r="T2283" s="2" t="s">
        <v>8902</v>
      </c>
      <c r="U2283" s="171">
        <v>2093.0</v>
      </c>
      <c r="V2283" s="172">
        <v>46063.0</v>
      </c>
      <c r="W2283" s="3">
        <v>284.0</v>
      </c>
      <c r="X2283" s="172">
        <v>46062.77120378472</v>
      </c>
      <c r="Y2283" s="172"/>
      <c r="Z2283" s="3">
        <v>46053.0</v>
      </c>
      <c r="AA2283" s="3"/>
    </row>
    <row r="2284">
      <c r="A2284" s="3">
        <v>6.889973088515E12</v>
      </c>
      <c r="B2284" s="2" t="s">
        <v>9562</v>
      </c>
      <c r="C2284" s="2" t="s">
        <v>7630</v>
      </c>
      <c r="D2284" s="169">
        <v>46053.0</v>
      </c>
      <c r="E2284" s="2">
        <v>3.346818886E9</v>
      </c>
      <c r="F2284" s="2" t="s">
        <v>7631</v>
      </c>
      <c r="G2284" s="2" t="s">
        <v>493</v>
      </c>
      <c r="H2284" s="2">
        <v>4249.0</v>
      </c>
      <c r="I2284" s="2">
        <v>2.0120050021649E13</v>
      </c>
      <c r="J2284" s="3">
        <v>2.0</v>
      </c>
      <c r="K2284" s="2" t="s">
        <v>9563</v>
      </c>
      <c r="L2284" s="2" t="s">
        <v>994</v>
      </c>
      <c r="M2284" s="174" t="s">
        <v>409</v>
      </c>
      <c r="N2284" s="2" t="s">
        <v>406</v>
      </c>
      <c r="O2284" s="3">
        <v>0.5</v>
      </c>
      <c r="P2284" s="2" t="s">
        <v>73</v>
      </c>
      <c r="Q2284" s="3">
        <v>1700.0</v>
      </c>
      <c r="T2284" s="2" t="s">
        <v>9199</v>
      </c>
      <c r="U2284" s="19">
        <v>4249.0</v>
      </c>
      <c r="V2284" s="172">
        <v>46059.0</v>
      </c>
      <c r="W2284" s="3">
        <v>237.0</v>
      </c>
      <c r="X2284" s="172">
        <v>46056.624502314815</v>
      </c>
      <c r="Y2284" s="172"/>
      <c r="Z2284" s="3">
        <v>46053.0</v>
      </c>
      <c r="AA2284" s="3"/>
    </row>
    <row r="2285">
      <c r="A2285" s="3">
        <v>6.890073489667E12</v>
      </c>
      <c r="B2285" s="2" t="s">
        <v>9564</v>
      </c>
      <c r="C2285" s="2" t="s">
        <v>9565</v>
      </c>
      <c r="D2285" s="169">
        <v>46053.0</v>
      </c>
      <c r="E2285" s="173" t="s">
        <v>9566</v>
      </c>
      <c r="F2285" s="2" t="s">
        <v>9567</v>
      </c>
      <c r="G2285" s="2" t="s">
        <v>9568</v>
      </c>
      <c r="H2285" s="2">
        <v>3099.0</v>
      </c>
      <c r="I2285" s="2">
        <v>2.6120050021648E13</v>
      </c>
      <c r="J2285" s="3">
        <v>2.0</v>
      </c>
      <c r="K2285" s="2" t="s">
        <v>9569</v>
      </c>
      <c r="L2285" s="2" t="s">
        <v>9570</v>
      </c>
      <c r="M2285" s="174" t="s">
        <v>409</v>
      </c>
      <c r="N2285" s="2" t="s">
        <v>462</v>
      </c>
      <c r="O2285" s="3">
        <v>0.5</v>
      </c>
      <c r="P2285" s="2" t="s">
        <v>73</v>
      </c>
      <c r="Q2285" s="3">
        <v>940.0</v>
      </c>
      <c r="T2285" s="2" t="s">
        <v>9199</v>
      </c>
      <c r="U2285" s="171">
        <v>3099.0</v>
      </c>
      <c r="V2285" s="172">
        <v>46059.0</v>
      </c>
      <c r="W2285" s="3">
        <v>337.0</v>
      </c>
      <c r="X2285" s="172">
        <v>46057.627812499995</v>
      </c>
      <c r="Y2285" s="172"/>
      <c r="Z2285" s="3">
        <v>46053.0</v>
      </c>
      <c r="AA2285" s="3"/>
    </row>
    <row r="2286">
      <c r="A2286" s="3">
        <v>6.890133258499E12</v>
      </c>
      <c r="B2286" s="2" t="s">
        <v>9571</v>
      </c>
      <c r="C2286" s="2" t="s">
        <v>9572</v>
      </c>
      <c r="D2286" s="169">
        <v>46053.0</v>
      </c>
      <c r="E2286" s="2">
        <v>3.452001269E9</v>
      </c>
      <c r="F2286" s="2" t="s">
        <v>9573</v>
      </c>
      <c r="G2286" s="2" t="s">
        <v>493</v>
      </c>
      <c r="H2286" s="2">
        <v>3099.0</v>
      </c>
      <c r="I2286" s="2">
        <v>2.8120050021692E13</v>
      </c>
      <c r="J2286" s="3">
        <v>2.0</v>
      </c>
      <c r="K2286" s="2" t="s">
        <v>9574</v>
      </c>
      <c r="L2286" s="2" t="s">
        <v>275</v>
      </c>
      <c r="M2286" s="2" t="s">
        <v>409</v>
      </c>
      <c r="N2286" s="2" t="s">
        <v>462</v>
      </c>
      <c r="O2286" s="3">
        <v>0.5</v>
      </c>
      <c r="P2286" s="2" t="s">
        <v>73</v>
      </c>
      <c r="Q2286" s="3">
        <v>960.0</v>
      </c>
      <c r="T2286" s="2" t="s">
        <v>8902</v>
      </c>
      <c r="U2286" s="171">
        <v>3099.0</v>
      </c>
      <c r="V2286" s="172">
        <v>46063.0</v>
      </c>
      <c r="W2286" s="3">
        <v>337.0</v>
      </c>
      <c r="X2286" s="172">
        <v>46060.021205</v>
      </c>
      <c r="Y2286" s="172"/>
      <c r="Z2286" s="3">
        <v>46053.0</v>
      </c>
      <c r="AA2286" s="3"/>
    </row>
    <row r="2287">
      <c r="A2287" s="3">
        <v>6.890299490563E12</v>
      </c>
      <c r="B2287" s="2" t="s">
        <v>9575</v>
      </c>
      <c r="C2287" s="2" t="s">
        <v>4530</v>
      </c>
      <c r="D2287" s="169">
        <v>46053.0</v>
      </c>
      <c r="E2287" s="2">
        <v>3.336386666E9</v>
      </c>
      <c r="F2287" s="2" t="s">
        <v>9576</v>
      </c>
      <c r="G2287" s="2" t="s">
        <v>1016</v>
      </c>
      <c r="H2287" s="2">
        <v>2849.0</v>
      </c>
      <c r="I2287" s="2">
        <v>2.9120050021691E13</v>
      </c>
      <c r="J2287" s="3">
        <v>2.0</v>
      </c>
      <c r="K2287" s="2" t="s">
        <v>9577</v>
      </c>
      <c r="L2287" s="2" t="s">
        <v>5839</v>
      </c>
      <c r="M2287" s="174" t="s">
        <v>409</v>
      </c>
      <c r="N2287" s="2" t="s">
        <v>462</v>
      </c>
      <c r="O2287" s="3">
        <v>0.5</v>
      </c>
      <c r="P2287" s="2" t="s">
        <v>73</v>
      </c>
      <c r="Q2287" s="3">
        <v>1050.0</v>
      </c>
      <c r="T2287" s="2" t="s">
        <v>9199</v>
      </c>
      <c r="U2287" s="171">
        <v>2849.0</v>
      </c>
      <c r="V2287" s="172">
        <v>46059.0</v>
      </c>
      <c r="W2287" s="3">
        <v>314.0</v>
      </c>
      <c r="X2287" s="172">
        <v>46057.65511574074</v>
      </c>
      <c r="Y2287" s="172"/>
      <c r="Z2287" s="3">
        <v>46053.0</v>
      </c>
      <c r="AA2287" s="3"/>
    </row>
    <row r="2288">
      <c r="A2288" s="3">
        <v>6.890360537347E12</v>
      </c>
      <c r="B2288" s="2" t="s">
        <v>9578</v>
      </c>
      <c r="C2288" s="2" t="s">
        <v>9579</v>
      </c>
      <c r="D2288" s="169">
        <v>46053.0</v>
      </c>
      <c r="E2288" s="2">
        <v>3.12113144E9</v>
      </c>
      <c r="F2288" s="2" t="s">
        <v>9580</v>
      </c>
      <c r="G2288" s="2" t="s">
        <v>493</v>
      </c>
      <c r="H2288" s="2">
        <v>1999.0</v>
      </c>
      <c r="I2288" s="2">
        <v>2.512005002169E13</v>
      </c>
      <c r="J2288" s="3">
        <v>1.0</v>
      </c>
      <c r="K2288" s="2" t="s">
        <v>9581</v>
      </c>
      <c r="L2288" s="2" t="s">
        <v>9582</v>
      </c>
      <c r="M2288" s="2" t="s">
        <v>409</v>
      </c>
      <c r="N2288" s="2" t="s">
        <v>462</v>
      </c>
      <c r="O2288" s="3">
        <v>0.5</v>
      </c>
      <c r="P2288" s="2" t="s">
        <v>73</v>
      </c>
      <c r="Q2288" s="3">
        <v>1000.0</v>
      </c>
      <c r="T2288" s="2" t="s">
        <v>8902</v>
      </c>
      <c r="U2288" s="171">
        <v>1999.0</v>
      </c>
      <c r="V2288" s="172">
        <v>46063.0</v>
      </c>
      <c r="W2288" s="3">
        <v>293.0</v>
      </c>
      <c r="X2288" s="172">
        <v>46059.702116817134</v>
      </c>
      <c r="Y2288" s="172"/>
      <c r="Z2288" s="3">
        <v>46053.0</v>
      </c>
      <c r="AA2288" s="3"/>
    </row>
    <row r="2289">
      <c r="A2289" s="3">
        <v>6.890490659075E12</v>
      </c>
      <c r="B2289" s="2" t="s">
        <v>9583</v>
      </c>
      <c r="C2289" s="2" t="s">
        <v>9584</v>
      </c>
      <c r="D2289" s="169">
        <v>46053.0</v>
      </c>
      <c r="E2289" s="2">
        <v>3.302426094E9</v>
      </c>
      <c r="F2289" s="2" t="s">
        <v>9585</v>
      </c>
      <c r="G2289" s="2" t="s">
        <v>493</v>
      </c>
      <c r="H2289" s="2">
        <v>1699.0</v>
      </c>
      <c r="I2289" s="2">
        <v>2.7120050021689E13</v>
      </c>
      <c r="J2289" s="3">
        <v>1.0</v>
      </c>
      <c r="K2289" s="2" t="s">
        <v>9586</v>
      </c>
      <c r="L2289" s="2" t="s">
        <v>1772</v>
      </c>
      <c r="M2289" s="2" t="s">
        <v>409</v>
      </c>
      <c r="N2289" s="2" t="s">
        <v>462</v>
      </c>
      <c r="O2289" s="3">
        <v>0.5</v>
      </c>
      <c r="P2289" s="2" t="s">
        <v>73</v>
      </c>
      <c r="Q2289" s="3">
        <v>550.0</v>
      </c>
      <c r="T2289" s="2" t="s">
        <v>8902</v>
      </c>
      <c r="U2289" s="171">
        <v>1699.0</v>
      </c>
      <c r="V2289" s="172">
        <v>46063.0</v>
      </c>
      <c r="W2289" s="3">
        <v>281.0</v>
      </c>
      <c r="X2289" s="172">
        <v>46060.7711400463</v>
      </c>
      <c r="Y2289" s="172"/>
      <c r="Z2289" s="3">
        <v>46053.0</v>
      </c>
      <c r="AA2289" s="3"/>
    </row>
    <row r="2290">
      <c r="A2290" s="3">
        <v>6.890491838723E12</v>
      </c>
      <c r="B2290" s="2" t="s">
        <v>9587</v>
      </c>
      <c r="C2290" s="2" t="s">
        <v>9588</v>
      </c>
      <c r="D2290" s="169">
        <v>46053.0</v>
      </c>
      <c r="E2290" s="2">
        <v>3.055140972E9</v>
      </c>
      <c r="F2290" s="2" t="s">
        <v>9589</v>
      </c>
      <c r="G2290" s="2" t="s">
        <v>9590</v>
      </c>
      <c r="H2290" s="2">
        <v>0.0</v>
      </c>
      <c r="J2290" s="3">
        <v>0.0</v>
      </c>
      <c r="K2290" s="2" t="s">
        <v>1610</v>
      </c>
      <c r="L2290" s="2"/>
      <c r="M2290" s="2" t="s">
        <v>468</v>
      </c>
      <c r="N2290" s="2" t="s">
        <v>406</v>
      </c>
      <c r="O2290" s="3">
        <v>0.5</v>
      </c>
      <c r="Q2290" s="3">
        <v>0.0</v>
      </c>
      <c r="U2290" s="141"/>
      <c r="X2290" s="172">
        <v>46057.642782916664</v>
      </c>
      <c r="Y2290" s="172"/>
      <c r="Z2290" s="3">
        <v>46053.0</v>
      </c>
      <c r="AA2290" s="3"/>
    </row>
    <row r="2291">
      <c r="A2291" s="3">
        <v>6.890494853379E12</v>
      </c>
      <c r="B2291" s="2" t="s">
        <v>9591</v>
      </c>
      <c r="C2291" s="2" t="s">
        <v>9588</v>
      </c>
      <c r="D2291" s="169">
        <v>46053.0</v>
      </c>
      <c r="E2291" s="2">
        <v>3.055140972E9</v>
      </c>
      <c r="F2291" s="2" t="s">
        <v>9592</v>
      </c>
      <c r="G2291" s="2" t="s">
        <v>9590</v>
      </c>
      <c r="H2291" s="2">
        <v>2799.0</v>
      </c>
      <c r="I2291" s="2">
        <v>2.3120050021688E13</v>
      </c>
      <c r="J2291" s="3">
        <v>1.0</v>
      </c>
      <c r="K2291" s="2" t="s">
        <v>9593</v>
      </c>
      <c r="L2291" s="2" t="s">
        <v>519</v>
      </c>
      <c r="M2291" s="174" t="s">
        <v>409</v>
      </c>
      <c r="N2291" s="2" t="s">
        <v>462</v>
      </c>
      <c r="O2291" s="3">
        <v>0.5</v>
      </c>
      <c r="P2291" s="2" t="s">
        <v>73</v>
      </c>
      <c r="Q2291" s="3">
        <v>850.0</v>
      </c>
      <c r="T2291" s="2" t="s">
        <v>9199</v>
      </c>
      <c r="U2291" s="171">
        <v>2799.0</v>
      </c>
      <c r="V2291" s="172">
        <v>46059.0</v>
      </c>
      <c r="W2291" s="3">
        <v>312.0</v>
      </c>
      <c r="X2291" s="172">
        <v>46057.55229166667</v>
      </c>
      <c r="Y2291" s="172"/>
      <c r="Z2291" s="3">
        <v>46053.0</v>
      </c>
      <c r="AA2291" s="3"/>
    </row>
    <row r="2292">
      <c r="A2292" s="3">
        <v>6.890531324163E12</v>
      </c>
      <c r="B2292" s="2" t="s">
        <v>9594</v>
      </c>
      <c r="C2292" s="2" t="s">
        <v>9595</v>
      </c>
      <c r="D2292" s="169">
        <v>46053.0</v>
      </c>
      <c r="E2292" s="2">
        <v>3.143703086E9</v>
      </c>
      <c r="F2292" s="2" t="s">
        <v>9596</v>
      </c>
      <c r="G2292" s="2" t="s">
        <v>9597</v>
      </c>
      <c r="H2292" s="2">
        <v>3099.0</v>
      </c>
      <c r="I2292" s="2">
        <v>2.7120050021687E13</v>
      </c>
      <c r="J2292" s="3">
        <v>2.0</v>
      </c>
      <c r="K2292" s="2" t="s">
        <v>9598</v>
      </c>
      <c r="L2292" s="2" t="s">
        <v>27</v>
      </c>
      <c r="M2292" s="2" t="s">
        <v>409</v>
      </c>
      <c r="N2292" s="2" t="s">
        <v>462</v>
      </c>
      <c r="O2292" s="3">
        <v>0.5</v>
      </c>
      <c r="P2292" s="2" t="s">
        <v>73</v>
      </c>
      <c r="Q2292" s="3">
        <v>920.0</v>
      </c>
      <c r="T2292" s="2" t="s">
        <v>9599</v>
      </c>
      <c r="U2292" s="171">
        <v>3099.0</v>
      </c>
      <c r="V2292" s="172">
        <v>46073.0</v>
      </c>
      <c r="W2292" s="3">
        <v>337.0</v>
      </c>
      <c r="X2292" s="172">
        <v>46071.66596064815</v>
      </c>
      <c r="Y2292" s="172"/>
      <c r="Z2292" s="3">
        <v>46053.0</v>
      </c>
      <c r="AA2292" s="3"/>
    </row>
    <row r="2293">
      <c r="A2293" s="3">
        <v>6.890644275459E12</v>
      </c>
      <c r="B2293" s="2" t="s">
        <v>9600</v>
      </c>
      <c r="C2293" s="2" t="s">
        <v>9601</v>
      </c>
      <c r="D2293" s="169">
        <v>46053.0</v>
      </c>
      <c r="E2293" s="173" t="s">
        <v>9602</v>
      </c>
      <c r="F2293" s="2" t="s">
        <v>9603</v>
      </c>
      <c r="G2293" s="2" t="s">
        <v>9604</v>
      </c>
      <c r="H2293" s="2">
        <v>2799.0</v>
      </c>
      <c r="I2293" s="2">
        <v>2.6120050021686E13</v>
      </c>
      <c r="J2293" s="3">
        <v>1.0</v>
      </c>
      <c r="K2293" s="2" t="s">
        <v>9605</v>
      </c>
      <c r="L2293" s="2" t="s">
        <v>519</v>
      </c>
      <c r="M2293" s="174" t="s">
        <v>409</v>
      </c>
      <c r="N2293" s="2" t="s">
        <v>462</v>
      </c>
      <c r="O2293" s="3">
        <v>0.5</v>
      </c>
      <c r="P2293" s="2" t="s">
        <v>73</v>
      </c>
      <c r="Q2293" s="3">
        <v>850.0</v>
      </c>
      <c r="T2293" s="2" t="s">
        <v>9199</v>
      </c>
      <c r="U2293" s="171">
        <v>2799.0</v>
      </c>
      <c r="V2293" s="172">
        <v>46059.0</v>
      </c>
      <c r="W2293" s="3">
        <v>332.0</v>
      </c>
      <c r="X2293" s="172">
        <v>46056.52173611111</v>
      </c>
      <c r="Y2293" s="172"/>
      <c r="Z2293" s="3">
        <v>46053.0</v>
      </c>
      <c r="AA2293" s="3"/>
    </row>
    <row r="2294">
      <c r="A2294" s="3">
        <v>6.890654728451E12</v>
      </c>
      <c r="B2294" s="2" t="s">
        <v>9606</v>
      </c>
      <c r="C2294" s="2" t="s">
        <v>9607</v>
      </c>
      <c r="D2294" s="169">
        <v>46053.0</v>
      </c>
      <c r="E2294" s="2">
        <v>3.334097133E9</v>
      </c>
      <c r="F2294" s="2" t="s">
        <v>9608</v>
      </c>
      <c r="G2294" s="2" t="s">
        <v>2675</v>
      </c>
      <c r="H2294" s="2">
        <v>3099.0</v>
      </c>
      <c r="I2294" s="2">
        <v>2.7120050021716E13</v>
      </c>
      <c r="J2294" s="3">
        <v>2.0</v>
      </c>
      <c r="K2294" s="2" t="s">
        <v>9609</v>
      </c>
      <c r="L2294" s="2" t="s">
        <v>40</v>
      </c>
      <c r="M2294" s="2" t="s">
        <v>409</v>
      </c>
      <c r="N2294" s="2" t="s">
        <v>462</v>
      </c>
      <c r="O2294" s="3">
        <v>0.5</v>
      </c>
      <c r="P2294" s="2" t="s">
        <v>73</v>
      </c>
      <c r="Q2294" s="3">
        <v>920.0</v>
      </c>
      <c r="T2294" s="2" t="s">
        <v>9018</v>
      </c>
      <c r="U2294" s="171">
        <v>3099.0</v>
      </c>
      <c r="V2294" s="172">
        <v>46066.0</v>
      </c>
      <c r="W2294" s="3">
        <v>324.0</v>
      </c>
      <c r="X2294" s="172">
        <v>46064.5209996875</v>
      </c>
      <c r="Y2294" s="172"/>
      <c r="Z2294" s="3">
        <v>46053.0</v>
      </c>
      <c r="AA2294" s="3"/>
    </row>
    <row r="2295">
      <c r="A2295" s="3">
        <v>6.890654957827E12</v>
      </c>
      <c r="B2295" s="2" t="s">
        <v>9610</v>
      </c>
      <c r="C2295" s="2" t="s">
        <v>9611</v>
      </c>
      <c r="D2295" s="169">
        <v>46053.0</v>
      </c>
      <c r="E2295" s="2">
        <v>3.275405851E9</v>
      </c>
      <c r="F2295" s="2" t="s">
        <v>9612</v>
      </c>
      <c r="G2295" s="2" t="s">
        <v>688</v>
      </c>
      <c r="H2295" s="2">
        <v>249.0</v>
      </c>
      <c r="I2295" s="2">
        <v>2.7120050021715E13</v>
      </c>
      <c r="J2295" s="3">
        <v>0.0</v>
      </c>
      <c r="K2295" s="2" t="s">
        <v>9613</v>
      </c>
      <c r="L2295" s="2"/>
      <c r="M2295" s="170" t="s">
        <v>455</v>
      </c>
      <c r="N2295" s="2" t="s">
        <v>406</v>
      </c>
      <c r="O2295" s="3">
        <v>0.5</v>
      </c>
      <c r="P2295" s="2" t="s">
        <v>73</v>
      </c>
      <c r="Q2295" s="3">
        <v>0.0</v>
      </c>
      <c r="U2295" s="141"/>
      <c r="W2295" s="3">
        <v>200.0</v>
      </c>
      <c r="X2295" s="172">
        <v>46070.91665929398</v>
      </c>
      <c r="Y2295" s="172"/>
      <c r="Z2295" s="3">
        <v>46053.0</v>
      </c>
      <c r="AA2295" s="3"/>
    </row>
    <row r="2296">
      <c r="A2296" s="3">
        <v>6.890810507523E12</v>
      </c>
      <c r="B2296" s="2" t="s">
        <v>9614</v>
      </c>
      <c r="C2296" s="2" t="s">
        <v>9615</v>
      </c>
      <c r="D2296" s="169">
        <v>46054.0</v>
      </c>
      <c r="E2296" s="2">
        <v>3.044791077E9</v>
      </c>
      <c r="F2296" s="2" t="s">
        <v>9616</v>
      </c>
      <c r="G2296" s="2" t="s">
        <v>368</v>
      </c>
      <c r="H2296" s="2">
        <v>249.0</v>
      </c>
      <c r="I2296" s="2">
        <v>2.2120050021685E13</v>
      </c>
      <c r="J2296" s="3">
        <v>0.0</v>
      </c>
      <c r="K2296" s="2" t="s">
        <v>9617</v>
      </c>
      <c r="L2296" s="2"/>
      <c r="M2296" s="170" t="s">
        <v>455</v>
      </c>
      <c r="N2296" s="2" t="s">
        <v>406</v>
      </c>
      <c r="O2296" s="3">
        <v>0.5</v>
      </c>
      <c r="P2296" s="2" t="s">
        <v>73</v>
      </c>
      <c r="Q2296" s="3">
        <v>0.0</v>
      </c>
      <c r="U2296" s="141"/>
      <c r="W2296" s="3">
        <v>107.0</v>
      </c>
      <c r="X2296" s="172">
        <v>46064.813773761576</v>
      </c>
      <c r="Y2296" s="172"/>
      <c r="Z2296" s="3">
        <v>46054.0</v>
      </c>
      <c r="AA2296" s="3"/>
    </row>
    <row r="2297">
      <c r="A2297" s="3">
        <v>6.890918674691E12</v>
      </c>
      <c r="B2297" s="2" t="s">
        <v>9618</v>
      </c>
      <c r="C2297" s="2" t="s">
        <v>9619</v>
      </c>
      <c r="D2297" s="169">
        <v>46054.0</v>
      </c>
      <c r="E2297" s="2">
        <v>3.49077882E9</v>
      </c>
      <c r="F2297" s="2" t="s">
        <v>9620</v>
      </c>
      <c r="G2297" s="2" t="s">
        <v>693</v>
      </c>
      <c r="H2297" s="2">
        <v>249.0</v>
      </c>
      <c r="I2297" s="2">
        <v>2.2120050021684E13</v>
      </c>
      <c r="J2297" s="3">
        <v>0.0</v>
      </c>
      <c r="K2297" s="2" t="s">
        <v>9621</v>
      </c>
      <c r="L2297" s="2"/>
      <c r="M2297" s="170" t="s">
        <v>455</v>
      </c>
      <c r="N2297" s="2" t="s">
        <v>406</v>
      </c>
      <c r="O2297" s="3">
        <v>0.5</v>
      </c>
      <c r="P2297" s="2" t="s">
        <v>73</v>
      </c>
      <c r="Q2297" s="3">
        <v>0.0</v>
      </c>
      <c r="U2297" s="141"/>
      <c r="W2297" s="3">
        <v>213.0</v>
      </c>
      <c r="X2297" s="172">
        <v>46064.85697890046</v>
      </c>
      <c r="Y2297" s="172"/>
      <c r="Z2297" s="3">
        <v>46054.0</v>
      </c>
      <c r="AA2297" s="3"/>
    </row>
    <row r="2298">
      <c r="A2298" s="3">
        <v>6.891205329155E12</v>
      </c>
      <c r="B2298" s="2" t="s">
        <v>9622</v>
      </c>
      <c r="C2298" s="2" t="s">
        <v>9623</v>
      </c>
      <c r="D2298" s="169">
        <v>46054.0</v>
      </c>
      <c r="E2298" s="2">
        <v>3.447697423E9</v>
      </c>
      <c r="F2298" s="2" t="s">
        <v>9624</v>
      </c>
      <c r="G2298" s="2" t="s">
        <v>3310</v>
      </c>
      <c r="H2298" s="2">
        <v>249.0</v>
      </c>
      <c r="I2298" s="2">
        <v>2.8120050021972E13</v>
      </c>
      <c r="J2298" s="3">
        <v>0.0</v>
      </c>
      <c r="K2298" s="2" t="s">
        <v>9625</v>
      </c>
      <c r="L2298" s="2"/>
      <c r="M2298" s="170" t="s">
        <v>455</v>
      </c>
      <c r="N2298" s="2" t="s">
        <v>406</v>
      </c>
      <c r="O2298" s="3">
        <v>0.5</v>
      </c>
      <c r="P2298" s="2" t="s">
        <v>73</v>
      </c>
      <c r="Q2298" s="3">
        <v>0.0</v>
      </c>
      <c r="U2298" s="141"/>
      <c r="W2298" s="3">
        <v>200.0</v>
      </c>
      <c r="X2298" s="172">
        <v>46080.874394618055</v>
      </c>
      <c r="Y2298" s="172"/>
      <c r="Z2298" s="3">
        <v>46054.0</v>
      </c>
      <c r="AA2298" s="3"/>
    </row>
    <row r="2299">
      <c r="A2299" s="3">
        <v>6.891321786627E12</v>
      </c>
      <c r="B2299" s="2" t="s">
        <v>9626</v>
      </c>
      <c r="C2299" s="2" t="s">
        <v>9627</v>
      </c>
      <c r="D2299" s="169">
        <v>46054.0</v>
      </c>
      <c r="E2299" s="2">
        <v>3.099515834E9</v>
      </c>
      <c r="F2299" s="2" t="s">
        <v>9628</v>
      </c>
      <c r="G2299" s="2" t="s">
        <v>1049</v>
      </c>
      <c r="H2299" s="2">
        <v>2049.0</v>
      </c>
      <c r="I2299" s="2">
        <v>1.73010701813E11</v>
      </c>
      <c r="J2299" s="3">
        <v>1.0</v>
      </c>
      <c r="K2299" s="2" t="s">
        <v>9629</v>
      </c>
      <c r="L2299" s="2" t="s">
        <v>9630</v>
      </c>
      <c r="M2299" s="2" t="s">
        <v>409</v>
      </c>
      <c r="N2299" s="2" t="s">
        <v>462</v>
      </c>
      <c r="O2299" s="3">
        <v>0.5</v>
      </c>
      <c r="P2299" s="2" t="s">
        <v>501</v>
      </c>
      <c r="Q2299" s="3">
        <v>360.0</v>
      </c>
      <c r="T2299" s="2"/>
      <c r="U2299" s="171">
        <v>2049.0</v>
      </c>
      <c r="W2299" s="3">
        <v>301.5376</v>
      </c>
      <c r="X2299" s="172">
        <v>46069.87442490741</v>
      </c>
      <c r="Y2299" s="172"/>
      <c r="Z2299" s="3">
        <v>46054.0</v>
      </c>
      <c r="AA2299" s="3"/>
    </row>
    <row r="2300">
      <c r="A2300" s="3">
        <v>6.891358224643E12</v>
      </c>
      <c r="B2300" s="2" t="s">
        <v>9631</v>
      </c>
      <c r="C2300" s="2" t="s">
        <v>9627</v>
      </c>
      <c r="D2300" s="169">
        <v>46054.0</v>
      </c>
      <c r="E2300" s="173" t="s">
        <v>9632</v>
      </c>
      <c r="F2300" s="2" t="s">
        <v>9633</v>
      </c>
      <c r="G2300" s="2" t="s">
        <v>1049</v>
      </c>
      <c r="H2300" s="2">
        <v>0.0</v>
      </c>
      <c r="J2300" s="3">
        <v>0.0</v>
      </c>
      <c r="K2300" s="2" t="s">
        <v>9634</v>
      </c>
      <c r="L2300" s="2"/>
      <c r="M2300" s="2" t="s">
        <v>468</v>
      </c>
      <c r="N2300" s="2" t="s">
        <v>406</v>
      </c>
      <c r="O2300" s="3">
        <v>0.5</v>
      </c>
      <c r="Q2300" s="3">
        <v>0.0</v>
      </c>
      <c r="U2300" s="141"/>
      <c r="X2300" s="172">
        <v>46057.642782916664</v>
      </c>
      <c r="Y2300" s="172"/>
      <c r="Z2300" s="3">
        <v>46054.0</v>
      </c>
      <c r="AA2300" s="3"/>
    </row>
    <row r="2301">
      <c r="A2301" s="3">
        <v>6.891459674371E12</v>
      </c>
      <c r="B2301" s="2" t="s">
        <v>9635</v>
      </c>
      <c r="C2301" s="2" t="s">
        <v>9636</v>
      </c>
      <c r="D2301" s="169">
        <v>46054.0</v>
      </c>
      <c r="E2301" s="2">
        <v>3.015882619E9</v>
      </c>
      <c r="F2301" s="2" t="s">
        <v>9637</v>
      </c>
      <c r="G2301" s="2" t="s">
        <v>5748</v>
      </c>
      <c r="H2301" s="2">
        <v>2849.0</v>
      </c>
      <c r="I2301" s="2">
        <v>2.7120050021683E13</v>
      </c>
      <c r="J2301" s="3">
        <v>2.0</v>
      </c>
      <c r="K2301" s="2" t="s">
        <v>9638</v>
      </c>
      <c r="L2301" s="2" t="s">
        <v>593</v>
      </c>
      <c r="M2301" s="174" t="s">
        <v>409</v>
      </c>
      <c r="N2301" s="2" t="s">
        <v>462</v>
      </c>
      <c r="O2301" s="3">
        <v>0.5</v>
      </c>
      <c r="P2301" s="2" t="s">
        <v>73</v>
      </c>
      <c r="Q2301" s="3">
        <v>1050.0</v>
      </c>
      <c r="T2301" s="2" t="s">
        <v>9199</v>
      </c>
      <c r="U2301" s="171">
        <v>2849.0</v>
      </c>
      <c r="V2301" s="172">
        <v>46059.0</v>
      </c>
      <c r="W2301" s="3">
        <v>314.0</v>
      </c>
      <c r="X2301" s="172">
        <v>46057.54756944445</v>
      </c>
      <c r="Y2301" s="172"/>
      <c r="Z2301" s="3">
        <v>46054.0</v>
      </c>
      <c r="AA2301" s="3"/>
    </row>
    <row r="2302">
      <c r="A2302" s="3">
        <v>6.891571773699E12</v>
      </c>
      <c r="B2302" s="2" t="s">
        <v>9639</v>
      </c>
      <c r="C2302" s="2" t="s">
        <v>9640</v>
      </c>
      <c r="D2302" s="169">
        <v>46054.0</v>
      </c>
      <c r="E2302" s="2">
        <v>3.03457396E9</v>
      </c>
      <c r="F2302" s="2" t="s">
        <v>9641</v>
      </c>
      <c r="G2302" s="2" t="s">
        <v>855</v>
      </c>
      <c r="H2302" s="2">
        <v>2849.0</v>
      </c>
      <c r="I2302" s="2">
        <v>2.9120050021682E13</v>
      </c>
      <c r="J2302" s="3">
        <v>2.0</v>
      </c>
      <c r="K2302" s="2" t="s">
        <v>9642</v>
      </c>
      <c r="L2302" s="2" t="s">
        <v>2324</v>
      </c>
      <c r="M2302" s="174" t="s">
        <v>409</v>
      </c>
      <c r="N2302" s="2" t="s">
        <v>462</v>
      </c>
      <c r="O2302" s="3">
        <v>0.5</v>
      </c>
      <c r="P2302" s="2" t="s">
        <v>73</v>
      </c>
      <c r="Q2302" s="3">
        <v>920.0</v>
      </c>
      <c r="T2302" s="2" t="s">
        <v>9199</v>
      </c>
      <c r="U2302" s="171">
        <v>2849.0</v>
      </c>
      <c r="V2302" s="172">
        <v>46059.0</v>
      </c>
      <c r="W2302" s="3">
        <v>314.0</v>
      </c>
      <c r="X2302" s="172">
        <v>46057.45505787037</v>
      </c>
      <c r="Y2302" s="172"/>
      <c r="Z2302" s="3">
        <v>46054.0</v>
      </c>
      <c r="AA2302" s="3"/>
    </row>
    <row r="2303">
      <c r="A2303" s="3">
        <v>6.891596218627E12</v>
      </c>
      <c r="B2303" s="2" t="s">
        <v>9643</v>
      </c>
      <c r="C2303" s="2" t="s">
        <v>9201</v>
      </c>
      <c r="D2303" s="169">
        <v>46054.0</v>
      </c>
      <c r="E2303" s="2">
        <v>3.083806219E9</v>
      </c>
      <c r="F2303" s="2" t="s">
        <v>9644</v>
      </c>
      <c r="G2303" s="2" t="s">
        <v>3295</v>
      </c>
      <c r="H2303" s="2">
        <v>2749.0</v>
      </c>
      <c r="I2303" s="2">
        <v>2.4120050021681E13</v>
      </c>
      <c r="J2303" s="3">
        <v>2.0</v>
      </c>
      <c r="K2303" s="2" t="s">
        <v>9645</v>
      </c>
      <c r="L2303" s="2" t="s">
        <v>35</v>
      </c>
      <c r="M2303" s="174" t="s">
        <v>409</v>
      </c>
      <c r="N2303" s="2" t="s">
        <v>462</v>
      </c>
      <c r="O2303" s="3">
        <v>0.5</v>
      </c>
      <c r="P2303" s="2" t="s">
        <v>73</v>
      </c>
      <c r="Q2303" s="3">
        <v>980.0</v>
      </c>
      <c r="T2303" s="2" t="s">
        <v>9199</v>
      </c>
      <c r="U2303" s="171">
        <v>2749.0</v>
      </c>
      <c r="V2303" s="172">
        <v>46059.0</v>
      </c>
      <c r="W2303" s="3">
        <v>323.0</v>
      </c>
      <c r="X2303" s="172">
        <v>46057.50090277778</v>
      </c>
      <c r="Y2303" s="172"/>
      <c r="Z2303" s="3">
        <v>46054.0</v>
      </c>
      <c r="AA2303" s="3"/>
    </row>
    <row r="2304">
      <c r="A2304" s="3">
        <v>6.891669160195E12</v>
      </c>
      <c r="B2304" s="2" t="s">
        <v>9646</v>
      </c>
      <c r="C2304" s="2" t="s">
        <v>9647</v>
      </c>
      <c r="D2304" s="169">
        <v>46054.0</v>
      </c>
      <c r="E2304" s="173" t="s">
        <v>9648</v>
      </c>
      <c r="F2304" s="2" t="s">
        <v>9649</v>
      </c>
      <c r="G2304" s="2" t="s">
        <v>366</v>
      </c>
      <c r="H2304" s="2">
        <v>2749.0</v>
      </c>
      <c r="I2304" s="2">
        <v>2.112005002168E13</v>
      </c>
      <c r="J2304" s="3">
        <v>2.0</v>
      </c>
      <c r="K2304" s="2" t="s">
        <v>9650</v>
      </c>
      <c r="L2304" s="2" t="s">
        <v>926</v>
      </c>
      <c r="M2304" s="174" t="s">
        <v>409</v>
      </c>
      <c r="N2304" s="2" t="s">
        <v>462</v>
      </c>
      <c r="O2304" s="3">
        <v>0.5</v>
      </c>
      <c r="P2304" s="2" t="s">
        <v>73</v>
      </c>
      <c r="Q2304" s="3">
        <v>980.0</v>
      </c>
      <c r="T2304" s="2" t="s">
        <v>9199</v>
      </c>
      <c r="U2304" s="171">
        <v>2749.0</v>
      </c>
      <c r="V2304" s="172">
        <v>46059.0</v>
      </c>
      <c r="W2304" s="3">
        <v>330.0</v>
      </c>
      <c r="X2304" s="172">
        <v>46057.627812499995</v>
      </c>
      <c r="Y2304" s="172"/>
      <c r="Z2304" s="3">
        <v>46054.0</v>
      </c>
      <c r="AA2304" s="3"/>
    </row>
    <row r="2305">
      <c r="A2305" s="3">
        <v>6.891681218819E12</v>
      </c>
      <c r="B2305" s="2" t="s">
        <v>9651</v>
      </c>
      <c r="C2305" s="2" t="s">
        <v>9652</v>
      </c>
      <c r="D2305" s="169">
        <v>46054.0</v>
      </c>
      <c r="E2305" s="2">
        <v>3.45336105E9</v>
      </c>
      <c r="F2305" s="2" t="s">
        <v>9653</v>
      </c>
      <c r="G2305" s="2" t="s">
        <v>368</v>
      </c>
      <c r="H2305" s="2">
        <v>249.0</v>
      </c>
      <c r="I2305" s="2">
        <v>2.5120050021679E13</v>
      </c>
      <c r="J2305" s="3">
        <v>0.0</v>
      </c>
      <c r="K2305" s="2" t="s">
        <v>9654</v>
      </c>
      <c r="L2305" s="2"/>
      <c r="M2305" s="170" t="s">
        <v>455</v>
      </c>
      <c r="N2305" s="2" t="s">
        <v>406</v>
      </c>
      <c r="O2305" s="3">
        <v>0.5</v>
      </c>
      <c r="P2305" s="2" t="s">
        <v>73</v>
      </c>
      <c r="Q2305" s="3">
        <v>0.0</v>
      </c>
      <c r="U2305" s="141"/>
      <c r="W2305" s="3">
        <v>107.0</v>
      </c>
      <c r="X2305" s="172">
        <v>46064.81378541667</v>
      </c>
      <c r="Y2305" s="172"/>
      <c r="Z2305" s="3">
        <v>46054.0</v>
      </c>
      <c r="AA2305" s="3"/>
    </row>
    <row r="2306">
      <c r="A2306" s="3">
        <v>6.891690328323E12</v>
      </c>
      <c r="B2306" s="2" t="s">
        <v>9655</v>
      </c>
      <c r="C2306" s="2" t="s">
        <v>9656</v>
      </c>
      <c r="D2306" s="169">
        <v>46054.0</v>
      </c>
      <c r="E2306" s="2">
        <v>3.336535543E9</v>
      </c>
      <c r="F2306" s="2" t="s">
        <v>9657</v>
      </c>
      <c r="G2306" s="2" t="s">
        <v>368</v>
      </c>
      <c r="H2306" s="2">
        <v>3099.0</v>
      </c>
      <c r="I2306" s="2">
        <v>2.7120050021678E13</v>
      </c>
      <c r="J2306" s="3">
        <v>2.0</v>
      </c>
      <c r="K2306" s="2" t="s">
        <v>9658</v>
      </c>
      <c r="L2306" s="2" t="s">
        <v>228</v>
      </c>
      <c r="M2306" s="174" t="s">
        <v>409</v>
      </c>
      <c r="N2306" s="2" t="s">
        <v>462</v>
      </c>
      <c r="O2306" s="3">
        <v>0.5</v>
      </c>
      <c r="P2306" s="2" t="s">
        <v>73</v>
      </c>
      <c r="Q2306" s="3">
        <v>920.0</v>
      </c>
      <c r="T2306" s="2" t="s">
        <v>9199</v>
      </c>
      <c r="U2306" s="171">
        <v>3099.0</v>
      </c>
      <c r="V2306" s="172">
        <v>46059.0</v>
      </c>
      <c r="W2306" s="3">
        <v>231.0</v>
      </c>
      <c r="X2306" s="172">
        <v>46056.56060185185</v>
      </c>
      <c r="Y2306" s="172"/>
      <c r="Z2306" s="3">
        <v>46054.0</v>
      </c>
      <c r="AA2306" s="3"/>
    </row>
    <row r="2307">
      <c r="A2307" s="3">
        <v>6.891695800579E12</v>
      </c>
      <c r="B2307" s="2" t="s">
        <v>9659</v>
      </c>
      <c r="C2307" s="2" t="s">
        <v>9660</v>
      </c>
      <c r="D2307" s="169">
        <v>46054.0</v>
      </c>
      <c r="E2307" s="2">
        <v>3.335128499E9</v>
      </c>
      <c r="F2307" s="2" t="s">
        <v>9661</v>
      </c>
      <c r="G2307" s="2" t="s">
        <v>506</v>
      </c>
      <c r="H2307" s="2">
        <v>2799.0</v>
      </c>
      <c r="I2307" s="2">
        <v>2.0120050021677E13</v>
      </c>
      <c r="J2307" s="3">
        <v>1.0</v>
      </c>
      <c r="K2307" s="2" t="s">
        <v>9662</v>
      </c>
      <c r="L2307" s="2" t="s">
        <v>557</v>
      </c>
      <c r="M2307" s="174" t="s">
        <v>409</v>
      </c>
      <c r="N2307" s="2" t="s">
        <v>462</v>
      </c>
      <c r="O2307" s="3">
        <v>0.5</v>
      </c>
      <c r="P2307" s="2" t="s">
        <v>73</v>
      </c>
      <c r="Q2307" s="3">
        <v>850.0</v>
      </c>
      <c r="T2307" s="2" t="s">
        <v>9199</v>
      </c>
      <c r="U2307" s="171">
        <v>2799.0</v>
      </c>
      <c r="V2307" s="172">
        <v>46059.0</v>
      </c>
      <c r="W2307" s="3">
        <v>332.0</v>
      </c>
      <c r="X2307" s="172">
        <v>46057.77763888889</v>
      </c>
      <c r="Y2307" s="172"/>
      <c r="Z2307" s="3">
        <v>46054.0</v>
      </c>
      <c r="AA2307" s="3"/>
    </row>
    <row r="2308">
      <c r="A2308" s="3">
        <v>6.891782308099E12</v>
      </c>
      <c r="B2308" s="2" t="s">
        <v>9663</v>
      </c>
      <c r="C2308" s="2" t="s">
        <v>9664</v>
      </c>
      <c r="D2308" s="169">
        <v>46054.0</v>
      </c>
      <c r="E2308" s="2">
        <v>3.004269615E9</v>
      </c>
      <c r="F2308" s="2" t="s">
        <v>9665</v>
      </c>
      <c r="G2308" s="2" t="s">
        <v>506</v>
      </c>
      <c r="H2308" s="2">
        <v>8700.0</v>
      </c>
      <c r="I2308" s="2">
        <v>2.7120050021676E13</v>
      </c>
      <c r="J2308" s="3">
        <v>4.0</v>
      </c>
      <c r="K2308" s="2" t="s">
        <v>9666</v>
      </c>
      <c r="L2308" s="2" t="s">
        <v>9667</v>
      </c>
      <c r="M2308" s="174" t="s">
        <v>409</v>
      </c>
      <c r="N2308" s="2" t="s">
        <v>462</v>
      </c>
      <c r="O2308" s="3">
        <v>0.5</v>
      </c>
      <c r="P2308" s="2" t="s">
        <v>73</v>
      </c>
      <c r="Q2308" s="3">
        <v>3850.0</v>
      </c>
      <c r="T2308" s="2" t="s">
        <v>9199</v>
      </c>
      <c r="U2308" s="171">
        <v>8700.0</v>
      </c>
      <c r="V2308" s="172">
        <v>46059.0</v>
      </c>
      <c r="W2308" s="3">
        <v>661.0</v>
      </c>
      <c r="X2308" s="172">
        <v>46057.63357638889</v>
      </c>
      <c r="Y2308" s="172"/>
      <c r="Z2308" s="3">
        <v>46054.0</v>
      </c>
      <c r="AA2308" s="3"/>
    </row>
    <row r="2309">
      <c r="A2309" s="3">
        <v>6.891824021763E12</v>
      </c>
      <c r="B2309" s="2" t="s">
        <v>9668</v>
      </c>
      <c r="C2309" s="2" t="s">
        <v>9669</v>
      </c>
      <c r="D2309" s="169">
        <v>46054.0</v>
      </c>
      <c r="E2309" s="2">
        <v>3.213030158E9</v>
      </c>
      <c r="F2309" s="2" t="s">
        <v>9670</v>
      </c>
      <c r="G2309" s="2" t="s">
        <v>1168</v>
      </c>
      <c r="H2309" s="2">
        <v>1999.0</v>
      </c>
      <c r="I2309" s="2">
        <v>2.1120050021675E13</v>
      </c>
      <c r="J2309" s="3">
        <v>1.0</v>
      </c>
      <c r="K2309" s="2" t="s">
        <v>9671</v>
      </c>
      <c r="L2309" s="2" t="s">
        <v>9672</v>
      </c>
      <c r="M2309" s="174" t="s">
        <v>409</v>
      </c>
      <c r="N2309" s="2" t="s">
        <v>462</v>
      </c>
      <c r="O2309" s="3">
        <v>0.5</v>
      </c>
      <c r="P2309" s="2" t="s">
        <v>73</v>
      </c>
      <c r="Q2309" s="3">
        <v>1100.0</v>
      </c>
      <c r="T2309" s="2" t="s">
        <v>9199</v>
      </c>
      <c r="U2309" s="171">
        <v>1999.0</v>
      </c>
      <c r="V2309" s="172">
        <v>46059.0</v>
      </c>
      <c r="W2309" s="3">
        <v>293.0</v>
      </c>
      <c r="X2309" s="172">
        <v>46058.67309027778</v>
      </c>
      <c r="Y2309" s="172"/>
      <c r="Z2309" s="3">
        <v>46054.0</v>
      </c>
      <c r="AA2309" s="3"/>
    </row>
    <row r="2310">
      <c r="A2310" s="3">
        <v>6.891847352579E12</v>
      </c>
      <c r="B2310" s="2" t="s">
        <v>9673</v>
      </c>
      <c r="C2310" s="2" t="s">
        <v>214</v>
      </c>
      <c r="D2310" s="169">
        <v>46054.0</v>
      </c>
      <c r="E2310" s="2">
        <v>3.494493941E9</v>
      </c>
      <c r="F2310" s="2" t="s">
        <v>9674</v>
      </c>
      <c r="G2310" s="2" t="s">
        <v>1180</v>
      </c>
      <c r="H2310" s="2">
        <v>3299.0</v>
      </c>
      <c r="I2310" s="2">
        <v>2.1120050021674E13</v>
      </c>
      <c r="J2310" s="3">
        <v>1.0</v>
      </c>
      <c r="K2310" s="2" t="s">
        <v>9675</v>
      </c>
      <c r="L2310" s="2" t="s">
        <v>200</v>
      </c>
      <c r="M2310" s="2" t="s">
        <v>409</v>
      </c>
      <c r="N2310" s="2" t="s">
        <v>462</v>
      </c>
      <c r="O2310" s="3">
        <v>0.5</v>
      </c>
      <c r="P2310" s="2" t="s">
        <v>73</v>
      </c>
      <c r="Q2310" s="3">
        <v>1400.0</v>
      </c>
      <c r="T2310" s="2" t="s">
        <v>8902</v>
      </c>
      <c r="U2310" s="171">
        <v>3299.0</v>
      </c>
      <c r="V2310" s="172">
        <v>46063.0</v>
      </c>
      <c r="W2310" s="3">
        <v>345.0</v>
      </c>
      <c r="X2310" s="172">
        <v>46060.771172928246</v>
      </c>
      <c r="Y2310" s="172"/>
      <c r="Z2310" s="3">
        <v>46054.0</v>
      </c>
      <c r="AA2310" s="3"/>
    </row>
    <row r="2311">
      <c r="A2311" s="3">
        <v>6.891903320323E12</v>
      </c>
      <c r="B2311" s="2" t="s">
        <v>9676</v>
      </c>
      <c r="C2311" s="2" t="s">
        <v>9677</v>
      </c>
      <c r="D2311" s="169">
        <v>46054.0</v>
      </c>
      <c r="E2311" s="2">
        <v>3.003616588E9</v>
      </c>
      <c r="F2311" s="2" t="s">
        <v>9678</v>
      </c>
      <c r="G2311" s="2" t="s">
        <v>368</v>
      </c>
      <c r="H2311" s="2">
        <v>3099.0</v>
      </c>
      <c r="I2311" s="2">
        <v>2.8120050021673E13</v>
      </c>
      <c r="J2311" s="3">
        <v>2.0</v>
      </c>
      <c r="K2311" s="2" t="s">
        <v>9679</v>
      </c>
      <c r="L2311" s="2" t="s">
        <v>40</v>
      </c>
      <c r="M2311" s="2" t="s">
        <v>409</v>
      </c>
      <c r="N2311" s="2" t="s">
        <v>462</v>
      </c>
      <c r="O2311" s="3">
        <v>0.5</v>
      </c>
      <c r="P2311" s="2" t="s">
        <v>73</v>
      </c>
      <c r="Q2311" s="3">
        <v>920.0</v>
      </c>
      <c r="T2311" s="2" t="s">
        <v>9018</v>
      </c>
      <c r="U2311" s="171">
        <v>3099.0</v>
      </c>
      <c r="V2311" s="172">
        <v>46066.0</v>
      </c>
      <c r="W2311" s="3">
        <v>231.0</v>
      </c>
      <c r="X2311" s="172">
        <v>46064.73045798611</v>
      </c>
      <c r="Y2311" s="172"/>
      <c r="Z2311" s="3">
        <v>46054.0</v>
      </c>
      <c r="AA2311" s="3"/>
    </row>
    <row r="2312">
      <c r="A2312" s="3">
        <v>6.891955683587E12</v>
      </c>
      <c r="B2312" s="2" t="s">
        <v>9680</v>
      </c>
      <c r="C2312" s="2" t="s">
        <v>9681</v>
      </c>
      <c r="D2312" s="169">
        <v>46054.0</v>
      </c>
      <c r="E2312" s="2">
        <v>3.429990871E9</v>
      </c>
      <c r="F2312" s="2" t="s">
        <v>9682</v>
      </c>
      <c r="G2312" s="2" t="s">
        <v>368</v>
      </c>
      <c r="H2312" s="2">
        <v>3749.0</v>
      </c>
      <c r="I2312" s="2">
        <v>2.1120050021672E13</v>
      </c>
      <c r="J2312" s="3">
        <v>2.0</v>
      </c>
      <c r="K2312" s="2" t="s">
        <v>9683</v>
      </c>
      <c r="L2312" s="2" t="s">
        <v>9684</v>
      </c>
      <c r="M2312" s="174" t="s">
        <v>409</v>
      </c>
      <c r="N2312" s="2" t="s">
        <v>462</v>
      </c>
      <c r="O2312" s="3">
        <v>0.5</v>
      </c>
      <c r="P2312" s="2" t="s">
        <v>73</v>
      </c>
      <c r="Q2312" s="3">
        <v>2200.0</v>
      </c>
      <c r="T2312" s="2" t="s">
        <v>9199</v>
      </c>
      <c r="U2312" s="171">
        <v>3749.0</v>
      </c>
      <c r="V2312" s="172">
        <v>46059.0</v>
      </c>
      <c r="W2312" s="3">
        <v>107.0</v>
      </c>
      <c r="X2312" s="172">
        <v>46056.61767361111</v>
      </c>
      <c r="Y2312" s="172"/>
      <c r="Z2312" s="3">
        <v>46054.0</v>
      </c>
      <c r="AA2312" s="3"/>
    </row>
    <row r="2313">
      <c r="A2313" s="3">
        <v>6.891976327427E12</v>
      </c>
      <c r="B2313" s="2" t="s">
        <v>9685</v>
      </c>
      <c r="C2313" s="2" t="s">
        <v>9686</v>
      </c>
      <c r="D2313" s="169">
        <v>46054.0</v>
      </c>
      <c r="E2313" s="2">
        <v>3.211620561E9</v>
      </c>
      <c r="F2313" s="2" t="s">
        <v>9687</v>
      </c>
      <c r="G2313" s="2" t="s">
        <v>898</v>
      </c>
      <c r="H2313" s="2">
        <v>249.0</v>
      </c>
      <c r="I2313" s="2">
        <v>2.4120050021671E13</v>
      </c>
      <c r="J2313" s="3">
        <v>0.0</v>
      </c>
      <c r="K2313" s="2" t="s">
        <v>9688</v>
      </c>
      <c r="L2313" s="2"/>
      <c r="M2313" s="170" t="s">
        <v>455</v>
      </c>
      <c r="N2313" s="2" t="s">
        <v>406</v>
      </c>
      <c r="O2313" s="3">
        <v>0.5</v>
      </c>
      <c r="P2313" s="2" t="s">
        <v>73</v>
      </c>
      <c r="Q2313" s="3">
        <v>0.0</v>
      </c>
      <c r="U2313" s="141"/>
      <c r="W2313" s="3">
        <v>200.0</v>
      </c>
      <c r="X2313" s="172">
        <v>46063.021179421296</v>
      </c>
      <c r="Y2313" s="172"/>
      <c r="Z2313" s="3">
        <v>46054.0</v>
      </c>
      <c r="AA2313" s="3"/>
    </row>
    <row r="2314">
      <c r="A2314" s="3">
        <v>6.891976556803E12</v>
      </c>
      <c r="B2314" s="2" t="s">
        <v>9689</v>
      </c>
      <c r="C2314" s="2" t="s">
        <v>9690</v>
      </c>
      <c r="D2314" s="169">
        <v>46054.0</v>
      </c>
      <c r="E2314" s="2">
        <v>3.333797207E9</v>
      </c>
      <c r="F2314" s="2" t="s">
        <v>9691</v>
      </c>
      <c r="G2314" s="2" t="s">
        <v>672</v>
      </c>
      <c r="H2314" s="2">
        <v>249.0</v>
      </c>
      <c r="I2314" s="2">
        <v>2.912005002167E13</v>
      </c>
      <c r="J2314" s="3">
        <v>0.0</v>
      </c>
      <c r="K2314" s="2" t="s">
        <v>9692</v>
      </c>
      <c r="L2314" s="2"/>
      <c r="M2314" s="170" t="s">
        <v>455</v>
      </c>
      <c r="N2314" s="2" t="s">
        <v>406</v>
      </c>
      <c r="O2314" s="3">
        <v>0.5</v>
      </c>
      <c r="P2314" s="2" t="s">
        <v>73</v>
      </c>
      <c r="Q2314" s="3">
        <v>0.0</v>
      </c>
      <c r="U2314" s="141"/>
      <c r="W2314" s="3">
        <v>213.0</v>
      </c>
      <c r="X2314" s="172">
        <v>46085.77090053241</v>
      </c>
      <c r="Y2314" s="172"/>
      <c r="Z2314" s="3">
        <v>46054.0</v>
      </c>
      <c r="AA2314" s="3"/>
    </row>
    <row r="2315">
      <c r="A2315" s="3">
        <v>6.892000116995E12</v>
      </c>
      <c r="B2315" s="2" t="s">
        <v>9693</v>
      </c>
      <c r="C2315" s="2" t="s">
        <v>9694</v>
      </c>
      <c r="D2315" s="169">
        <v>46054.0</v>
      </c>
      <c r="E2315" s="2">
        <v>3.105551666E9</v>
      </c>
      <c r="F2315" s="2" t="s">
        <v>9695</v>
      </c>
      <c r="G2315" s="2" t="s">
        <v>5313</v>
      </c>
      <c r="H2315" s="2">
        <v>2749.0</v>
      </c>
      <c r="I2315" s="2">
        <v>2.2120050021669E13</v>
      </c>
      <c r="J2315" s="3">
        <v>2.0</v>
      </c>
      <c r="K2315" s="2" t="s">
        <v>9696</v>
      </c>
      <c r="L2315" s="2" t="s">
        <v>926</v>
      </c>
      <c r="M2315" s="174" t="s">
        <v>409</v>
      </c>
      <c r="N2315" s="2" t="s">
        <v>462</v>
      </c>
      <c r="O2315" s="3">
        <v>0.5</v>
      </c>
      <c r="P2315" s="2" t="s">
        <v>73</v>
      </c>
      <c r="Q2315" s="3">
        <v>980.0</v>
      </c>
      <c r="T2315" s="2" t="s">
        <v>9199</v>
      </c>
      <c r="U2315" s="171">
        <v>2749.0</v>
      </c>
      <c r="V2315" s="172">
        <v>46059.0</v>
      </c>
      <c r="W2315" s="3">
        <v>330.0</v>
      </c>
      <c r="X2315" s="172">
        <v>46057.65435185185</v>
      </c>
      <c r="Y2315" s="172"/>
      <c r="Z2315" s="3">
        <v>46054.0</v>
      </c>
      <c r="AA2315" s="3"/>
    </row>
    <row r="2316">
      <c r="A2316" s="3">
        <v>6.892025118979E12</v>
      </c>
      <c r="B2316" s="2" t="s">
        <v>9697</v>
      </c>
      <c r="C2316" s="2" t="s">
        <v>9698</v>
      </c>
      <c r="D2316" s="169">
        <v>46054.0</v>
      </c>
      <c r="E2316" s="2">
        <v>3.017468888E9</v>
      </c>
      <c r="F2316" s="2" t="s">
        <v>9699</v>
      </c>
      <c r="G2316" s="2" t="s">
        <v>9700</v>
      </c>
      <c r="H2316" s="2">
        <v>249.0</v>
      </c>
      <c r="I2316" s="2">
        <v>2.7120050021714E13</v>
      </c>
      <c r="J2316" s="3">
        <v>0.0</v>
      </c>
      <c r="K2316" s="2" t="s">
        <v>9701</v>
      </c>
      <c r="L2316" s="2"/>
      <c r="M2316" s="170" t="s">
        <v>455</v>
      </c>
      <c r="N2316" s="2" t="s">
        <v>406</v>
      </c>
      <c r="O2316" s="3">
        <v>0.5</v>
      </c>
      <c r="P2316" s="2" t="s">
        <v>73</v>
      </c>
      <c r="Q2316" s="3">
        <v>0.0</v>
      </c>
      <c r="U2316" s="141"/>
      <c r="W2316" s="3">
        <v>200.0</v>
      </c>
      <c r="X2316" s="172">
        <v>46070.9166596412</v>
      </c>
      <c r="Y2316" s="172"/>
      <c r="Z2316" s="3">
        <v>46054.0</v>
      </c>
      <c r="AA2316" s="3"/>
    </row>
    <row r="2317">
      <c r="A2317" s="3">
        <v>6.892138463491E12</v>
      </c>
      <c r="B2317" s="2" t="s">
        <v>9702</v>
      </c>
      <c r="C2317" s="2" t="s">
        <v>9703</v>
      </c>
      <c r="D2317" s="169">
        <v>46054.0</v>
      </c>
      <c r="E2317" s="2">
        <v>3.22821178E9</v>
      </c>
      <c r="F2317" s="2" t="s">
        <v>9704</v>
      </c>
      <c r="G2317" s="2" t="s">
        <v>8472</v>
      </c>
      <c r="H2317" s="2">
        <v>1999.0</v>
      </c>
      <c r="I2317" s="2">
        <v>2.5120050021668E13</v>
      </c>
      <c r="J2317" s="3">
        <v>1.0</v>
      </c>
      <c r="K2317" s="2" t="s">
        <v>9705</v>
      </c>
      <c r="L2317" s="2" t="s">
        <v>9706</v>
      </c>
      <c r="M2317" s="174" t="s">
        <v>409</v>
      </c>
      <c r="N2317" s="2" t="s">
        <v>462</v>
      </c>
      <c r="O2317" s="3">
        <v>0.5</v>
      </c>
      <c r="P2317" s="2" t="s">
        <v>73</v>
      </c>
      <c r="Q2317" s="3">
        <v>1100.0</v>
      </c>
      <c r="T2317" s="2" t="s">
        <v>9199</v>
      </c>
      <c r="U2317" s="171">
        <v>1999.0</v>
      </c>
      <c r="V2317" s="172">
        <v>46059.0</v>
      </c>
      <c r="W2317" s="3">
        <v>293.0</v>
      </c>
      <c r="X2317" s="172">
        <v>46058.65509259259</v>
      </c>
      <c r="Y2317" s="172"/>
      <c r="Z2317" s="3">
        <v>46054.0</v>
      </c>
      <c r="AA2317" s="3"/>
    </row>
    <row r="2318">
      <c r="A2318" s="3">
        <v>6.892172411139E12</v>
      </c>
      <c r="B2318" s="2" t="s">
        <v>9707</v>
      </c>
      <c r="C2318" s="2" t="s">
        <v>9708</v>
      </c>
      <c r="D2318" s="169">
        <v>46054.0</v>
      </c>
      <c r="E2318" s="2">
        <v>3.338649335E9</v>
      </c>
      <c r="F2318" s="2" t="s">
        <v>9709</v>
      </c>
      <c r="G2318" s="2" t="s">
        <v>366</v>
      </c>
      <c r="H2318" s="2">
        <v>0.0</v>
      </c>
      <c r="I2318" s="2">
        <v>2.9120050021667E13</v>
      </c>
      <c r="J2318" s="3">
        <v>0.0</v>
      </c>
      <c r="K2318" s="2" t="s">
        <v>9710</v>
      </c>
      <c r="L2318" s="2"/>
      <c r="M2318" s="170" t="s">
        <v>455</v>
      </c>
      <c r="N2318" s="2" t="s">
        <v>406</v>
      </c>
      <c r="O2318" s="3">
        <v>0.5</v>
      </c>
      <c r="P2318" s="2" t="s">
        <v>73</v>
      </c>
      <c r="Q2318" s="3">
        <v>0.0</v>
      </c>
      <c r="U2318" s="141"/>
      <c r="W2318" s="3">
        <v>313.0</v>
      </c>
      <c r="X2318" s="172">
        <v>46064.81379753472</v>
      </c>
      <c r="Y2318" s="172"/>
      <c r="Z2318" s="3">
        <v>46054.0</v>
      </c>
      <c r="AA2318" s="3"/>
    </row>
    <row r="2319">
      <c r="A2319" s="3">
        <v>6.892202557699E12</v>
      </c>
      <c r="B2319" s="2" t="s">
        <v>9711</v>
      </c>
      <c r="C2319" s="2" t="s">
        <v>9712</v>
      </c>
      <c r="D2319" s="169">
        <v>46054.0</v>
      </c>
      <c r="E2319" s="2">
        <v>3.109025315E9</v>
      </c>
      <c r="F2319" s="2" t="s">
        <v>9713</v>
      </c>
      <c r="G2319" s="2" t="s">
        <v>366</v>
      </c>
      <c r="H2319" s="2">
        <v>2148.0</v>
      </c>
      <c r="I2319" s="2">
        <v>2.9120050021713E13</v>
      </c>
      <c r="J2319" s="3">
        <v>1.0</v>
      </c>
      <c r="K2319" s="2" t="s">
        <v>9714</v>
      </c>
      <c r="L2319" s="2" t="s">
        <v>9715</v>
      </c>
      <c r="M2319" s="174" t="s">
        <v>409</v>
      </c>
      <c r="N2319" s="2" t="s">
        <v>462</v>
      </c>
      <c r="O2319" s="3">
        <v>0.5</v>
      </c>
      <c r="P2319" s="2" t="s">
        <v>73</v>
      </c>
      <c r="Q2319" s="3">
        <v>850.0</v>
      </c>
      <c r="T2319" s="2" t="s">
        <v>9199</v>
      </c>
      <c r="U2319" s="171">
        <v>2148.0</v>
      </c>
      <c r="V2319" s="172">
        <v>46059.0</v>
      </c>
      <c r="W2319" s="3">
        <v>286.0</v>
      </c>
      <c r="X2319" s="172">
        <v>46058.79232638889</v>
      </c>
      <c r="Y2319" s="172"/>
      <c r="Z2319" s="3">
        <v>46054.0</v>
      </c>
      <c r="AA2319" s="3"/>
    </row>
    <row r="2320">
      <c r="A2320" s="3">
        <v>6.892215304451E12</v>
      </c>
      <c r="B2320" s="2" t="s">
        <v>9716</v>
      </c>
      <c r="C2320" s="2" t="s">
        <v>9717</v>
      </c>
      <c r="D2320" s="169">
        <v>46054.0</v>
      </c>
      <c r="E2320" s="2">
        <v>3.023914709E9</v>
      </c>
      <c r="F2320" s="2" t="s">
        <v>9718</v>
      </c>
      <c r="G2320" s="2" t="s">
        <v>506</v>
      </c>
      <c r="H2320" s="2">
        <v>2749.0</v>
      </c>
      <c r="I2320" s="2">
        <v>2.9120050021666E13</v>
      </c>
      <c r="J2320" s="3">
        <v>2.0</v>
      </c>
      <c r="K2320" s="2" t="s">
        <v>9719</v>
      </c>
      <c r="L2320" s="2" t="s">
        <v>16</v>
      </c>
      <c r="M2320" s="2" t="s">
        <v>409</v>
      </c>
      <c r="N2320" s="2" t="s">
        <v>462</v>
      </c>
      <c r="O2320" s="3">
        <v>0.5</v>
      </c>
      <c r="P2320" s="2" t="s">
        <v>73</v>
      </c>
      <c r="Q2320" s="3">
        <v>980.0</v>
      </c>
      <c r="T2320" s="2" t="s">
        <v>9018</v>
      </c>
      <c r="U2320" s="171">
        <v>2749.0</v>
      </c>
      <c r="V2320" s="172">
        <v>46066.0</v>
      </c>
      <c r="W2320" s="3">
        <v>310.0</v>
      </c>
      <c r="X2320" s="172">
        <v>46065.50126087963</v>
      </c>
      <c r="Y2320" s="172"/>
      <c r="Z2320" s="3">
        <v>46054.0</v>
      </c>
      <c r="AA2320" s="3"/>
    </row>
    <row r="2321">
      <c r="A2321" s="3">
        <v>6.892237455619E12</v>
      </c>
      <c r="B2321" s="2" t="s">
        <v>9720</v>
      </c>
      <c r="C2321" s="2" t="s">
        <v>9721</v>
      </c>
      <c r="D2321" s="169">
        <v>46055.0</v>
      </c>
      <c r="E2321" s="2">
        <v>3.337204666E9</v>
      </c>
      <c r="F2321" s="2" t="s">
        <v>9722</v>
      </c>
      <c r="G2321" s="2" t="s">
        <v>493</v>
      </c>
      <c r="H2321" s="2">
        <v>2849.0</v>
      </c>
      <c r="I2321" s="2">
        <v>2.8120050021665E13</v>
      </c>
      <c r="J2321" s="3">
        <v>2.0</v>
      </c>
      <c r="K2321" s="2" t="s">
        <v>9723</v>
      </c>
      <c r="L2321" s="2" t="s">
        <v>593</v>
      </c>
      <c r="M2321" s="2" t="s">
        <v>409</v>
      </c>
      <c r="N2321" s="2" t="s">
        <v>462</v>
      </c>
      <c r="O2321" s="3">
        <v>0.5</v>
      </c>
      <c r="P2321" s="2" t="s">
        <v>73</v>
      </c>
      <c r="Q2321" s="3">
        <v>1050.0</v>
      </c>
      <c r="T2321" s="2" t="s">
        <v>9018</v>
      </c>
      <c r="U2321" s="171">
        <v>2849.0</v>
      </c>
      <c r="V2321" s="172">
        <v>46066.0</v>
      </c>
      <c r="W2321" s="3">
        <v>327.0</v>
      </c>
      <c r="X2321" s="172">
        <v>46064.02099506944</v>
      </c>
      <c r="Y2321" s="172"/>
      <c r="Z2321" s="3">
        <v>46055.0</v>
      </c>
      <c r="AA2321" s="3"/>
    </row>
    <row r="2322">
      <c r="A2322" s="3">
        <v>6.892266062083E12</v>
      </c>
      <c r="B2322" s="2" t="s">
        <v>9724</v>
      </c>
      <c r="C2322" s="2" t="s">
        <v>9725</v>
      </c>
      <c r="D2322" s="169">
        <v>46055.0</v>
      </c>
      <c r="E2322" s="173" t="s">
        <v>9726</v>
      </c>
      <c r="F2322" s="2" t="s">
        <v>9727</v>
      </c>
      <c r="G2322" s="2" t="s">
        <v>493</v>
      </c>
      <c r="H2322" s="2">
        <v>2749.0</v>
      </c>
      <c r="I2322" s="2">
        <v>2.1120050021664E13</v>
      </c>
      <c r="J2322" s="3">
        <v>2.0</v>
      </c>
      <c r="K2322" s="2" t="s">
        <v>9728</v>
      </c>
      <c r="L2322" s="2" t="s">
        <v>16</v>
      </c>
      <c r="M2322" s="2" t="s">
        <v>409</v>
      </c>
      <c r="N2322" s="2" t="s">
        <v>462</v>
      </c>
      <c r="O2322" s="3">
        <v>0.5</v>
      </c>
      <c r="P2322" s="2" t="s">
        <v>73</v>
      </c>
      <c r="Q2322" s="3">
        <v>980.0</v>
      </c>
      <c r="T2322" s="2" t="s">
        <v>8519</v>
      </c>
      <c r="U2322" s="171">
        <v>2749.0</v>
      </c>
      <c r="V2322" s="172">
        <v>46070.0</v>
      </c>
      <c r="W2322" s="3">
        <v>323.0</v>
      </c>
      <c r="X2322" s="172">
        <v>46066.6469965162</v>
      </c>
      <c r="Y2322" s="172"/>
      <c r="Z2322" s="3">
        <v>46055.0</v>
      </c>
      <c r="AA2322" s="3"/>
    </row>
    <row r="2323">
      <c r="A2323" s="3">
        <v>6.892267864323E12</v>
      </c>
      <c r="B2323" s="2" t="s">
        <v>9729</v>
      </c>
      <c r="C2323" s="2" t="s">
        <v>9730</v>
      </c>
      <c r="D2323" s="169">
        <v>46055.0</v>
      </c>
      <c r="E2323" s="173" t="s">
        <v>9731</v>
      </c>
      <c r="F2323" s="2" t="s">
        <v>9732</v>
      </c>
      <c r="G2323" s="2" t="s">
        <v>688</v>
      </c>
      <c r="H2323" s="2">
        <v>2749.0</v>
      </c>
      <c r="I2323" s="2">
        <v>2.3120050021663E13</v>
      </c>
      <c r="J2323" s="3">
        <v>2.0</v>
      </c>
      <c r="K2323" s="2" t="s">
        <v>9733</v>
      </c>
      <c r="L2323" s="2" t="s">
        <v>16</v>
      </c>
      <c r="M2323" s="2" t="s">
        <v>409</v>
      </c>
      <c r="N2323" s="2" t="s">
        <v>462</v>
      </c>
      <c r="O2323" s="3">
        <v>0.5</v>
      </c>
      <c r="P2323" s="2" t="s">
        <v>73</v>
      </c>
      <c r="Q2323" s="3">
        <v>980.0</v>
      </c>
      <c r="T2323" s="2" t="s">
        <v>9018</v>
      </c>
      <c r="U2323" s="171">
        <v>2749.0</v>
      </c>
      <c r="V2323" s="172">
        <v>46066.0</v>
      </c>
      <c r="W2323" s="3">
        <v>310.0</v>
      </c>
      <c r="X2323" s="172">
        <v>46064.81381082176</v>
      </c>
      <c r="Y2323" s="172"/>
      <c r="Z2323" s="3">
        <v>46055.0</v>
      </c>
      <c r="AA2323" s="3"/>
    </row>
    <row r="2324">
      <c r="A2324" s="3">
        <v>6.892326912259E12</v>
      </c>
      <c r="B2324" s="2" t="s">
        <v>9734</v>
      </c>
      <c r="C2324" s="2" t="s">
        <v>9735</v>
      </c>
      <c r="D2324" s="169">
        <v>46055.0</v>
      </c>
      <c r="E2324" s="2">
        <v>3.483949523E9</v>
      </c>
      <c r="F2324" s="2" t="s">
        <v>9736</v>
      </c>
      <c r="G2324" s="2" t="s">
        <v>493</v>
      </c>
      <c r="H2324" s="2">
        <v>0.0</v>
      </c>
      <c r="J2324" s="3">
        <v>0.0</v>
      </c>
      <c r="K2324" s="2" t="s">
        <v>9737</v>
      </c>
      <c r="L2324" s="2"/>
      <c r="M2324" s="2" t="s">
        <v>468</v>
      </c>
      <c r="N2324" s="2" t="s">
        <v>406</v>
      </c>
      <c r="O2324" s="3">
        <v>0.5</v>
      </c>
      <c r="Q2324" s="3">
        <v>0.0</v>
      </c>
      <c r="U2324" s="141"/>
      <c r="X2324" s="172">
        <v>46057.642782916664</v>
      </c>
      <c r="Y2324" s="172"/>
      <c r="Z2324" s="3">
        <v>46055.0</v>
      </c>
      <c r="AA2324" s="3"/>
    </row>
    <row r="2325">
      <c r="A2325" s="3">
        <v>6.892335071491E12</v>
      </c>
      <c r="B2325" s="2" t="s">
        <v>9738</v>
      </c>
      <c r="C2325" s="2" t="s">
        <v>9735</v>
      </c>
      <c r="D2325" s="169">
        <v>46055.0</v>
      </c>
      <c r="E2325" s="2">
        <v>3.483949523E9</v>
      </c>
      <c r="F2325" s="2" t="s">
        <v>9739</v>
      </c>
      <c r="G2325" s="2" t="s">
        <v>493</v>
      </c>
      <c r="H2325" s="2">
        <v>249.0</v>
      </c>
      <c r="I2325" s="2">
        <v>2.3120050021662E13</v>
      </c>
      <c r="J2325" s="3">
        <v>0.0</v>
      </c>
      <c r="K2325" s="2" t="s">
        <v>9740</v>
      </c>
      <c r="L2325" s="2"/>
      <c r="M2325" s="170" t="s">
        <v>455</v>
      </c>
      <c r="N2325" s="2" t="s">
        <v>406</v>
      </c>
      <c r="O2325" s="3">
        <v>0.5</v>
      </c>
      <c r="P2325" s="2" t="s">
        <v>73</v>
      </c>
      <c r="Q2325" s="3">
        <v>0.0</v>
      </c>
      <c r="U2325" s="141"/>
      <c r="W2325" s="3">
        <v>213.0</v>
      </c>
      <c r="X2325" s="172">
        <v>46071.77084844907</v>
      </c>
      <c r="Y2325" s="172"/>
      <c r="Z2325" s="3">
        <v>46055.0</v>
      </c>
      <c r="AA2325" s="3"/>
    </row>
    <row r="2326">
      <c r="A2326" s="3">
        <v>6.892447301891E12</v>
      </c>
      <c r="B2326" s="2" t="s">
        <v>9741</v>
      </c>
      <c r="C2326" s="2" t="s">
        <v>9742</v>
      </c>
      <c r="D2326" s="169">
        <v>46055.0</v>
      </c>
      <c r="E2326" s="2">
        <v>3.301643E9</v>
      </c>
      <c r="F2326" s="2" t="s">
        <v>9743</v>
      </c>
      <c r="G2326" s="2" t="s">
        <v>1257</v>
      </c>
      <c r="H2326" s="2">
        <v>1999.0</v>
      </c>
      <c r="I2326" s="2">
        <v>2.3120050021661E13</v>
      </c>
      <c r="J2326" s="3">
        <v>1.0</v>
      </c>
      <c r="K2326" s="2" t="s">
        <v>9744</v>
      </c>
      <c r="L2326" s="2" t="s">
        <v>8057</v>
      </c>
      <c r="M2326" s="174" t="s">
        <v>409</v>
      </c>
      <c r="N2326" s="2" t="s">
        <v>462</v>
      </c>
      <c r="O2326" s="3">
        <v>0.5</v>
      </c>
      <c r="P2326" s="2" t="s">
        <v>73</v>
      </c>
      <c r="Q2326" s="3">
        <v>1100.0</v>
      </c>
      <c r="T2326" s="2" t="s">
        <v>9199</v>
      </c>
      <c r="U2326" s="171">
        <v>1999.0</v>
      </c>
      <c r="V2326" s="172">
        <v>46059.0</v>
      </c>
      <c r="W2326" s="3">
        <v>280.0</v>
      </c>
      <c r="X2326" s="172">
        <v>46057.49392361111</v>
      </c>
      <c r="Y2326" s="172"/>
      <c r="Z2326" s="3">
        <v>46055.0</v>
      </c>
      <c r="AA2326" s="3"/>
    </row>
    <row r="2327">
      <c r="A2327" s="3">
        <v>6.892461621507E12</v>
      </c>
      <c r="B2327" s="2" t="s">
        <v>9745</v>
      </c>
      <c r="C2327" s="2" t="s">
        <v>9746</v>
      </c>
      <c r="D2327" s="169">
        <v>46055.0</v>
      </c>
      <c r="E2327" s="2">
        <v>3.119143472E9</v>
      </c>
      <c r="F2327" s="2" t="s">
        <v>9747</v>
      </c>
      <c r="G2327" s="2" t="s">
        <v>781</v>
      </c>
      <c r="H2327" s="2">
        <v>249.0</v>
      </c>
      <c r="I2327" s="2">
        <v>2.312005002166E13</v>
      </c>
      <c r="J2327" s="3">
        <v>0.0</v>
      </c>
      <c r="K2327" s="2" t="s">
        <v>9748</v>
      </c>
      <c r="L2327" s="2"/>
      <c r="M2327" s="170" t="s">
        <v>455</v>
      </c>
      <c r="N2327" s="2" t="s">
        <v>406</v>
      </c>
      <c r="O2327" s="3">
        <v>0.5</v>
      </c>
      <c r="P2327" s="2" t="s">
        <v>73</v>
      </c>
      <c r="Q2327" s="3">
        <v>0.0</v>
      </c>
      <c r="U2327" s="141"/>
      <c r="W2327" s="3">
        <v>213.0</v>
      </c>
      <c r="X2327" s="172">
        <v>46070.91666011574</v>
      </c>
      <c r="Y2327" s="172"/>
      <c r="Z2327" s="3">
        <v>46055.0</v>
      </c>
      <c r="AA2327" s="3"/>
    </row>
    <row r="2328">
      <c r="A2328" s="3">
        <v>6.892483346691E12</v>
      </c>
      <c r="B2328" s="2" t="s">
        <v>9749</v>
      </c>
      <c r="C2328" s="2" t="s">
        <v>9750</v>
      </c>
      <c r="D2328" s="169">
        <v>46055.0</v>
      </c>
      <c r="E2328" s="2">
        <v>3.440881561E9</v>
      </c>
      <c r="F2328" s="2" t="s">
        <v>9751</v>
      </c>
      <c r="G2328" s="2" t="s">
        <v>9752</v>
      </c>
      <c r="H2328" s="2">
        <v>0.0</v>
      </c>
      <c r="J2328" s="3">
        <v>0.0</v>
      </c>
      <c r="K2328" s="2" t="s">
        <v>9753</v>
      </c>
      <c r="L2328" s="2"/>
      <c r="M2328" s="2" t="s">
        <v>468</v>
      </c>
      <c r="N2328" s="2" t="s">
        <v>406</v>
      </c>
      <c r="O2328" s="3">
        <v>0.5</v>
      </c>
      <c r="Q2328" s="3">
        <v>0.0</v>
      </c>
      <c r="U2328" s="141"/>
      <c r="X2328" s="172">
        <v>46057.642782916664</v>
      </c>
      <c r="Y2328" s="172"/>
      <c r="Z2328" s="3">
        <v>46055.0</v>
      </c>
      <c r="AA2328" s="3"/>
    </row>
    <row r="2329">
      <c r="A2329" s="3">
        <v>6.892495634691E12</v>
      </c>
      <c r="B2329" s="2" t="s">
        <v>9754</v>
      </c>
      <c r="C2329" s="2" t="s">
        <v>9755</v>
      </c>
      <c r="D2329" s="169">
        <v>46055.0</v>
      </c>
      <c r="E2329" s="173" t="s">
        <v>9756</v>
      </c>
      <c r="F2329" s="2" t="s">
        <v>9757</v>
      </c>
      <c r="G2329" s="2" t="s">
        <v>368</v>
      </c>
      <c r="H2329" s="2">
        <v>4599.0</v>
      </c>
      <c r="I2329" s="2">
        <v>2.0120050021659E13</v>
      </c>
      <c r="J2329" s="3">
        <v>3.0</v>
      </c>
      <c r="K2329" s="2" t="s">
        <v>9758</v>
      </c>
      <c r="L2329" s="2" t="s">
        <v>9759</v>
      </c>
      <c r="M2329" s="174" t="s">
        <v>409</v>
      </c>
      <c r="N2329" s="2" t="s">
        <v>462</v>
      </c>
      <c r="O2329" s="3">
        <v>0.5</v>
      </c>
      <c r="P2329" s="2" t="s">
        <v>73</v>
      </c>
      <c r="Q2329" s="3">
        <v>1650.0</v>
      </c>
      <c r="T2329" s="2" t="s">
        <v>9199</v>
      </c>
      <c r="U2329" s="171">
        <v>4599.0</v>
      </c>
      <c r="V2329" s="172">
        <v>46059.0</v>
      </c>
      <c r="W2329" s="3">
        <v>304.0</v>
      </c>
      <c r="X2329" s="172">
        <v>46056.78129629629</v>
      </c>
      <c r="Y2329" s="172"/>
      <c r="Z2329" s="3">
        <v>46055.0</v>
      </c>
      <c r="AA2329" s="3"/>
    </row>
    <row r="2330">
      <c r="A2330" s="3">
        <v>6.892715802883E12</v>
      </c>
      <c r="B2330" s="2" t="s">
        <v>9760</v>
      </c>
      <c r="C2330" s="2" t="s">
        <v>9761</v>
      </c>
      <c r="D2330" s="169">
        <v>46055.0</v>
      </c>
      <c r="E2330" s="173" t="s">
        <v>9762</v>
      </c>
      <c r="F2330" s="2" t="s">
        <v>9763</v>
      </c>
      <c r="G2330" s="2" t="s">
        <v>523</v>
      </c>
      <c r="H2330" s="2">
        <v>3099.0</v>
      </c>
      <c r="I2330" s="2">
        <v>2.7120050021658E13</v>
      </c>
      <c r="J2330" s="3">
        <v>2.0</v>
      </c>
      <c r="K2330" s="2" t="s">
        <v>9764</v>
      </c>
      <c r="L2330" s="2" t="s">
        <v>40</v>
      </c>
      <c r="M2330" s="2" t="s">
        <v>409</v>
      </c>
      <c r="N2330" s="2" t="s">
        <v>462</v>
      </c>
      <c r="O2330" s="3">
        <v>0.5</v>
      </c>
      <c r="P2330" s="2" t="s">
        <v>73</v>
      </c>
      <c r="Q2330" s="3">
        <v>920.0</v>
      </c>
      <c r="T2330" s="2" t="s">
        <v>8519</v>
      </c>
      <c r="U2330" s="171">
        <v>3099.0</v>
      </c>
      <c r="V2330" s="172">
        <v>46070.0</v>
      </c>
      <c r="W2330" s="3">
        <v>337.0</v>
      </c>
      <c r="X2330" s="172">
        <v>46067.7303133449</v>
      </c>
      <c r="Y2330" s="172"/>
      <c r="Z2330" s="3">
        <v>46055.0</v>
      </c>
      <c r="AA2330" s="3"/>
    </row>
    <row r="2331">
      <c r="A2331" s="3">
        <v>6.892735267075E12</v>
      </c>
      <c r="B2331" s="2" t="s">
        <v>9765</v>
      </c>
      <c r="C2331" s="2" t="s">
        <v>9766</v>
      </c>
      <c r="D2331" s="169">
        <v>46055.0</v>
      </c>
      <c r="E2331" s="2">
        <v>3.007850066E9</v>
      </c>
      <c r="F2331" s="2" t="s">
        <v>9767</v>
      </c>
      <c r="G2331" s="2" t="s">
        <v>9768</v>
      </c>
      <c r="H2331" s="2">
        <v>3099.0</v>
      </c>
      <c r="I2331" s="2">
        <v>2.0120050021657E13</v>
      </c>
      <c r="J2331" s="3">
        <v>2.0</v>
      </c>
      <c r="K2331" s="2" t="s">
        <v>9769</v>
      </c>
      <c r="L2331" s="2" t="s">
        <v>1143</v>
      </c>
      <c r="M2331" s="174" t="s">
        <v>409</v>
      </c>
      <c r="N2331" s="2" t="s">
        <v>462</v>
      </c>
      <c r="O2331" s="3">
        <v>0.5</v>
      </c>
      <c r="P2331" s="2" t="s">
        <v>73</v>
      </c>
      <c r="Q2331" s="3">
        <v>960.0</v>
      </c>
      <c r="T2331" s="2" t="s">
        <v>9199</v>
      </c>
      <c r="U2331" s="171">
        <v>3099.0</v>
      </c>
      <c r="V2331" s="172">
        <v>46059.0</v>
      </c>
      <c r="W2331" s="3">
        <v>324.0</v>
      </c>
      <c r="X2331" s="172">
        <v>46057.57726851852</v>
      </c>
      <c r="Y2331" s="172"/>
      <c r="Z2331" s="3">
        <v>46055.0</v>
      </c>
      <c r="AA2331" s="3"/>
    </row>
    <row r="2332">
      <c r="A2332" s="3">
        <v>6.892765184259E12</v>
      </c>
      <c r="B2332" s="2" t="s">
        <v>9770</v>
      </c>
      <c r="C2332" s="2" t="s">
        <v>9771</v>
      </c>
      <c r="D2332" s="169">
        <v>46055.0</v>
      </c>
      <c r="E2332" s="173" t="s">
        <v>9772</v>
      </c>
      <c r="F2332" s="2" t="s">
        <v>9773</v>
      </c>
      <c r="G2332" s="2" t="s">
        <v>493</v>
      </c>
      <c r="H2332" s="2">
        <v>249.0</v>
      </c>
      <c r="I2332" s="2">
        <v>2.1120050021702E13</v>
      </c>
      <c r="J2332" s="3">
        <v>0.0</v>
      </c>
      <c r="K2332" s="2" t="s">
        <v>9774</v>
      </c>
      <c r="L2332" s="2"/>
      <c r="M2332" s="170" t="s">
        <v>455</v>
      </c>
      <c r="N2332" s="2" t="s">
        <v>406</v>
      </c>
      <c r="O2332" s="3">
        <v>0.5</v>
      </c>
      <c r="P2332" s="2" t="s">
        <v>73</v>
      </c>
      <c r="Q2332" s="3">
        <v>0.0</v>
      </c>
      <c r="U2332" s="141"/>
      <c r="W2332" s="3">
        <v>213.0</v>
      </c>
      <c r="X2332" s="172">
        <v>46067.77200216435</v>
      </c>
      <c r="Y2332" s="172"/>
      <c r="Z2332" s="3">
        <v>46055.0</v>
      </c>
      <c r="AA2332" s="3"/>
    </row>
    <row r="2333">
      <c r="A2333" s="3">
        <v>6.892811485443E12</v>
      </c>
      <c r="B2333" s="2" t="s">
        <v>9775</v>
      </c>
      <c r="C2333" s="2" t="s">
        <v>9776</v>
      </c>
      <c r="D2333" s="169">
        <v>46055.0</v>
      </c>
      <c r="E2333" s="2">
        <v>3.351565786E9</v>
      </c>
      <c r="F2333" s="2" t="s">
        <v>9777</v>
      </c>
      <c r="G2333" s="2" t="s">
        <v>374</v>
      </c>
      <c r="H2333" s="2">
        <v>0.0</v>
      </c>
      <c r="J2333" s="3">
        <v>0.0</v>
      </c>
      <c r="K2333" s="2" t="s">
        <v>9778</v>
      </c>
      <c r="L2333" s="2"/>
      <c r="M2333" s="2" t="s">
        <v>468</v>
      </c>
      <c r="N2333" s="2" t="s">
        <v>406</v>
      </c>
      <c r="O2333" s="3">
        <v>0.5</v>
      </c>
      <c r="Q2333" s="3">
        <v>0.0</v>
      </c>
      <c r="U2333" s="141"/>
      <c r="X2333" s="172">
        <v>46057.642782916664</v>
      </c>
      <c r="Y2333" s="172"/>
      <c r="Z2333" s="3">
        <v>46055.0</v>
      </c>
      <c r="AA2333" s="3"/>
    </row>
    <row r="2334">
      <c r="A2334" s="3">
        <v>6.892935774467E12</v>
      </c>
      <c r="B2334" s="2" t="s">
        <v>9779</v>
      </c>
      <c r="C2334" s="2" t="s">
        <v>9780</v>
      </c>
      <c r="D2334" s="169">
        <v>46055.0</v>
      </c>
      <c r="E2334" s="2">
        <v>3.267158955E9</v>
      </c>
      <c r="F2334" s="2" t="s">
        <v>9781</v>
      </c>
      <c r="G2334" s="2" t="s">
        <v>493</v>
      </c>
      <c r="H2334" s="2">
        <v>3099.0</v>
      </c>
      <c r="I2334" s="2">
        <v>2.8120050021656E13</v>
      </c>
      <c r="J2334" s="3">
        <v>2.0</v>
      </c>
      <c r="K2334" s="2" t="s">
        <v>9782</v>
      </c>
      <c r="L2334" s="2" t="s">
        <v>2275</v>
      </c>
      <c r="M2334" s="2" t="s">
        <v>409</v>
      </c>
      <c r="N2334" s="2" t="s">
        <v>462</v>
      </c>
      <c r="O2334" s="3">
        <v>0.5</v>
      </c>
      <c r="P2334" s="2" t="s">
        <v>73</v>
      </c>
      <c r="Q2334" s="3">
        <v>960.0</v>
      </c>
      <c r="T2334" s="2" t="s">
        <v>8902</v>
      </c>
      <c r="U2334" s="171">
        <v>3099.0</v>
      </c>
      <c r="V2334" s="172">
        <v>46063.0</v>
      </c>
      <c r="W2334" s="3">
        <v>337.0</v>
      </c>
      <c r="X2334" s="172">
        <v>46060.771240891205</v>
      </c>
      <c r="Y2334" s="172"/>
      <c r="Z2334" s="3">
        <v>46055.0</v>
      </c>
      <c r="AA2334" s="3"/>
    </row>
    <row r="2335">
      <c r="A2335" s="3">
        <v>6.892976537859E12</v>
      </c>
      <c r="B2335" s="2" t="s">
        <v>9783</v>
      </c>
      <c r="C2335" s="2" t="s">
        <v>9784</v>
      </c>
      <c r="D2335" s="169">
        <v>46055.0</v>
      </c>
      <c r="E2335" s="2">
        <v>3.306056664E9</v>
      </c>
      <c r="F2335" s="2" t="s">
        <v>9785</v>
      </c>
      <c r="G2335" s="2" t="s">
        <v>1847</v>
      </c>
      <c r="H2335" s="2">
        <v>4899.0</v>
      </c>
      <c r="I2335" s="2">
        <v>2.6120050021655E13</v>
      </c>
      <c r="J2335" s="3">
        <v>3.0</v>
      </c>
      <c r="K2335" s="2" t="s">
        <v>9786</v>
      </c>
      <c r="L2335" s="2" t="s">
        <v>9787</v>
      </c>
      <c r="M2335" s="2" t="s">
        <v>409</v>
      </c>
      <c r="N2335" s="2" t="s">
        <v>462</v>
      </c>
      <c r="O2335" s="3">
        <v>0.5</v>
      </c>
      <c r="P2335" s="2" t="s">
        <v>73</v>
      </c>
      <c r="Q2335" s="3">
        <v>1380.0</v>
      </c>
      <c r="T2335" s="2" t="s">
        <v>9018</v>
      </c>
      <c r="U2335" s="171">
        <v>4899.0</v>
      </c>
      <c r="V2335" s="172">
        <v>46066.0</v>
      </c>
      <c r="W2335" s="3">
        <v>396.0</v>
      </c>
      <c r="X2335" s="172">
        <v>46064.730510567126</v>
      </c>
      <c r="Y2335" s="172"/>
      <c r="Z2335" s="3">
        <v>46055.0</v>
      </c>
      <c r="AA2335" s="3"/>
    </row>
    <row r="2336">
      <c r="A2336" s="3">
        <v>6.893010485507E12</v>
      </c>
      <c r="B2336" s="2" t="s">
        <v>9788</v>
      </c>
      <c r="C2336" s="2" t="s">
        <v>9789</v>
      </c>
      <c r="D2336" s="169">
        <v>46055.0</v>
      </c>
      <c r="E2336" s="2">
        <v>3.442210661E9</v>
      </c>
      <c r="F2336" s="2" t="s">
        <v>9790</v>
      </c>
      <c r="G2336" s="2" t="s">
        <v>493</v>
      </c>
      <c r="H2336" s="2">
        <v>8451.0</v>
      </c>
      <c r="I2336" s="2">
        <v>2.1120050021701E13</v>
      </c>
      <c r="J2336" s="3">
        <v>4.0</v>
      </c>
      <c r="K2336" s="2" t="s">
        <v>9791</v>
      </c>
      <c r="L2336" s="2" t="s">
        <v>9792</v>
      </c>
      <c r="M2336" s="2" t="s">
        <v>409</v>
      </c>
      <c r="N2336" s="2" t="s">
        <v>462</v>
      </c>
      <c r="O2336" s="3">
        <v>0.5</v>
      </c>
      <c r="P2336" s="2" t="s">
        <v>73</v>
      </c>
      <c r="Q2336" s="3">
        <v>3770.0</v>
      </c>
      <c r="U2336" s="141"/>
      <c r="X2336" s="172">
        <v>46065.56370481482</v>
      </c>
      <c r="Y2336" s="172"/>
      <c r="Z2336" s="3">
        <v>46055.0</v>
      </c>
      <c r="AA2336" s="3"/>
    </row>
    <row r="2337">
      <c r="A2337" s="3">
        <v>6.893013696771E12</v>
      </c>
      <c r="B2337" s="2" t="s">
        <v>9793</v>
      </c>
      <c r="C2337" s="2" t="s">
        <v>9794</v>
      </c>
      <c r="D2337" s="169">
        <v>46055.0</v>
      </c>
      <c r="E2337" s="2">
        <v>3.036866999E9</v>
      </c>
      <c r="F2337" s="2" t="s">
        <v>9795</v>
      </c>
      <c r="G2337" s="2" t="s">
        <v>688</v>
      </c>
      <c r="H2337" s="2">
        <v>2849.0</v>
      </c>
      <c r="I2337" s="2">
        <v>2.61200500217E13</v>
      </c>
      <c r="J2337" s="3">
        <v>2.0</v>
      </c>
      <c r="K2337" s="2" t="s">
        <v>9796</v>
      </c>
      <c r="L2337" s="2" t="s">
        <v>5839</v>
      </c>
      <c r="M2337" s="2" t="s">
        <v>409</v>
      </c>
      <c r="N2337" s="2" t="s">
        <v>462</v>
      </c>
      <c r="O2337" s="3">
        <v>0.5</v>
      </c>
      <c r="P2337" s="2" t="s">
        <v>73</v>
      </c>
      <c r="Q2337" s="3">
        <v>1050.0</v>
      </c>
      <c r="T2337" s="2" t="s">
        <v>8902</v>
      </c>
      <c r="U2337" s="171">
        <v>2849.0</v>
      </c>
      <c r="V2337" s="172">
        <v>46063.0</v>
      </c>
      <c r="W2337" s="3">
        <v>314.0</v>
      </c>
      <c r="X2337" s="172">
        <v>46059.7022356713</v>
      </c>
      <c r="Y2337" s="172"/>
      <c r="Z2337" s="3">
        <v>46055.0</v>
      </c>
      <c r="AA2337" s="3"/>
    </row>
    <row r="2338">
      <c r="A2338" s="3">
        <v>6.893060391171E12</v>
      </c>
      <c r="B2338" s="2" t="s">
        <v>9797</v>
      </c>
      <c r="C2338" s="2" t="s">
        <v>9798</v>
      </c>
      <c r="D2338" s="169">
        <v>46055.0</v>
      </c>
      <c r="E2338" s="2">
        <v>3.252814545E9</v>
      </c>
      <c r="F2338" s="2" t="s">
        <v>9799</v>
      </c>
      <c r="G2338" s="2" t="s">
        <v>9800</v>
      </c>
      <c r="H2338" s="2">
        <v>4248.0</v>
      </c>
      <c r="I2338" s="2">
        <v>2.2120050021654E13</v>
      </c>
      <c r="J2338" s="3">
        <v>2.0</v>
      </c>
      <c r="K2338" s="2" t="s">
        <v>9801</v>
      </c>
      <c r="L2338" s="2" t="s">
        <v>913</v>
      </c>
      <c r="M2338" s="174" t="s">
        <v>409</v>
      </c>
      <c r="N2338" s="2" t="s">
        <v>462</v>
      </c>
      <c r="O2338" s="3">
        <v>0.5</v>
      </c>
      <c r="P2338" s="2" t="s">
        <v>73</v>
      </c>
      <c r="Q2338" s="3">
        <v>1700.0</v>
      </c>
      <c r="T2338" s="2" t="s">
        <v>9199</v>
      </c>
      <c r="U2338" s="171">
        <v>4248.0</v>
      </c>
      <c r="V2338" s="172">
        <v>46059.0</v>
      </c>
      <c r="W2338" s="3">
        <v>490.0</v>
      </c>
      <c r="X2338" s="172">
        <v>46057.62944444444</v>
      </c>
      <c r="Y2338" s="172"/>
      <c r="Z2338" s="3">
        <v>46055.0</v>
      </c>
      <c r="AA2338" s="3"/>
    </row>
    <row r="2339">
      <c r="A2339" s="3">
        <v>6.893086343427E12</v>
      </c>
      <c r="B2339" s="2" t="s">
        <v>9802</v>
      </c>
      <c r="C2339" s="2" t="s">
        <v>9311</v>
      </c>
      <c r="D2339" s="169">
        <v>46055.0</v>
      </c>
      <c r="E2339" s="2">
        <v>3.128496961E9</v>
      </c>
      <c r="F2339" s="2" t="s">
        <v>9803</v>
      </c>
      <c r="G2339" s="2" t="s">
        <v>506</v>
      </c>
      <c r="H2339" s="2">
        <v>4525.0</v>
      </c>
      <c r="I2339" s="2">
        <v>2.8120050021653E13</v>
      </c>
      <c r="J2339" s="3">
        <v>3.0</v>
      </c>
      <c r="K2339" s="2" t="s">
        <v>9804</v>
      </c>
      <c r="L2339" s="2" t="s">
        <v>9805</v>
      </c>
      <c r="M2339" s="174" t="s">
        <v>409</v>
      </c>
      <c r="N2339" s="2" t="s">
        <v>462</v>
      </c>
      <c r="O2339" s="3">
        <v>0.5</v>
      </c>
      <c r="P2339" s="2" t="s">
        <v>73</v>
      </c>
      <c r="Q2339" s="3">
        <v>1445.0</v>
      </c>
      <c r="T2339" s="2" t="s">
        <v>9199</v>
      </c>
      <c r="U2339" s="171">
        <v>4525.0</v>
      </c>
      <c r="V2339" s="172">
        <v>46059.0</v>
      </c>
      <c r="W2339" s="3">
        <v>401.0</v>
      </c>
      <c r="X2339" s="172">
        <v>46057.58916666667</v>
      </c>
      <c r="Y2339" s="172"/>
      <c r="Z2339" s="3">
        <v>46055.0</v>
      </c>
      <c r="AA2339" s="3"/>
    </row>
    <row r="2340">
      <c r="A2340" s="3">
        <v>6.893128089859E12</v>
      </c>
      <c r="B2340" s="2" t="s">
        <v>9806</v>
      </c>
      <c r="C2340" s="2" t="s">
        <v>9807</v>
      </c>
      <c r="D2340" s="169">
        <v>46055.0</v>
      </c>
      <c r="E2340" s="173" t="s">
        <v>9808</v>
      </c>
      <c r="F2340" s="2" t="s">
        <v>9809</v>
      </c>
      <c r="G2340" s="2" t="s">
        <v>8812</v>
      </c>
      <c r="H2340" s="2">
        <v>249.0</v>
      </c>
      <c r="I2340" s="2">
        <v>2.5120050021712E13</v>
      </c>
      <c r="J2340" s="3">
        <v>0.0</v>
      </c>
      <c r="K2340" s="2" t="s">
        <v>9810</v>
      </c>
      <c r="L2340" s="2"/>
      <c r="M2340" s="170" t="s">
        <v>455</v>
      </c>
      <c r="N2340" s="2" t="s">
        <v>406</v>
      </c>
      <c r="O2340" s="3">
        <v>0.5</v>
      </c>
      <c r="P2340" s="2" t="s">
        <v>73</v>
      </c>
      <c r="Q2340" s="3">
        <v>0.0</v>
      </c>
      <c r="U2340" s="141"/>
      <c r="W2340" s="3">
        <v>200.0</v>
      </c>
      <c r="X2340" s="172">
        <v>46064.85706354167</v>
      </c>
      <c r="Y2340" s="172"/>
      <c r="Z2340" s="3">
        <v>46055.0</v>
      </c>
      <c r="AA2340" s="3"/>
    </row>
    <row r="2341">
      <c r="A2341" s="3">
        <v>6.893193396483E12</v>
      </c>
      <c r="B2341" s="2" t="s">
        <v>9811</v>
      </c>
      <c r="C2341" s="2" t="s">
        <v>9812</v>
      </c>
      <c r="D2341" s="169">
        <v>46055.0</v>
      </c>
      <c r="E2341" s="2">
        <v>3.297448415E9</v>
      </c>
      <c r="F2341" s="2" t="s">
        <v>9813</v>
      </c>
      <c r="G2341" s="2" t="s">
        <v>527</v>
      </c>
      <c r="H2341" s="2">
        <v>0.0</v>
      </c>
      <c r="J2341" s="3">
        <v>0.0</v>
      </c>
      <c r="K2341" s="2" t="s">
        <v>7809</v>
      </c>
      <c r="L2341" s="2"/>
      <c r="M2341" s="2" t="s">
        <v>468</v>
      </c>
      <c r="N2341" s="2" t="s">
        <v>406</v>
      </c>
      <c r="O2341" s="3">
        <v>0.5</v>
      </c>
      <c r="Q2341" s="3">
        <v>0.0</v>
      </c>
      <c r="U2341" s="141"/>
      <c r="X2341" s="172">
        <v>46057.642782916664</v>
      </c>
      <c r="Y2341" s="172"/>
      <c r="Z2341" s="3">
        <v>46055.0</v>
      </c>
      <c r="AA2341" s="3"/>
    </row>
    <row r="2342">
      <c r="A2342" s="3">
        <v>6.893200638211E12</v>
      </c>
      <c r="B2342" s="2" t="s">
        <v>9814</v>
      </c>
      <c r="C2342" s="2" t="s">
        <v>9815</v>
      </c>
      <c r="D2342" s="169">
        <v>46055.0</v>
      </c>
      <c r="E2342" s="2">
        <v>3.468773568E9</v>
      </c>
      <c r="F2342" s="2" t="s">
        <v>9816</v>
      </c>
      <c r="G2342" s="2" t="s">
        <v>9817</v>
      </c>
      <c r="H2342" s="2">
        <v>0.0</v>
      </c>
      <c r="J2342" s="3">
        <v>0.0</v>
      </c>
      <c r="K2342" s="2" t="s">
        <v>9737</v>
      </c>
      <c r="L2342" s="2"/>
      <c r="M2342" s="2" t="s">
        <v>468</v>
      </c>
      <c r="N2342" s="2" t="s">
        <v>406</v>
      </c>
      <c r="O2342" s="3">
        <v>0.5</v>
      </c>
      <c r="Q2342" s="3">
        <v>0.0</v>
      </c>
      <c r="U2342" s="141"/>
      <c r="X2342" s="172">
        <v>46057.642782916664</v>
      </c>
      <c r="Y2342" s="172"/>
      <c r="Z2342" s="3">
        <v>46055.0</v>
      </c>
      <c r="AA2342" s="3"/>
    </row>
    <row r="2343">
      <c r="A2343" s="3">
        <v>6.893203194115E12</v>
      </c>
      <c r="B2343" s="2" t="s">
        <v>9818</v>
      </c>
      <c r="C2343" s="2" t="s">
        <v>9815</v>
      </c>
      <c r="D2343" s="169">
        <v>46055.0</v>
      </c>
      <c r="E2343" s="2">
        <v>3.468773568E9</v>
      </c>
      <c r="F2343" s="2" t="s">
        <v>9816</v>
      </c>
      <c r="G2343" s="2" t="s">
        <v>9817</v>
      </c>
      <c r="H2343" s="2">
        <v>3099.0</v>
      </c>
      <c r="I2343" s="2" t="s">
        <v>9819</v>
      </c>
      <c r="J2343" s="3">
        <v>2.0</v>
      </c>
      <c r="K2343" s="2" t="s">
        <v>9820</v>
      </c>
      <c r="L2343" s="2" t="s">
        <v>228</v>
      </c>
      <c r="M2343" s="2" t="s">
        <v>409</v>
      </c>
      <c r="N2343" s="2" t="s">
        <v>462</v>
      </c>
      <c r="O2343" s="3">
        <v>0.5</v>
      </c>
      <c r="P2343" s="2" t="s">
        <v>640</v>
      </c>
      <c r="Q2343" s="3">
        <v>720.0</v>
      </c>
      <c r="T2343" s="2"/>
      <c r="U2343" s="171">
        <v>3099.0</v>
      </c>
      <c r="W2343" s="3">
        <v>301.5376</v>
      </c>
      <c r="X2343" s="172">
        <v>46070.62437621527</v>
      </c>
      <c r="Y2343" s="172"/>
      <c r="Z2343" s="3">
        <v>46055.0</v>
      </c>
      <c r="AA2343" s="3"/>
    </row>
    <row r="2344">
      <c r="A2344" s="3">
        <v>6.893229965571E12</v>
      </c>
      <c r="B2344" s="2" t="s">
        <v>9821</v>
      </c>
      <c r="C2344" s="2" t="s">
        <v>9822</v>
      </c>
      <c r="D2344" s="169">
        <v>46055.0</v>
      </c>
      <c r="E2344" s="2">
        <v>3.085715757E9</v>
      </c>
      <c r="F2344" s="2" t="s">
        <v>9823</v>
      </c>
      <c r="G2344" s="2" t="s">
        <v>1012</v>
      </c>
      <c r="H2344" s="2">
        <v>2749.0</v>
      </c>
      <c r="I2344" s="2">
        <v>2.0120050021706E13</v>
      </c>
      <c r="J2344" s="3">
        <v>2.0</v>
      </c>
      <c r="K2344" s="2" t="s">
        <v>9824</v>
      </c>
      <c r="L2344" s="2" t="s">
        <v>16</v>
      </c>
      <c r="M2344" s="2" t="s">
        <v>409</v>
      </c>
      <c r="N2344" s="2" t="s">
        <v>462</v>
      </c>
      <c r="O2344" s="3">
        <v>0.5</v>
      </c>
      <c r="P2344" s="2" t="s">
        <v>73</v>
      </c>
      <c r="Q2344" s="3">
        <v>980.0</v>
      </c>
      <c r="T2344" s="2" t="s">
        <v>9018</v>
      </c>
      <c r="U2344" s="171">
        <v>2749.0</v>
      </c>
      <c r="V2344" s="172">
        <v>46066.0</v>
      </c>
      <c r="W2344" s="3">
        <v>323.0</v>
      </c>
      <c r="X2344" s="172">
        <v>46064.5210890625</v>
      </c>
      <c r="Y2344" s="172"/>
      <c r="Z2344" s="3">
        <v>46055.0</v>
      </c>
      <c r="AA2344" s="3"/>
    </row>
    <row r="2345">
      <c r="A2345" s="3">
        <v>6.893255065859E12</v>
      </c>
      <c r="B2345" s="2" t="s">
        <v>9825</v>
      </c>
      <c r="C2345" s="2" t="s">
        <v>9826</v>
      </c>
      <c r="D2345" s="169">
        <v>46055.0</v>
      </c>
      <c r="E2345" s="2">
        <v>3.196242927E9</v>
      </c>
      <c r="F2345" s="2" t="s">
        <v>9827</v>
      </c>
      <c r="G2345" s="2" t="s">
        <v>1044</v>
      </c>
      <c r="H2345" s="2">
        <v>249.0</v>
      </c>
      <c r="I2345" s="2">
        <v>2.0120050021711E13</v>
      </c>
      <c r="J2345" s="3">
        <v>0.0</v>
      </c>
      <c r="K2345" s="2" t="s">
        <v>9828</v>
      </c>
      <c r="L2345" s="2"/>
      <c r="M2345" s="170" t="s">
        <v>455</v>
      </c>
      <c r="N2345" s="2" t="s">
        <v>406</v>
      </c>
      <c r="O2345" s="3">
        <v>0.5</v>
      </c>
      <c r="P2345" s="2" t="s">
        <v>73</v>
      </c>
      <c r="Q2345" s="3">
        <v>0.0</v>
      </c>
      <c r="U2345" s="141"/>
      <c r="W2345" s="3">
        <v>200.0</v>
      </c>
      <c r="X2345" s="172">
        <v>46064.85707424769</v>
      </c>
      <c r="Y2345" s="172"/>
      <c r="Z2345" s="3">
        <v>46055.0</v>
      </c>
      <c r="AA2345" s="3"/>
    </row>
    <row r="2346">
      <c r="A2346" s="3">
        <v>6.893337477379E12</v>
      </c>
      <c r="B2346" s="2" t="s">
        <v>9829</v>
      </c>
      <c r="C2346" s="2" t="s">
        <v>9830</v>
      </c>
      <c r="D2346" s="169">
        <v>46055.0</v>
      </c>
      <c r="E2346" s="2">
        <v>3.338530808E9</v>
      </c>
      <c r="F2346" s="2" t="s">
        <v>9831</v>
      </c>
      <c r="G2346" s="2" t="s">
        <v>541</v>
      </c>
      <c r="H2346" s="2">
        <v>249.0</v>
      </c>
      <c r="I2346" s="2">
        <v>2.7120050021699E13</v>
      </c>
      <c r="J2346" s="3">
        <v>0.0</v>
      </c>
      <c r="K2346" s="2" t="s">
        <v>9832</v>
      </c>
      <c r="L2346" s="2"/>
      <c r="M2346" s="170" t="s">
        <v>455</v>
      </c>
      <c r="N2346" s="2" t="s">
        <v>406</v>
      </c>
      <c r="O2346" s="3">
        <v>0.5</v>
      </c>
      <c r="P2346" s="2" t="s">
        <v>73</v>
      </c>
      <c r="Q2346" s="3">
        <v>0.0</v>
      </c>
      <c r="U2346" s="141"/>
      <c r="W2346" s="3">
        <v>200.0</v>
      </c>
      <c r="X2346" s="172">
        <v>46064.857080636575</v>
      </c>
      <c r="Y2346" s="172"/>
      <c r="Z2346" s="3">
        <v>46055.0</v>
      </c>
      <c r="AA2346" s="3"/>
    </row>
    <row r="2347">
      <c r="A2347" s="3">
        <v>6.893503774979E12</v>
      </c>
      <c r="B2347" s="2" t="s">
        <v>9833</v>
      </c>
      <c r="C2347" s="2" t="s">
        <v>9834</v>
      </c>
      <c r="D2347" s="169">
        <v>46055.0</v>
      </c>
      <c r="E2347" s="2">
        <v>3.016001413E9</v>
      </c>
      <c r="F2347" s="2" t="s">
        <v>9835</v>
      </c>
      <c r="G2347" s="2" t="s">
        <v>9836</v>
      </c>
      <c r="H2347" s="2">
        <v>249.0</v>
      </c>
      <c r="I2347" s="2">
        <v>1.73010701815E11</v>
      </c>
      <c r="J2347" s="3">
        <v>0.0</v>
      </c>
      <c r="K2347" s="2" t="s">
        <v>9837</v>
      </c>
      <c r="L2347" s="2"/>
      <c r="M2347" s="170" t="s">
        <v>455</v>
      </c>
      <c r="N2347" s="2" t="s">
        <v>406</v>
      </c>
      <c r="O2347" s="3">
        <v>0.5</v>
      </c>
      <c r="P2347" s="2" t="s">
        <v>501</v>
      </c>
      <c r="Q2347" s="3">
        <v>0.0</v>
      </c>
      <c r="T2347" s="2" t="s">
        <v>8550</v>
      </c>
      <c r="U2347" s="141"/>
      <c r="W2347" s="3">
        <v>289.94</v>
      </c>
      <c r="X2347" s="172">
        <v>46084.45913872685</v>
      </c>
      <c r="Y2347" s="172"/>
      <c r="Z2347" s="3">
        <v>46055.0</v>
      </c>
      <c r="AA2347" s="3"/>
    </row>
    <row r="2348">
      <c r="A2348" s="3">
        <v>6.893663387907E12</v>
      </c>
      <c r="B2348" s="2" t="s">
        <v>9838</v>
      </c>
      <c r="C2348" s="2" t="s">
        <v>9839</v>
      </c>
      <c r="D2348" s="169">
        <v>46055.0</v>
      </c>
      <c r="E2348" s="2">
        <v>3.331697778E9</v>
      </c>
      <c r="F2348" s="2" t="s">
        <v>9840</v>
      </c>
      <c r="G2348" s="2" t="s">
        <v>493</v>
      </c>
      <c r="H2348" s="2">
        <v>6499.0</v>
      </c>
      <c r="I2348" s="2">
        <v>2.1120050021705E13</v>
      </c>
      <c r="J2348" s="3">
        <v>3.0</v>
      </c>
      <c r="K2348" s="2" t="s">
        <v>9841</v>
      </c>
      <c r="L2348" s="2" t="s">
        <v>9842</v>
      </c>
      <c r="M2348" s="2" t="s">
        <v>409</v>
      </c>
      <c r="N2348" s="2" t="s">
        <v>462</v>
      </c>
      <c r="O2348" s="3">
        <v>0.5</v>
      </c>
      <c r="P2348" s="2" t="s">
        <v>73</v>
      </c>
      <c r="Q2348" s="3">
        <v>2520.0</v>
      </c>
      <c r="T2348" s="2" t="s">
        <v>8902</v>
      </c>
      <c r="U2348" s="171">
        <v>6499.0</v>
      </c>
      <c r="V2348" s="172">
        <v>46063.0</v>
      </c>
      <c r="W2348" s="3">
        <v>580.0</v>
      </c>
      <c r="X2348" s="172">
        <v>46060.02135981481</v>
      </c>
      <c r="Y2348" s="172"/>
      <c r="Z2348" s="3">
        <v>46055.0</v>
      </c>
      <c r="AA2348" s="3"/>
    </row>
    <row r="2349">
      <c r="A2349" s="3">
        <v>6.893681606915E12</v>
      </c>
      <c r="B2349" s="2" t="s">
        <v>9843</v>
      </c>
      <c r="C2349" s="2" t="s">
        <v>9844</v>
      </c>
      <c r="D2349" s="169">
        <v>46055.0</v>
      </c>
      <c r="E2349" s="2">
        <v>3.316352796E9</v>
      </c>
      <c r="F2349" s="2" t="s">
        <v>9845</v>
      </c>
      <c r="G2349" s="2" t="s">
        <v>9846</v>
      </c>
      <c r="H2349" s="2">
        <v>0.0</v>
      </c>
      <c r="J2349" s="3">
        <v>0.0</v>
      </c>
      <c r="K2349" s="2" t="s">
        <v>9847</v>
      </c>
      <c r="L2349" s="2"/>
      <c r="M2349" s="2" t="s">
        <v>468</v>
      </c>
      <c r="N2349" s="2" t="s">
        <v>406</v>
      </c>
      <c r="O2349" s="3">
        <v>0.5</v>
      </c>
      <c r="Q2349" s="3">
        <v>0.0</v>
      </c>
      <c r="U2349" s="141"/>
      <c r="X2349" s="172">
        <v>46057.642782916664</v>
      </c>
      <c r="Y2349" s="172"/>
      <c r="Z2349" s="3">
        <v>46055.0</v>
      </c>
      <c r="AA2349" s="3"/>
    </row>
    <row r="2350">
      <c r="A2350" s="3">
        <v>6.893732921603E12</v>
      </c>
      <c r="B2350" s="2" t="s">
        <v>9848</v>
      </c>
      <c r="C2350" s="2" t="s">
        <v>9849</v>
      </c>
      <c r="D2350" s="169">
        <v>46056.0</v>
      </c>
      <c r="E2350" s="2">
        <v>3.057454524E9</v>
      </c>
      <c r="F2350" s="2" t="s">
        <v>9850</v>
      </c>
      <c r="G2350" s="2" t="s">
        <v>374</v>
      </c>
      <c r="H2350" s="2">
        <v>0.0</v>
      </c>
      <c r="J2350" s="3">
        <v>0.0</v>
      </c>
      <c r="K2350" s="2" t="s">
        <v>9851</v>
      </c>
      <c r="L2350" s="2"/>
      <c r="M2350" s="2" t="s">
        <v>468</v>
      </c>
      <c r="N2350" s="2" t="s">
        <v>406</v>
      </c>
      <c r="O2350" s="3">
        <v>0.5</v>
      </c>
      <c r="Q2350" s="3">
        <v>0.0</v>
      </c>
      <c r="U2350" s="141"/>
      <c r="X2350" s="172">
        <v>46057.642782916664</v>
      </c>
      <c r="Y2350" s="172"/>
      <c r="Z2350" s="3">
        <v>46056.0</v>
      </c>
      <c r="AA2350" s="3"/>
    </row>
    <row r="2351">
      <c r="A2351" s="3">
        <v>6.893743505667E12</v>
      </c>
      <c r="B2351" s="2" t="s">
        <v>9852</v>
      </c>
      <c r="C2351" s="2" t="s">
        <v>9853</v>
      </c>
      <c r="D2351" s="169">
        <v>46056.0</v>
      </c>
      <c r="E2351" s="2">
        <v>3.05222101E9</v>
      </c>
      <c r="F2351" s="2" t="s">
        <v>9854</v>
      </c>
      <c r="G2351" s="2" t="s">
        <v>493</v>
      </c>
      <c r="H2351" s="2">
        <v>1699.0</v>
      </c>
      <c r="I2351" s="2">
        <v>2.6120050021698E13</v>
      </c>
      <c r="J2351" s="3">
        <v>1.0</v>
      </c>
      <c r="K2351" s="2" t="s">
        <v>9855</v>
      </c>
      <c r="L2351" s="2" t="s">
        <v>9856</v>
      </c>
      <c r="M2351" s="2" t="s">
        <v>409</v>
      </c>
      <c r="N2351" s="2" t="s">
        <v>462</v>
      </c>
      <c r="O2351" s="3">
        <v>0.5</v>
      </c>
      <c r="P2351" s="2" t="s">
        <v>73</v>
      </c>
      <c r="Q2351" s="3">
        <v>550.0</v>
      </c>
      <c r="T2351" s="2" t="s">
        <v>8902</v>
      </c>
      <c r="U2351" s="171">
        <v>1699.0</v>
      </c>
      <c r="V2351" s="172">
        <v>46063.0</v>
      </c>
      <c r="W2351" s="3">
        <v>281.0</v>
      </c>
      <c r="X2351" s="172">
        <v>46059.70226474537</v>
      </c>
      <c r="Y2351" s="172"/>
      <c r="Z2351" s="3">
        <v>46056.0</v>
      </c>
      <c r="AA2351" s="3"/>
    </row>
    <row r="2352">
      <c r="A2352" s="3">
        <v>6.894197276931E12</v>
      </c>
      <c r="B2352" s="2" t="s">
        <v>9857</v>
      </c>
      <c r="C2352" s="2" t="s">
        <v>9858</v>
      </c>
      <c r="D2352" s="169">
        <v>46056.0</v>
      </c>
      <c r="E2352" s="2">
        <v>3.065472417E9</v>
      </c>
      <c r="F2352" s="2" t="s">
        <v>9859</v>
      </c>
      <c r="G2352" s="2" t="s">
        <v>9860</v>
      </c>
      <c r="H2352" s="2">
        <v>4248.0</v>
      </c>
      <c r="I2352" s="2" t="s">
        <v>9861</v>
      </c>
      <c r="J2352" s="3">
        <v>2.0</v>
      </c>
      <c r="K2352" s="2" t="s">
        <v>9862</v>
      </c>
      <c r="L2352" s="2" t="s">
        <v>913</v>
      </c>
      <c r="M2352" s="2" t="s">
        <v>409</v>
      </c>
      <c r="N2352" s="2" t="s">
        <v>462</v>
      </c>
      <c r="O2352" s="3">
        <v>0.5</v>
      </c>
      <c r="P2352" s="2" t="s">
        <v>640</v>
      </c>
      <c r="Q2352" s="3">
        <v>1700.0</v>
      </c>
      <c r="T2352" s="2"/>
      <c r="U2352" s="171">
        <v>4248.0</v>
      </c>
      <c r="W2352" s="3">
        <v>301.5376</v>
      </c>
      <c r="X2352" s="172">
        <v>46070.624376238426</v>
      </c>
      <c r="Y2352" s="172"/>
      <c r="Z2352" s="3">
        <v>46056.0</v>
      </c>
      <c r="AA2352" s="3"/>
    </row>
    <row r="2353">
      <c r="A2353" s="3">
        <v>6.894240137475E12</v>
      </c>
      <c r="B2353" s="2" t="s">
        <v>9863</v>
      </c>
      <c r="C2353" s="2" t="s">
        <v>9864</v>
      </c>
      <c r="D2353" s="169">
        <v>46056.0</v>
      </c>
      <c r="E2353" s="173" t="s">
        <v>9865</v>
      </c>
      <c r="F2353" s="2" t="s">
        <v>9866</v>
      </c>
      <c r="G2353" s="2" t="s">
        <v>506</v>
      </c>
      <c r="H2353" s="2">
        <v>3099.0</v>
      </c>
      <c r="I2353" s="2">
        <v>2.6120050021697E13</v>
      </c>
      <c r="J2353" s="3">
        <v>2.0</v>
      </c>
      <c r="K2353" s="2" t="s">
        <v>9867</v>
      </c>
      <c r="L2353" s="2" t="s">
        <v>296</v>
      </c>
      <c r="M2353" s="174" t="s">
        <v>409</v>
      </c>
      <c r="N2353" s="2" t="s">
        <v>462</v>
      </c>
      <c r="O2353" s="3">
        <v>0.5</v>
      </c>
      <c r="P2353" s="2" t="s">
        <v>73</v>
      </c>
      <c r="Q2353" s="3">
        <v>920.0</v>
      </c>
      <c r="T2353" s="2" t="s">
        <v>9199</v>
      </c>
      <c r="U2353" s="171">
        <v>3099.0</v>
      </c>
      <c r="V2353" s="172">
        <v>46059.0</v>
      </c>
      <c r="W2353" s="3">
        <v>324.0</v>
      </c>
      <c r="X2353" s="172">
        <v>46058.780081018514</v>
      </c>
      <c r="Y2353" s="172"/>
      <c r="Z2353" s="3">
        <v>46056.0</v>
      </c>
      <c r="AA2353" s="3"/>
    </row>
    <row r="2354">
      <c r="A2354" s="3">
        <v>6.894242070787E12</v>
      </c>
      <c r="B2354" s="2" t="s">
        <v>9868</v>
      </c>
      <c r="C2354" s="2" t="s">
        <v>9869</v>
      </c>
      <c r="D2354" s="169">
        <v>46056.0</v>
      </c>
      <c r="E2354" s="173" t="s">
        <v>9870</v>
      </c>
      <c r="F2354" s="2" t="s">
        <v>9871</v>
      </c>
      <c r="G2354" s="2" t="s">
        <v>368</v>
      </c>
      <c r="H2354" s="2">
        <v>5450.0</v>
      </c>
      <c r="I2354" s="2">
        <v>2.1120050021696E13</v>
      </c>
      <c r="J2354" s="3">
        <v>4.0</v>
      </c>
      <c r="K2354" s="2" t="s">
        <v>9872</v>
      </c>
      <c r="L2354" s="2" t="s">
        <v>9873</v>
      </c>
      <c r="M2354" s="174" t="s">
        <v>409</v>
      </c>
      <c r="N2354" s="2" t="s">
        <v>462</v>
      </c>
      <c r="O2354" s="3">
        <v>0.5</v>
      </c>
      <c r="P2354" s="2" t="s">
        <v>73</v>
      </c>
      <c r="Q2354" s="3">
        <v>1970.0</v>
      </c>
      <c r="T2354" s="2" t="s">
        <v>9199</v>
      </c>
      <c r="U2354" s="171">
        <v>5450.0</v>
      </c>
      <c r="V2354" s="172">
        <v>46059.0</v>
      </c>
      <c r="W2354" s="3">
        <v>338.0</v>
      </c>
      <c r="X2354" s="172">
        <v>46057.46481481481</v>
      </c>
      <c r="Y2354" s="172"/>
      <c r="Z2354" s="3">
        <v>46056.0</v>
      </c>
      <c r="AA2354" s="3"/>
    </row>
    <row r="2355">
      <c r="A2355" s="3">
        <v>6.894334345475E12</v>
      </c>
      <c r="B2355" s="2" t="s">
        <v>9874</v>
      </c>
      <c r="C2355" s="2" t="s">
        <v>9875</v>
      </c>
      <c r="D2355" s="169">
        <v>46056.0</v>
      </c>
      <c r="E2355" s="2">
        <v>3.338820607E9</v>
      </c>
      <c r="F2355" s="2" t="s">
        <v>9876</v>
      </c>
      <c r="G2355" s="2" t="s">
        <v>1016</v>
      </c>
      <c r="H2355" s="2">
        <v>3099.0</v>
      </c>
      <c r="I2355" s="2">
        <v>2.5120050021695E13</v>
      </c>
      <c r="J2355" s="3">
        <v>2.0</v>
      </c>
      <c r="K2355" s="2" t="s">
        <v>9877</v>
      </c>
      <c r="L2355" s="2" t="s">
        <v>296</v>
      </c>
      <c r="M2355" s="2" t="s">
        <v>409</v>
      </c>
      <c r="N2355" s="2" t="s">
        <v>462</v>
      </c>
      <c r="O2355" s="3">
        <v>0.5</v>
      </c>
      <c r="P2355" s="2" t="s">
        <v>73</v>
      </c>
      <c r="Q2355" s="3">
        <v>920.0</v>
      </c>
      <c r="T2355" s="2" t="s">
        <v>8902</v>
      </c>
      <c r="U2355" s="171">
        <v>3099.0</v>
      </c>
      <c r="V2355" s="172">
        <v>46063.0</v>
      </c>
      <c r="W2355" s="3">
        <v>324.0</v>
      </c>
      <c r="X2355" s="172">
        <v>46059.70226892361</v>
      </c>
      <c r="Y2355" s="172"/>
      <c r="Z2355" s="3">
        <v>46056.0</v>
      </c>
      <c r="AA2355" s="3"/>
    </row>
    <row r="2356">
      <c r="A2356" s="3">
        <v>6.894390411523E12</v>
      </c>
      <c r="B2356" s="2" t="s">
        <v>9878</v>
      </c>
      <c r="C2356" s="2" t="s">
        <v>9879</v>
      </c>
      <c r="D2356" s="169">
        <v>46056.0</v>
      </c>
      <c r="E2356" s="2">
        <v>3.040030439E9</v>
      </c>
      <c r="F2356" s="2" t="s">
        <v>9880</v>
      </c>
      <c r="G2356" s="2" t="s">
        <v>9881</v>
      </c>
      <c r="H2356" s="2">
        <v>249.0</v>
      </c>
      <c r="I2356" s="2">
        <v>2.512005002171E13</v>
      </c>
      <c r="J2356" s="3">
        <v>0.0</v>
      </c>
      <c r="K2356" s="2" t="s">
        <v>9882</v>
      </c>
      <c r="L2356" s="2"/>
      <c r="M2356" s="170" t="s">
        <v>455</v>
      </c>
      <c r="N2356" s="2" t="s">
        <v>406</v>
      </c>
      <c r="O2356" s="3">
        <v>0.5</v>
      </c>
      <c r="P2356" s="2" t="s">
        <v>73</v>
      </c>
      <c r="Q2356" s="3">
        <v>0.0</v>
      </c>
      <c r="U2356" s="141"/>
      <c r="W2356" s="3">
        <v>200.0</v>
      </c>
      <c r="X2356" s="172">
        <v>46070.916660324074</v>
      </c>
      <c r="Y2356" s="172"/>
      <c r="Z2356" s="3">
        <v>46056.0</v>
      </c>
      <c r="AA2356" s="3"/>
    </row>
    <row r="2357">
      <c r="A2357" s="3">
        <v>6.894427734275E12</v>
      </c>
      <c r="B2357" s="2" t="s">
        <v>9883</v>
      </c>
      <c r="C2357" s="2" t="s">
        <v>9884</v>
      </c>
      <c r="D2357" s="169">
        <v>46056.0</v>
      </c>
      <c r="E2357" s="2">
        <v>3.458352778E9</v>
      </c>
      <c r="F2357" s="2" t="s">
        <v>9885</v>
      </c>
      <c r="G2357" s="2" t="s">
        <v>493</v>
      </c>
      <c r="H2357" s="2">
        <v>3099.0</v>
      </c>
      <c r="I2357" s="2">
        <v>2.7120050021694E13</v>
      </c>
      <c r="J2357" s="3">
        <v>2.0</v>
      </c>
      <c r="K2357" s="2" t="s">
        <v>9886</v>
      </c>
      <c r="L2357" s="2" t="s">
        <v>296</v>
      </c>
      <c r="M2357" s="2" t="s">
        <v>409</v>
      </c>
      <c r="N2357" s="2" t="s">
        <v>462</v>
      </c>
      <c r="O2357" s="3">
        <v>0.5</v>
      </c>
      <c r="P2357" s="2" t="s">
        <v>73</v>
      </c>
      <c r="Q2357" s="3">
        <v>920.0</v>
      </c>
      <c r="T2357" s="2" t="s">
        <v>8902</v>
      </c>
      <c r="U2357" s="171">
        <v>3099.0</v>
      </c>
      <c r="V2357" s="172">
        <v>46063.0</v>
      </c>
      <c r="W2357" s="3">
        <v>337.0</v>
      </c>
      <c r="X2357" s="172">
        <v>46059.70227804398</v>
      </c>
      <c r="Y2357" s="172"/>
      <c r="Z2357" s="3">
        <v>46056.0</v>
      </c>
      <c r="AA2357" s="3"/>
    </row>
    <row r="2358">
      <c r="A2358" s="3">
        <v>6.894432157955E12</v>
      </c>
      <c r="B2358" s="2" t="s">
        <v>9887</v>
      </c>
      <c r="C2358" s="2" t="s">
        <v>1274</v>
      </c>
      <c r="D2358" s="169">
        <v>46056.0</v>
      </c>
      <c r="E2358" s="2">
        <v>3.165811408E9</v>
      </c>
      <c r="F2358" s="2" t="s">
        <v>9888</v>
      </c>
      <c r="G2358" s="2" t="s">
        <v>506</v>
      </c>
      <c r="H2358" s="2">
        <v>3099.0</v>
      </c>
      <c r="I2358" s="2">
        <v>2.8120050021709E13</v>
      </c>
      <c r="J2358" s="3">
        <v>2.0</v>
      </c>
      <c r="K2358" s="2" t="s">
        <v>9889</v>
      </c>
      <c r="L2358" s="2" t="s">
        <v>296</v>
      </c>
      <c r="M2358" s="174" t="s">
        <v>409</v>
      </c>
      <c r="N2358" s="2" t="s">
        <v>462</v>
      </c>
      <c r="O2358" s="3">
        <v>0.5</v>
      </c>
      <c r="P2358" s="2" t="s">
        <v>73</v>
      </c>
      <c r="Q2358" s="3">
        <v>920.0</v>
      </c>
      <c r="T2358" s="2" t="s">
        <v>9199</v>
      </c>
      <c r="U2358" s="171">
        <v>3099.0</v>
      </c>
      <c r="V2358" s="172">
        <v>46059.0</v>
      </c>
      <c r="W2358" s="3">
        <v>324.0</v>
      </c>
      <c r="X2358" s="172">
        <v>46058.57033564815</v>
      </c>
      <c r="Y2358" s="172"/>
      <c r="Z2358" s="3">
        <v>46056.0</v>
      </c>
      <c r="AA2358" s="3"/>
    </row>
    <row r="2359">
      <c r="A2359" s="3">
        <v>6.894460502275E12</v>
      </c>
      <c r="B2359" s="2" t="s">
        <v>9890</v>
      </c>
      <c r="C2359" s="2" t="s">
        <v>9891</v>
      </c>
      <c r="D2359" s="169">
        <v>46056.0</v>
      </c>
      <c r="E2359" s="2">
        <v>3.455976342E9</v>
      </c>
      <c r="F2359" s="2" t="s">
        <v>9892</v>
      </c>
      <c r="G2359" s="2" t="s">
        <v>9893</v>
      </c>
      <c r="H2359" s="2">
        <v>2799.0</v>
      </c>
      <c r="I2359" s="2">
        <v>1.73010701819E11</v>
      </c>
      <c r="J2359" s="3">
        <v>1.0</v>
      </c>
      <c r="K2359" s="2" t="s">
        <v>9894</v>
      </c>
      <c r="L2359" s="2" t="s">
        <v>500</v>
      </c>
      <c r="M2359" s="2" t="s">
        <v>409</v>
      </c>
      <c r="N2359" s="2" t="s">
        <v>462</v>
      </c>
      <c r="O2359" s="3">
        <v>0.5</v>
      </c>
      <c r="P2359" s="2" t="s">
        <v>501</v>
      </c>
      <c r="Q2359" s="3">
        <v>850.0</v>
      </c>
      <c r="T2359" s="2"/>
      <c r="U2359" s="171">
        <v>2799.0</v>
      </c>
      <c r="W2359" s="3">
        <v>301.5376</v>
      </c>
      <c r="X2359" s="172">
        <v>46066.005476493054</v>
      </c>
      <c r="Y2359" s="172"/>
      <c r="Z2359" s="3">
        <v>46056.0</v>
      </c>
      <c r="AA2359" s="3"/>
    </row>
    <row r="2360">
      <c r="A2360" s="3">
        <v>6.894482227459E12</v>
      </c>
      <c r="B2360" s="2" t="s">
        <v>9895</v>
      </c>
      <c r="C2360" s="2" t="s">
        <v>9896</v>
      </c>
      <c r="D2360" s="169">
        <v>46056.0</v>
      </c>
      <c r="E2360" s="173" t="s">
        <v>9897</v>
      </c>
      <c r="F2360" s="2" t="s">
        <v>9898</v>
      </c>
      <c r="G2360" s="2" t="s">
        <v>374</v>
      </c>
      <c r="H2360" s="2">
        <v>3100.0</v>
      </c>
      <c r="I2360" s="2">
        <v>2.4120050021704E13</v>
      </c>
      <c r="J2360" s="3">
        <v>2.0</v>
      </c>
      <c r="K2360" s="2" t="s">
        <v>9899</v>
      </c>
      <c r="L2360" s="2" t="s">
        <v>9900</v>
      </c>
      <c r="M2360" s="2" t="s">
        <v>409</v>
      </c>
      <c r="N2360" s="2" t="s">
        <v>462</v>
      </c>
      <c r="O2360" s="3">
        <v>0.5</v>
      </c>
      <c r="P2360" s="2" t="s">
        <v>73</v>
      </c>
      <c r="Q2360" s="3">
        <v>920.0</v>
      </c>
      <c r="T2360" s="2" t="s">
        <v>8902</v>
      </c>
      <c r="U2360" s="171">
        <v>3100.0</v>
      </c>
      <c r="V2360" s="172">
        <v>46063.0</v>
      </c>
      <c r="W2360" s="3">
        <v>324.0</v>
      </c>
      <c r="X2360" s="172">
        <v>46062.77134209491</v>
      </c>
      <c r="Y2360" s="172"/>
      <c r="Z2360" s="3">
        <v>46056.0</v>
      </c>
      <c r="AA2360" s="3"/>
    </row>
    <row r="2361">
      <c r="A2361" s="3">
        <v>6.894484259075E12</v>
      </c>
      <c r="B2361" s="2" t="s">
        <v>9901</v>
      </c>
      <c r="C2361" s="2" t="s">
        <v>9902</v>
      </c>
      <c r="D2361" s="169">
        <v>46056.0</v>
      </c>
      <c r="E2361" s="173" t="s">
        <v>9903</v>
      </c>
      <c r="F2361" s="2" t="s">
        <v>9904</v>
      </c>
      <c r="G2361" s="2" t="s">
        <v>9905</v>
      </c>
      <c r="H2361" s="2">
        <v>4250.0</v>
      </c>
      <c r="I2361" s="2">
        <v>2.1120050021703E13</v>
      </c>
      <c r="J2361" s="3">
        <v>2.0</v>
      </c>
      <c r="K2361" s="2" t="s">
        <v>9906</v>
      </c>
      <c r="L2361" s="2" t="s">
        <v>994</v>
      </c>
      <c r="M2361" s="174" t="s">
        <v>409</v>
      </c>
      <c r="N2361" s="2" t="s">
        <v>462</v>
      </c>
      <c r="O2361" s="3">
        <v>0.5</v>
      </c>
      <c r="P2361" s="2" t="s">
        <v>73</v>
      </c>
      <c r="Q2361" s="3">
        <v>1700.0</v>
      </c>
      <c r="T2361" s="2" t="s">
        <v>9199</v>
      </c>
      <c r="U2361" s="171">
        <v>4250.0</v>
      </c>
      <c r="V2361" s="172">
        <v>46059.0</v>
      </c>
      <c r="W2361" s="3">
        <v>390.0</v>
      </c>
      <c r="X2361" s="172">
        <v>46058.65994212963</v>
      </c>
      <c r="Y2361" s="172"/>
      <c r="Z2361" s="3">
        <v>46056.0</v>
      </c>
      <c r="AA2361" s="3"/>
    </row>
    <row r="2362">
      <c r="A2362" s="3">
        <v>6.894514438403E12</v>
      </c>
      <c r="B2362" s="2" t="s">
        <v>9907</v>
      </c>
      <c r="C2362" s="2" t="s">
        <v>9908</v>
      </c>
      <c r="D2362" s="169">
        <v>46056.0</v>
      </c>
      <c r="E2362" s="2">
        <v>3.338370786E9</v>
      </c>
      <c r="F2362" s="2" t="s">
        <v>9909</v>
      </c>
      <c r="G2362" s="2" t="s">
        <v>693</v>
      </c>
      <c r="H2362" s="2">
        <v>5400.0</v>
      </c>
      <c r="I2362" s="2">
        <v>2.2120050021708E13</v>
      </c>
      <c r="J2362" s="3">
        <v>3.0</v>
      </c>
      <c r="K2362" s="2" t="s">
        <v>9910</v>
      </c>
      <c r="L2362" s="2" t="s">
        <v>9911</v>
      </c>
      <c r="M2362" s="2" t="s">
        <v>409</v>
      </c>
      <c r="N2362" s="2" t="s">
        <v>462</v>
      </c>
      <c r="O2362" s="3">
        <v>0.5</v>
      </c>
      <c r="P2362" s="2" t="s">
        <v>73</v>
      </c>
      <c r="Q2362" s="3">
        <v>1770.0</v>
      </c>
      <c r="T2362" s="2" t="s">
        <v>8519</v>
      </c>
      <c r="U2362" s="171">
        <v>5400.0</v>
      </c>
      <c r="V2362" s="172">
        <v>46070.0</v>
      </c>
      <c r="W2362" s="3">
        <v>443.0</v>
      </c>
      <c r="X2362" s="172">
        <v>46066.542828854166</v>
      </c>
      <c r="Y2362" s="172"/>
      <c r="Z2362" s="3">
        <v>46056.0</v>
      </c>
      <c r="AA2362" s="3"/>
    </row>
    <row r="2363">
      <c r="A2363" s="3">
        <v>6.894519845123E12</v>
      </c>
      <c r="B2363" s="2" t="s">
        <v>9912</v>
      </c>
      <c r="C2363" s="2" t="s">
        <v>9913</v>
      </c>
      <c r="D2363" s="169">
        <v>46056.0</v>
      </c>
      <c r="E2363" s="173" t="s">
        <v>9914</v>
      </c>
      <c r="F2363" s="2" t="s">
        <v>9915</v>
      </c>
      <c r="G2363" s="2" t="s">
        <v>493</v>
      </c>
      <c r="H2363" s="2">
        <v>5650.0</v>
      </c>
      <c r="I2363" s="2">
        <v>2.6120050021797E13</v>
      </c>
      <c r="J2363" s="3">
        <v>3.0</v>
      </c>
      <c r="K2363" s="2" t="s">
        <v>9916</v>
      </c>
      <c r="L2363" s="2" t="s">
        <v>9917</v>
      </c>
      <c r="M2363" s="2" t="s">
        <v>409</v>
      </c>
      <c r="N2363" s="2" t="s">
        <v>462</v>
      </c>
      <c r="O2363" s="3">
        <v>0.5</v>
      </c>
      <c r="P2363" s="2" t="s">
        <v>73</v>
      </c>
      <c r="Q2363" s="3">
        <v>2320.0</v>
      </c>
      <c r="T2363" s="2" t="s">
        <v>9018</v>
      </c>
      <c r="U2363" s="171">
        <v>5650.0</v>
      </c>
      <c r="V2363" s="172">
        <v>46066.0</v>
      </c>
      <c r="W2363" s="3">
        <v>453.0</v>
      </c>
      <c r="X2363" s="172">
        <v>46065.793000370366</v>
      </c>
      <c r="Y2363" s="172"/>
      <c r="Z2363" s="3">
        <v>46056.0</v>
      </c>
      <c r="AA2363" s="3"/>
    </row>
    <row r="2364">
      <c r="A2364" s="3">
        <v>6.894541242627E12</v>
      </c>
      <c r="B2364" s="2" t="s">
        <v>9918</v>
      </c>
      <c r="C2364" s="2" t="s">
        <v>9919</v>
      </c>
      <c r="D2364" s="169">
        <v>46056.0</v>
      </c>
      <c r="E2364" s="2">
        <v>3.229566889E9</v>
      </c>
      <c r="F2364" s="2" t="s">
        <v>9920</v>
      </c>
      <c r="G2364" s="2" t="s">
        <v>781</v>
      </c>
      <c r="H2364" s="2">
        <v>3099.0</v>
      </c>
      <c r="I2364" s="2">
        <v>2.9120050021707E13</v>
      </c>
      <c r="J2364" s="3">
        <v>2.0</v>
      </c>
      <c r="K2364" s="2" t="s">
        <v>9921</v>
      </c>
      <c r="L2364" s="2" t="s">
        <v>22</v>
      </c>
      <c r="M2364" s="174" t="s">
        <v>409</v>
      </c>
      <c r="N2364" s="2" t="s">
        <v>462</v>
      </c>
      <c r="O2364" s="3">
        <v>0.5</v>
      </c>
      <c r="P2364" s="2" t="s">
        <v>73</v>
      </c>
      <c r="Q2364" s="3">
        <v>960.0</v>
      </c>
      <c r="T2364" s="2" t="s">
        <v>9199</v>
      </c>
      <c r="U2364" s="171">
        <v>3099.0</v>
      </c>
      <c r="V2364" s="172">
        <v>46059.0</v>
      </c>
      <c r="W2364" s="3">
        <v>337.0</v>
      </c>
      <c r="X2364" s="172">
        <v>46058.71898148148</v>
      </c>
      <c r="Y2364" s="172"/>
      <c r="Z2364" s="3">
        <v>46056.0</v>
      </c>
      <c r="AA2364" s="3"/>
    </row>
    <row r="2365">
      <c r="A2365" s="3">
        <v>6.894718386435E12</v>
      </c>
      <c r="B2365" s="2" t="s">
        <v>9922</v>
      </c>
      <c r="C2365" s="2" t="s">
        <v>9923</v>
      </c>
      <c r="D2365" s="169">
        <v>46056.0</v>
      </c>
      <c r="E2365" s="173" t="s">
        <v>9924</v>
      </c>
      <c r="F2365" s="2" t="s">
        <v>9925</v>
      </c>
      <c r="G2365" s="2" t="s">
        <v>9926</v>
      </c>
      <c r="H2365" s="2">
        <v>2750.0</v>
      </c>
      <c r="I2365" s="2">
        <v>2.6120050021796E13</v>
      </c>
      <c r="J2365" s="3">
        <v>2.0</v>
      </c>
      <c r="K2365" s="2" t="s">
        <v>9927</v>
      </c>
      <c r="L2365" s="2" t="s">
        <v>35</v>
      </c>
      <c r="M2365" s="2" t="s">
        <v>409</v>
      </c>
      <c r="N2365" s="2" t="s">
        <v>462</v>
      </c>
      <c r="O2365" s="3">
        <v>0.5</v>
      </c>
      <c r="P2365" s="2" t="s">
        <v>73</v>
      </c>
      <c r="Q2365" s="3">
        <v>980.0</v>
      </c>
      <c r="T2365" s="2" t="s">
        <v>9018</v>
      </c>
      <c r="U2365" s="171">
        <v>2750.0</v>
      </c>
      <c r="V2365" s="172">
        <v>46066.0</v>
      </c>
      <c r="W2365" s="3">
        <v>337.0</v>
      </c>
      <c r="X2365" s="172">
        <v>46064.730566631944</v>
      </c>
      <c r="Y2365" s="172"/>
      <c r="Z2365" s="3">
        <v>46056.0</v>
      </c>
      <c r="AA2365" s="3"/>
    </row>
    <row r="2366">
      <c r="A2366" s="3">
        <v>6.894961918211E12</v>
      </c>
      <c r="B2366" s="2" t="s">
        <v>9928</v>
      </c>
      <c r="C2366" s="2" t="s">
        <v>9929</v>
      </c>
      <c r="D2366" s="169">
        <v>46056.0</v>
      </c>
      <c r="E2366" s="2">
        <v>3.48948752E9</v>
      </c>
      <c r="F2366" s="2" t="s">
        <v>9930</v>
      </c>
      <c r="G2366" s="2" t="s">
        <v>9931</v>
      </c>
      <c r="H2366" s="2">
        <v>0.0</v>
      </c>
      <c r="J2366" s="3">
        <v>0.0</v>
      </c>
      <c r="K2366" s="2" t="s">
        <v>8038</v>
      </c>
      <c r="L2366" s="2"/>
      <c r="M2366" s="2" t="s">
        <v>468</v>
      </c>
      <c r="N2366" s="2" t="s">
        <v>406</v>
      </c>
      <c r="O2366" s="3">
        <v>0.5</v>
      </c>
      <c r="Q2366" s="3">
        <v>0.0</v>
      </c>
      <c r="U2366" s="141"/>
      <c r="X2366" s="172">
        <v>46057.642782916664</v>
      </c>
      <c r="Y2366" s="172"/>
      <c r="Z2366" s="3">
        <v>46056.0</v>
      </c>
      <c r="AA2366" s="3"/>
    </row>
    <row r="2367">
      <c r="A2367" s="3">
        <v>6.894975844611E12</v>
      </c>
      <c r="B2367" s="2" t="s">
        <v>9932</v>
      </c>
      <c r="C2367" s="2" t="s">
        <v>9933</v>
      </c>
      <c r="D2367" s="169">
        <v>46056.0</v>
      </c>
      <c r="E2367" s="2">
        <v>3.214141441E9</v>
      </c>
      <c r="F2367" s="2" t="s">
        <v>9934</v>
      </c>
      <c r="G2367" s="2" t="s">
        <v>4900</v>
      </c>
      <c r="H2367" s="2">
        <v>0.0</v>
      </c>
      <c r="J2367" s="3">
        <v>0.0</v>
      </c>
      <c r="K2367" s="2" t="s">
        <v>7954</v>
      </c>
      <c r="L2367" s="2"/>
      <c r="M2367" s="2" t="s">
        <v>468</v>
      </c>
      <c r="N2367" s="2" t="s">
        <v>406</v>
      </c>
      <c r="O2367" s="3">
        <v>0.5</v>
      </c>
      <c r="Q2367" s="3">
        <v>0.0</v>
      </c>
      <c r="U2367" s="141"/>
      <c r="X2367" s="172">
        <v>46057.642782916664</v>
      </c>
      <c r="Y2367" s="172"/>
      <c r="Z2367" s="3">
        <v>46056.0</v>
      </c>
      <c r="AA2367" s="3"/>
    </row>
    <row r="2368">
      <c r="A2368" s="3">
        <v>6.894983184643E12</v>
      </c>
      <c r="B2368" s="2" t="s">
        <v>9935</v>
      </c>
      <c r="C2368" s="2" t="s">
        <v>9936</v>
      </c>
      <c r="D2368" s="169">
        <v>46056.0</v>
      </c>
      <c r="E2368" s="2">
        <v>3.214141441E9</v>
      </c>
      <c r="F2368" s="2" t="s">
        <v>9937</v>
      </c>
      <c r="G2368" s="2" t="s">
        <v>4900</v>
      </c>
      <c r="H2368" s="2">
        <v>0.0</v>
      </c>
      <c r="J2368" s="3">
        <v>0.0</v>
      </c>
      <c r="K2368" s="2" t="s">
        <v>7954</v>
      </c>
      <c r="L2368" s="2"/>
      <c r="M2368" s="2" t="s">
        <v>468</v>
      </c>
      <c r="N2368" s="2" t="s">
        <v>406</v>
      </c>
      <c r="O2368" s="3">
        <v>0.5</v>
      </c>
      <c r="Q2368" s="3">
        <v>0.0</v>
      </c>
      <c r="U2368" s="141"/>
      <c r="X2368" s="172">
        <v>46057.642782916664</v>
      </c>
      <c r="Y2368" s="172"/>
      <c r="Z2368" s="3">
        <v>46056.0</v>
      </c>
      <c r="AA2368" s="3"/>
    </row>
    <row r="2369">
      <c r="A2369" s="3">
        <v>6.895052783875E12</v>
      </c>
      <c r="B2369" s="2" t="s">
        <v>9938</v>
      </c>
      <c r="C2369" s="2" t="s">
        <v>9939</v>
      </c>
      <c r="D2369" s="169">
        <v>46056.0</v>
      </c>
      <c r="E2369" s="2">
        <v>3.434302277E9</v>
      </c>
      <c r="F2369" s="2" t="s">
        <v>9940</v>
      </c>
      <c r="G2369" s="2" t="s">
        <v>368</v>
      </c>
      <c r="H2369" s="2">
        <v>3749.0</v>
      </c>
      <c r="I2369" s="2">
        <v>2.5120050021821E13</v>
      </c>
      <c r="J2369" s="3">
        <v>2.0</v>
      </c>
      <c r="K2369" s="2" t="s">
        <v>9941</v>
      </c>
      <c r="L2369" s="2" t="s">
        <v>9942</v>
      </c>
      <c r="M2369" s="2" t="s">
        <v>409</v>
      </c>
      <c r="N2369" s="2" t="s">
        <v>462</v>
      </c>
      <c r="O2369" s="3">
        <v>0.5</v>
      </c>
      <c r="P2369" s="2" t="s">
        <v>73</v>
      </c>
      <c r="Q2369" s="3">
        <v>2200.0</v>
      </c>
      <c r="T2369" s="2" t="s">
        <v>9018</v>
      </c>
      <c r="U2369" s="171">
        <v>3749.0</v>
      </c>
      <c r="V2369" s="172">
        <v>46066.0</v>
      </c>
      <c r="W2369" s="3">
        <v>270.0</v>
      </c>
      <c r="X2369" s="172">
        <v>46064.730575625</v>
      </c>
      <c r="Y2369" s="172"/>
      <c r="Z2369" s="3">
        <v>46056.0</v>
      </c>
      <c r="AA2369" s="3"/>
    </row>
    <row r="2370">
      <c r="A2370" s="3">
        <v>6.895135621379E12</v>
      </c>
      <c r="B2370" s="2" t="s">
        <v>9943</v>
      </c>
      <c r="C2370" s="2" t="s">
        <v>9944</v>
      </c>
      <c r="D2370" s="169">
        <v>46057.0</v>
      </c>
      <c r="E2370" s="2">
        <v>3.319291876E9</v>
      </c>
      <c r="F2370" s="2" t="s">
        <v>9945</v>
      </c>
      <c r="G2370" s="2" t="s">
        <v>541</v>
      </c>
      <c r="H2370" s="2">
        <v>0.0</v>
      </c>
      <c r="J2370" s="3">
        <v>0.0</v>
      </c>
      <c r="K2370" s="2" t="s">
        <v>9946</v>
      </c>
      <c r="L2370" s="2"/>
      <c r="M2370" s="2" t="s">
        <v>468</v>
      </c>
      <c r="N2370" s="2" t="s">
        <v>406</v>
      </c>
      <c r="O2370" s="3">
        <v>0.5</v>
      </c>
      <c r="Q2370" s="3">
        <v>0.0</v>
      </c>
      <c r="U2370" s="141"/>
      <c r="X2370" s="172">
        <v>46057.642782916664</v>
      </c>
      <c r="Y2370" s="172"/>
      <c r="Z2370" s="3">
        <v>46057.0</v>
      </c>
      <c r="AA2370" s="3"/>
    </row>
    <row r="2371">
      <c r="A2371" s="3">
        <v>6.895208857859E12</v>
      </c>
      <c r="B2371" s="2" t="s">
        <v>9947</v>
      </c>
      <c r="C2371" s="2" t="s">
        <v>9493</v>
      </c>
      <c r="D2371" s="169">
        <v>46057.0</v>
      </c>
      <c r="E2371" s="2">
        <v>3.426575561E9</v>
      </c>
      <c r="F2371" s="2" t="s">
        <v>9948</v>
      </c>
      <c r="G2371" s="2" t="s">
        <v>8731</v>
      </c>
      <c r="H2371" s="2">
        <v>3099.0</v>
      </c>
      <c r="I2371" s="2">
        <v>2.0120050021795E13</v>
      </c>
      <c r="J2371" s="3">
        <v>2.0</v>
      </c>
      <c r="K2371" s="2" t="s">
        <v>9949</v>
      </c>
      <c r="L2371" s="2" t="s">
        <v>27</v>
      </c>
      <c r="M2371" s="2" t="s">
        <v>409</v>
      </c>
      <c r="N2371" s="2" t="s">
        <v>462</v>
      </c>
      <c r="O2371" s="3">
        <v>0.5</v>
      </c>
      <c r="P2371" s="2" t="s">
        <v>73</v>
      </c>
      <c r="Q2371" s="3">
        <v>920.0</v>
      </c>
      <c r="T2371" s="2" t="s">
        <v>9018</v>
      </c>
      <c r="U2371" s="171">
        <v>3099.0</v>
      </c>
      <c r="V2371" s="172">
        <v>46066.0</v>
      </c>
      <c r="W2371" s="3">
        <v>324.0</v>
      </c>
      <c r="X2371" s="172">
        <v>46064.730581655094</v>
      </c>
      <c r="Y2371" s="172"/>
      <c r="Z2371" s="3">
        <v>46057.0</v>
      </c>
      <c r="AA2371" s="3"/>
    </row>
    <row r="2372">
      <c r="A2372" s="3">
        <v>6.895228256515E12</v>
      </c>
      <c r="B2372" s="2" t="s">
        <v>9950</v>
      </c>
      <c r="C2372" s="2" t="s">
        <v>9951</v>
      </c>
      <c r="D2372" s="169">
        <v>46057.0</v>
      </c>
      <c r="E2372" s="2">
        <v>3.122070478E9</v>
      </c>
      <c r="F2372" s="2" t="s">
        <v>9952</v>
      </c>
      <c r="G2372" s="2" t="s">
        <v>817</v>
      </c>
      <c r="H2372" s="2">
        <v>3099.0</v>
      </c>
      <c r="I2372" s="2">
        <v>2.2120050021818E13</v>
      </c>
      <c r="J2372" s="3">
        <v>2.0</v>
      </c>
      <c r="K2372" s="2" t="s">
        <v>9953</v>
      </c>
      <c r="L2372" s="2" t="s">
        <v>296</v>
      </c>
      <c r="M2372" s="2" t="s">
        <v>409</v>
      </c>
      <c r="N2372" s="2" t="s">
        <v>462</v>
      </c>
      <c r="O2372" s="3">
        <v>0.5</v>
      </c>
      <c r="P2372" s="2" t="s">
        <v>73</v>
      </c>
      <c r="Q2372" s="3">
        <v>920.0</v>
      </c>
      <c r="T2372" s="2" t="s">
        <v>9018</v>
      </c>
      <c r="U2372" s="171">
        <v>3099.0</v>
      </c>
      <c r="V2372" s="172">
        <v>46066.0</v>
      </c>
      <c r="W2372" s="3">
        <v>337.0</v>
      </c>
      <c r="X2372" s="172">
        <v>46065.54289349537</v>
      </c>
      <c r="Y2372" s="172"/>
      <c r="Z2372" s="3">
        <v>46057.0</v>
      </c>
      <c r="AA2372" s="3"/>
    </row>
    <row r="2373">
      <c r="A2373" s="3">
        <v>6.895337668867E12</v>
      </c>
      <c r="B2373" s="2" t="s">
        <v>9954</v>
      </c>
      <c r="C2373" s="2" t="s">
        <v>8458</v>
      </c>
      <c r="D2373" s="169">
        <v>46057.0</v>
      </c>
      <c r="E2373" s="2">
        <v>3.462652499E9</v>
      </c>
      <c r="F2373" s="2" t="s">
        <v>9955</v>
      </c>
      <c r="G2373" s="2" t="s">
        <v>493</v>
      </c>
      <c r="H2373" s="2">
        <v>4248.0</v>
      </c>
      <c r="I2373" s="2">
        <v>2.6120050021794E13</v>
      </c>
      <c r="J2373" s="3">
        <v>2.0</v>
      </c>
      <c r="K2373" s="2" t="s">
        <v>9956</v>
      </c>
      <c r="L2373" s="2" t="s">
        <v>532</v>
      </c>
      <c r="M2373" s="2" t="s">
        <v>409</v>
      </c>
      <c r="N2373" s="2" t="s">
        <v>462</v>
      </c>
      <c r="O2373" s="3">
        <v>0.5</v>
      </c>
      <c r="P2373" s="2" t="s">
        <v>73</v>
      </c>
      <c r="Q2373" s="3">
        <v>1700.0</v>
      </c>
      <c r="T2373" s="2" t="s">
        <v>9018</v>
      </c>
      <c r="U2373" s="171">
        <v>4248.0</v>
      </c>
      <c r="V2373" s="172">
        <v>46066.0</v>
      </c>
      <c r="W2373" s="3">
        <v>490.0</v>
      </c>
      <c r="X2373" s="172">
        <v>46064.73059090278</v>
      </c>
      <c r="Y2373" s="172"/>
      <c r="Z2373" s="3">
        <v>46057.0</v>
      </c>
      <c r="AA2373" s="3"/>
    </row>
    <row r="2374">
      <c r="A2374" s="3">
        <v>6.895595520259E12</v>
      </c>
      <c r="B2374" s="2" t="s">
        <v>9957</v>
      </c>
      <c r="C2374" s="2" t="s">
        <v>6439</v>
      </c>
      <c r="D2374" s="169">
        <v>46057.0</v>
      </c>
      <c r="E2374" s="2">
        <v>3.001058169E9</v>
      </c>
      <c r="F2374" s="2" t="s">
        <v>9958</v>
      </c>
      <c r="G2374" s="2" t="s">
        <v>9959</v>
      </c>
      <c r="H2374" s="2">
        <v>6800.0</v>
      </c>
      <c r="I2374" s="2">
        <v>2.6120050021793E13</v>
      </c>
      <c r="J2374" s="3">
        <v>4.0</v>
      </c>
      <c r="K2374" s="2" t="s">
        <v>9960</v>
      </c>
      <c r="L2374" s="2" t="s">
        <v>9961</v>
      </c>
      <c r="M2374" s="2" t="s">
        <v>409</v>
      </c>
      <c r="N2374" s="2" t="s">
        <v>462</v>
      </c>
      <c r="O2374" s="3">
        <v>0.5</v>
      </c>
      <c r="P2374" s="2" t="s">
        <v>73</v>
      </c>
      <c r="Q2374" s="3">
        <v>3225.0</v>
      </c>
      <c r="T2374" s="2" t="s">
        <v>9018</v>
      </c>
      <c r="U2374" s="171">
        <v>6800.0</v>
      </c>
      <c r="V2374" s="172">
        <v>46066.0</v>
      </c>
      <c r="W2374" s="3">
        <v>585.0</v>
      </c>
      <c r="X2374" s="172">
        <v>46064.73059533565</v>
      </c>
      <c r="Y2374" s="172"/>
      <c r="Z2374" s="3">
        <v>46057.0</v>
      </c>
      <c r="AA2374" s="3"/>
    </row>
    <row r="2375">
      <c r="A2375" s="3">
        <v>6.895620030723E12</v>
      </c>
      <c r="B2375" s="2" t="s">
        <v>9962</v>
      </c>
      <c r="C2375" s="2" t="s">
        <v>9963</v>
      </c>
      <c r="D2375" s="169">
        <v>46057.0</v>
      </c>
      <c r="E2375" s="173" t="s">
        <v>9964</v>
      </c>
      <c r="F2375" s="2" t="s">
        <v>9965</v>
      </c>
      <c r="G2375" s="2" t="s">
        <v>366</v>
      </c>
      <c r="H2375" s="2">
        <v>0.0</v>
      </c>
      <c r="J2375" s="3">
        <v>0.0</v>
      </c>
      <c r="K2375" s="2" t="s">
        <v>9966</v>
      </c>
      <c r="L2375" s="2"/>
      <c r="M2375" s="2" t="s">
        <v>468</v>
      </c>
      <c r="N2375" s="2" t="s">
        <v>406</v>
      </c>
      <c r="O2375" s="3">
        <v>0.5</v>
      </c>
      <c r="Q2375" s="3">
        <v>0.0</v>
      </c>
      <c r="U2375" s="141"/>
      <c r="X2375" s="172">
        <v>46057.642782916664</v>
      </c>
      <c r="Y2375" s="172"/>
      <c r="Z2375" s="3">
        <v>46057.0</v>
      </c>
      <c r="AA2375" s="3"/>
    </row>
    <row r="2376">
      <c r="A2376" s="3">
        <v>6.895639724291E12</v>
      </c>
      <c r="B2376" s="2" t="s">
        <v>9967</v>
      </c>
      <c r="C2376" s="2" t="s">
        <v>9968</v>
      </c>
      <c r="D2376" s="169">
        <v>46057.0</v>
      </c>
      <c r="E2376" s="2">
        <v>3.352135521E9</v>
      </c>
      <c r="F2376" s="2" t="s">
        <v>9969</v>
      </c>
      <c r="G2376" s="2" t="s">
        <v>493</v>
      </c>
      <c r="H2376" s="2">
        <v>3099.0</v>
      </c>
      <c r="I2376" s="2">
        <v>2.4120050021792E13</v>
      </c>
      <c r="J2376" s="3">
        <v>2.0</v>
      </c>
      <c r="K2376" s="2" t="s">
        <v>9970</v>
      </c>
      <c r="L2376" s="2" t="s">
        <v>50</v>
      </c>
      <c r="M2376" s="2" t="s">
        <v>409</v>
      </c>
      <c r="N2376" s="2" t="s">
        <v>462</v>
      </c>
      <c r="O2376" s="3">
        <v>0.5</v>
      </c>
      <c r="P2376" s="2" t="s">
        <v>73</v>
      </c>
      <c r="Q2376" s="3">
        <v>920.0</v>
      </c>
      <c r="T2376" s="2" t="s">
        <v>9018</v>
      </c>
      <c r="U2376" s="171">
        <v>3099.0</v>
      </c>
      <c r="V2376" s="172">
        <v>46066.0</v>
      </c>
      <c r="W2376" s="3">
        <v>337.0</v>
      </c>
      <c r="X2376" s="172">
        <v>46064.730599918985</v>
      </c>
      <c r="Y2376" s="172"/>
      <c r="Z2376" s="3">
        <v>46057.0</v>
      </c>
      <c r="AA2376" s="3"/>
    </row>
    <row r="2377">
      <c r="A2377" s="3">
        <v>6.895745204483E12</v>
      </c>
      <c r="B2377" s="2" t="s">
        <v>9971</v>
      </c>
      <c r="C2377" s="2" t="s">
        <v>9972</v>
      </c>
      <c r="D2377" s="169">
        <v>46057.0</v>
      </c>
      <c r="E2377" s="2">
        <v>3.160955768E9</v>
      </c>
      <c r="F2377" s="2" t="s">
        <v>9973</v>
      </c>
      <c r="G2377" s="2" t="s">
        <v>368</v>
      </c>
      <c r="H2377" s="2">
        <v>249.0</v>
      </c>
      <c r="I2377" s="2">
        <v>1.73010736074E11</v>
      </c>
      <c r="J2377" s="3">
        <v>0.0</v>
      </c>
      <c r="K2377" s="2" t="s">
        <v>9974</v>
      </c>
      <c r="L2377" s="2"/>
      <c r="M2377" s="170" t="s">
        <v>455</v>
      </c>
      <c r="N2377" s="2" t="s">
        <v>406</v>
      </c>
      <c r="O2377" s="3">
        <v>0.5</v>
      </c>
      <c r="P2377" s="2" t="s">
        <v>501</v>
      </c>
      <c r="Q2377" s="3">
        <v>0.0</v>
      </c>
      <c r="T2377" s="2" t="s">
        <v>9275</v>
      </c>
      <c r="U2377" s="141"/>
      <c r="W2377" s="3">
        <v>169.19</v>
      </c>
      <c r="X2377" s="172">
        <v>46078.834338229164</v>
      </c>
      <c r="Y2377" s="172"/>
      <c r="Z2377" s="3">
        <v>46057.0</v>
      </c>
      <c r="AA2377" s="3"/>
    </row>
    <row r="2378">
      <c r="A2378" s="3">
        <v>6.895789113603E12</v>
      </c>
      <c r="B2378" s="2" t="s">
        <v>9975</v>
      </c>
      <c r="C2378" s="2" t="s">
        <v>9976</v>
      </c>
      <c r="D2378" s="169">
        <v>46057.0</v>
      </c>
      <c r="E2378" s="2">
        <v>3.244197457E9</v>
      </c>
      <c r="F2378" s="2" t="s">
        <v>9977</v>
      </c>
      <c r="G2378" s="2" t="s">
        <v>368</v>
      </c>
      <c r="H2378" s="2">
        <v>3849.0</v>
      </c>
      <c r="I2378" s="2">
        <v>2.9120050021785E13</v>
      </c>
      <c r="J2378" s="3">
        <v>1.0</v>
      </c>
      <c r="K2378" s="2" t="s">
        <v>9978</v>
      </c>
      <c r="L2378" s="2" t="s">
        <v>9979</v>
      </c>
      <c r="M2378" s="2" t="s">
        <v>409</v>
      </c>
      <c r="N2378" s="2" t="s">
        <v>462</v>
      </c>
      <c r="O2378" s="3">
        <v>0.5</v>
      </c>
      <c r="P2378" s="2" t="s">
        <v>73</v>
      </c>
      <c r="Q2378" s="3">
        <v>920.0</v>
      </c>
      <c r="T2378" s="2" t="s">
        <v>9018</v>
      </c>
      <c r="U2378" s="171">
        <v>3849.0</v>
      </c>
      <c r="V2378" s="172">
        <v>46066.0</v>
      </c>
      <c r="W2378" s="3">
        <v>261.0</v>
      </c>
      <c r="X2378" s="172">
        <v>46063.52124328703</v>
      </c>
      <c r="Y2378" s="172"/>
      <c r="Z2378" s="3">
        <v>46057.0</v>
      </c>
      <c r="AA2378" s="3"/>
    </row>
    <row r="2379">
      <c r="A2379" s="3">
        <v>6.896288760067E12</v>
      </c>
      <c r="B2379" s="2" t="s">
        <v>9980</v>
      </c>
      <c r="C2379" s="2" t="s">
        <v>9981</v>
      </c>
      <c r="D2379" s="169">
        <v>46057.0</v>
      </c>
      <c r="E2379" s="2">
        <v>3.213627777E9</v>
      </c>
      <c r="F2379" s="2" t="s">
        <v>9982</v>
      </c>
      <c r="G2379" s="2" t="s">
        <v>368</v>
      </c>
      <c r="H2379" s="2">
        <v>3099.0</v>
      </c>
      <c r="I2379" s="2">
        <v>2.7120050021784E13</v>
      </c>
      <c r="J2379" s="3">
        <v>2.0</v>
      </c>
      <c r="K2379" s="2" t="s">
        <v>9983</v>
      </c>
      <c r="L2379" s="2" t="s">
        <v>50</v>
      </c>
      <c r="M2379" s="2" t="s">
        <v>409</v>
      </c>
      <c r="N2379" s="2" t="s">
        <v>462</v>
      </c>
      <c r="O2379" s="3">
        <v>0.5</v>
      </c>
      <c r="P2379" s="2" t="s">
        <v>73</v>
      </c>
      <c r="Q2379" s="3">
        <v>920.0</v>
      </c>
      <c r="T2379" s="2" t="s">
        <v>9018</v>
      </c>
      <c r="U2379" s="171">
        <v>3099.0</v>
      </c>
      <c r="V2379" s="172">
        <v>46066.0</v>
      </c>
      <c r="W2379" s="3">
        <v>244.0</v>
      </c>
      <c r="X2379" s="172">
        <v>46063.771338437495</v>
      </c>
      <c r="Y2379" s="172"/>
      <c r="Z2379" s="3">
        <v>46057.0</v>
      </c>
      <c r="AA2379" s="3"/>
    </row>
    <row r="2380">
      <c r="A2380" s="3">
        <v>6.896313237763E12</v>
      </c>
      <c r="B2380" s="2" t="s">
        <v>9984</v>
      </c>
      <c r="C2380" s="2" t="s">
        <v>9985</v>
      </c>
      <c r="D2380" s="169">
        <v>46057.0</v>
      </c>
      <c r="E2380" s="2">
        <v>3.446278914E9</v>
      </c>
      <c r="F2380" s="2" t="s">
        <v>9986</v>
      </c>
      <c r="G2380" s="2" t="s">
        <v>898</v>
      </c>
      <c r="H2380" s="2">
        <v>0.0</v>
      </c>
      <c r="J2380" s="3">
        <v>0.0</v>
      </c>
      <c r="K2380" s="2" t="s">
        <v>8038</v>
      </c>
      <c r="L2380" s="2"/>
      <c r="M2380" s="2" t="s">
        <v>468</v>
      </c>
      <c r="N2380" s="2" t="s">
        <v>406</v>
      </c>
      <c r="O2380" s="3">
        <v>0.5</v>
      </c>
      <c r="Q2380" s="3">
        <v>0.0</v>
      </c>
      <c r="U2380" s="141"/>
      <c r="X2380" s="172">
        <v>46057.642782916664</v>
      </c>
      <c r="Y2380" s="172"/>
      <c r="Z2380" s="3">
        <v>46057.0</v>
      </c>
      <c r="AA2380" s="3"/>
    </row>
    <row r="2381">
      <c r="A2381" s="3">
        <v>6.896400072963E12</v>
      </c>
      <c r="B2381" s="2" t="s">
        <v>9987</v>
      </c>
      <c r="C2381" s="2" t="s">
        <v>9988</v>
      </c>
      <c r="D2381" s="169">
        <v>46057.0</v>
      </c>
      <c r="E2381" s="2">
        <v>3.337308647E9</v>
      </c>
      <c r="F2381" s="2" t="s">
        <v>9989</v>
      </c>
      <c r="G2381" s="2" t="s">
        <v>523</v>
      </c>
      <c r="H2381" s="2">
        <v>0.0</v>
      </c>
      <c r="J2381" s="3">
        <v>0.0</v>
      </c>
      <c r="K2381" s="2" t="s">
        <v>9990</v>
      </c>
      <c r="L2381" s="2"/>
      <c r="M2381" s="2" t="s">
        <v>468</v>
      </c>
      <c r="N2381" s="2" t="s">
        <v>406</v>
      </c>
      <c r="O2381" s="3">
        <v>0.5</v>
      </c>
      <c r="Q2381" s="3">
        <v>0.0</v>
      </c>
      <c r="U2381" s="141"/>
      <c r="X2381" s="172">
        <v>46058.24096476852</v>
      </c>
      <c r="Y2381" s="172"/>
      <c r="Z2381" s="3">
        <v>46057.0</v>
      </c>
      <c r="AA2381" s="3"/>
    </row>
    <row r="2382">
      <c r="A2382" s="3">
        <v>6.896549888259E12</v>
      </c>
      <c r="B2382" s="2" t="s">
        <v>9991</v>
      </c>
      <c r="C2382" s="2" t="s">
        <v>9992</v>
      </c>
      <c r="D2382" s="169">
        <v>46057.0</v>
      </c>
      <c r="E2382" s="2">
        <v>3.252173703E9</v>
      </c>
      <c r="F2382" s="2" t="s">
        <v>9993</v>
      </c>
      <c r="G2382" s="2" t="s">
        <v>9994</v>
      </c>
      <c r="H2382" s="2">
        <v>249.0</v>
      </c>
      <c r="I2382" s="2">
        <v>2.3120050021783E13</v>
      </c>
      <c r="J2382" s="3">
        <v>0.0</v>
      </c>
      <c r="K2382" s="2" t="s">
        <v>9995</v>
      </c>
      <c r="L2382" s="2"/>
      <c r="M2382" s="170" t="s">
        <v>455</v>
      </c>
      <c r="N2382" s="2" t="s">
        <v>406</v>
      </c>
      <c r="O2382" s="3">
        <v>0.5</v>
      </c>
      <c r="P2382" s="2" t="s">
        <v>73</v>
      </c>
      <c r="Q2382" s="3">
        <v>0.0</v>
      </c>
      <c r="U2382" s="141"/>
      <c r="W2382" s="3">
        <v>227.0</v>
      </c>
      <c r="X2382" s="172">
        <v>46073.749430138894</v>
      </c>
      <c r="Y2382" s="172"/>
      <c r="Z2382" s="3">
        <v>46057.0</v>
      </c>
      <c r="AA2382" s="3"/>
    </row>
    <row r="2383">
      <c r="A2383" s="3">
        <v>6.896674570499E12</v>
      </c>
      <c r="B2383" s="2" t="s">
        <v>9996</v>
      </c>
      <c r="C2383" s="2" t="s">
        <v>6431</v>
      </c>
      <c r="D2383" s="169">
        <v>46057.0</v>
      </c>
      <c r="E2383" s="2">
        <v>3.422294837E9</v>
      </c>
      <c r="F2383" s="2" t="s">
        <v>9997</v>
      </c>
      <c r="G2383" s="2" t="s">
        <v>9998</v>
      </c>
      <c r="H2383" s="2">
        <v>249.0</v>
      </c>
      <c r="I2383" s="2">
        <v>2.3120050021834E13</v>
      </c>
      <c r="J2383" s="3">
        <v>0.0</v>
      </c>
      <c r="K2383" s="2" t="s">
        <v>9999</v>
      </c>
      <c r="L2383" s="2"/>
      <c r="M2383" s="170" t="s">
        <v>455</v>
      </c>
      <c r="N2383" s="2" t="s">
        <v>406</v>
      </c>
      <c r="O2383" s="3">
        <v>0.5</v>
      </c>
      <c r="P2383" s="2" t="s">
        <v>73</v>
      </c>
      <c r="Q2383" s="3">
        <v>0.0</v>
      </c>
      <c r="U2383" s="141"/>
      <c r="W2383" s="3">
        <v>213.0</v>
      </c>
      <c r="X2383" s="172">
        <v>46076.79099140046</v>
      </c>
      <c r="Y2383" s="172"/>
      <c r="Z2383" s="3">
        <v>46057.0</v>
      </c>
      <c r="AA2383" s="3"/>
    </row>
    <row r="2384">
      <c r="A2384" s="3">
        <v>6.896736174339E12</v>
      </c>
      <c r="B2384" s="2" t="s">
        <v>10000</v>
      </c>
      <c r="C2384" s="2" t="s">
        <v>9493</v>
      </c>
      <c r="D2384" s="169">
        <v>46057.0</v>
      </c>
      <c r="E2384" s="173" t="s">
        <v>10001</v>
      </c>
      <c r="F2384" s="2" t="s">
        <v>10002</v>
      </c>
      <c r="G2384" s="2" t="s">
        <v>10003</v>
      </c>
      <c r="H2384" s="2">
        <v>0.0</v>
      </c>
      <c r="J2384" s="3">
        <v>0.0</v>
      </c>
      <c r="K2384" s="2" t="s">
        <v>10004</v>
      </c>
      <c r="L2384" s="2"/>
      <c r="M2384" s="2" t="s">
        <v>468</v>
      </c>
      <c r="N2384" s="2" t="s">
        <v>406</v>
      </c>
      <c r="O2384" s="3">
        <v>0.5</v>
      </c>
      <c r="Q2384" s="3">
        <v>0.0</v>
      </c>
      <c r="U2384" s="141"/>
      <c r="X2384" s="172">
        <v>46058.24096476852</v>
      </c>
      <c r="Y2384" s="172"/>
      <c r="Z2384" s="3">
        <v>46057.0</v>
      </c>
      <c r="AA2384" s="3"/>
    </row>
    <row r="2385">
      <c r="A2385" s="3">
        <v>6.896913449219E12</v>
      </c>
      <c r="B2385" s="2" t="s">
        <v>10005</v>
      </c>
      <c r="C2385" s="2" t="s">
        <v>10006</v>
      </c>
      <c r="D2385" s="169">
        <v>46058.0</v>
      </c>
      <c r="E2385" s="173" t="s">
        <v>10007</v>
      </c>
      <c r="F2385" s="2" t="s">
        <v>10008</v>
      </c>
      <c r="G2385" s="2" t="s">
        <v>749</v>
      </c>
      <c r="H2385" s="2">
        <v>4248.0</v>
      </c>
      <c r="I2385" s="2">
        <v>2.5120050021782E13</v>
      </c>
      <c r="J2385" s="3">
        <v>2.0</v>
      </c>
      <c r="K2385" s="2" t="s">
        <v>10009</v>
      </c>
      <c r="L2385" s="2" t="s">
        <v>479</v>
      </c>
      <c r="M2385" s="2" t="s">
        <v>409</v>
      </c>
      <c r="N2385" s="2" t="s">
        <v>462</v>
      </c>
      <c r="O2385" s="3">
        <v>0.5</v>
      </c>
      <c r="P2385" s="2" t="s">
        <v>73</v>
      </c>
      <c r="Q2385" s="3">
        <v>1700.0</v>
      </c>
      <c r="T2385" s="2" t="s">
        <v>9018</v>
      </c>
      <c r="U2385" s="171">
        <v>4248.0</v>
      </c>
      <c r="V2385" s="172">
        <v>46066.0</v>
      </c>
      <c r="W2385" s="3">
        <v>390.0</v>
      </c>
      <c r="X2385" s="172">
        <v>46065.56376196759</v>
      </c>
      <c r="Y2385" s="172"/>
      <c r="Z2385" s="3">
        <v>46058.0</v>
      </c>
      <c r="AA2385" s="3"/>
    </row>
    <row r="2386">
      <c r="A2386" s="3">
        <v>6.896976527619E12</v>
      </c>
      <c r="B2386" s="2" t="s">
        <v>10010</v>
      </c>
      <c r="C2386" s="2" t="s">
        <v>6242</v>
      </c>
      <c r="D2386" s="169">
        <v>46058.0</v>
      </c>
      <c r="E2386" s="173" t="s">
        <v>10011</v>
      </c>
      <c r="F2386" s="2" t="s">
        <v>10012</v>
      </c>
      <c r="G2386" s="2" t="s">
        <v>536</v>
      </c>
      <c r="H2386" s="2">
        <v>249.0</v>
      </c>
      <c r="I2386" s="2">
        <v>2.6120050021791E13</v>
      </c>
      <c r="J2386" s="3">
        <v>0.0</v>
      </c>
      <c r="K2386" s="2" t="s">
        <v>10013</v>
      </c>
      <c r="L2386" s="2"/>
      <c r="M2386" s="170" t="s">
        <v>455</v>
      </c>
      <c r="N2386" s="2" t="s">
        <v>406</v>
      </c>
      <c r="O2386" s="3">
        <v>0.5</v>
      </c>
      <c r="P2386" s="2" t="s">
        <v>73</v>
      </c>
      <c r="Q2386" s="3">
        <v>0.0</v>
      </c>
      <c r="U2386" s="141"/>
      <c r="W2386" s="3">
        <v>320.0</v>
      </c>
      <c r="X2386" s="172">
        <v>46073.749435405094</v>
      </c>
      <c r="Y2386" s="172"/>
      <c r="Z2386" s="3">
        <v>46058.0</v>
      </c>
      <c r="AA2386" s="3"/>
    </row>
    <row r="2387">
      <c r="A2387" s="3">
        <v>6.897006051587E12</v>
      </c>
      <c r="B2387" s="2" t="s">
        <v>10014</v>
      </c>
      <c r="C2387" s="2" t="s">
        <v>10015</v>
      </c>
      <c r="D2387" s="169">
        <v>46058.0</v>
      </c>
      <c r="E2387" s="2">
        <v>3.217647771E9</v>
      </c>
      <c r="F2387" s="2" t="s">
        <v>10016</v>
      </c>
      <c r="G2387" s="2" t="s">
        <v>898</v>
      </c>
      <c r="H2387" s="2">
        <v>5250.0</v>
      </c>
      <c r="I2387" s="2">
        <v>2.7120050021781E13</v>
      </c>
      <c r="J2387" s="3">
        <v>3.0</v>
      </c>
      <c r="K2387" s="2" t="s">
        <v>10017</v>
      </c>
      <c r="L2387" s="2" t="s">
        <v>10018</v>
      </c>
      <c r="M2387" s="2" t="s">
        <v>409</v>
      </c>
      <c r="N2387" s="2" t="s">
        <v>462</v>
      </c>
      <c r="O2387" s="3">
        <v>0.5</v>
      </c>
      <c r="P2387" s="2" t="s">
        <v>73</v>
      </c>
      <c r="Q2387" s="3">
        <v>3300.0</v>
      </c>
      <c r="T2387" s="2" t="s">
        <v>9018</v>
      </c>
      <c r="U2387" s="171">
        <v>5250.0</v>
      </c>
      <c r="V2387" s="172">
        <v>46066.0</v>
      </c>
      <c r="W2387" s="3">
        <v>430.0</v>
      </c>
      <c r="X2387" s="172">
        <v>46064.73062310185</v>
      </c>
      <c r="Y2387" s="172"/>
      <c r="Z2387" s="3">
        <v>46058.0</v>
      </c>
      <c r="AA2387" s="3"/>
    </row>
    <row r="2388">
      <c r="A2388" s="3">
        <v>6.897156096259E12</v>
      </c>
      <c r="B2388" s="2" t="s">
        <v>10019</v>
      </c>
      <c r="C2388" s="2" t="s">
        <v>10020</v>
      </c>
      <c r="D2388" s="169">
        <v>46058.0</v>
      </c>
      <c r="E2388" s="2">
        <v>3.338607474E9</v>
      </c>
      <c r="F2388" s="2" t="s">
        <v>10021</v>
      </c>
      <c r="G2388" s="2" t="s">
        <v>688</v>
      </c>
      <c r="H2388" s="2">
        <v>2749.0</v>
      </c>
      <c r="I2388" s="2">
        <v>2.412005002178E13</v>
      </c>
      <c r="J2388" s="3">
        <v>1.0</v>
      </c>
      <c r="K2388" s="2" t="s">
        <v>10022</v>
      </c>
      <c r="L2388" s="2" t="s">
        <v>10023</v>
      </c>
      <c r="M2388" s="2" t="s">
        <v>409</v>
      </c>
      <c r="N2388" s="2" t="s">
        <v>462</v>
      </c>
      <c r="O2388" s="3">
        <v>0.5</v>
      </c>
      <c r="P2388" s="2" t="s">
        <v>73</v>
      </c>
      <c r="Q2388" s="3">
        <v>1300.0</v>
      </c>
      <c r="T2388" s="2" t="s">
        <v>9018</v>
      </c>
      <c r="U2388" s="171">
        <v>2749.0</v>
      </c>
      <c r="V2388" s="172">
        <v>46066.0</v>
      </c>
      <c r="W2388" s="3">
        <v>310.0</v>
      </c>
      <c r="X2388" s="172">
        <v>46065.75131724537</v>
      </c>
      <c r="Y2388" s="172"/>
      <c r="Z2388" s="3">
        <v>46058.0</v>
      </c>
      <c r="AA2388" s="3"/>
    </row>
    <row r="2389">
      <c r="A2389" s="3">
        <v>6.897463656707E12</v>
      </c>
      <c r="B2389" s="2" t="s">
        <v>10024</v>
      </c>
      <c r="C2389" s="2" t="s">
        <v>10025</v>
      </c>
      <c r="D2389" s="169">
        <v>46058.0</v>
      </c>
      <c r="E2389" s="2">
        <v>3.091340188E9</v>
      </c>
      <c r="F2389" s="2" t="s">
        <v>10026</v>
      </c>
      <c r="G2389" s="2" t="s">
        <v>1466</v>
      </c>
      <c r="H2389" s="2">
        <v>249.0</v>
      </c>
      <c r="I2389" s="2">
        <v>2.1120050021779E13</v>
      </c>
      <c r="J2389" s="3">
        <v>0.0</v>
      </c>
      <c r="K2389" s="2" t="s">
        <v>10027</v>
      </c>
      <c r="L2389" s="2"/>
      <c r="M2389" s="170" t="s">
        <v>455</v>
      </c>
      <c r="N2389" s="2" t="s">
        <v>406</v>
      </c>
      <c r="O2389" s="3">
        <v>0.5</v>
      </c>
      <c r="P2389" s="2" t="s">
        <v>73</v>
      </c>
      <c r="Q2389" s="3">
        <v>0.0</v>
      </c>
      <c r="U2389" s="141"/>
      <c r="W2389" s="3">
        <v>213.0</v>
      </c>
      <c r="X2389" s="172">
        <v>46071.77084986111</v>
      </c>
      <c r="Y2389" s="172"/>
      <c r="Z2389" s="3">
        <v>46058.0</v>
      </c>
      <c r="AA2389" s="3"/>
    </row>
    <row r="2390">
      <c r="A2390" s="3">
        <v>6.897590239491E12</v>
      </c>
      <c r="B2390" s="2" t="s">
        <v>10028</v>
      </c>
      <c r="C2390" s="2" t="s">
        <v>10029</v>
      </c>
      <c r="D2390" s="169">
        <v>46058.0</v>
      </c>
      <c r="E2390" s="2">
        <v>3.009319977E9</v>
      </c>
      <c r="F2390" s="2" t="s">
        <v>10030</v>
      </c>
      <c r="G2390" s="2" t="s">
        <v>693</v>
      </c>
      <c r="H2390" s="2">
        <v>2849.0</v>
      </c>
      <c r="I2390" s="2">
        <v>2.8120050021778E13</v>
      </c>
      <c r="J2390" s="3">
        <v>2.0</v>
      </c>
      <c r="K2390" s="2" t="s">
        <v>10031</v>
      </c>
      <c r="L2390" s="2" t="s">
        <v>2324</v>
      </c>
      <c r="M2390" s="2" t="s">
        <v>409</v>
      </c>
      <c r="N2390" s="2" t="s">
        <v>462</v>
      </c>
      <c r="O2390" s="3">
        <v>0.5</v>
      </c>
      <c r="P2390" s="2" t="s">
        <v>73</v>
      </c>
      <c r="Q2390" s="3">
        <v>920.0</v>
      </c>
      <c r="T2390" s="2" t="s">
        <v>9018</v>
      </c>
      <c r="U2390" s="171">
        <v>2849.0</v>
      </c>
      <c r="V2390" s="172">
        <v>46066.0</v>
      </c>
      <c r="W2390" s="3">
        <v>327.0</v>
      </c>
      <c r="X2390" s="172">
        <v>46065.58466208333</v>
      </c>
      <c r="Y2390" s="172"/>
      <c r="Z2390" s="3">
        <v>46058.0</v>
      </c>
      <c r="AA2390" s="3"/>
    </row>
    <row r="2391">
      <c r="A2391" s="3">
        <v>6.897636868355E12</v>
      </c>
      <c r="B2391" s="2" t="s">
        <v>10032</v>
      </c>
      <c r="C2391" s="2" t="s">
        <v>10033</v>
      </c>
      <c r="D2391" s="169">
        <v>46058.0</v>
      </c>
      <c r="E2391" s="173" t="s">
        <v>10034</v>
      </c>
      <c r="F2391" s="2" t="s">
        <v>10035</v>
      </c>
      <c r="G2391" s="2" t="s">
        <v>693</v>
      </c>
      <c r="H2391" s="2">
        <v>249.0</v>
      </c>
      <c r="I2391" s="2">
        <v>2.5120050021777E13</v>
      </c>
      <c r="J2391" s="3">
        <v>0.0</v>
      </c>
      <c r="K2391" s="2" t="s">
        <v>10036</v>
      </c>
      <c r="L2391" s="2"/>
      <c r="M2391" s="170" t="s">
        <v>455</v>
      </c>
      <c r="N2391" s="2" t="s">
        <v>406</v>
      </c>
      <c r="O2391" s="3">
        <v>0.5</v>
      </c>
      <c r="P2391" s="2" t="s">
        <v>73</v>
      </c>
      <c r="Q2391" s="3">
        <v>0.0</v>
      </c>
      <c r="U2391" s="141"/>
      <c r="W2391" s="3">
        <v>213.0</v>
      </c>
      <c r="X2391" s="172">
        <v>46073.74943765046</v>
      </c>
      <c r="Y2391" s="172"/>
      <c r="Z2391" s="3">
        <v>46058.0</v>
      </c>
      <c r="AA2391" s="3"/>
    </row>
    <row r="2392">
      <c r="A2392" s="3">
        <v>6.897655611651E12</v>
      </c>
      <c r="B2392" s="2" t="s">
        <v>10037</v>
      </c>
      <c r="C2392" s="2" t="s">
        <v>10038</v>
      </c>
      <c r="D2392" s="169">
        <v>46058.0</v>
      </c>
      <c r="E2392" s="2">
        <v>3.315083995E9</v>
      </c>
      <c r="F2392" s="2" t="s">
        <v>10039</v>
      </c>
      <c r="G2392" s="2" t="s">
        <v>9959</v>
      </c>
      <c r="H2392" s="2">
        <v>2749.0</v>
      </c>
      <c r="I2392" s="2">
        <v>2.1120050021776E13</v>
      </c>
      <c r="J2392" s="3">
        <v>2.0</v>
      </c>
      <c r="K2392" s="2" t="s">
        <v>10040</v>
      </c>
      <c r="L2392" s="2" t="s">
        <v>35</v>
      </c>
      <c r="M2392" s="2" t="s">
        <v>409</v>
      </c>
      <c r="N2392" s="2" t="s">
        <v>462</v>
      </c>
      <c r="O2392" s="3">
        <v>0.5</v>
      </c>
      <c r="P2392" s="2" t="s">
        <v>73</v>
      </c>
      <c r="Q2392" s="3">
        <v>980.0</v>
      </c>
      <c r="T2392" s="2" t="s">
        <v>9018</v>
      </c>
      <c r="U2392" s="171">
        <v>2749.0</v>
      </c>
      <c r="V2392" s="172">
        <v>46066.0</v>
      </c>
      <c r="W2392" s="3">
        <v>330.0</v>
      </c>
      <c r="X2392" s="172">
        <v>46064.73064622685</v>
      </c>
      <c r="Y2392" s="172"/>
      <c r="Z2392" s="3">
        <v>46058.0</v>
      </c>
      <c r="AA2392" s="3"/>
    </row>
    <row r="2393">
      <c r="A2393" s="3">
        <v>6.897658953987E12</v>
      </c>
      <c r="B2393" s="2" t="s">
        <v>10041</v>
      </c>
      <c r="C2393" s="2" t="s">
        <v>10042</v>
      </c>
      <c r="D2393" s="169">
        <v>46058.0</v>
      </c>
      <c r="E2393" s="2">
        <v>3.22443119E9</v>
      </c>
      <c r="F2393" s="2" t="s">
        <v>10043</v>
      </c>
      <c r="G2393" s="2" t="s">
        <v>493</v>
      </c>
      <c r="H2393" s="2">
        <v>2799.0</v>
      </c>
      <c r="I2393" s="2">
        <v>2.4120050021775E13</v>
      </c>
      <c r="J2393" s="3">
        <v>1.0</v>
      </c>
      <c r="K2393" s="2" t="s">
        <v>10044</v>
      </c>
      <c r="L2393" s="2" t="s">
        <v>512</v>
      </c>
      <c r="M2393" s="2" t="s">
        <v>409</v>
      </c>
      <c r="N2393" s="2" t="s">
        <v>462</v>
      </c>
      <c r="O2393" s="3">
        <v>0.5</v>
      </c>
      <c r="P2393" s="2" t="s">
        <v>73</v>
      </c>
      <c r="Q2393" s="3">
        <v>850.0</v>
      </c>
      <c r="T2393" s="2" t="s">
        <v>9018</v>
      </c>
      <c r="U2393" s="171">
        <v>2799.0</v>
      </c>
      <c r="V2393" s="172">
        <v>46066.0</v>
      </c>
      <c r="W2393" s="3">
        <v>339.0</v>
      </c>
      <c r="X2393" s="172">
        <v>46064.730650868056</v>
      </c>
      <c r="Y2393" s="172"/>
      <c r="Z2393" s="3">
        <v>46058.0</v>
      </c>
      <c r="AA2393" s="3"/>
    </row>
    <row r="2394">
      <c r="A2394" s="3">
        <v>6.897700077827E12</v>
      </c>
      <c r="B2394" s="2" t="s">
        <v>10045</v>
      </c>
      <c r="C2394" s="2" t="s">
        <v>10046</v>
      </c>
      <c r="D2394" s="169">
        <v>46058.0</v>
      </c>
      <c r="E2394" s="2">
        <v>3.197534262E9</v>
      </c>
      <c r="F2394" s="2" t="s">
        <v>10047</v>
      </c>
      <c r="G2394" s="2" t="s">
        <v>1395</v>
      </c>
      <c r="H2394" s="2">
        <v>2849.0</v>
      </c>
      <c r="I2394" s="2">
        <v>2.912005002177E13</v>
      </c>
      <c r="J2394" s="3">
        <v>2.0</v>
      </c>
      <c r="K2394" s="2" t="s">
        <v>10048</v>
      </c>
      <c r="L2394" s="2" t="s">
        <v>5839</v>
      </c>
      <c r="M2394" s="2" t="s">
        <v>409</v>
      </c>
      <c r="N2394" s="2" t="s">
        <v>462</v>
      </c>
      <c r="O2394" s="3">
        <v>0.5</v>
      </c>
      <c r="P2394" s="2" t="s">
        <v>73</v>
      </c>
      <c r="Q2394" s="3">
        <v>1050.0</v>
      </c>
      <c r="T2394" s="2" t="s">
        <v>9018</v>
      </c>
      <c r="U2394" s="171">
        <v>2849.0</v>
      </c>
      <c r="V2394" s="172">
        <v>46066.0</v>
      </c>
      <c r="W2394" s="3">
        <v>327.0</v>
      </c>
      <c r="X2394" s="172">
        <v>46064.52119671296</v>
      </c>
      <c r="Y2394" s="172"/>
      <c r="Z2394" s="3">
        <v>46058.0</v>
      </c>
      <c r="AA2394" s="3"/>
    </row>
    <row r="2395">
      <c r="A2395" s="3">
        <v>6.897771708675E12</v>
      </c>
      <c r="B2395" s="2" t="s">
        <v>10049</v>
      </c>
      <c r="C2395" s="2" t="s">
        <v>10050</v>
      </c>
      <c r="D2395" s="169">
        <v>46058.0</v>
      </c>
      <c r="E2395" s="2">
        <v>3.134493668E9</v>
      </c>
      <c r="F2395" s="2" t="s">
        <v>10051</v>
      </c>
      <c r="G2395" s="2" t="s">
        <v>368</v>
      </c>
      <c r="H2395" s="2">
        <v>2749.0</v>
      </c>
      <c r="I2395" s="2">
        <v>2.1120050021769E13</v>
      </c>
      <c r="J2395" s="3">
        <v>2.0</v>
      </c>
      <c r="K2395" s="2" t="s">
        <v>10052</v>
      </c>
      <c r="L2395" s="2" t="s">
        <v>16</v>
      </c>
      <c r="M2395" s="2" t="s">
        <v>409</v>
      </c>
      <c r="N2395" s="2" t="s">
        <v>462</v>
      </c>
      <c r="O2395" s="3">
        <v>0.5</v>
      </c>
      <c r="P2395" s="2" t="s">
        <v>73</v>
      </c>
      <c r="Q2395" s="3">
        <v>980.0</v>
      </c>
      <c r="T2395" s="2" t="s">
        <v>9018</v>
      </c>
      <c r="U2395" s="171">
        <v>2749.0</v>
      </c>
      <c r="V2395" s="172">
        <v>46066.0</v>
      </c>
      <c r="W2395" s="3">
        <v>230.0</v>
      </c>
      <c r="X2395" s="172">
        <v>46063.77140199074</v>
      </c>
      <c r="Y2395" s="172"/>
      <c r="Z2395" s="3">
        <v>46058.0</v>
      </c>
      <c r="AA2395" s="3"/>
    </row>
    <row r="2396">
      <c r="A2396" s="3">
        <v>6.897859232003E12</v>
      </c>
      <c r="B2396" s="2" t="s">
        <v>10053</v>
      </c>
      <c r="C2396" s="2" t="s">
        <v>10006</v>
      </c>
      <c r="D2396" s="169">
        <v>46058.0</v>
      </c>
      <c r="E2396" s="2">
        <v>3.084703628E9</v>
      </c>
      <c r="F2396" s="2" t="s">
        <v>10054</v>
      </c>
      <c r="G2396" s="2" t="s">
        <v>368</v>
      </c>
      <c r="H2396" s="2">
        <v>249.0</v>
      </c>
      <c r="I2396" s="2">
        <v>2.6120050021768E13</v>
      </c>
      <c r="J2396" s="3">
        <v>0.0</v>
      </c>
      <c r="K2396" s="2" t="s">
        <v>10055</v>
      </c>
      <c r="L2396" s="2"/>
      <c r="M2396" s="170" t="s">
        <v>455</v>
      </c>
      <c r="N2396" s="2" t="s">
        <v>406</v>
      </c>
      <c r="O2396" s="3">
        <v>0.5</v>
      </c>
      <c r="P2396" s="2" t="s">
        <v>73</v>
      </c>
      <c r="Q2396" s="3">
        <v>0.0</v>
      </c>
      <c r="U2396" s="141"/>
      <c r="W2396" s="3">
        <v>107.0</v>
      </c>
      <c r="X2396" s="172">
        <v>46069.95761994213</v>
      </c>
      <c r="Y2396" s="172"/>
      <c r="Z2396" s="3">
        <v>46058.0</v>
      </c>
      <c r="AA2396" s="3"/>
    </row>
    <row r="2397">
      <c r="A2397" s="3">
        <v>6.897862181123E12</v>
      </c>
      <c r="B2397" s="2" t="s">
        <v>10056</v>
      </c>
      <c r="C2397" s="2" t="s">
        <v>10057</v>
      </c>
      <c r="D2397" s="169">
        <v>46058.0</v>
      </c>
      <c r="E2397" s="2">
        <v>3.336858332E9</v>
      </c>
      <c r="F2397" s="2" t="s">
        <v>10058</v>
      </c>
      <c r="G2397" s="2" t="s">
        <v>9318</v>
      </c>
      <c r="H2397" s="2">
        <v>3099.0</v>
      </c>
      <c r="I2397" s="2">
        <v>2.5120050021767E13</v>
      </c>
      <c r="J2397" s="3">
        <v>2.0</v>
      </c>
      <c r="K2397" s="2" t="s">
        <v>10059</v>
      </c>
      <c r="L2397" s="2" t="s">
        <v>906</v>
      </c>
      <c r="M2397" s="2" t="s">
        <v>409</v>
      </c>
      <c r="N2397" s="2" t="s">
        <v>462</v>
      </c>
      <c r="O2397" s="3">
        <v>0.5</v>
      </c>
      <c r="P2397" s="2" t="s">
        <v>73</v>
      </c>
      <c r="Q2397" s="3">
        <v>920.0</v>
      </c>
      <c r="T2397" s="2" t="s">
        <v>9018</v>
      </c>
      <c r="U2397" s="171">
        <v>3099.0</v>
      </c>
      <c r="V2397" s="172">
        <v>46066.0</v>
      </c>
      <c r="W2397" s="3">
        <v>344.0</v>
      </c>
      <c r="X2397" s="172">
        <v>46064.7306604051</v>
      </c>
      <c r="Y2397" s="172"/>
      <c r="Z2397" s="3">
        <v>46058.0</v>
      </c>
      <c r="AA2397" s="3"/>
    </row>
    <row r="2398">
      <c r="A2398" s="3">
        <v>6.898007572739E12</v>
      </c>
      <c r="B2398" s="2" t="s">
        <v>10060</v>
      </c>
      <c r="C2398" s="2" t="s">
        <v>10061</v>
      </c>
      <c r="D2398" s="169">
        <v>46058.0</v>
      </c>
      <c r="E2398" s="173" t="s">
        <v>10062</v>
      </c>
      <c r="F2398" s="2" t="s">
        <v>10063</v>
      </c>
      <c r="G2398" s="2" t="s">
        <v>493</v>
      </c>
      <c r="H2398" s="2">
        <v>1799.0</v>
      </c>
      <c r="I2398" s="2">
        <v>2.1120050021766E13</v>
      </c>
      <c r="J2398" s="3">
        <v>1.0</v>
      </c>
      <c r="K2398" s="2" t="s">
        <v>10064</v>
      </c>
      <c r="L2398" s="2" t="s">
        <v>4872</v>
      </c>
      <c r="M2398" s="2" t="s">
        <v>409</v>
      </c>
      <c r="N2398" s="2" t="s">
        <v>462</v>
      </c>
      <c r="O2398" s="3">
        <v>0.5</v>
      </c>
      <c r="P2398" s="2" t="s">
        <v>73</v>
      </c>
      <c r="Q2398" s="3">
        <v>490.0</v>
      </c>
      <c r="T2398" s="2" t="s">
        <v>9018</v>
      </c>
      <c r="U2398" s="171">
        <v>1799.0</v>
      </c>
      <c r="V2398" s="172">
        <v>46066.0</v>
      </c>
      <c r="W2398" s="3">
        <v>285.0</v>
      </c>
      <c r="X2398" s="172">
        <v>46065.60550222222</v>
      </c>
      <c r="Y2398" s="172"/>
      <c r="Z2398" s="3">
        <v>46058.0</v>
      </c>
      <c r="AA2398" s="3"/>
    </row>
    <row r="2399">
      <c r="A2399" s="3">
        <v>6.898009538819E12</v>
      </c>
      <c r="B2399" s="2" t="s">
        <v>10065</v>
      </c>
      <c r="C2399" s="2" t="s">
        <v>10066</v>
      </c>
      <c r="D2399" s="169">
        <v>46058.0</v>
      </c>
      <c r="E2399" s="173" t="s">
        <v>10067</v>
      </c>
      <c r="F2399" s="2" t="s">
        <v>10068</v>
      </c>
      <c r="G2399" s="2" t="s">
        <v>850</v>
      </c>
      <c r="H2399" s="2">
        <v>1999.0</v>
      </c>
      <c r="I2399" s="2">
        <v>2.7120050021765E13</v>
      </c>
      <c r="J2399" s="3">
        <v>1.0</v>
      </c>
      <c r="K2399" s="2" t="s">
        <v>10069</v>
      </c>
      <c r="L2399" s="2" t="s">
        <v>10070</v>
      </c>
      <c r="M2399" s="2" t="s">
        <v>409</v>
      </c>
      <c r="N2399" s="2" t="s">
        <v>462</v>
      </c>
      <c r="O2399" s="3">
        <v>0.5</v>
      </c>
      <c r="P2399" s="2" t="s">
        <v>73</v>
      </c>
      <c r="Q2399" s="3">
        <v>1100.0</v>
      </c>
      <c r="T2399" s="2" t="s">
        <v>9018</v>
      </c>
      <c r="U2399" s="171">
        <v>1999.0</v>
      </c>
      <c r="V2399" s="172">
        <v>46066.0</v>
      </c>
      <c r="W2399" s="3">
        <v>280.0</v>
      </c>
      <c r="X2399" s="172">
        <v>46063.77142268518</v>
      </c>
      <c r="Y2399" s="172"/>
      <c r="Z2399" s="3">
        <v>46058.0</v>
      </c>
      <c r="AA2399" s="3"/>
    </row>
    <row r="2400">
      <c r="A2400" s="3">
        <v>6.898015830275E12</v>
      </c>
      <c r="B2400" s="2" t="s">
        <v>10071</v>
      </c>
      <c r="C2400" s="2" t="s">
        <v>10072</v>
      </c>
      <c r="D2400" s="169">
        <v>46058.0</v>
      </c>
      <c r="E2400" s="2">
        <v>3.313832481E9</v>
      </c>
      <c r="F2400" s="2" t="s">
        <v>10073</v>
      </c>
      <c r="G2400" s="2" t="s">
        <v>672</v>
      </c>
      <c r="H2400" s="2">
        <v>0.0</v>
      </c>
      <c r="J2400" s="3">
        <v>0.0</v>
      </c>
      <c r="K2400" s="2" t="s">
        <v>10074</v>
      </c>
      <c r="L2400" s="2"/>
      <c r="M2400" s="2" t="s">
        <v>468</v>
      </c>
      <c r="N2400" s="2" t="s">
        <v>406</v>
      </c>
      <c r="O2400" s="3">
        <v>0.5</v>
      </c>
      <c r="Q2400" s="3">
        <v>0.0</v>
      </c>
      <c r="U2400" s="141"/>
      <c r="X2400" s="172">
        <v>46059.24095047454</v>
      </c>
      <c r="Y2400" s="172"/>
      <c r="Z2400" s="3">
        <v>46058.0</v>
      </c>
      <c r="AA2400" s="3"/>
    </row>
    <row r="2401">
      <c r="A2401" s="3">
        <v>6.898015928579E12</v>
      </c>
      <c r="B2401" s="2" t="s">
        <v>10075</v>
      </c>
      <c r="C2401" s="2" t="s">
        <v>10066</v>
      </c>
      <c r="D2401" s="169">
        <v>46058.0</v>
      </c>
      <c r="E2401" s="2">
        <v>3.009405485E9</v>
      </c>
      <c r="F2401" s="2" t="s">
        <v>10076</v>
      </c>
      <c r="G2401" s="2" t="s">
        <v>1637</v>
      </c>
      <c r="H2401" s="2">
        <v>1699.0</v>
      </c>
      <c r="I2401" s="2">
        <v>1.73010736078E11</v>
      </c>
      <c r="J2401" s="3">
        <v>1.0</v>
      </c>
      <c r="K2401" s="2" t="s">
        <v>10077</v>
      </c>
      <c r="L2401" s="2" t="s">
        <v>9249</v>
      </c>
      <c r="M2401" s="2" t="s">
        <v>409</v>
      </c>
      <c r="N2401" s="2" t="s">
        <v>462</v>
      </c>
      <c r="O2401" s="3">
        <v>0.5</v>
      </c>
      <c r="P2401" s="2" t="s">
        <v>501</v>
      </c>
      <c r="Q2401" s="3">
        <v>550.0</v>
      </c>
      <c r="T2401" s="2"/>
      <c r="U2401" s="171">
        <v>1699.0</v>
      </c>
      <c r="W2401" s="3">
        <v>301.5376</v>
      </c>
      <c r="X2401" s="172">
        <v>46066.6721597338</v>
      </c>
      <c r="Y2401" s="172"/>
      <c r="Z2401" s="3">
        <v>46058.0</v>
      </c>
      <c r="AA2401" s="3"/>
    </row>
    <row r="2402">
      <c r="A2402" s="3">
        <v>6.898047254787E12</v>
      </c>
      <c r="B2402" s="2" t="s">
        <v>10078</v>
      </c>
      <c r="C2402" s="2" t="s">
        <v>10079</v>
      </c>
      <c r="D2402" s="169">
        <v>46058.0</v>
      </c>
      <c r="E2402" s="2">
        <v>3.008849698E9</v>
      </c>
      <c r="F2402" s="2" t="s">
        <v>10080</v>
      </c>
      <c r="G2402" s="2" t="s">
        <v>368</v>
      </c>
      <c r="H2402" s="2">
        <v>2849.0</v>
      </c>
      <c r="I2402" s="2">
        <v>2.212005002179E13</v>
      </c>
      <c r="J2402" s="3">
        <v>2.0</v>
      </c>
      <c r="K2402" s="2" t="s">
        <v>10081</v>
      </c>
      <c r="L2402" s="2" t="s">
        <v>593</v>
      </c>
      <c r="M2402" s="2" t="s">
        <v>409</v>
      </c>
      <c r="N2402" s="2" t="s">
        <v>462</v>
      </c>
      <c r="O2402" s="3">
        <v>0.5</v>
      </c>
      <c r="P2402" s="2" t="s">
        <v>73</v>
      </c>
      <c r="Q2402" s="3">
        <v>1050.0</v>
      </c>
      <c r="T2402" s="2" t="s">
        <v>9018</v>
      </c>
      <c r="U2402" s="171">
        <v>2849.0</v>
      </c>
      <c r="V2402" s="172">
        <v>46066.0</v>
      </c>
      <c r="W2402" s="3">
        <v>221.0</v>
      </c>
      <c r="X2402" s="172">
        <v>46063.77142767361</v>
      </c>
      <c r="Y2402" s="172"/>
      <c r="Z2402" s="3">
        <v>46058.0</v>
      </c>
      <c r="AA2402" s="3"/>
    </row>
    <row r="2403">
      <c r="A2403" s="3">
        <v>6.898133434627E12</v>
      </c>
      <c r="B2403" s="2" t="s">
        <v>10082</v>
      </c>
      <c r="C2403" s="2" t="s">
        <v>10083</v>
      </c>
      <c r="D2403" s="169">
        <v>46058.0</v>
      </c>
      <c r="E2403" s="173" t="s">
        <v>10084</v>
      </c>
      <c r="F2403" s="2" t="s">
        <v>10085</v>
      </c>
      <c r="G2403" s="2" t="s">
        <v>5879</v>
      </c>
      <c r="H2403" s="2">
        <v>0.0</v>
      </c>
      <c r="J2403" s="3">
        <v>0.0</v>
      </c>
      <c r="K2403" s="2" t="s">
        <v>7809</v>
      </c>
      <c r="L2403" s="2"/>
      <c r="M2403" s="2" t="s">
        <v>468</v>
      </c>
      <c r="N2403" s="2" t="s">
        <v>406</v>
      </c>
      <c r="O2403" s="3">
        <v>0.5</v>
      </c>
      <c r="Q2403" s="3">
        <v>0.0</v>
      </c>
      <c r="U2403" s="141"/>
      <c r="X2403" s="172">
        <v>46059.24095047454</v>
      </c>
      <c r="Y2403" s="172"/>
      <c r="Z2403" s="3">
        <v>46058.0</v>
      </c>
      <c r="AA2403" s="3"/>
    </row>
    <row r="2404">
      <c r="A2404" s="3">
        <v>6.898138317059E12</v>
      </c>
      <c r="B2404" s="2" t="s">
        <v>10086</v>
      </c>
      <c r="C2404" s="2" t="s">
        <v>10087</v>
      </c>
      <c r="D2404" s="169">
        <v>46058.0</v>
      </c>
      <c r="E2404" s="2">
        <v>3.379769349E9</v>
      </c>
      <c r="F2404" s="2" t="s">
        <v>10088</v>
      </c>
      <c r="G2404" s="2" t="s">
        <v>10089</v>
      </c>
      <c r="H2404" s="2">
        <v>2749.0</v>
      </c>
      <c r="I2404" s="2">
        <v>2.4120050021764E13</v>
      </c>
      <c r="J2404" s="3">
        <v>2.0</v>
      </c>
      <c r="K2404" s="2" t="s">
        <v>10090</v>
      </c>
      <c r="L2404" s="2" t="s">
        <v>35</v>
      </c>
      <c r="M2404" s="2" t="s">
        <v>409</v>
      </c>
      <c r="N2404" s="2" t="s">
        <v>462</v>
      </c>
      <c r="O2404" s="3">
        <v>0.5</v>
      </c>
      <c r="P2404" s="2" t="s">
        <v>73</v>
      </c>
      <c r="Q2404" s="3">
        <v>980.0</v>
      </c>
      <c r="T2404" s="2" t="s">
        <v>9018</v>
      </c>
      <c r="U2404" s="171">
        <v>2749.0</v>
      </c>
      <c r="V2404" s="172">
        <v>46066.0</v>
      </c>
      <c r="W2404" s="3">
        <v>323.0</v>
      </c>
      <c r="X2404" s="172">
        <v>46064.73067052083</v>
      </c>
      <c r="Y2404" s="172"/>
      <c r="Z2404" s="3">
        <v>46058.0</v>
      </c>
      <c r="AA2404" s="3"/>
    </row>
    <row r="2405">
      <c r="A2405" s="3">
        <v>6.898141200643E12</v>
      </c>
      <c r="B2405" s="2" t="s">
        <v>10091</v>
      </c>
      <c r="C2405" s="2" t="s">
        <v>10092</v>
      </c>
      <c r="D2405" s="169">
        <v>46058.0</v>
      </c>
      <c r="E2405" s="173" t="s">
        <v>10084</v>
      </c>
      <c r="F2405" s="2" t="s">
        <v>10093</v>
      </c>
      <c r="G2405" s="2" t="s">
        <v>5879</v>
      </c>
      <c r="H2405" s="2">
        <v>0.0</v>
      </c>
      <c r="J2405" s="3">
        <v>0.0</v>
      </c>
      <c r="K2405" s="2" t="s">
        <v>7809</v>
      </c>
      <c r="L2405" s="2"/>
      <c r="M2405" s="2" t="s">
        <v>468</v>
      </c>
      <c r="N2405" s="2" t="s">
        <v>406</v>
      </c>
      <c r="O2405" s="3">
        <v>0.5</v>
      </c>
      <c r="Q2405" s="3">
        <v>0.0</v>
      </c>
      <c r="U2405" s="141"/>
      <c r="X2405" s="172">
        <v>46059.24095047454</v>
      </c>
      <c r="Y2405" s="172"/>
      <c r="Z2405" s="3">
        <v>46058.0</v>
      </c>
      <c r="AA2405" s="3"/>
    </row>
    <row r="2406">
      <c r="A2406" s="3">
        <v>6.898433720579E12</v>
      </c>
      <c r="B2406" s="2" t="s">
        <v>10094</v>
      </c>
      <c r="C2406" s="2" t="s">
        <v>10095</v>
      </c>
      <c r="D2406" s="169">
        <v>46058.0</v>
      </c>
      <c r="E2406" s="173" t="s">
        <v>10096</v>
      </c>
      <c r="F2406" s="2" t="s">
        <v>10097</v>
      </c>
      <c r="G2406" s="2" t="s">
        <v>10098</v>
      </c>
      <c r="H2406" s="2">
        <v>0.0</v>
      </c>
      <c r="J2406" s="3">
        <v>0.0</v>
      </c>
      <c r="K2406" s="2" t="s">
        <v>10099</v>
      </c>
      <c r="L2406" s="2"/>
      <c r="M2406" s="2" t="s">
        <v>468</v>
      </c>
      <c r="N2406" s="2" t="s">
        <v>406</v>
      </c>
      <c r="O2406" s="3">
        <v>0.5</v>
      </c>
      <c r="Q2406" s="3">
        <v>0.0</v>
      </c>
      <c r="U2406" s="141"/>
      <c r="X2406" s="172">
        <v>46059.24095047454</v>
      </c>
      <c r="Y2406" s="172"/>
      <c r="Z2406" s="3">
        <v>46058.0</v>
      </c>
      <c r="AA2406" s="3"/>
    </row>
    <row r="2407">
      <c r="A2407" s="3">
        <v>6.899246104835E12</v>
      </c>
      <c r="B2407" s="2" t="s">
        <v>10100</v>
      </c>
      <c r="C2407" s="2" t="s">
        <v>10101</v>
      </c>
      <c r="D2407" s="169">
        <v>46059.0</v>
      </c>
      <c r="E2407" s="2">
        <v>3.459063492E9</v>
      </c>
      <c r="F2407" s="2" t="s">
        <v>10102</v>
      </c>
      <c r="G2407" s="2" t="s">
        <v>10103</v>
      </c>
      <c r="H2407" s="2">
        <v>3099.0</v>
      </c>
      <c r="I2407" s="2">
        <v>2.6120050021763E13</v>
      </c>
      <c r="J2407" s="3">
        <v>2.0</v>
      </c>
      <c r="K2407" s="2" t="s">
        <v>10104</v>
      </c>
      <c r="L2407" s="2" t="s">
        <v>22</v>
      </c>
      <c r="M2407" s="2" t="s">
        <v>409</v>
      </c>
      <c r="N2407" s="2" t="s">
        <v>462</v>
      </c>
      <c r="O2407" s="3">
        <v>0.5</v>
      </c>
      <c r="P2407" s="2" t="s">
        <v>73</v>
      </c>
      <c r="Q2407" s="3">
        <v>960.0</v>
      </c>
      <c r="T2407" s="2" t="s">
        <v>9018</v>
      </c>
      <c r="U2407" s="171">
        <v>3099.0</v>
      </c>
      <c r="V2407" s="172">
        <v>46066.0</v>
      </c>
      <c r="W2407" s="3">
        <v>351.0</v>
      </c>
      <c r="X2407" s="172">
        <v>46064.834736226854</v>
      </c>
      <c r="Y2407" s="172"/>
      <c r="Z2407" s="3">
        <v>46059.0</v>
      </c>
      <c r="AA2407" s="3"/>
    </row>
    <row r="2408">
      <c r="A2408" s="3">
        <v>6.899257770243E12</v>
      </c>
      <c r="B2408" s="2" t="s">
        <v>10105</v>
      </c>
      <c r="C2408" s="2" t="s">
        <v>10106</v>
      </c>
      <c r="D2408" s="169">
        <v>46059.0</v>
      </c>
      <c r="E2408" s="2">
        <v>3.045204466E9</v>
      </c>
      <c r="F2408" s="2" t="s">
        <v>10107</v>
      </c>
      <c r="G2408" s="2" t="s">
        <v>506</v>
      </c>
      <c r="H2408" s="2">
        <v>3099.0</v>
      </c>
      <c r="I2408" s="2">
        <v>2.0120050021762E13</v>
      </c>
      <c r="J2408" s="3">
        <v>2.0</v>
      </c>
      <c r="K2408" s="2" t="s">
        <v>10108</v>
      </c>
      <c r="L2408" s="2" t="s">
        <v>50</v>
      </c>
      <c r="M2408" s="2" t="s">
        <v>409</v>
      </c>
      <c r="N2408" s="2" t="s">
        <v>462</v>
      </c>
      <c r="O2408" s="3">
        <v>0.5</v>
      </c>
      <c r="P2408" s="2" t="s">
        <v>73</v>
      </c>
      <c r="Q2408" s="3">
        <v>920.0</v>
      </c>
      <c r="T2408" s="2" t="s">
        <v>9018</v>
      </c>
      <c r="U2408" s="171">
        <v>3099.0</v>
      </c>
      <c r="V2408" s="172">
        <v>46066.0</v>
      </c>
      <c r="W2408" s="3">
        <v>324.0</v>
      </c>
      <c r="X2408" s="172">
        <v>46064.73068113426</v>
      </c>
      <c r="Y2408" s="172"/>
      <c r="Z2408" s="3">
        <v>46059.0</v>
      </c>
      <c r="AA2408" s="3"/>
    </row>
    <row r="2409">
      <c r="A2409" s="3">
        <v>6.899337003267E12</v>
      </c>
      <c r="B2409" s="2" t="s">
        <v>10109</v>
      </c>
      <c r="C2409" s="2" t="s">
        <v>10110</v>
      </c>
      <c r="D2409" s="169">
        <v>46059.0</v>
      </c>
      <c r="E2409" s="2">
        <v>3.434029007E9</v>
      </c>
      <c r="F2409" s="2" t="s">
        <v>10111</v>
      </c>
      <c r="G2409" s="2" t="s">
        <v>368</v>
      </c>
      <c r="H2409" s="2">
        <v>0.0</v>
      </c>
      <c r="J2409" s="3">
        <v>0.0</v>
      </c>
      <c r="K2409" s="2" t="s">
        <v>10112</v>
      </c>
      <c r="L2409" s="2"/>
      <c r="M2409" s="2" t="s">
        <v>468</v>
      </c>
      <c r="N2409" s="2" t="s">
        <v>406</v>
      </c>
      <c r="O2409" s="3">
        <v>0.5</v>
      </c>
      <c r="Q2409" s="3">
        <v>0.0</v>
      </c>
      <c r="U2409" s="141"/>
      <c r="X2409" s="172">
        <v>46060.24096859954</v>
      </c>
      <c r="Y2409" s="172"/>
      <c r="Z2409" s="3">
        <v>46059.0</v>
      </c>
      <c r="AA2409" s="3"/>
    </row>
    <row r="2410">
      <c r="A2410" s="3">
        <v>6.899425673475E12</v>
      </c>
      <c r="B2410" s="2" t="s">
        <v>10113</v>
      </c>
      <c r="C2410" s="2" t="s">
        <v>10114</v>
      </c>
      <c r="D2410" s="169">
        <v>46059.0</v>
      </c>
      <c r="E2410" s="2">
        <v>3.425119117E9</v>
      </c>
      <c r="F2410" s="2" t="s">
        <v>10115</v>
      </c>
      <c r="G2410" s="2" t="s">
        <v>366</v>
      </c>
      <c r="H2410" s="2">
        <v>3099.0</v>
      </c>
      <c r="I2410" s="2">
        <v>2.8120050021761E13</v>
      </c>
      <c r="J2410" s="3">
        <v>2.0</v>
      </c>
      <c r="K2410" s="2" t="s">
        <v>10116</v>
      </c>
      <c r="L2410" s="2" t="s">
        <v>906</v>
      </c>
      <c r="M2410" s="2" t="s">
        <v>409</v>
      </c>
      <c r="N2410" s="2" t="s">
        <v>462</v>
      </c>
      <c r="O2410" s="3">
        <v>0.5</v>
      </c>
      <c r="P2410" s="2" t="s">
        <v>73</v>
      </c>
      <c r="Q2410" s="3">
        <v>920.0</v>
      </c>
      <c r="T2410" s="2" t="s">
        <v>9018</v>
      </c>
      <c r="U2410" s="171">
        <v>3099.0</v>
      </c>
      <c r="V2410" s="172">
        <v>46066.0</v>
      </c>
      <c r="W2410" s="3">
        <v>344.0</v>
      </c>
      <c r="X2410" s="172">
        <v>46064.751342523145</v>
      </c>
      <c r="Y2410" s="172"/>
      <c r="Z2410" s="3">
        <v>46059.0</v>
      </c>
      <c r="AA2410" s="3"/>
    </row>
    <row r="2411">
      <c r="A2411" s="3">
        <v>6.899435012355E12</v>
      </c>
      <c r="B2411" s="2" t="s">
        <v>10117</v>
      </c>
      <c r="C2411" s="2" t="s">
        <v>10118</v>
      </c>
      <c r="D2411" s="169">
        <v>46059.0</v>
      </c>
      <c r="E2411" s="2">
        <v>3.21898392E9</v>
      </c>
      <c r="F2411" s="2" t="s">
        <v>10119</v>
      </c>
      <c r="G2411" s="2" t="s">
        <v>368</v>
      </c>
      <c r="H2411" s="2">
        <v>5700.0</v>
      </c>
      <c r="I2411" s="2">
        <v>2.812005002176E13</v>
      </c>
      <c r="J2411" s="3">
        <v>2.0</v>
      </c>
      <c r="K2411" s="2" t="s">
        <v>10120</v>
      </c>
      <c r="L2411" s="2" t="s">
        <v>10121</v>
      </c>
      <c r="M2411" s="2" t="s">
        <v>409</v>
      </c>
      <c r="N2411" s="2" t="s">
        <v>462</v>
      </c>
      <c r="O2411" s="3">
        <v>0.5</v>
      </c>
      <c r="P2411" s="2" t="s">
        <v>73</v>
      </c>
      <c r="Q2411" s="3">
        <v>1920.0</v>
      </c>
      <c r="T2411" s="2" t="s">
        <v>9018</v>
      </c>
      <c r="U2411" s="171">
        <v>5700.0</v>
      </c>
      <c r="V2411" s="172">
        <v>46066.0</v>
      </c>
      <c r="W2411" s="3">
        <v>348.0</v>
      </c>
      <c r="X2411" s="172">
        <v>46064.730690868055</v>
      </c>
      <c r="Y2411" s="172"/>
      <c r="Z2411" s="3">
        <v>46059.0</v>
      </c>
      <c r="AA2411" s="3"/>
    </row>
    <row r="2412">
      <c r="A2412" s="3">
        <v>6.899491209475E12</v>
      </c>
      <c r="B2412" s="2" t="s">
        <v>10122</v>
      </c>
      <c r="C2412" s="2" t="s">
        <v>10123</v>
      </c>
      <c r="D2412" s="169">
        <v>46059.0</v>
      </c>
      <c r="E2412" s="2">
        <v>3.030735072E9</v>
      </c>
      <c r="F2412" s="2" t="s">
        <v>10124</v>
      </c>
      <c r="G2412" s="2" t="s">
        <v>10125</v>
      </c>
      <c r="H2412" s="2">
        <v>249.0</v>
      </c>
      <c r="I2412" s="2">
        <v>1.7301070923E11</v>
      </c>
      <c r="J2412" s="3">
        <v>0.0</v>
      </c>
      <c r="K2412" s="2" t="s">
        <v>10126</v>
      </c>
      <c r="L2412" s="2"/>
      <c r="M2412" s="170" t="s">
        <v>455</v>
      </c>
      <c r="N2412" s="2" t="s">
        <v>406</v>
      </c>
      <c r="O2412" s="3">
        <v>0.5</v>
      </c>
      <c r="P2412" s="2" t="s">
        <v>501</v>
      </c>
      <c r="Q2412" s="3">
        <v>0.0</v>
      </c>
      <c r="T2412" s="2" t="s">
        <v>8550</v>
      </c>
      <c r="U2412" s="141"/>
      <c r="W2412" s="3">
        <v>289.94</v>
      </c>
      <c r="X2412" s="172">
        <v>46078.834338263885</v>
      </c>
      <c r="Y2412" s="172"/>
      <c r="Z2412" s="3">
        <v>46059.0</v>
      </c>
      <c r="AA2412" s="3"/>
    </row>
    <row r="2413">
      <c r="A2413" s="3">
        <v>6.899529449731E12</v>
      </c>
      <c r="B2413" s="2" t="s">
        <v>10127</v>
      </c>
      <c r="C2413" s="2" t="s">
        <v>6732</v>
      </c>
      <c r="D2413" s="169">
        <v>46059.0</v>
      </c>
      <c r="E2413" s="2">
        <v>3.338217914E9</v>
      </c>
      <c r="F2413" s="2" t="s">
        <v>10128</v>
      </c>
      <c r="G2413" s="2" t="s">
        <v>672</v>
      </c>
      <c r="H2413" s="2">
        <v>5389.0</v>
      </c>
      <c r="I2413" s="2">
        <v>2.4120050021809E13</v>
      </c>
      <c r="J2413" s="3">
        <v>2.0</v>
      </c>
      <c r="K2413" s="2" t="s">
        <v>10129</v>
      </c>
      <c r="L2413" s="2" t="s">
        <v>10130</v>
      </c>
      <c r="M2413" s="2" t="s">
        <v>409</v>
      </c>
      <c r="N2413" s="2" t="s">
        <v>462</v>
      </c>
      <c r="O2413" s="3">
        <v>0.5</v>
      </c>
      <c r="P2413" s="2" t="s">
        <v>73</v>
      </c>
      <c r="Q2413" s="3">
        <v>2380.0</v>
      </c>
      <c r="T2413" s="2" t="s">
        <v>8519</v>
      </c>
      <c r="U2413" s="171">
        <v>5389.0</v>
      </c>
      <c r="V2413" s="172">
        <v>46070.0</v>
      </c>
      <c r="W2413" s="3">
        <v>536.0</v>
      </c>
      <c r="X2413" s="172">
        <v>46067.772067303245</v>
      </c>
      <c r="Y2413" s="172"/>
      <c r="Z2413" s="3">
        <v>46059.0</v>
      </c>
      <c r="AA2413" s="3"/>
    </row>
    <row r="2414">
      <c r="A2414" s="3">
        <v>6.899549503747E12</v>
      </c>
      <c r="B2414" s="2" t="s">
        <v>10131</v>
      </c>
      <c r="C2414" s="2" t="s">
        <v>10132</v>
      </c>
      <c r="D2414" s="169">
        <v>46059.0</v>
      </c>
      <c r="E2414" s="2">
        <v>3.22676673E9</v>
      </c>
      <c r="F2414" s="2" t="s">
        <v>10133</v>
      </c>
      <c r="G2414" s="2" t="s">
        <v>10134</v>
      </c>
      <c r="H2414" s="2">
        <v>3099.0</v>
      </c>
      <c r="I2414" s="2">
        <v>2.0120050021789E13</v>
      </c>
      <c r="J2414" s="3">
        <v>2.0</v>
      </c>
      <c r="K2414" s="2" t="s">
        <v>10135</v>
      </c>
      <c r="L2414" s="2" t="s">
        <v>27</v>
      </c>
      <c r="M2414" s="2" t="s">
        <v>409</v>
      </c>
      <c r="N2414" s="2" t="s">
        <v>462</v>
      </c>
      <c r="O2414" s="3">
        <v>0.5</v>
      </c>
      <c r="P2414" s="2" t="s">
        <v>73</v>
      </c>
      <c r="Q2414" s="3">
        <v>920.0</v>
      </c>
      <c r="T2414" s="2" t="s">
        <v>9018</v>
      </c>
      <c r="U2414" s="171">
        <v>3099.0</v>
      </c>
      <c r="V2414" s="172">
        <v>46066.0</v>
      </c>
      <c r="W2414" s="3">
        <v>324.0</v>
      </c>
      <c r="X2414" s="172">
        <v>46065.709650590274</v>
      </c>
      <c r="Y2414" s="172"/>
      <c r="Z2414" s="3">
        <v>46059.0</v>
      </c>
      <c r="AA2414" s="3"/>
    </row>
    <row r="2415">
      <c r="A2415" s="3">
        <v>6.899726549251E12</v>
      </c>
      <c r="B2415" s="2" t="s">
        <v>10136</v>
      </c>
      <c r="C2415" s="2" t="s">
        <v>10137</v>
      </c>
      <c r="D2415" s="169">
        <v>46059.0</v>
      </c>
      <c r="E2415" s="2">
        <v>3.459330027E9</v>
      </c>
      <c r="F2415" s="2" t="s">
        <v>10138</v>
      </c>
      <c r="G2415" s="2" t="s">
        <v>493</v>
      </c>
      <c r="H2415" s="2">
        <v>249.0</v>
      </c>
      <c r="I2415" s="2">
        <v>2.2120050021759E13</v>
      </c>
      <c r="J2415" s="3">
        <v>0.0</v>
      </c>
      <c r="K2415" s="2" t="s">
        <v>10139</v>
      </c>
      <c r="L2415" s="2"/>
      <c r="M2415" s="2" t="s">
        <v>409</v>
      </c>
      <c r="N2415" s="2" t="s">
        <v>406</v>
      </c>
      <c r="O2415" s="3">
        <v>0.5</v>
      </c>
      <c r="P2415" s="2" t="s">
        <v>73</v>
      </c>
      <c r="Q2415" s="3">
        <v>0.0</v>
      </c>
      <c r="T2415" s="2" t="s">
        <v>8519</v>
      </c>
      <c r="U2415" s="171">
        <v>249.0</v>
      </c>
      <c r="V2415" s="172">
        <v>46070.0</v>
      </c>
      <c r="W2415" s="3">
        <v>337.0</v>
      </c>
      <c r="X2415" s="172">
        <v>46066.62622597222</v>
      </c>
      <c r="Y2415" s="172"/>
      <c r="Z2415" s="3">
        <v>46059.0</v>
      </c>
      <c r="AA2415" s="3"/>
    </row>
    <row r="2416">
      <c r="A2416" s="3">
        <v>6.899841859843E12</v>
      </c>
      <c r="B2416" s="2" t="s">
        <v>10140</v>
      </c>
      <c r="C2416" s="2" t="s">
        <v>10141</v>
      </c>
      <c r="D2416" s="169">
        <v>46059.0</v>
      </c>
      <c r="E2416" s="2">
        <v>3.083800853E9</v>
      </c>
      <c r="F2416" s="2" t="s">
        <v>10142</v>
      </c>
      <c r="G2416" s="2" t="s">
        <v>366</v>
      </c>
      <c r="H2416" s="2">
        <v>3099.0</v>
      </c>
      <c r="I2416" s="2">
        <v>2.0120050021808E13</v>
      </c>
      <c r="J2416" s="3">
        <v>2.0</v>
      </c>
      <c r="K2416" s="2" t="s">
        <v>10143</v>
      </c>
      <c r="L2416" s="2" t="s">
        <v>50</v>
      </c>
      <c r="M2416" s="2" t="s">
        <v>409</v>
      </c>
      <c r="N2416" s="2" t="s">
        <v>462</v>
      </c>
      <c r="O2416" s="3">
        <v>0.5</v>
      </c>
      <c r="P2416" s="2" t="s">
        <v>73</v>
      </c>
      <c r="Q2416" s="3">
        <v>920.0</v>
      </c>
      <c r="T2416" s="2" t="s">
        <v>9018</v>
      </c>
      <c r="U2416" s="171">
        <v>3099.0</v>
      </c>
      <c r="V2416" s="172">
        <v>46066.0</v>
      </c>
      <c r="W2416" s="3">
        <v>324.0</v>
      </c>
      <c r="X2416" s="172">
        <v>46065.6888172801</v>
      </c>
      <c r="Y2416" s="172"/>
      <c r="Z2416" s="3">
        <v>46059.0</v>
      </c>
      <c r="AA2416" s="3"/>
    </row>
    <row r="2417">
      <c r="A2417" s="3">
        <v>6.899845497091E12</v>
      </c>
      <c r="B2417" s="2" t="s">
        <v>10144</v>
      </c>
      <c r="C2417" s="2" t="s">
        <v>10145</v>
      </c>
      <c r="D2417" s="169">
        <v>46059.0</v>
      </c>
      <c r="E2417" s="2">
        <v>3.01825012E9</v>
      </c>
      <c r="F2417" s="2" t="s">
        <v>10146</v>
      </c>
      <c r="G2417" s="2" t="s">
        <v>493</v>
      </c>
      <c r="H2417" s="2">
        <v>2749.0</v>
      </c>
      <c r="I2417" s="2">
        <v>2.9120050021751E13</v>
      </c>
      <c r="J2417" s="3">
        <v>2.0</v>
      </c>
      <c r="K2417" s="2" t="s">
        <v>10147</v>
      </c>
      <c r="L2417" s="2" t="s">
        <v>16</v>
      </c>
      <c r="M2417" s="2" t="s">
        <v>409</v>
      </c>
      <c r="N2417" s="2" t="s">
        <v>462</v>
      </c>
      <c r="O2417" s="3">
        <v>0.5</v>
      </c>
      <c r="P2417" s="2" t="s">
        <v>73</v>
      </c>
      <c r="Q2417" s="3">
        <v>980.0</v>
      </c>
      <c r="T2417" s="2" t="s">
        <v>9018</v>
      </c>
      <c r="U2417" s="171">
        <v>2749.0</v>
      </c>
      <c r="V2417" s="172">
        <v>46066.0</v>
      </c>
      <c r="W2417" s="3">
        <v>323.0</v>
      </c>
      <c r="X2417" s="172">
        <v>46064.75136721064</v>
      </c>
      <c r="Y2417" s="172"/>
      <c r="Z2417" s="3">
        <v>46059.0</v>
      </c>
      <c r="AA2417" s="3"/>
    </row>
    <row r="2418">
      <c r="A2418" s="3">
        <v>6.899881509123E12</v>
      </c>
      <c r="B2418" s="2" t="s">
        <v>10148</v>
      </c>
      <c r="C2418" s="2" t="s">
        <v>10149</v>
      </c>
      <c r="D2418" s="169">
        <v>46059.0</v>
      </c>
      <c r="E2418" s="173" t="s">
        <v>10150</v>
      </c>
      <c r="F2418" s="2" t="s">
        <v>10151</v>
      </c>
      <c r="G2418" s="2" t="s">
        <v>366</v>
      </c>
      <c r="H2418" s="2">
        <v>2849.0</v>
      </c>
      <c r="I2418" s="2">
        <v>2.012005002175E13</v>
      </c>
      <c r="J2418" s="3">
        <v>2.0</v>
      </c>
      <c r="K2418" s="2" t="s">
        <v>10152</v>
      </c>
      <c r="L2418" s="2" t="s">
        <v>5839</v>
      </c>
      <c r="M2418" s="2" t="s">
        <v>409</v>
      </c>
      <c r="N2418" s="2" t="s">
        <v>462</v>
      </c>
      <c r="O2418" s="3">
        <v>0.5</v>
      </c>
      <c r="P2418" s="2" t="s">
        <v>73</v>
      </c>
      <c r="Q2418" s="3">
        <v>1050.0</v>
      </c>
      <c r="T2418" s="2" t="s">
        <v>9018</v>
      </c>
      <c r="U2418" s="171">
        <v>2849.0</v>
      </c>
      <c r="V2418" s="172">
        <v>46066.0</v>
      </c>
      <c r="W2418" s="3">
        <v>314.0</v>
      </c>
      <c r="X2418" s="172">
        <v>46065.66837583334</v>
      </c>
      <c r="Y2418" s="172"/>
      <c r="Z2418" s="3">
        <v>46059.0</v>
      </c>
      <c r="AA2418" s="3"/>
    </row>
    <row r="2419">
      <c r="A2419" s="3">
        <v>6.899897139459E12</v>
      </c>
      <c r="B2419" s="2" t="s">
        <v>10153</v>
      </c>
      <c r="C2419" s="2" t="s">
        <v>10154</v>
      </c>
      <c r="D2419" s="169">
        <v>46059.0</v>
      </c>
      <c r="E2419" s="2">
        <v>3.337057374E9</v>
      </c>
      <c r="F2419" s="2" t="s">
        <v>10155</v>
      </c>
      <c r="G2419" s="2" t="s">
        <v>10156</v>
      </c>
      <c r="H2419" s="2">
        <v>3099.0</v>
      </c>
      <c r="I2419" s="2">
        <v>2.3120050021788E13</v>
      </c>
      <c r="J2419" s="3">
        <v>2.0</v>
      </c>
      <c r="K2419" s="2" t="s">
        <v>10157</v>
      </c>
      <c r="L2419" s="2" t="s">
        <v>50</v>
      </c>
      <c r="M2419" s="2" t="s">
        <v>409</v>
      </c>
      <c r="N2419" s="2" t="s">
        <v>462</v>
      </c>
      <c r="O2419" s="3">
        <v>0.5</v>
      </c>
      <c r="P2419" s="2" t="s">
        <v>73</v>
      </c>
      <c r="Q2419" s="3">
        <v>920.0</v>
      </c>
      <c r="T2419" s="2" t="s">
        <v>9018</v>
      </c>
      <c r="U2419" s="171">
        <v>3099.0</v>
      </c>
      <c r="V2419" s="172">
        <v>46066.0</v>
      </c>
      <c r="W2419" s="3">
        <v>324.0</v>
      </c>
      <c r="X2419" s="172">
        <v>46065.50144278935</v>
      </c>
      <c r="Y2419" s="172"/>
      <c r="Z2419" s="3">
        <v>46059.0</v>
      </c>
      <c r="AA2419" s="3"/>
    </row>
    <row r="2420">
      <c r="A2420" s="3">
        <v>6.900051706115E12</v>
      </c>
      <c r="B2420" s="2" t="s">
        <v>10158</v>
      </c>
      <c r="C2420" s="2" t="s">
        <v>10159</v>
      </c>
      <c r="D2420" s="169">
        <v>46059.0</v>
      </c>
      <c r="E2420" s="2">
        <v>9.23053636291E11</v>
      </c>
      <c r="F2420" s="2" t="s">
        <v>10160</v>
      </c>
      <c r="G2420" s="2" t="s">
        <v>10161</v>
      </c>
      <c r="H2420" s="2">
        <v>3099.0</v>
      </c>
      <c r="I2420" s="2">
        <v>2.5120050021749E13</v>
      </c>
      <c r="J2420" s="3">
        <v>2.0</v>
      </c>
      <c r="K2420" s="2" t="s">
        <v>10162</v>
      </c>
      <c r="L2420" s="2" t="s">
        <v>296</v>
      </c>
      <c r="M2420" s="2" t="s">
        <v>409</v>
      </c>
      <c r="N2420" s="2" t="s">
        <v>462</v>
      </c>
      <c r="O2420" s="3">
        <v>0.5</v>
      </c>
      <c r="P2420" s="2" t="s">
        <v>73</v>
      </c>
      <c r="Q2420" s="3">
        <v>920.0</v>
      </c>
      <c r="T2420" s="2" t="s">
        <v>9018</v>
      </c>
      <c r="U2420" s="171">
        <v>3099.0</v>
      </c>
      <c r="V2420" s="172">
        <v>46066.0</v>
      </c>
      <c r="W2420" s="3">
        <v>337.0</v>
      </c>
      <c r="X2420" s="172">
        <v>46065.855471041665</v>
      </c>
      <c r="Y2420" s="172"/>
      <c r="Z2420" s="3">
        <v>46059.0</v>
      </c>
      <c r="AA2420" s="3"/>
    </row>
    <row r="2421">
      <c r="A2421" s="3">
        <v>6.900232847619E12</v>
      </c>
      <c r="B2421" s="2" t="s">
        <v>10163</v>
      </c>
      <c r="C2421" s="2" t="s">
        <v>2292</v>
      </c>
      <c r="D2421" s="169">
        <v>46060.0</v>
      </c>
      <c r="E2421" s="2">
        <v>3.352476262E9</v>
      </c>
      <c r="F2421" s="2" t="s">
        <v>10164</v>
      </c>
      <c r="G2421" s="2" t="s">
        <v>781</v>
      </c>
      <c r="H2421" s="2">
        <v>3149.0</v>
      </c>
      <c r="I2421" s="2">
        <v>2.5120050021774E13</v>
      </c>
      <c r="J2421" s="3">
        <v>2.0</v>
      </c>
      <c r="K2421" s="2" t="s">
        <v>10165</v>
      </c>
      <c r="L2421" s="2" t="s">
        <v>10166</v>
      </c>
      <c r="M2421" s="2" t="s">
        <v>409</v>
      </c>
      <c r="N2421" s="2" t="s">
        <v>462</v>
      </c>
      <c r="O2421" s="3">
        <v>0.5</v>
      </c>
      <c r="P2421" s="2" t="s">
        <v>73</v>
      </c>
      <c r="Q2421" s="3">
        <v>1100.0</v>
      </c>
      <c r="T2421" s="2" t="s">
        <v>9018</v>
      </c>
      <c r="U2421" s="171">
        <v>3149.0</v>
      </c>
      <c r="V2421" s="172">
        <v>46066.0</v>
      </c>
      <c r="W2421" s="3">
        <v>339.0</v>
      </c>
      <c r="X2421" s="172">
        <v>46064.73074118055</v>
      </c>
      <c r="Y2421" s="172"/>
      <c r="Z2421" s="3">
        <v>46060.0</v>
      </c>
      <c r="AA2421" s="3"/>
    </row>
    <row r="2422">
      <c r="A2422" s="3">
        <v>6.900234453251E12</v>
      </c>
      <c r="B2422" s="2" t="s">
        <v>10167</v>
      </c>
      <c r="C2422" s="2" t="s">
        <v>10168</v>
      </c>
      <c r="D2422" s="169">
        <v>46060.0</v>
      </c>
      <c r="E2422" s="2">
        <v>3.493997424E9</v>
      </c>
      <c r="F2422" s="2" t="s">
        <v>10169</v>
      </c>
      <c r="G2422" s="2" t="s">
        <v>1619</v>
      </c>
      <c r="H2422" s="2">
        <v>1999.0</v>
      </c>
      <c r="I2422" s="2">
        <v>2.2120050021787E13</v>
      </c>
      <c r="J2422" s="3">
        <v>1.0</v>
      </c>
      <c r="K2422" s="2" t="s">
        <v>10170</v>
      </c>
      <c r="L2422" s="2" t="s">
        <v>3744</v>
      </c>
      <c r="M2422" s="2" t="s">
        <v>409</v>
      </c>
      <c r="N2422" s="2" t="s">
        <v>462</v>
      </c>
      <c r="O2422" s="3">
        <v>0.5</v>
      </c>
      <c r="P2422" s="2" t="s">
        <v>73</v>
      </c>
      <c r="Q2422" s="3">
        <v>1100.0</v>
      </c>
      <c r="T2422" s="2" t="s">
        <v>9018</v>
      </c>
      <c r="U2422" s="171">
        <v>1999.0</v>
      </c>
      <c r="V2422" s="172">
        <v>46066.0</v>
      </c>
      <c r="W2422" s="3">
        <v>187.0</v>
      </c>
      <c r="X2422" s="172">
        <v>46064.02119429398</v>
      </c>
      <c r="Y2422" s="172"/>
      <c r="Z2422" s="3">
        <v>46060.0</v>
      </c>
      <c r="AA2422" s="3"/>
    </row>
    <row r="2423">
      <c r="A2423" s="3">
        <v>6.900281311491E12</v>
      </c>
      <c r="B2423" s="2" t="s">
        <v>10171</v>
      </c>
      <c r="C2423" s="2" t="s">
        <v>10172</v>
      </c>
      <c r="D2423" s="169">
        <v>46060.0</v>
      </c>
      <c r="E2423" s="2">
        <v>3.001181551E9</v>
      </c>
      <c r="F2423" s="2" t="s">
        <v>10173</v>
      </c>
      <c r="G2423" s="2" t="s">
        <v>493</v>
      </c>
      <c r="H2423" s="2">
        <v>249.0</v>
      </c>
      <c r="I2423" s="2">
        <v>2.0120050021724E13</v>
      </c>
      <c r="J2423" s="3">
        <v>0.0</v>
      </c>
      <c r="K2423" s="2" t="s">
        <v>10174</v>
      </c>
      <c r="L2423" s="2"/>
      <c r="M2423" s="2" t="s">
        <v>409</v>
      </c>
      <c r="N2423" s="2" t="s">
        <v>406</v>
      </c>
      <c r="O2423" s="3">
        <v>0.5</v>
      </c>
      <c r="P2423" s="2" t="s">
        <v>73</v>
      </c>
      <c r="Q2423" s="3">
        <v>0.0</v>
      </c>
      <c r="T2423" s="2" t="s">
        <v>9018</v>
      </c>
      <c r="U2423" s="171">
        <v>249.0</v>
      </c>
      <c r="V2423" s="172">
        <v>46066.0</v>
      </c>
      <c r="W2423" s="3">
        <v>337.0</v>
      </c>
      <c r="X2423" s="172">
        <v>46065.56382600694</v>
      </c>
      <c r="Y2423" s="172"/>
      <c r="Z2423" s="3">
        <v>46060.0</v>
      </c>
      <c r="AA2423" s="3"/>
    </row>
    <row r="2424">
      <c r="A2424" s="3">
        <v>6.900428177667E12</v>
      </c>
      <c r="B2424" s="2" t="s">
        <v>10175</v>
      </c>
      <c r="C2424" s="2" t="s">
        <v>10176</v>
      </c>
      <c r="D2424" s="169">
        <v>46060.0</v>
      </c>
      <c r="E2424" s="2">
        <v>3.130202577E9</v>
      </c>
      <c r="F2424" s="2" t="s">
        <v>10177</v>
      </c>
      <c r="G2424" s="2" t="s">
        <v>506</v>
      </c>
      <c r="H2424" s="2">
        <v>249.0</v>
      </c>
      <c r="I2424" s="2">
        <v>2.3120050021748E13</v>
      </c>
      <c r="J2424" s="3">
        <v>0.0</v>
      </c>
      <c r="K2424" s="2" t="s">
        <v>10178</v>
      </c>
      <c r="L2424" s="2"/>
      <c r="M2424" s="170" t="s">
        <v>455</v>
      </c>
      <c r="N2424" s="2" t="s">
        <v>406</v>
      </c>
      <c r="O2424" s="3">
        <v>0.5</v>
      </c>
      <c r="P2424" s="2" t="s">
        <v>73</v>
      </c>
      <c r="Q2424" s="3">
        <v>0.0</v>
      </c>
      <c r="U2424" s="141"/>
      <c r="W2424" s="3">
        <v>200.0</v>
      </c>
      <c r="X2424" s="172">
        <v>46070.91666097222</v>
      </c>
      <c r="Y2424" s="172"/>
      <c r="Z2424" s="3">
        <v>46060.0</v>
      </c>
      <c r="AA2424" s="3"/>
    </row>
    <row r="2425">
      <c r="A2425" s="3">
        <v>6.900598341891E12</v>
      </c>
      <c r="B2425" s="2" t="s">
        <v>10179</v>
      </c>
      <c r="C2425" s="2" t="s">
        <v>10180</v>
      </c>
      <c r="D2425" s="169">
        <v>46060.0</v>
      </c>
      <c r="E2425" s="2">
        <v>3.333331325E9</v>
      </c>
      <c r="F2425" s="2" t="s">
        <v>10181</v>
      </c>
      <c r="G2425" s="2" t="s">
        <v>493</v>
      </c>
      <c r="H2425" s="2">
        <v>3099.0</v>
      </c>
      <c r="I2425" s="2">
        <v>2.0120050021758E13</v>
      </c>
      <c r="J2425" s="3">
        <v>2.0</v>
      </c>
      <c r="K2425" s="2" t="s">
        <v>10182</v>
      </c>
      <c r="L2425" s="2" t="s">
        <v>50</v>
      </c>
      <c r="M2425" s="2" t="s">
        <v>409</v>
      </c>
      <c r="N2425" s="2" t="s">
        <v>462</v>
      </c>
      <c r="O2425" s="3">
        <v>0.5</v>
      </c>
      <c r="P2425" s="2" t="s">
        <v>73</v>
      </c>
      <c r="Q2425" s="3">
        <v>920.0</v>
      </c>
      <c r="T2425" s="2" t="s">
        <v>9018</v>
      </c>
      <c r="U2425" s="171">
        <v>3099.0</v>
      </c>
      <c r="V2425" s="172">
        <v>46066.0</v>
      </c>
      <c r="W2425" s="3">
        <v>337.0</v>
      </c>
      <c r="X2425" s="172">
        <v>46064.73075511574</v>
      </c>
      <c r="Y2425" s="172"/>
      <c r="Z2425" s="3">
        <v>46060.0</v>
      </c>
      <c r="AA2425" s="3"/>
    </row>
    <row r="2426">
      <c r="A2426" s="3">
        <v>6.900602732803E12</v>
      </c>
      <c r="B2426" s="2" t="s">
        <v>10183</v>
      </c>
      <c r="C2426" s="2" t="s">
        <v>10184</v>
      </c>
      <c r="D2426" s="169">
        <v>46060.0</v>
      </c>
      <c r="E2426" s="2">
        <v>3.454921551E9</v>
      </c>
      <c r="F2426" s="2" t="s">
        <v>10185</v>
      </c>
      <c r="G2426" s="2" t="s">
        <v>3503</v>
      </c>
      <c r="H2426" s="2">
        <v>1748.0</v>
      </c>
      <c r="I2426" s="2">
        <v>2.1120050021723E13</v>
      </c>
      <c r="J2426" s="3">
        <v>1.0</v>
      </c>
      <c r="K2426" s="2" t="s">
        <v>10186</v>
      </c>
      <c r="L2426" s="2" t="s">
        <v>10187</v>
      </c>
      <c r="M2426" s="2" t="s">
        <v>409</v>
      </c>
      <c r="N2426" s="2" t="s">
        <v>462</v>
      </c>
      <c r="O2426" s="3">
        <v>0.5</v>
      </c>
      <c r="P2426" s="2" t="s">
        <v>73</v>
      </c>
      <c r="Q2426" s="3">
        <v>600.0</v>
      </c>
      <c r="T2426" s="2" t="s">
        <v>9018</v>
      </c>
      <c r="U2426" s="171">
        <v>1748.0</v>
      </c>
      <c r="V2426" s="172">
        <v>46066.0</v>
      </c>
      <c r="W2426" s="3">
        <v>270.0</v>
      </c>
      <c r="X2426" s="172">
        <v>46064.730762245366</v>
      </c>
      <c r="Y2426" s="172"/>
      <c r="Z2426" s="3">
        <v>46060.0</v>
      </c>
      <c r="AA2426" s="3"/>
    </row>
    <row r="2427">
      <c r="A2427" s="3">
        <v>6.900821655811E12</v>
      </c>
      <c r="B2427" s="2" t="s">
        <v>10188</v>
      </c>
      <c r="C2427" s="2" t="s">
        <v>10189</v>
      </c>
      <c r="D2427" s="169">
        <v>46060.0</v>
      </c>
      <c r="E2427" s="2">
        <v>3.046404196E9</v>
      </c>
      <c r="F2427" s="2" t="s">
        <v>10190</v>
      </c>
      <c r="G2427" s="2" t="s">
        <v>368</v>
      </c>
      <c r="H2427" s="2">
        <v>3099.0</v>
      </c>
      <c r="I2427" s="2">
        <v>2.9120050021747E13</v>
      </c>
      <c r="J2427" s="3">
        <v>2.0</v>
      </c>
      <c r="K2427" s="2" t="s">
        <v>10191</v>
      </c>
      <c r="L2427" s="2" t="s">
        <v>906</v>
      </c>
      <c r="M2427" s="2" t="s">
        <v>409</v>
      </c>
      <c r="N2427" s="2" t="s">
        <v>462</v>
      </c>
      <c r="O2427" s="3">
        <v>0.5</v>
      </c>
      <c r="P2427" s="2" t="s">
        <v>73</v>
      </c>
      <c r="Q2427" s="3">
        <v>920.0</v>
      </c>
      <c r="T2427" s="2" t="s">
        <v>9018</v>
      </c>
      <c r="U2427" s="171">
        <v>3099.0</v>
      </c>
      <c r="V2427" s="172">
        <v>46066.0</v>
      </c>
      <c r="W2427" s="3">
        <v>231.0</v>
      </c>
      <c r="X2427" s="172">
        <v>46063.5214209375</v>
      </c>
      <c r="Y2427" s="172"/>
      <c r="Z2427" s="3">
        <v>46060.0</v>
      </c>
      <c r="AA2427" s="3"/>
    </row>
    <row r="2428">
      <c r="A2428" s="3">
        <v>6.900949778691E12</v>
      </c>
      <c r="B2428" s="2" t="s">
        <v>10192</v>
      </c>
      <c r="C2428" s="2" t="s">
        <v>4999</v>
      </c>
      <c r="D2428" s="169">
        <v>46060.0</v>
      </c>
      <c r="E2428" s="2">
        <v>3.12050842E9</v>
      </c>
      <c r="F2428" s="2" t="s">
        <v>10193</v>
      </c>
      <c r="G2428" s="2" t="s">
        <v>5001</v>
      </c>
      <c r="H2428" s="2">
        <v>249.0</v>
      </c>
      <c r="I2428" s="2">
        <v>2.5120050021746E13</v>
      </c>
      <c r="J2428" s="3">
        <v>0.0</v>
      </c>
      <c r="K2428" s="2" t="s">
        <v>10194</v>
      </c>
      <c r="L2428" s="2"/>
      <c r="M2428" s="170" t="s">
        <v>455</v>
      </c>
      <c r="N2428" s="2" t="s">
        <v>406</v>
      </c>
      <c r="O2428" s="3">
        <v>0.5</v>
      </c>
      <c r="P2428" s="2" t="s">
        <v>73</v>
      </c>
      <c r="Q2428" s="3">
        <v>0.0</v>
      </c>
      <c r="U2428" s="141"/>
      <c r="W2428" s="3">
        <v>200.0</v>
      </c>
      <c r="X2428" s="172">
        <v>46069.95761996528</v>
      </c>
      <c r="Y2428" s="172"/>
      <c r="Z2428" s="3">
        <v>46060.0</v>
      </c>
      <c r="AA2428" s="3"/>
    </row>
    <row r="2429">
      <c r="A2429" s="3">
        <v>6.901065613571E12</v>
      </c>
      <c r="B2429" s="2" t="s">
        <v>10195</v>
      </c>
      <c r="C2429" s="2" t="s">
        <v>10196</v>
      </c>
      <c r="D2429" s="169">
        <v>46060.0</v>
      </c>
      <c r="E2429" s="2">
        <v>3.289246303E9</v>
      </c>
      <c r="F2429" s="2" t="s">
        <v>10197</v>
      </c>
      <c r="G2429" s="2" t="s">
        <v>850</v>
      </c>
      <c r="H2429" s="2">
        <v>0.0</v>
      </c>
      <c r="J2429" s="3">
        <v>0.0</v>
      </c>
      <c r="K2429" s="2" t="s">
        <v>10198</v>
      </c>
      <c r="L2429" s="2"/>
      <c r="M2429" s="2" t="s">
        <v>468</v>
      </c>
      <c r="N2429" s="2" t="s">
        <v>406</v>
      </c>
      <c r="O2429" s="3">
        <v>0.5</v>
      </c>
      <c r="Q2429" s="3">
        <v>0.0</v>
      </c>
      <c r="U2429" s="141"/>
      <c r="X2429" s="172">
        <v>46061.24093892361</v>
      </c>
      <c r="Y2429" s="172"/>
      <c r="Z2429" s="3">
        <v>46060.0</v>
      </c>
      <c r="AA2429" s="3"/>
    </row>
    <row r="2430">
      <c r="A2430" s="3">
        <v>6.901199175939E12</v>
      </c>
      <c r="B2430" s="2" t="s">
        <v>10199</v>
      </c>
      <c r="C2430" s="2" t="s">
        <v>10200</v>
      </c>
      <c r="D2430" s="169">
        <v>46060.0</v>
      </c>
      <c r="E2430" s="2">
        <v>3.202095758E9</v>
      </c>
      <c r="F2430" s="2" t="s">
        <v>10201</v>
      </c>
      <c r="G2430" s="2" t="s">
        <v>8872</v>
      </c>
      <c r="H2430" s="2">
        <v>11475.0</v>
      </c>
      <c r="I2430" s="2">
        <v>2.8120050021837E13</v>
      </c>
      <c r="J2430" s="3">
        <v>6.0</v>
      </c>
      <c r="K2430" s="2" t="s">
        <v>10202</v>
      </c>
      <c r="L2430" s="2" t="s">
        <v>10203</v>
      </c>
      <c r="M2430" s="2" t="s">
        <v>409</v>
      </c>
      <c r="N2430" s="2" t="s">
        <v>406</v>
      </c>
      <c r="O2430" s="3">
        <v>0.5</v>
      </c>
      <c r="P2430" s="2" t="s">
        <v>73</v>
      </c>
      <c r="Q2430" s="3">
        <v>5180.0</v>
      </c>
      <c r="U2430" s="171">
        <v>11475.0</v>
      </c>
      <c r="X2430" s="172">
        <v>46067.48045498843</v>
      </c>
      <c r="Y2430" s="172"/>
      <c r="Z2430" s="3">
        <v>46060.0</v>
      </c>
      <c r="AA2430" s="3"/>
    </row>
    <row r="2431">
      <c r="A2431" s="3">
        <v>6.901223850243E12</v>
      </c>
      <c r="B2431" s="2" t="s">
        <v>10204</v>
      </c>
      <c r="C2431" s="2" t="s">
        <v>10205</v>
      </c>
      <c r="D2431" s="169">
        <v>46060.0</v>
      </c>
      <c r="E2431" s="2">
        <v>3.0626653E9</v>
      </c>
      <c r="F2431" s="2" t="s">
        <v>10206</v>
      </c>
      <c r="G2431" s="2" t="s">
        <v>493</v>
      </c>
      <c r="H2431" s="2">
        <v>2849.0</v>
      </c>
      <c r="I2431" s="2">
        <v>2.9120050021757E13</v>
      </c>
      <c r="J2431" s="3">
        <v>2.0</v>
      </c>
      <c r="K2431" s="2" t="s">
        <v>10207</v>
      </c>
      <c r="L2431" s="2" t="s">
        <v>2324</v>
      </c>
      <c r="M2431" s="2" t="s">
        <v>409</v>
      </c>
      <c r="N2431" s="2" t="s">
        <v>462</v>
      </c>
      <c r="O2431" s="3">
        <v>0.5</v>
      </c>
      <c r="P2431" s="2" t="s">
        <v>73</v>
      </c>
      <c r="Q2431" s="3">
        <v>920.0</v>
      </c>
      <c r="T2431" s="2" t="s">
        <v>9018</v>
      </c>
      <c r="U2431" s="171">
        <v>2849.0</v>
      </c>
      <c r="V2431" s="172">
        <v>46066.0</v>
      </c>
      <c r="W2431" s="3">
        <v>327.0</v>
      </c>
      <c r="X2431" s="172">
        <v>46065.79308944444</v>
      </c>
      <c r="Y2431" s="172"/>
      <c r="Z2431" s="3">
        <v>46060.0</v>
      </c>
      <c r="AA2431" s="3"/>
    </row>
    <row r="2432">
      <c r="A2432" s="3">
        <v>6.901508636931E12</v>
      </c>
      <c r="B2432" s="2" t="s">
        <v>10208</v>
      </c>
      <c r="C2432" s="2" t="s">
        <v>6058</v>
      </c>
      <c r="D2432" s="169">
        <v>46060.0</v>
      </c>
      <c r="E2432" s="173" t="s">
        <v>10209</v>
      </c>
      <c r="F2432" s="2" t="s">
        <v>6059</v>
      </c>
      <c r="G2432" s="2" t="s">
        <v>3356</v>
      </c>
      <c r="H2432" s="2">
        <v>2749.0</v>
      </c>
      <c r="I2432" s="2">
        <v>2.3120050021745E13</v>
      </c>
      <c r="J2432" s="3">
        <v>2.0</v>
      </c>
      <c r="K2432" s="2" t="s">
        <v>10210</v>
      </c>
      <c r="L2432" s="2" t="s">
        <v>16</v>
      </c>
      <c r="M2432" s="2" t="s">
        <v>409</v>
      </c>
      <c r="N2432" s="2" t="s">
        <v>462</v>
      </c>
      <c r="O2432" s="3">
        <v>0.5</v>
      </c>
      <c r="P2432" s="2" t="s">
        <v>73</v>
      </c>
      <c r="Q2432" s="3">
        <v>980.0</v>
      </c>
      <c r="T2432" s="2" t="s">
        <v>9018</v>
      </c>
      <c r="U2432" s="171">
        <v>2749.0</v>
      </c>
      <c r="V2432" s="172">
        <v>46066.0</v>
      </c>
      <c r="W2432" s="3">
        <v>330.0</v>
      </c>
      <c r="X2432" s="172">
        <v>46063.77154728009</v>
      </c>
      <c r="Y2432" s="172"/>
      <c r="Z2432" s="3">
        <v>46060.0</v>
      </c>
      <c r="AA2432" s="3"/>
    </row>
    <row r="2433">
      <c r="A2433" s="3">
        <v>6.901535965443E12</v>
      </c>
      <c r="B2433" s="2" t="s">
        <v>10211</v>
      </c>
      <c r="C2433" s="2" t="s">
        <v>10212</v>
      </c>
      <c r="D2433" s="169">
        <v>46060.0</v>
      </c>
      <c r="E2433" s="2">
        <v>3.429142976E9</v>
      </c>
      <c r="F2433" s="2" t="s">
        <v>10213</v>
      </c>
      <c r="G2433" s="2" t="s">
        <v>368</v>
      </c>
      <c r="H2433" s="2">
        <v>2749.0</v>
      </c>
      <c r="I2433" s="2">
        <v>2.3120050021744E13</v>
      </c>
      <c r="J2433" s="3">
        <v>2.0</v>
      </c>
      <c r="K2433" s="2" t="s">
        <v>10214</v>
      </c>
      <c r="L2433" s="2" t="s">
        <v>35</v>
      </c>
      <c r="M2433" s="2" t="s">
        <v>409</v>
      </c>
      <c r="N2433" s="2" t="s">
        <v>462</v>
      </c>
      <c r="O2433" s="3">
        <v>0.5</v>
      </c>
      <c r="P2433" s="2" t="s">
        <v>73</v>
      </c>
      <c r="Q2433" s="3">
        <v>980.0</v>
      </c>
      <c r="T2433" s="2" t="s">
        <v>9018</v>
      </c>
      <c r="U2433" s="171">
        <v>2749.0</v>
      </c>
      <c r="V2433" s="172">
        <v>46066.0</v>
      </c>
      <c r="W2433" s="3">
        <v>230.0</v>
      </c>
      <c r="X2433" s="172">
        <v>46063.77155278935</v>
      </c>
      <c r="Y2433" s="172"/>
      <c r="Z2433" s="3">
        <v>46060.0</v>
      </c>
      <c r="AA2433" s="3"/>
    </row>
    <row r="2434">
      <c r="A2434" s="3">
        <v>6.901562933507E12</v>
      </c>
      <c r="B2434" s="2" t="s">
        <v>10215</v>
      </c>
      <c r="C2434" s="2" t="s">
        <v>7333</v>
      </c>
      <c r="D2434" s="169">
        <v>46060.0</v>
      </c>
      <c r="E2434" s="173" t="s">
        <v>7334</v>
      </c>
      <c r="F2434" s="2" t="s">
        <v>7335</v>
      </c>
      <c r="G2434" s="2" t="s">
        <v>855</v>
      </c>
      <c r="H2434" s="2">
        <v>3749.0</v>
      </c>
      <c r="I2434" s="2">
        <v>2.5120050021743E13</v>
      </c>
      <c r="J2434" s="3">
        <v>2.0</v>
      </c>
      <c r="K2434" s="2" t="s">
        <v>10216</v>
      </c>
      <c r="L2434" s="2" t="s">
        <v>10217</v>
      </c>
      <c r="M2434" s="2" t="s">
        <v>409</v>
      </c>
      <c r="N2434" s="2" t="s">
        <v>462</v>
      </c>
      <c r="O2434" s="3">
        <v>0.5</v>
      </c>
      <c r="P2434" s="2" t="s">
        <v>73</v>
      </c>
      <c r="Q2434" s="3">
        <v>2200.0</v>
      </c>
      <c r="T2434" s="2" t="s">
        <v>9018</v>
      </c>
      <c r="U2434" s="171">
        <v>3749.0</v>
      </c>
      <c r="V2434" s="172">
        <v>46066.0</v>
      </c>
      <c r="W2434" s="3">
        <v>370.0</v>
      </c>
      <c r="X2434" s="172">
        <v>46065.542985057866</v>
      </c>
      <c r="Y2434" s="172"/>
      <c r="Z2434" s="3">
        <v>46060.0</v>
      </c>
      <c r="AA2434" s="3"/>
    </row>
    <row r="2435">
      <c r="A2435" s="3">
        <v>6.901614149891E12</v>
      </c>
      <c r="B2435" s="2" t="s">
        <v>10218</v>
      </c>
      <c r="C2435" s="2" t="s">
        <v>10219</v>
      </c>
      <c r="D2435" s="169">
        <v>46060.0</v>
      </c>
      <c r="E2435" s="2">
        <v>3.340408513E9</v>
      </c>
      <c r="F2435" s="2" t="s">
        <v>10220</v>
      </c>
      <c r="G2435" s="2" t="s">
        <v>506</v>
      </c>
      <c r="H2435" s="2">
        <v>1799.0</v>
      </c>
      <c r="I2435" s="2">
        <v>2.4120050021722E13</v>
      </c>
      <c r="J2435" s="3">
        <v>1.0</v>
      </c>
      <c r="K2435" s="2" t="s">
        <v>10221</v>
      </c>
      <c r="L2435" s="2" t="s">
        <v>1720</v>
      </c>
      <c r="M2435" s="2" t="s">
        <v>409</v>
      </c>
      <c r="N2435" s="2" t="s">
        <v>462</v>
      </c>
      <c r="O2435" s="3">
        <v>0.5</v>
      </c>
      <c r="P2435" s="2" t="s">
        <v>73</v>
      </c>
      <c r="Q2435" s="3">
        <v>490.0</v>
      </c>
      <c r="T2435" s="2" t="s">
        <v>9018</v>
      </c>
      <c r="U2435" s="171">
        <v>1799.0</v>
      </c>
      <c r="V2435" s="172">
        <v>46066.0</v>
      </c>
      <c r="W2435" s="3">
        <v>292.0</v>
      </c>
      <c r="X2435" s="172">
        <v>46064.73078653935</v>
      </c>
      <c r="Y2435" s="172"/>
      <c r="Z2435" s="3">
        <v>46060.0</v>
      </c>
      <c r="AA2435" s="3"/>
    </row>
    <row r="2436">
      <c r="A2436" s="3">
        <v>6.901626863875E12</v>
      </c>
      <c r="B2436" s="2" t="s">
        <v>10222</v>
      </c>
      <c r="C2436" s="2" t="s">
        <v>10223</v>
      </c>
      <c r="D2436" s="169">
        <v>46060.0</v>
      </c>
      <c r="E2436" s="2">
        <v>3.135945453E9</v>
      </c>
      <c r="F2436" s="2" t="s">
        <v>10224</v>
      </c>
      <c r="G2436" s="2" t="s">
        <v>506</v>
      </c>
      <c r="H2436" s="2">
        <v>3099.0</v>
      </c>
      <c r="I2436" s="2">
        <v>2.0120050021742E13</v>
      </c>
      <c r="J2436" s="3">
        <v>2.0</v>
      </c>
      <c r="K2436" s="2" t="s">
        <v>10225</v>
      </c>
      <c r="L2436" s="2" t="s">
        <v>40</v>
      </c>
      <c r="M2436" s="2" t="s">
        <v>409</v>
      </c>
      <c r="N2436" s="2" t="s">
        <v>462</v>
      </c>
      <c r="O2436" s="3">
        <v>0.5</v>
      </c>
      <c r="P2436" s="2" t="s">
        <v>73</v>
      </c>
      <c r="Q2436" s="3">
        <v>920.0</v>
      </c>
      <c r="T2436" s="2" t="s">
        <v>9018</v>
      </c>
      <c r="U2436" s="171">
        <v>3099.0</v>
      </c>
      <c r="V2436" s="172">
        <v>46066.0</v>
      </c>
      <c r="W2436" s="3">
        <v>324.0</v>
      </c>
      <c r="X2436" s="172">
        <v>46065.66841362268</v>
      </c>
      <c r="Y2436" s="172"/>
      <c r="Z2436" s="3">
        <v>46060.0</v>
      </c>
      <c r="AA2436" s="3"/>
    </row>
    <row r="2437">
      <c r="A2437" s="3">
        <v>6.901637579011E12</v>
      </c>
      <c r="B2437" s="2" t="s">
        <v>10226</v>
      </c>
      <c r="C2437" s="2" t="s">
        <v>10227</v>
      </c>
      <c r="D2437" s="169">
        <v>46060.0</v>
      </c>
      <c r="E2437" s="2">
        <v>3.337932079E9</v>
      </c>
      <c r="F2437" s="2" t="s">
        <v>10228</v>
      </c>
      <c r="G2437" s="2" t="s">
        <v>672</v>
      </c>
      <c r="H2437" s="2">
        <v>3849.0</v>
      </c>
      <c r="I2437" s="2">
        <v>2.0120050021807E13</v>
      </c>
      <c r="J2437" s="3">
        <v>2.0</v>
      </c>
      <c r="K2437" s="2" t="s">
        <v>10229</v>
      </c>
      <c r="L2437" s="2" t="s">
        <v>10230</v>
      </c>
      <c r="M2437" s="2" t="s">
        <v>409</v>
      </c>
      <c r="N2437" s="2" t="s">
        <v>462</v>
      </c>
      <c r="O2437" s="3">
        <v>0.5</v>
      </c>
      <c r="P2437" s="2" t="s">
        <v>73</v>
      </c>
      <c r="Q2437" s="3">
        <v>960.0</v>
      </c>
      <c r="T2437" s="2" t="s">
        <v>8519</v>
      </c>
      <c r="U2437" s="171">
        <v>3849.0</v>
      </c>
      <c r="V2437" s="172">
        <v>46070.0</v>
      </c>
      <c r="W2437" s="3">
        <v>367.0</v>
      </c>
      <c r="X2437" s="172">
        <v>46066.68875677083</v>
      </c>
      <c r="Y2437" s="172"/>
      <c r="Z2437" s="3">
        <v>46060.0</v>
      </c>
      <c r="AA2437" s="3"/>
    </row>
    <row r="2438">
      <c r="A2438" s="3">
        <v>6.901664121091E12</v>
      </c>
      <c r="B2438" s="2" t="s">
        <v>10231</v>
      </c>
      <c r="C2438" s="2" t="s">
        <v>20</v>
      </c>
      <c r="D2438" s="169">
        <v>46060.0</v>
      </c>
      <c r="E2438" s="2">
        <v>3.394849051E9</v>
      </c>
      <c r="F2438" s="2" t="s">
        <v>21</v>
      </c>
      <c r="G2438" s="2" t="s">
        <v>493</v>
      </c>
      <c r="H2438" s="2">
        <v>3099.0</v>
      </c>
      <c r="I2438" s="2">
        <v>2.3120050021855E13</v>
      </c>
      <c r="J2438" s="3">
        <v>2.0</v>
      </c>
      <c r="K2438" s="2" t="s">
        <v>10232</v>
      </c>
      <c r="L2438" s="2" t="s">
        <v>22</v>
      </c>
      <c r="M2438" s="2" t="s">
        <v>409</v>
      </c>
      <c r="N2438" s="2" t="s">
        <v>462</v>
      </c>
      <c r="O2438" s="3">
        <v>0.5</v>
      </c>
      <c r="P2438" s="2" t="s">
        <v>73</v>
      </c>
      <c r="Q2438" s="3">
        <v>800.0</v>
      </c>
      <c r="T2438" s="2" t="s">
        <v>10233</v>
      </c>
      <c r="U2438" s="171">
        <v>3099.0</v>
      </c>
      <c r="W2438" s="3">
        <v>337.0</v>
      </c>
      <c r="X2438" s="172">
        <v>46074.62428599537</v>
      </c>
      <c r="Y2438" s="172"/>
      <c r="Z2438" s="3">
        <v>46060.0</v>
      </c>
      <c r="AA2438" s="3"/>
    </row>
    <row r="2439">
      <c r="A2439" s="3">
        <v>6.901687582979E12</v>
      </c>
      <c r="B2439" s="2" t="s">
        <v>10234</v>
      </c>
      <c r="C2439" s="2" t="s">
        <v>10235</v>
      </c>
      <c r="D2439" s="169">
        <v>46061.0</v>
      </c>
      <c r="E2439" s="173" t="s">
        <v>10236</v>
      </c>
      <c r="F2439" s="2" t="s">
        <v>10237</v>
      </c>
      <c r="G2439" s="2" t="s">
        <v>493</v>
      </c>
      <c r="H2439" s="2">
        <v>249.0</v>
      </c>
      <c r="I2439" s="2">
        <v>2.6120050021741E13</v>
      </c>
      <c r="J2439" s="3">
        <v>0.0</v>
      </c>
      <c r="K2439" s="2" t="s">
        <v>10027</v>
      </c>
      <c r="L2439" s="2"/>
      <c r="M2439" s="170" t="s">
        <v>455</v>
      </c>
      <c r="N2439" s="2" t="s">
        <v>406</v>
      </c>
      <c r="O2439" s="3">
        <v>0.5</v>
      </c>
      <c r="P2439" s="2" t="s">
        <v>73</v>
      </c>
      <c r="Q2439" s="3">
        <v>0.0</v>
      </c>
      <c r="U2439" s="141"/>
      <c r="W2439" s="3">
        <v>213.0</v>
      </c>
      <c r="X2439" s="172">
        <v>46070.91666445602</v>
      </c>
      <c r="Y2439" s="172"/>
      <c r="Z2439" s="3">
        <v>46061.0</v>
      </c>
      <c r="AA2439" s="3"/>
    </row>
    <row r="2440">
      <c r="A2440" s="3">
        <v>6.901719073027E12</v>
      </c>
      <c r="B2440" s="2" t="s">
        <v>10238</v>
      </c>
      <c r="C2440" s="2" t="s">
        <v>6242</v>
      </c>
      <c r="D2440" s="169">
        <v>46061.0</v>
      </c>
      <c r="E2440" s="173" t="s">
        <v>10011</v>
      </c>
      <c r="F2440" s="2" t="s">
        <v>10012</v>
      </c>
      <c r="G2440" s="2" t="s">
        <v>536</v>
      </c>
      <c r="H2440" s="2">
        <v>0.0</v>
      </c>
      <c r="J2440" s="3">
        <v>0.0</v>
      </c>
      <c r="K2440" s="2" t="s">
        <v>10239</v>
      </c>
      <c r="L2440" s="2"/>
      <c r="M2440" s="2" t="s">
        <v>468</v>
      </c>
      <c r="N2440" s="2" t="s">
        <v>406</v>
      </c>
      <c r="O2440" s="3">
        <v>0.5</v>
      </c>
      <c r="Q2440" s="3">
        <v>0.0</v>
      </c>
      <c r="U2440" s="141"/>
      <c r="X2440" s="172">
        <v>46061.24093892361</v>
      </c>
      <c r="Y2440" s="172"/>
      <c r="Z2440" s="3">
        <v>46061.0</v>
      </c>
      <c r="AA2440" s="3"/>
    </row>
    <row r="2441">
      <c r="A2441" s="3">
        <v>6.901965324547E12</v>
      </c>
      <c r="B2441" s="2" t="s">
        <v>10240</v>
      </c>
      <c r="C2441" s="2" t="s">
        <v>5211</v>
      </c>
      <c r="D2441" s="169">
        <v>46061.0</v>
      </c>
      <c r="E2441" s="2">
        <v>3.164121234E9</v>
      </c>
      <c r="F2441" s="2" t="s">
        <v>10241</v>
      </c>
      <c r="G2441" s="2" t="s">
        <v>368</v>
      </c>
      <c r="H2441" s="2">
        <v>5700.0</v>
      </c>
      <c r="I2441" s="2" t="s">
        <v>10242</v>
      </c>
      <c r="J2441" s="3">
        <v>4.0</v>
      </c>
      <c r="K2441" s="2" t="s">
        <v>10243</v>
      </c>
      <c r="L2441" s="2" t="s">
        <v>10244</v>
      </c>
      <c r="M2441" s="2" t="s">
        <v>409</v>
      </c>
      <c r="N2441" s="2" t="s">
        <v>462</v>
      </c>
      <c r="O2441" s="3">
        <v>0.5</v>
      </c>
      <c r="Q2441" s="3">
        <v>1600.0</v>
      </c>
      <c r="U2441" s="171">
        <v>5700.0</v>
      </c>
      <c r="X2441" s="172">
        <v>46061.24093892361</v>
      </c>
      <c r="Y2441" s="172"/>
      <c r="Z2441" s="3">
        <v>46061.0</v>
      </c>
      <c r="AA2441" s="3"/>
    </row>
    <row r="2442">
      <c r="A2442" s="3">
        <v>6.902164586755E12</v>
      </c>
      <c r="B2442" s="2" t="s">
        <v>10245</v>
      </c>
      <c r="C2442" s="2" t="s">
        <v>10246</v>
      </c>
      <c r="D2442" s="169">
        <v>46061.0</v>
      </c>
      <c r="E2442" s="2">
        <v>3.023629289E9</v>
      </c>
      <c r="F2442" s="2" t="s">
        <v>10247</v>
      </c>
      <c r="G2442" s="2" t="s">
        <v>506</v>
      </c>
      <c r="H2442" s="2">
        <v>2749.0</v>
      </c>
      <c r="I2442" s="2">
        <v>2.412005002174E13</v>
      </c>
      <c r="J2442" s="3">
        <v>2.0</v>
      </c>
      <c r="K2442" s="2" t="s">
        <v>10248</v>
      </c>
      <c r="L2442" s="2" t="s">
        <v>16</v>
      </c>
      <c r="M2442" s="2" t="s">
        <v>409</v>
      </c>
      <c r="N2442" s="2" t="s">
        <v>462</v>
      </c>
      <c r="O2442" s="3">
        <v>0.5</v>
      </c>
      <c r="P2442" s="2" t="s">
        <v>73</v>
      </c>
      <c r="Q2442" s="3">
        <v>980.0</v>
      </c>
      <c r="T2442" s="2" t="s">
        <v>9018</v>
      </c>
      <c r="U2442" s="171">
        <v>2749.0</v>
      </c>
      <c r="V2442" s="172">
        <v>46066.0</v>
      </c>
      <c r="W2442" s="3">
        <v>330.0</v>
      </c>
      <c r="X2442" s="172">
        <v>46064.73081090278</v>
      </c>
      <c r="Y2442" s="172"/>
      <c r="Z2442" s="3">
        <v>46061.0</v>
      </c>
      <c r="AA2442" s="3"/>
    </row>
    <row r="2443">
      <c r="A2443" s="3">
        <v>6.902230679811E12</v>
      </c>
      <c r="B2443" s="2" t="s">
        <v>10249</v>
      </c>
      <c r="C2443" s="2" t="s">
        <v>10250</v>
      </c>
      <c r="D2443" s="169">
        <v>46061.0</v>
      </c>
      <c r="E2443" s="2">
        <v>3.31816675E9</v>
      </c>
      <c r="F2443" s="2" t="s">
        <v>10251</v>
      </c>
      <c r="G2443" s="2" t="s">
        <v>10252</v>
      </c>
      <c r="H2443" s="2">
        <v>0.0</v>
      </c>
      <c r="J2443" s="3">
        <v>0.0</v>
      </c>
      <c r="K2443" s="2" t="s">
        <v>10253</v>
      </c>
      <c r="L2443" s="2"/>
      <c r="M2443" s="2" t="s">
        <v>468</v>
      </c>
      <c r="N2443" s="2" t="s">
        <v>406</v>
      </c>
      <c r="O2443" s="3">
        <v>0.5</v>
      </c>
      <c r="Q2443" s="3">
        <v>0.0</v>
      </c>
      <c r="U2443" s="141"/>
      <c r="X2443" s="172">
        <v>46062.2409628125</v>
      </c>
      <c r="Y2443" s="172"/>
      <c r="Z2443" s="3">
        <v>46061.0</v>
      </c>
      <c r="AA2443" s="3"/>
    </row>
    <row r="2444">
      <c r="A2444" s="3">
        <v>6.902331113731E12</v>
      </c>
      <c r="B2444" s="2" t="s">
        <v>10254</v>
      </c>
      <c r="C2444" s="2" t="s">
        <v>10255</v>
      </c>
      <c r="D2444" s="169">
        <v>46061.0</v>
      </c>
      <c r="E2444" s="2">
        <v>3.40011001E9</v>
      </c>
      <c r="F2444" s="2" t="s">
        <v>10256</v>
      </c>
      <c r="G2444" s="2" t="s">
        <v>10257</v>
      </c>
      <c r="H2444" s="2">
        <v>3099.0</v>
      </c>
      <c r="I2444" s="2">
        <v>2.1120050021739E13</v>
      </c>
      <c r="J2444" s="3">
        <v>2.0</v>
      </c>
      <c r="K2444" s="2" t="s">
        <v>10258</v>
      </c>
      <c r="L2444" s="2" t="s">
        <v>22</v>
      </c>
      <c r="M2444" s="2" t="s">
        <v>409</v>
      </c>
      <c r="N2444" s="2" t="s">
        <v>462</v>
      </c>
      <c r="O2444" s="3">
        <v>0.5</v>
      </c>
      <c r="P2444" s="2" t="s">
        <v>73</v>
      </c>
      <c r="Q2444" s="3">
        <v>960.0</v>
      </c>
      <c r="T2444" s="2" t="s">
        <v>9018</v>
      </c>
      <c r="U2444" s="171">
        <v>3099.0</v>
      </c>
      <c r="V2444" s="172">
        <v>46066.0</v>
      </c>
      <c r="W2444" s="3">
        <v>324.0</v>
      </c>
      <c r="X2444" s="172">
        <v>46063.771595370374</v>
      </c>
      <c r="Y2444" s="172"/>
      <c r="Z2444" s="3">
        <v>46061.0</v>
      </c>
      <c r="AA2444" s="3"/>
    </row>
    <row r="2445">
      <c r="A2445" s="3">
        <v>6.902430761219E12</v>
      </c>
      <c r="B2445" s="2" t="s">
        <v>10259</v>
      </c>
      <c r="C2445" s="2" t="s">
        <v>5446</v>
      </c>
      <c r="D2445" s="169">
        <v>46061.0</v>
      </c>
      <c r="E2445" s="2">
        <v>3.161874972E9</v>
      </c>
      <c r="F2445" s="2" t="s">
        <v>10260</v>
      </c>
      <c r="G2445" s="2" t="s">
        <v>493</v>
      </c>
      <c r="H2445" s="2">
        <v>0.0</v>
      </c>
      <c r="J2445" s="3">
        <v>0.0</v>
      </c>
      <c r="K2445" s="2" t="s">
        <v>8038</v>
      </c>
      <c r="L2445" s="2"/>
      <c r="M2445" s="2" t="s">
        <v>468</v>
      </c>
      <c r="N2445" s="2" t="s">
        <v>406</v>
      </c>
      <c r="O2445" s="3">
        <v>0.5</v>
      </c>
      <c r="Q2445" s="3">
        <v>0.0</v>
      </c>
      <c r="U2445" s="141"/>
      <c r="X2445" s="172">
        <v>46062.2409628125</v>
      </c>
      <c r="Y2445" s="172"/>
      <c r="Z2445" s="3">
        <v>46061.0</v>
      </c>
      <c r="AA2445" s="3"/>
    </row>
    <row r="2446">
      <c r="A2446" s="3">
        <v>6.902450585859E12</v>
      </c>
      <c r="B2446" s="2" t="s">
        <v>10261</v>
      </c>
      <c r="C2446" s="2" t="s">
        <v>10262</v>
      </c>
      <c r="D2446" s="169">
        <v>46061.0</v>
      </c>
      <c r="E2446" s="2">
        <v>3.23275054E9</v>
      </c>
      <c r="F2446" s="2" t="s">
        <v>10263</v>
      </c>
      <c r="G2446" s="2" t="s">
        <v>493</v>
      </c>
      <c r="H2446" s="2">
        <v>249.0</v>
      </c>
      <c r="I2446" s="2">
        <v>2.4120050021738E13</v>
      </c>
      <c r="J2446" s="3">
        <v>0.0</v>
      </c>
      <c r="K2446" s="2" t="s">
        <v>10264</v>
      </c>
      <c r="L2446" s="2"/>
      <c r="M2446" s="170" t="s">
        <v>455</v>
      </c>
      <c r="N2446" s="2" t="s">
        <v>406</v>
      </c>
      <c r="O2446" s="3">
        <v>0.5</v>
      </c>
      <c r="P2446" s="2" t="s">
        <v>73</v>
      </c>
      <c r="Q2446" s="3">
        <v>0.0</v>
      </c>
      <c r="U2446" s="141"/>
      <c r="W2446" s="3">
        <v>213.0</v>
      </c>
      <c r="X2446" s="172">
        <v>46073.749446354166</v>
      </c>
      <c r="Y2446" s="172"/>
      <c r="Z2446" s="3">
        <v>46061.0</v>
      </c>
      <c r="AA2446" s="3"/>
    </row>
    <row r="2447">
      <c r="A2447" s="3">
        <v>6.902457303299E12</v>
      </c>
      <c r="B2447" s="2" t="s">
        <v>10265</v>
      </c>
      <c r="C2447" s="2" t="s">
        <v>10266</v>
      </c>
      <c r="D2447" s="169">
        <v>46061.0</v>
      </c>
      <c r="E2447" s="2">
        <v>3.099001999E9</v>
      </c>
      <c r="F2447" s="2" t="s">
        <v>10267</v>
      </c>
      <c r="G2447" s="2" t="s">
        <v>368</v>
      </c>
      <c r="H2447" s="2">
        <v>1799.0</v>
      </c>
      <c r="I2447" s="2">
        <v>2.2120050021737E13</v>
      </c>
      <c r="J2447" s="3">
        <v>1.0</v>
      </c>
      <c r="K2447" s="2" t="s">
        <v>10268</v>
      </c>
      <c r="L2447" s="2" t="s">
        <v>1185</v>
      </c>
      <c r="M2447" s="2" t="s">
        <v>409</v>
      </c>
      <c r="N2447" s="2" t="s">
        <v>462</v>
      </c>
      <c r="O2447" s="3">
        <v>0.5</v>
      </c>
      <c r="P2447" s="2" t="s">
        <v>73</v>
      </c>
      <c r="Q2447" s="3">
        <v>490.0</v>
      </c>
      <c r="T2447" s="2" t="s">
        <v>9018</v>
      </c>
      <c r="U2447" s="171">
        <v>1799.0</v>
      </c>
      <c r="V2447" s="172">
        <v>46066.0</v>
      </c>
      <c r="W2447" s="3">
        <v>179.0</v>
      </c>
      <c r="X2447" s="172">
        <v>46063.77160591436</v>
      </c>
      <c r="Y2447" s="172"/>
      <c r="Z2447" s="3">
        <v>46061.0</v>
      </c>
      <c r="AA2447" s="3"/>
    </row>
    <row r="2448">
      <c r="A2448" s="3">
        <v>6.902514483459E12</v>
      </c>
      <c r="B2448" s="2" t="s">
        <v>10269</v>
      </c>
      <c r="C2448" s="2" t="s">
        <v>10270</v>
      </c>
      <c r="D2448" s="169">
        <v>46061.0</v>
      </c>
      <c r="E2448" s="2">
        <v>3.004613155E9</v>
      </c>
      <c r="F2448" s="2" t="s">
        <v>10271</v>
      </c>
      <c r="G2448" s="2" t="s">
        <v>368</v>
      </c>
      <c r="H2448" s="2">
        <v>249.0</v>
      </c>
      <c r="I2448" s="2">
        <v>2.0120050021721E13</v>
      </c>
      <c r="J2448" s="3">
        <v>0.0</v>
      </c>
      <c r="K2448" s="2" t="s">
        <v>10272</v>
      </c>
      <c r="L2448" s="2"/>
      <c r="M2448" s="170" t="s">
        <v>455</v>
      </c>
      <c r="N2448" s="2" t="s">
        <v>406</v>
      </c>
      <c r="O2448" s="3">
        <v>0.5</v>
      </c>
      <c r="P2448" s="2" t="s">
        <v>73</v>
      </c>
      <c r="Q2448" s="3">
        <v>0.0</v>
      </c>
      <c r="U2448" s="141"/>
      <c r="W2448" s="3">
        <v>120.0</v>
      </c>
      <c r="X2448" s="172">
        <v>46069.99928153935</v>
      </c>
      <c r="Y2448" s="172"/>
      <c r="Z2448" s="3">
        <v>46061.0</v>
      </c>
      <c r="AA2448" s="3"/>
    </row>
    <row r="2449">
      <c r="A2449" s="3">
        <v>6.902556983555E12</v>
      </c>
      <c r="B2449" s="2" t="s">
        <v>10273</v>
      </c>
      <c r="C2449" s="2" t="s">
        <v>10274</v>
      </c>
      <c r="D2449" s="169">
        <v>46061.0</v>
      </c>
      <c r="E2449" s="2">
        <v>3.005195978E9</v>
      </c>
      <c r="F2449" s="2" t="s">
        <v>10275</v>
      </c>
      <c r="G2449" s="2" t="s">
        <v>493</v>
      </c>
      <c r="H2449" s="2">
        <v>2749.0</v>
      </c>
      <c r="I2449" s="2">
        <v>2.3120050021736E13</v>
      </c>
      <c r="J2449" s="3">
        <v>2.0</v>
      </c>
      <c r="K2449" s="2" t="s">
        <v>10276</v>
      </c>
      <c r="L2449" s="2" t="s">
        <v>926</v>
      </c>
      <c r="M2449" s="2" t="s">
        <v>409</v>
      </c>
      <c r="N2449" s="2" t="s">
        <v>462</v>
      </c>
      <c r="O2449" s="3">
        <v>0.5</v>
      </c>
      <c r="P2449" s="2" t="s">
        <v>73</v>
      </c>
      <c r="Q2449" s="3">
        <v>980.0</v>
      </c>
      <c r="T2449" s="2" t="s">
        <v>9018</v>
      </c>
      <c r="U2449" s="171">
        <v>2749.0</v>
      </c>
      <c r="V2449" s="172">
        <v>46066.0</v>
      </c>
      <c r="W2449" s="3">
        <v>323.0</v>
      </c>
      <c r="X2449" s="172">
        <v>46064.73082474537</v>
      </c>
      <c r="Y2449" s="172"/>
      <c r="Z2449" s="3">
        <v>46061.0</v>
      </c>
      <c r="AA2449" s="3"/>
    </row>
    <row r="2450">
      <c r="A2450" s="3">
        <v>6.902574383363E12</v>
      </c>
      <c r="B2450" s="2" t="s">
        <v>10277</v>
      </c>
      <c r="C2450" s="2" t="s">
        <v>10278</v>
      </c>
      <c r="D2450" s="169">
        <v>46061.0</v>
      </c>
      <c r="E2450" s="2">
        <v>3.025616149E9</v>
      </c>
      <c r="F2450" s="2" t="s">
        <v>10279</v>
      </c>
      <c r="G2450" s="2" t="s">
        <v>506</v>
      </c>
      <c r="H2450" s="2">
        <v>2749.0</v>
      </c>
      <c r="I2450" s="2">
        <v>2.012005002172E13</v>
      </c>
      <c r="J2450" s="3">
        <v>2.0</v>
      </c>
      <c r="K2450" s="2" t="s">
        <v>10280</v>
      </c>
      <c r="L2450" s="2" t="s">
        <v>926</v>
      </c>
      <c r="M2450" s="2" t="s">
        <v>409</v>
      </c>
      <c r="N2450" s="2" t="s">
        <v>462</v>
      </c>
      <c r="O2450" s="3">
        <v>0.5</v>
      </c>
      <c r="P2450" s="2" t="s">
        <v>73</v>
      </c>
      <c r="Q2450" s="3">
        <v>980.0</v>
      </c>
      <c r="T2450" s="2" t="s">
        <v>9018</v>
      </c>
      <c r="U2450" s="171">
        <v>2749.0</v>
      </c>
      <c r="V2450" s="172">
        <v>46066.0</v>
      </c>
      <c r="W2450" s="3">
        <v>310.0</v>
      </c>
      <c r="X2450" s="172">
        <v>46064.73082939815</v>
      </c>
      <c r="Y2450" s="172"/>
      <c r="Z2450" s="3">
        <v>46061.0</v>
      </c>
      <c r="AA2450" s="3"/>
    </row>
    <row r="2451">
      <c r="A2451" s="3">
        <v>6.902584836355E12</v>
      </c>
      <c r="B2451" s="2" t="s">
        <v>10281</v>
      </c>
      <c r="C2451" s="2" t="s">
        <v>6211</v>
      </c>
      <c r="D2451" s="169">
        <v>46061.0</v>
      </c>
      <c r="E2451" s="2">
        <v>3.403906721E9</v>
      </c>
      <c r="F2451" s="2" t="s">
        <v>10282</v>
      </c>
      <c r="G2451" s="2" t="s">
        <v>484</v>
      </c>
      <c r="H2451" s="2">
        <v>3299.0</v>
      </c>
      <c r="I2451" s="2">
        <v>2.8120050021735E13</v>
      </c>
      <c r="J2451" s="3">
        <v>1.0</v>
      </c>
      <c r="K2451" s="2" t="s">
        <v>10283</v>
      </c>
      <c r="L2451" s="2" t="s">
        <v>200</v>
      </c>
      <c r="M2451" s="2" t="s">
        <v>409</v>
      </c>
      <c r="N2451" s="2" t="s">
        <v>462</v>
      </c>
      <c r="O2451" s="3">
        <v>0.5</v>
      </c>
      <c r="P2451" s="2" t="s">
        <v>73</v>
      </c>
      <c r="Q2451" s="3">
        <v>1400.0</v>
      </c>
      <c r="T2451" s="2" t="s">
        <v>9018</v>
      </c>
      <c r="U2451" s="171">
        <v>3299.0</v>
      </c>
      <c r="V2451" s="172">
        <v>46066.0</v>
      </c>
      <c r="W2451" s="3">
        <v>345.0</v>
      </c>
      <c r="X2451" s="172">
        <v>46065.62684295139</v>
      </c>
      <c r="Y2451" s="172"/>
      <c r="Z2451" s="3">
        <v>46061.0</v>
      </c>
      <c r="AA2451" s="3"/>
    </row>
    <row r="2452">
      <c r="A2452" s="3">
        <v>6.902603350275E12</v>
      </c>
      <c r="B2452" s="2" t="s">
        <v>10284</v>
      </c>
      <c r="C2452" s="2" t="s">
        <v>10285</v>
      </c>
      <c r="D2452" s="169">
        <v>46061.0</v>
      </c>
      <c r="E2452" s="2">
        <v>3.125553688E9</v>
      </c>
      <c r="F2452" s="2" t="s">
        <v>10286</v>
      </c>
      <c r="G2452" s="2" t="s">
        <v>10287</v>
      </c>
      <c r="H2452" s="2">
        <v>0.0</v>
      </c>
      <c r="J2452" s="3">
        <v>0.0</v>
      </c>
      <c r="K2452" s="2" t="s">
        <v>10288</v>
      </c>
      <c r="L2452" s="2"/>
      <c r="M2452" s="2" t="s">
        <v>468</v>
      </c>
      <c r="N2452" s="2" t="s">
        <v>406</v>
      </c>
      <c r="O2452" s="3">
        <v>0.5</v>
      </c>
      <c r="Q2452" s="3">
        <v>0.0</v>
      </c>
      <c r="U2452" s="141"/>
      <c r="X2452" s="172">
        <v>46062.24096282407</v>
      </c>
      <c r="Y2452" s="172"/>
      <c r="Z2452" s="3">
        <v>46061.0</v>
      </c>
      <c r="AA2452" s="3"/>
    </row>
    <row r="2453">
      <c r="A2453" s="3">
        <v>6.902604857603E12</v>
      </c>
      <c r="B2453" s="2" t="s">
        <v>10289</v>
      </c>
      <c r="C2453" s="2" t="s">
        <v>10290</v>
      </c>
      <c r="D2453" s="169">
        <v>46061.0</v>
      </c>
      <c r="E2453" s="2">
        <v>3.125553688E9</v>
      </c>
      <c r="F2453" s="2" t="s">
        <v>10291</v>
      </c>
      <c r="G2453" s="2" t="s">
        <v>10292</v>
      </c>
      <c r="H2453" s="2">
        <v>1699.0</v>
      </c>
      <c r="I2453" s="2">
        <v>2.1120050021734E13</v>
      </c>
      <c r="J2453" s="3">
        <v>1.0</v>
      </c>
      <c r="K2453" s="2" t="s">
        <v>10293</v>
      </c>
      <c r="L2453" s="2" t="s">
        <v>9856</v>
      </c>
      <c r="M2453" s="2" t="s">
        <v>409</v>
      </c>
      <c r="N2453" s="2" t="s">
        <v>462</v>
      </c>
      <c r="O2453" s="3">
        <v>0.5</v>
      </c>
      <c r="P2453" s="2" t="s">
        <v>73</v>
      </c>
      <c r="Q2453" s="3">
        <v>550.0</v>
      </c>
      <c r="T2453" s="2" t="s">
        <v>9018</v>
      </c>
      <c r="U2453" s="171">
        <v>1699.0</v>
      </c>
      <c r="V2453" s="172">
        <v>46066.0</v>
      </c>
      <c r="W2453" s="3">
        <v>268.0</v>
      </c>
      <c r="X2453" s="172">
        <v>46065.79312462963</v>
      </c>
      <c r="Y2453" s="172"/>
      <c r="Z2453" s="3">
        <v>46061.0</v>
      </c>
      <c r="AA2453" s="3"/>
    </row>
    <row r="2454">
      <c r="A2454" s="3">
        <v>6.902624747779E12</v>
      </c>
      <c r="B2454" s="2" t="s">
        <v>10294</v>
      </c>
      <c r="C2454" s="2" t="s">
        <v>10295</v>
      </c>
      <c r="D2454" s="169">
        <v>46061.0</v>
      </c>
      <c r="E2454" s="2">
        <v>3.117180855E9</v>
      </c>
      <c r="F2454" s="2" t="s">
        <v>10296</v>
      </c>
      <c r="G2454" s="2" t="s">
        <v>368</v>
      </c>
      <c r="H2454" s="2">
        <v>2849.0</v>
      </c>
      <c r="I2454" s="2">
        <v>2.3120050021733E13</v>
      </c>
      <c r="J2454" s="3">
        <v>2.0</v>
      </c>
      <c r="K2454" s="2" t="s">
        <v>10297</v>
      </c>
      <c r="L2454" s="2" t="s">
        <v>4209</v>
      </c>
      <c r="M2454" s="2" t="s">
        <v>409</v>
      </c>
      <c r="N2454" s="2" t="s">
        <v>462</v>
      </c>
      <c r="O2454" s="3">
        <v>0.5</v>
      </c>
      <c r="P2454" s="2" t="s">
        <v>73</v>
      </c>
      <c r="Q2454" s="3">
        <v>920.0</v>
      </c>
      <c r="T2454" s="2" t="s">
        <v>9018</v>
      </c>
      <c r="U2454" s="171">
        <v>2849.0</v>
      </c>
      <c r="V2454" s="172">
        <v>46066.0</v>
      </c>
      <c r="W2454" s="3">
        <v>221.0</v>
      </c>
      <c r="X2454" s="172">
        <v>46063.7716418287</v>
      </c>
      <c r="Y2454" s="172"/>
      <c r="Z2454" s="3">
        <v>46061.0</v>
      </c>
      <c r="AA2454" s="3"/>
    </row>
    <row r="2455">
      <c r="A2455" s="3">
        <v>6.902626615555E12</v>
      </c>
      <c r="B2455" s="2" t="s">
        <v>10298</v>
      </c>
      <c r="C2455" s="2" t="s">
        <v>10299</v>
      </c>
      <c r="D2455" s="169">
        <v>46061.0</v>
      </c>
      <c r="E2455" s="173" t="s">
        <v>10300</v>
      </c>
      <c r="F2455" s="2" t="s">
        <v>10301</v>
      </c>
      <c r="G2455" s="2" t="s">
        <v>366</v>
      </c>
      <c r="H2455" s="2">
        <v>0.0</v>
      </c>
      <c r="J2455" s="3">
        <v>0.0</v>
      </c>
      <c r="K2455" s="2" t="s">
        <v>7809</v>
      </c>
      <c r="L2455" s="2"/>
      <c r="M2455" s="2" t="s">
        <v>468</v>
      </c>
      <c r="N2455" s="2" t="s">
        <v>406</v>
      </c>
      <c r="O2455" s="3">
        <v>0.5</v>
      </c>
      <c r="Q2455" s="3">
        <v>0.0</v>
      </c>
      <c r="U2455" s="141"/>
      <c r="X2455" s="172">
        <v>46062.24096282407</v>
      </c>
      <c r="Y2455" s="172"/>
      <c r="Z2455" s="3">
        <v>46061.0</v>
      </c>
      <c r="AA2455" s="3"/>
    </row>
    <row r="2456">
      <c r="A2456" s="3">
        <v>6.902648209667E12</v>
      </c>
      <c r="B2456" s="2" t="s">
        <v>10302</v>
      </c>
      <c r="C2456" s="2" t="s">
        <v>10303</v>
      </c>
      <c r="D2456" s="169">
        <v>46061.0</v>
      </c>
      <c r="E2456" s="2">
        <v>3.156026438E9</v>
      </c>
      <c r="F2456" s="2" t="s">
        <v>10304</v>
      </c>
      <c r="G2456" s="2" t="s">
        <v>506</v>
      </c>
      <c r="H2456" s="2">
        <v>0.0</v>
      </c>
      <c r="J2456" s="3">
        <v>0.0</v>
      </c>
      <c r="K2456" s="2" t="s">
        <v>7954</v>
      </c>
      <c r="L2456" s="2"/>
      <c r="M2456" s="2" t="s">
        <v>468</v>
      </c>
      <c r="N2456" s="2" t="s">
        <v>406</v>
      </c>
      <c r="O2456" s="3">
        <v>0.5</v>
      </c>
      <c r="Q2456" s="3">
        <v>0.0</v>
      </c>
      <c r="U2456" s="141"/>
      <c r="X2456" s="172">
        <v>46062.24096282407</v>
      </c>
      <c r="Y2456" s="172"/>
      <c r="Z2456" s="3">
        <v>46061.0</v>
      </c>
      <c r="AA2456" s="3"/>
    </row>
    <row r="2457">
      <c r="A2457" s="3">
        <v>6.902654730499E12</v>
      </c>
      <c r="B2457" s="2" t="s">
        <v>10305</v>
      </c>
      <c r="C2457" s="2" t="s">
        <v>10303</v>
      </c>
      <c r="D2457" s="169">
        <v>46061.0</v>
      </c>
      <c r="E2457" s="2">
        <v>3.156026438E9</v>
      </c>
      <c r="F2457" s="2" t="s">
        <v>10306</v>
      </c>
      <c r="G2457" s="2" t="s">
        <v>506</v>
      </c>
      <c r="H2457" s="2">
        <v>3099.0</v>
      </c>
      <c r="I2457" s="2">
        <v>2.4120050021773E13</v>
      </c>
      <c r="J2457" s="3">
        <v>2.0</v>
      </c>
      <c r="K2457" s="2" t="s">
        <v>10307</v>
      </c>
      <c r="L2457" s="2" t="s">
        <v>1129</v>
      </c>
      <c r="M2457" s="2" t="s">
        <v>409</v>
      </c>
      <c r="N2457" s="2" t="s">
        <v>406</v>
      </c>
      <c r="O2457" s="3">
        <v>0.5</v>
      </c>
      <c r="P2457" s="2" t="s">
        <v>73</v>
      </c>
      <c r="Q2457" s="3">
        <v>960.0</v>
      </c>
      <c r="T2457" s="2" t="s">
        <v>9018</v>
      </c>
      <c r="U2457" s="171">
        <v>3099.0</v>
      </c>
      <c r="V2457" s="172">
        <v>46066.0</v>
      </c>
      <c r="W2457" s="3">
        <v>386.0</v>
      </c>
      <c r="X2457" s="172">
        <v>46064.52135733796</v>
      </c>
      <c r="Y2457" s="172"/>
      <c r="Z2457" s="3">
        <v>46061.0</v>
      </c>
      <c r="AA2457" s="3"/>
    </row>
    <row r="2458">
      <c r="A2458" s="3">
        <v>6.902715908355E12</v>
      </c>
      <c r="B2458" s="2" t="s">
        <v>10308</v>
      </c>
      <c r="C2458" s="2" t="s">
        <v>10309</v>
      </c>
      <c r="D2458" s="169">
        <v>46061.0</v>
      </c>
      <c r="E2458" s="2">
        <v>3.018292595E9</v>
      </c>
      <c r="F2458" s="2" t="s">
        <v>10310</v>
      </c>
      <c r="G2458" s="2" t="s">
        <v>493</v>
      </c>
      <c r="H2458" s="2">
        <v>4998.0</v>
      </c>
      <c r="I2458" s="2">
        <v>2.0120050021732E13</v>
      </c>
      <c r="J2458" s="3">
        <v>3.0</v>
      </c>
      <c r="K2458" s="2" t="s">
        <v>10311</v>
      </c>
      <c r="L2458" s="2" t="s">
        <v>10312</v>
      </c>
      <c r="M2458" s="2" t="s">
        <v>409</v>
      </c>
      <c r="N2458" s="2" t="s">
        <v>462</v>
      </c>
      <c r="O2458" s="3">
        <v>0.5</v>
      </c>
      <c r="P2458" s="2" t="s">
        <v>73</v>
      </c>
      <c r="Q2458" s="3">
        <v>1650.0</v>
      </c>
      <c r="T2458" s="2" t="s">
        <v>9018</v>
      </c>
      <c r="U2458" s="171">
        <v>4998.0</v>
      </c>
      <c r="V2458" s="172">
        <v>46066.0</v>
      </c>
      <c r="W2458" s="3">
        <v>520.0</v>
      </c>
      <c r="X2458" s="172">
        <v>46064.521362060186</v>
      </c>
      <c r="Y2458" s="172"/>
      <c r="Z2458" s="3">
        <v>46061.0</v>
      </c>
      <c r="AA2458" s="3"/>
    </row>
    <row r="2459">
      <c r="A2459" s="3">
        <v>6.902765814019E12</v>
      </c>
      <c r="B2459" s="2" t="s">
        <v>10313</v>
      </c>
      <c r="C2459" s="2" t="s">
        <v>10314</v>
      </c>
      <c r="D2459" s="169">
        <v>46061.0</v>
      </c>
      <c r="E2459" s="173" t="s">
        <v>10315</v>
      </c>
      <c r="F2459" s="2" t="s">
        <v>10316</v>
      </c>
      <c r="G2459" s="2" t="s">
        <v>10317</v>
      </c>
      <c r="H2459" s="2">
        <v>0.0</v>
      </c>
      <c r="J2459" s="3">
        <v>0.0</v>
      </c>
      <c r="K2459" s="2" t="s">
        <v>10318</v>
      </c>
      <c r="L2459" s="2"/>
      <c r="M2459" s="2" t="s">
        <v>468</v>
      </c>
      <c r="N2459" s="2" t="s">
        <v>406</v>
      </c>
      <c r="O2459" s="3">
        <v>0.5</v>
      </c>
      <c r="Q2459" s="3">
        <v>0.0</v>
      </c>
      <c r="U2459" s="141"/>
      <c r="X2459" s="172">
        <v>46062.24096282407</v>
      </c>
      <c r="Y2459" s="172"/>
      <c r="Z2459" s="3">
        <v>46061.0</v>
      </c>
      <c r="AA2459" s="3"/>
    </row>
    <row r="2460">
      <c r="A2460" s="3">
        <v>6.902930014467E12</v>
      </c>
      <c r="B2460" s="2" t="s">
        <v>10319</v>
      </c>
      <c r="C2460" s="2" t="s">
        <v>10320</v>
      </c>
      <c r="D2460" s="169">
        <v>46061.0</v>
      </c>
      <c r="E2460" s="2">
        <v>3.213887677E9</v>
      </c>
      <c r="F2460" s="2" t="s">
        <v>10321</v>
      </c>
      <c r="G2460" s="2" t="s">
        <v>368</v>
      </c>
      <c r="H2460" s="2">
        <v>2849.0</v>
      </c>
      <c r="I2460" s="2">
        <v>2.7120050021719E13</v>
      </c>
      <c r="J2460" s="3">
        <v>2.0</v>
      </c>
      <c r="K2460" s="2" t="s">
        <v>10322</v>
      </c>
      <c r="L2460" s="2" t="s">
        <v>2324</v>
      </c>
      <c r="M2460" s="2" t="s">
        <v>409</v>
      </c>
      <c r="N2460" s="2" t="s">
        <v>462</v>
      </c>
      <c r="O2460" s="3">
        <v>0.5</v>
      </c>
      <c r="P2460" s="2" t="s">
        <v>73</v>
      </c>
      <c r="Q2460" s="3">
        <v>920.0</v>
      </c>
      <c r="T2460" s="2" t="s">
        <v>9018</v>
      </c>
      <c r="U2460" s="171">
        <v>2849.0</v>
      </c>
      <c r="V2460" s="172">
        <v>46066.0</v>
      </c>
      <c r="W2460" s="3">
        <v>221.0</v>
      </c>
      <c r="X2460" s="172">
        <v>46063.771664733795</v>
      </c>
      <c r="Y2460" s="172"/>
      <c r="Z2460" s="3">
        <v>46061.0</v>
      </c>
      <c r="AA2460" s="3"/>
    </row>
    <row r="2461">
      <c r="A2461" s="3">
        <v>6.902933061891E12</v>
      </c>
      <c r="B2461" s="2" t="s">
        <v>10323</v>
      </c>
      <c r="C2461" s="2" t="s">
        <v>10320</v>
      </c>
      <c r="D2461" s="169">
        <v>46061.0</v>
      </c>
      <c r="E2461" s="2">
        <v>3.213887677E9</v>
      </c>
      <c r="F2461" s="2" t="s">
        <v>10324</v>
      </c>
      <c r="G2461" s="2" t="s">
        <v>368</v>
      </c>
      <c r="H2461" s="2">
        <v>0.0</v>
      </c>
      <c r="J2461" s="3">
        <v>0.0</v>
      </c>
      <c r="K2461" s="2" t="s">
        <v>8446</v>
      </c>
      <c r="L2461" s="2"/>
      <c r="M2461" s="2" t="s">
        <v>468</v>
      </c>
      <c r="N2461" s="2" t="s">
        <v>406</v>
      </c>
      <c r="O2461" s="3">
        <v>0.5</v>
      </c>
      <c r="Q2461" s="3">
        <v>0.0</v>
      </c>
      <c r="U2461" s="141"/>
      <c r="X2461" s="172">
        <v>46062.24096282407</v>
      </c>
      <c r="Y2461" s="172"/>
      <c r="Z2461" s="3">
        <v>46061.0</v>
      </c>
      <c r="AA2461" s="3"/>
    </row>
    <row r="2462">
      <c r="A2462" s="3">
        <v>6.902970777859E12</v>
      </c>
      <c r="B2462" s="2" t="s">
        <v>10325</v>
      </c>
      <c r="C2462" s="2" t="s">
        <v>10326</v>
      </c>
      <c r="D2462" s="169">
        <v>46061.0</v>
      </c>
      <c r="E2462" s="2">
        <v>3.214141441E9</v>
      </c>
      <c r="F2462" s="2" t="s">
        <v>9934</v>
      </c>
      <c r="G2462" s="2" t="s">
        <v>4900</v>
      </c>
      <c r="H2462" s="2">
        <v>5299.0</v>
      </c>
      <c r="I2462" s="2">
        <v>2.3120050021772E13</v>
      </c>
      <c r="J2462" s="3">
        <v>3.0</v>
      </c>
      <c r="K2462" s="2" t="s">
        <v>10327</v>
      </c>
      <c r="L2462" s="2" t="s">
        <v>10328</v>
      </c>
      <c r="M2462" s="2" t="s">
        <v>409</v>
      </c>
      <c r="N2462" s="2" t="s">
        <v>462</v>
      </c>
      <c r="O2462" s="3">
        <v>0.5</v>
      </c>
      <c r="P2462" s="2" t="s">
        <v>73</v>
      </c>
      <c r="Q2462" s="3">
        <v>1510.0</v>
      </c>
      <c r="T2462" s="2" t="s">
        <v>9018</v>
      </c>
      <c r="U2462" s="171">
        <v>5299.0</v>
      </c>
      <c r="V2462" s="172">
        <v>46066.0</v>
      </c>
      <c r="W2462" s="3">
        <v>432.0</v>
      </c>
      <c r="X2462" s="172">
        <v>46064.73084413195</v>
      </c>
      <c r="Y2462" s="172"/>
      <c r="Z2462" s="3">
        <v>46061.0</v>
      </c>
      <c r="AA2462" s="3"/>
    </row>
    <row r="2463">
      <c r="A2463" s="3">
        <v>6.902988865795E12</v>
      </c>
      <c r="B2463" s="2" t="s">
        <v>10329</v>
      </c>
      <c r="C2463" s="2" t="s">
        <v>10330</v>
      </c>
      <c r="D2463" s="169">
        <v>46061.0</v>
      </c>
      <c r="E2463" s="2">
        <v>3.155522518E9</v>
      </c>
      <c r="F2463" s="2" t="s">
        <v>10331</v>
      </c>
      <c r="G2463" s="2" t="s">
        <v>1847</v>
      </c>
      <c r="H2463" s="2">
        <v>3099.0</v>
      </c>
      <c r="I2463" s="2">
        <v>2.3120050021731E13</v>
      </c>
      <c r="J2463" s="3">
        <v>2.0</v>
      </c>
      <c r="K2463" s="2" t="s">
        <v>10332</v>
      </c>
      <c r="L2463" s="2" t="s">
        <v>50</v>
      </c>
      <c r="M2463" s="2" t="s">
        <v>409</v>
      </c>
      <c r="N2463" s="2" t="s">
        <v>462</v>
      </c>
      <c r="O2463" s="3">
        <v>0.5</v>
      </c>
      <c r="P2463" s="2" t="s">
        <v>73</v>
      </c>
      <c r="Q2463" s="3">
        <v>920.0</v>
      </c>
      <c r="T2463" s="2" t="s">
        <v>9018</v>
      </c>
      <c r="U2463" s="171">
        <v>3099.0</v>
      </c>
      <c r="V2463" s="172">
        <v>46066.0</v>
      </c>
      <c r="W2463" s="3">
        <v>344.0</v>
      </c>
      <c r="X2463" s="172">
        <v>46064.77227134259</v>
      </c>
      <c r="Y2463" s="172"/>
      <c r="Z2463" s="3">
        <v>46061.0</v>
      </c>
      <c r="AA2463" s="3"/>
    </row>
    <row r="2464">
      <c r="A2464" s="3">
        <v>6.903058170115E12</v>
      </c>
      <c r="B2464" s="2" t="s">
        <v>10333</v>
      </c>
      <c r="C2464" s="2" t="s">
        <v>10334</v>
      </c>
      <c r="D2464" s="169">
        <v>46061.0</v>
      </c>
      <c r="E2464" s="2">
        <v>3.22565E9</v>
      </c>
      <c r="F2464" s="2" t="s">
        <v>10335</v>
      </c>
      <c r="G2464" s="2" t="s">
        <v>366</v>
      </c>
      <c r="H2464" s="2">
        <v>2849.0</v>
      </c>
      <c r="I2464" s="2">
        <v>2.812005002173E13</v>
      </c>
      <c r="J2464" s="3">
        <v>2.0</v>
      </c>
      <c r="K2464" s="2" t="s">
        <v>10336</v>
      </c>
      <c r="L2464" s="2" t="s">
        <v>1920</v>
      </c>
      <c r="M2464" s="2" t="s">
        <v>409</v>
      </c>
      <c r="N2464" s="2" t="s">
        <v>462</v>
      </c>
      <c r="O2464" s="3">
        <v>0.5</v>
      </c>
      <c r="P2464" s="2" t="s">
        <v>73</v>
      </c>
      <c r="Q2464" s="3">
        <v>1050.0</v>
      </c>
      <c r="T2464" s="2" t="s">
        <v>8519</v>
      </c>
      <c r="U2464" s="171">
        <v>2849.0</v>
      </c>
      <c r="V2464" s="172">
        <v>46070.0</v>
      </c>
      <c r="W2464" s="3">
        <v>314.0</v>
      </c>
      <c r="X2464" s="172">
        <v>46067.58460828704</v>
      </c>
      <c r="Y2464" s="172"/>
      <c r="Z2464" s="3">
        <v>46061.0</v>
      </c>
      <c r="AA2464" s="3"/>
    </row>
    <row r="2465">
      <c r="A2465" s="3">
        <v>6.903164961027E12</v>
      </c>
      <c r="B2465" s="2" t="s">
        <v>10337</v>
      </c>
      <c r="C2465" s="2" t="s">
        <v>10338</v>
      </c>
      <c r="D2465" s="169">
        <v>46062.0</v>
      </c>
      <c r="E2465" s="2">
        <v>3.333701463E9</v>
      </c>
      <c r="F2465" s="2" t="s">
        <v>10339</v>
      </c>
      <c r="G2465" s="2" t="s">
        <v>493</v>
      </c>
      <c r="H2465" s="2">
        <v>4599.0</v>
      </c>
      <c r="I2465" s="2">
        <v>2.3120050021729E13</v>
      </c>
      <c r="J2465" s="3">
        <v>3.0</v>
      </c>
      <c r="K2465" s="2" t="s">
        <v>10340</v>
      </c>
      <c r="L2465" s="2" t="s">
        <v>10341</v>
      </c>
      <c r="M2465" s="2" t="s">
        <v>409</v>
      </c>
      <c r="N2465" s="2" t="s">
        <v>462</v>
      </c>
      <c r="O2465" s="3">
        <v>0.5</v>
      </c>
      <c r="P2465" s="2" t="s">
        <v>73</v>
      </c>
      <c r="Q2465" s="3">
        <v>1650.0</v>
      </c>
      <c r="T2465" s="2" t="s">
        <v>9018</v>
      </c>
      <c r="U2465" s="171">
        <v>4599.0</v>
      </c>
      <c r="V2465" s="172">
        <v>46066.0</v>
      </c>
      <c r="W2465" s="3">
        <v>411.0</v>
      </c>
      <c r="X2465" s="172">
        <v>46065.647276296295</v>
      </c>
      <c r="Y2465" s="172"/>
      <c r="Z2465" s="3">
        <v>46062.0</v>
      </c>
      <c r="AA2465" s="3"/>
    </row>
    <row r="2466">
      <c r="A2466" s="3">
        <v>6.903181836547E12</v>
      </c>
      <c r="B2466" s="2" t="s">
        <v>10342</v>
      </c>
      <c r="C2466" s="2" t="s">
        <v>3513</v>
      </c>
      <c r="D2466" s="169">
        <v>46062.0</v>
      </c>
      <c r="E2466" s="2">
        <v>3.434622854E9</v>
      </c>
      <c r="F2466" s="2" t="s">
        <v>10343</v>
      </c>
      <c r="G2466" s="2" t="s">
        <v>374</v>
      </c>
      <c r="H2466" s="2">
        <v>3099.0</v>
      </c>
      <c r="I2466" s="2">
        <v>2.0120050021728E13</v>
      </c>
      <c r="J2466" s="3">
        <v>2.0</v>
      </c>
      <c r="K2466" s="2" t="s">
        <v>10344</v>
      </c>
      <c r="L2466" s="2" t="s">
        <v>27</v>
      </c>
      <c r="M2466" s="2" t="s">
        <v>409</v>
      </c>
      <c r="N2466" s="2" t="s">
        <v>462</v>
      </c>
      <c r="O2466" s="3">
        <v>0.5</v>
      </c>
      <c r="P2466" s="2" t="s">
        <v>73</v>
      </c>
      <c r="Q2466" s="3">
        <v>920.0</v>
      </c>
      <c r="T2466" s="2" t="s">
        <v>9018</v>
      </c>
      <c r="U2466" s="171">
        <v>3099.0</v>
      </c>
      <c r="V2466" s="172">
        <v>46066.0</v>
      </c>
      <c r="W2466" s="3">
        <v>344.0</v>
      </c>
      <c r="X2466" s="172">
        <v>46063.771692442126</v>
      </c>
      <c r="Y2466" s="172"/>
      <c r="Z2466" s="3">
        <v>46062.0</v>
      </c>
      <c r="AA2466" s="3"/>
    </row>
    <row r="2467">
      <c r="A2467" s="3">
        <v>6.903210574083E12</v>
      </c>
      <c r="B2467" s="2" t="s">
        <v>10345</v>
      </c>
      <c r="C2467" s="2" t="s">
        <v>7649</v>
      </c>
      <c r="D2467" s="169">
        <v>46062.0</v>
      </c>
      <c r="E2467" s="2">
        <v>3.216111136E9</v>
      </c>
      <c r="F2467" s="2" t="s">
        <v>10346</v>
      </c>
      <c r="G2467" s="2" t="s">
        <v>688</v>
      </c>
      <c r="H2467" s="2">
        <v>1999.0</v>
      </c>
      <c r="I2467" s="2">
        <v>2.212005002182E13</v>
      </c>
      <c r="J2467" s="3">
        <v>1.0</v>
      </c>
      <c r="K2467" s="2" t="s">
        <v>10347</v>
      </c>
      <c r="L2467" s="2" t="s">
        <v>1576</v>
      </c>
      <c r="M2467" s="2" t="s">
        <v>409</v>
      </c>
      <c r="N2467" s="2" t="s">
        <v>462</v>
      </c>
      <c r="O2467" s="3">
        <v>0.5</v>
      </c>
      <c r="P2467" s="2" t="s">
        <v>73</v>
      </c>
      <c r="Q2467" s="3">
        <v>1095.0</v>
      </c>
      <c r="T2467" s="2" t="s">
        <v>9018</v>
      </c>
      <c r="U2467" s="171">
        <v>1999.0</v>
      </c>
      <c r="V2467" s="172">
        <v>46066.0</v>
      </c>
      <c r="W2467" s="3">
        <v>280.0</v>
      </c>
      <c r="X2467" s="172">
        <v>46065.52226149305</v>
      </c>
      <c r="Y2467" s="172"/>
      <c r="Z2467" s="3">
        <v>46062.0</v>
      </c>
      <c r="AA2467" s="3"/>
    </row>
    <row r="2468">
      <c r="A2468" s="3">
        <v>6.903575806211E12</v>
      </c>
      <c r="B2468" s="2" t="s">
        <v>10348</v>
      </c>
      <c r="C2468" s="2" t="s">
        <v>10349</v>
      </c>
      <c r="D2468" s="169">
        <v>46062.0</v>
      </c>
      <c r="E2468" s="2">
        <v>3.139823302E9</v>
      </c>
      <c r="F2468" s="2" t="s">
        <v>10350</v>
      </c>
      <c r="G2468" s="2" t="s">
        <v>781</v>
      </c>
      <c r="H2468" s="2">
        <v>0.0</v>
      </c>
      <c r="J2468" s="3">
        <v>0.0</v>
      </c>
      <c r="K2468" s="2" t="s">
        <v>10351</v>
      </c>
      <c r="L2468" s="2"/>
      <c r="M2468" s="2" t="s">
        <v>468</v>
      </c>
      <c r="N2468" s="2" t="s">
        <v>406</v>
      </c>
      <c r="O2468" s="3">
        <v>0.5</v>
      </c>
      <c r="Q2468" s="3">
        <v>0.0</v>
      </c>
      <c r="U2468" s="141"/>
      <c r="X2468" s="172">
        <v>46063.240951562504</v>
      </c>
      <c r="Y2468" s="172"/>
      <c r="Z2468" s="3">
        <v>46062.0</v>
      </c>
      <c r="AA2468" s="3"/>
    </row>
    <row r="2469">
      <c r="A2469" s="3">
        <v>6.903737024771E12</v>
      </c>
      <c r="B2469" s="2" t="s">
        <v>10352</v>
      </c>
      <c r="C2469" s="2" t="s">
        <v>10353</v>
      </c>
      <c r="D2469" s="169">
        <v>46062.0</v>
      </c>
      <c r="E2469" s="2">
        <v>3.436064425E9</v>
      </c>
      <c r="F2469" s="2" t="s">
        <v>10354</v>
      </c>
      <c r="G2469" s="2" t="s">
        <v>993</v>
      </c>
      <c r="H2469" s="2">
        <v>5450.0</v>
      </c>
      <c r="I2469" s="2">
        <v>2.0120050021771E13</v>
      </c>
      <c r="J2469" s="3">
        <v>4.0</v>
      </c>
      <c r="K2469" s="2" t="s">
        <v>10355</v>
      </c>
      <c r="L2469" s="2" t="s">
        <v>10356</v>
      </c>
      <c r="M2469" s="2" t="s">
        <v>409</v>
      </c>
      <c r="N2469" s="2" t="s">
        <v>462</v>
      </c>
      <c r="O2469" s="3">
        <v>0.5</v>
      </c>
      <c r="P2469" s="2" t="s">
        <v>73</v>
      </c>
      <c r="Q2469" s="3">
        <v>1840.0</v>
      </c>
      <c r="T2469" s="2" t="s">
        <v>9018</v>
      </c>
      <c r="U2469" s="171">
        <v>5450.0</v>
      </c>
      <c r="V2469" s="172">
        <v>46066.0</v>
      </c>
      <c r="W2469" s="3">
        <v>438.0</v>
      </c>
      <c r="X2469" s="172">
        <v>46064.730868391205</v>
      </c>
      <c r="Y2469" s="172"/>
      <c r="Z2469" s="3">
        <v>46062.0</v>
      </c>
      <c r="AA2469" s="3"/>
    </row>
    <row r="2470">
      <c r="A2470" s="3">
        <v>6.903750623491E12</v>
      </c>
      <c r="B2470" s="2" t="s">
        <v>10357</v>
      </c>
      <c r="C2470" s="2" t="s">
        <v>25</v>
      </c>
      <c r="D2470" s="169">
        <v>46062.0</v>
      </c>
      <c r="E2470" s="2">
        <v>3.245751049E9</v>
      </c>
      <c r="F2470" s="2" t="s">
        <v>26</v>
      </c>
      <c r="G2470" s="2" t="s">
        <v>506</v>
      </c>
      <c r="H2470" s="2">
        <v>249.0</v>
      </c>
      <c r="I2470" s="2">
        <v>2.7120050021727E13</v>
      </c>
      <c r="J2470" s="3">
        <v>0.0</v>
      </c>
      <c r="K2470" s="2" t="s">
        <v>10358</v>
      </c>
      <c r="L2470" s="2"/>
      <c r="M2470" s="170" t="s">
        <v>455</v>
      </c>
      <c r="N2470" s="2" t="s">
        <v>406</v>
      </c>
      <c r="O2470" s="3">
        <v>0.5</v>
      </c>
      <c r="P2470" s="2" t="s">
        <v>73</v>
      </c>
      <c r="Q2470" s="3">
        <v>0.0</v>
      </c>
      <c r="U2470" s="141"/>
      <c r="W2470" s="3">
        <v>200.0</v>
      </c>
      <c r="X2470" s="172">
        <v>46074.7076546875</v>
      </c>
      <c r="Y2470" s="172"/>
      <c r="Z2470" s="3">
        <v>46062.0</v>
      </c>
      <c r="AA2470" s="3"/>
    </row>
    <row r="2471">
      <c r="A2471" s="3">
        <v>6.903790043395E12</v>
      </c>
      <c r="B2471" s="2" t="s">
        <v>10359</v>
      </c>
      <c r="C2471" s="2" t="s">
        <v>1876</v>
      </c>
      <c r="D2471" s="169">
        <v>46062.0</v>
      </c>
      <c r="E2471" s="173" t="s">
        <v>10360</v>
      </c>
      <c r="F2471" s="2" t="s">
        <v>10361</v>
      </c>
      <c r="G2471" s="2" t="s">
        <v>2675</v>
      </c>
      <c r="H2471" s="2">
        <v>249.0</v>
      </c>
      <c r="I2471" s="2">
        <v>2.4120050021756E13</v>
      </c>
      <c r="J2471" s="3">
        <v>0.0</v>
      </c>
      <c r="K2471" s="2" t="s">
        <v>10362</v>
      </c>
      <c r="L2471" s="2"/>
      <c r="M2471" s="170" t="s">
        <v>455</v>
      </c>
      <c r="N2471" s="2" t="s">
        <v>406</v>
      </c>
      <c r="O2471" s="3">
        <v>0.5</v>
      </c>
      <c r="P2471" s="2" t="s">
        <v>73</v>
      </c>
      <c r="Q2471" s="3">
        <v>0.0</v>
      </c>
      <c r="U2471" s="141"/>
      <c r="W2471" s="3">
        <v>200.0</v>
      </c>
      <c r="X2471" s="172">
        <v>46070.91666956019</v>
      </c>
      <c r="Y2471" s="172"/>
      <c r="Z2471" s="3">
        <v>46062.0</v>
      </c>
      <c r="AA2471" s="3"/>
    </row>
    <row r="2472">
      <c r="A2472" s="3">
        <v>6.903811637507E12</v>
      </c>
      <c r="B2472" s="2" t="s">
        <v>10363</v>
      </c>
      <c r="C2472" s="2" t="s">
        <v>10364</v>
      </c>
      <c r="D2472" s="169">
        <v>46062.0</v>
      </c>
      <c r="E2472" s="173" t="s">
        <v>10365</v>
      </c>
      <c r="F2472" s="2" t="s">
        <v>10366</v>
      </c>
      <c r="G2472" s="2" t="s">
        <v>10367</v>
      </c>
      <c r="H2472" s="2">
        <v>1700.0</v>
      </c>
      <c r="I2472" s="2">
        <v>2.6120050021718E13</v>
      </c>
      <c r="J2472" s="3">
        <v>1.0</v>
      </c>
      <c r="K2472" s="2" t="s">
        <v>10368</v>
      </c>
      <c r="L2472" s="2" t="s">
        <v>9249</v>
      </c>
      <c r="M2472" s="2" t="s">
        <v>409</v>
      </c>
      <c r="N2472" s="2" t="s">
        <v>462</v>
      </c>
      <c r="O2472" s="3">
        <v>0.5</v>
      </c>
      <c r="P2472" s="2" t="s">
        <v>73</v>
      </c>
      <c r="Q2472" s="3">
        <v>550.0</v>
      </c>
      <c r="T2472" s="2" t="s">
        <v>9018</v>
      </c>
      <c r="U2472" s="171">
        <v>1700.0</v>
      </c>
      <c r="V2472" s="172">
        <v>46066.0</v>
      </c>
      <c r="W2472" s="3">
        <v>268.0</v>
      </c>
      <c r="X2472" s="172">
        <v>46064.73088282408</v>
      </c>
      <c r="Y2472" s="172"/>
      <c r="Z2472" s="3">
        <v>46062.0</v>
      </c>
      <c r="AA2472" s="3"/>
    </row>
    <row r="2473">
      <c r="A2473" s="3">
        <v>6.903815536899E12</v>
      </c>
      <c r="B2473" s="2" t="s">
        <v>10369</v>
      </c>
      <c r="C2473" s="2" t="s">
        <v>10370</v>
      </c>
      <c r="D2473" s="169">
        <v>46062.0</v>
      </c>
      <c r="E2473" s="2">
        <v>3.40210136E9</v>
      </c>
      <c r="F2473" s="2" t="s">
        <v>10371</v>
      </c>
      <c r="G2473" s="2" t="s">
        <v>493</v>
      </c>
      <c r="H2473" s="2">
        <v>2899.0</v>
      </c>
      <c r="I2473" s="2">
        <v>2.2120050021726E13</v>
      </c>
      <c r="J2473" s="3">
        <v>2.0</v>
      </c>
      <c r="K2473" s="2" t="s">
        <v>10372</v>
      </c>
      <c r="L2473" s="2" t="s">
        <v>10373</v>
      </c>
      <c r="M2473" s="2" t="s">
        <v>409</v>
      </c>
      <c r="N2473" s="2" t="s">
        <v>462</v>
      </c>
      <c r="O2473" s="3">
        <v>0.5</v>
      </c>
      <c r="P2473" s="2" t="s">
        <v>73</v>
      </c>
      <c r="Q2473" s="3">
        <v>1100.0</v>
      </c>
      <c r="T2473" s="2" t="s">
        <v>9018</v>
      </c>
      <c r="U2473" s="171">
        <v>2899.0</v>
      </c>
      <c r="V2473" s="172">
        <v>46066.0</v>
      </c>
      <c r="W2473" s="3">
        <v>329.0</v>
      </c>
      <c r="X2473" s="172">
        <v>46064.521407418986</v>
      </c>
      <c r="Y2473" s="172"/>
      <c r="Z2473" s="3">
        <v>46062.0</v>
      </c>
      <c r="AA2473" s="3"/>
    </row>
    <row r="2474">
      <c r="A2474" s="3">
        <v>6.903847551235E12</v>
      </c>
      <c r="B2474" s="2" t="s">
        <v>10374</v>
      </c>
      <c r="C2474" s="2" t="s">
        <v>10375</v>
      </c>
      <c r="D2474" s="169">
        <v>46062.0</v>
      </c>
      <c r="E2474" s="2">
        <v>3.120871472E9</v>
      </c>
      <c r="F2474" s="2" t="s">
        <v>10376</v>
      </c>
      <c r="G2474" s="2" t="s">
        <v>5702</v>
      </c>
      <c r="H2474" s="2">
        <v>249.0</v>
      </c>
      <c r="I2474" s="2">
        <v>2.4120050021717E13</v>
      </c>
      <c r="J2474" s="3">
        <v>0.0</v>
      </c>
      <c r="K2474" s="2" t="s">
        <v>10377</v>
      </c>
      <c r="L2474" s="2"/>
      <c r="M2474" s="170" t="s">
        <v>455</v>
      </c>
      <c r="N2474" s="2" t="s">
        <v>406</v>
      </c>
      <c r="O2474" s="3">
        <v>0.5</v>
      </c>
      <c r="P2474" s="2" t="s">
        <v>73</v>
      </c>
      <c r="Q2474" s="3">
        <v>0.0</v>
      </c>
      <c r="U2474" s="141"/>
      <c r="W2474" s="3">
        <v>200.0</v>
      </c>
      <c r="X2474" s="172">
        <v>46070.540963657404</v>
      </c>
      <c r="Y2474" s="172"/>
      <c r="Z2474" s="3">
        <v>46062.0</v>
      </c>
      <c r="AA2474" s="3"/>
    </row>
    <row r="2475">
      <c r="A2475" s="3">
        <v>6.903909548291E12</v>
      </c>
      <c r="B2475" s="2" t="s">
        <v>10378</v>
      </c>
      <c r="C2475" s="2" t="s">
        <v>10379</v>
      </c>
      <c r="D2475" s="169">
        <v>46062.0</v>
      </c>
      <c r="E2475" s="2">
        <v>3.046032875E9</v>
      </c>
      <c r="F2475" s="2" t="s">
        <v>10380</v>
      </c>
      <c r="G2475" s="2" t="s">
        <v>10381</v>
      </c>
      <c r="H2475" s="2">
        <v>2199.0</v>
      </c>
      <c r="I2475" s="2">
        <v>2.6120050021755E13</v>
      </c>
      <c r="J2475" s="3">
        <v>1.0</v>
      </c>
      <c r="K2475" s="2" t="s">
        <v>10382</v>
      </c>
      <c r="L2475" s="2" t="s">
        <v>10383</v>
      </c>
      <c r="M2475" s="2" t="s">
        <v>409</v>
      </c>
      <c r="N2475" s="2" t="s">
        <v>462</v>
      </c>
      <c r="O2475" s="3">
        <v>0.5</v>
      </c>
      <c r="P2475" s="2" t="s">
        <v>73</v>
      </c>
      <c r="Q2475" s="3">
        <v>650.0</v>
      </c>
      <c r="T2475" s="2" t="s">
        <v>9018</v>
      </c>
      <c r="U2475" s="171">
        <v>2199.0</v>
      </c>
      <c r="V2475" s="172">
        <v>46066.0</v>
      </c>
      <c r="W2475" s="3">
        <v>288.0</v>
      </c>
      <c r="X2475" s="172">
        <v>46064.5214153125</v>
      </c>
      <c r="Y2475" s="172"/>
      <c r="Z2475" s="3">
        <v>46062.0</v>
      </c>
      <c r="AA2475" s="3"/>
    </row>
    <row r="2476">
      <c r="A2476" s="3">
        <v>6.903937335555E12</v>
      </c>
      <c r="B2476" s="2" t="s">
        <v>10384</v>
      </c>
      <c r="C2476" s="2" t="s">
        <v>10385</v>
      </c>
      <c r="D2476" s="169">
        <v>46062.0</v>
      </c>
      <c r="E2476" s="173" t="s">
        <v>10386</v>
      </c>
      <c r="F2476" s="2" t="s">
        <v>10387</v>
      </c>
      <c r="G2476" s="2" t="s">
        <v>1847</v>
      </c>
      <c r="H2476" s="2">
        <v>250.0</v>
      </c>
      <c r="I2476" s="2">
        <v>2.0120050021725E13</v>
      </c>
      <c r="J2476" s="3">
        <v>0.0</v>
      </c>
      <c r="K2476" s="2" t="s">
        <v>10388</v>
      </c>
      <c r="L2476" s="2"/>
      <c r="M2476" s="170" t="s">
        <v>455</v>
      </c>
      <c r="N2476" s="2" t="s">
        <v>406</v>
      </c>
      <c r="O2476" s="3">
        <v>0.5</v>
      </c>
      <c r="P2476" s="2" t="s">
        <v>73</v>
      </c>
      <c r="Q2476" s="3">
        <v>0.0</v>
      </c>
      <c r="U2476" s="141"/>
      <c r="W2476" s="3">
        <v>200.0</v>
      </c>
      <c r="X2476" s="172">
        <v>46070.91667021991</v>
      </c>
      <c r="Y2476" s="172"/>
      <c r="Z2476" s="3">
        <v>46062.0</v>
      </c>
      <c r="AA2476" s="3"/>
    </row>
    <row r="2477">
      <c r="A2477" s="3">
        <v>6.903945199875E12</v>
      </c>
      <c r="B2477" s="2" t="s">
        <v>10389</v>
      </c>
      <c r="C2477" s="2" t="s">
        <v>10390</v>
      </c>
      <c r="D2477" s="169">
        <v>46062.0</v>
      </c>
      <c r="E2477" s="173" t="s">
        <v>10391</v>
      </c>
      <c r="F2477" s="2" t="s">
        <v>10392</v>
      </c>
      <c r="G2477" s="2" t="s">
        <v>8328</v>
      </c>
      <c r="H2477" s="2">
        <v>3149.0</v>
      </c>
      <c r="I2477" s="2">
        <v>2.0120050021754E13</v>
      </c>
      <c r="J2477" s="3">
        <v>2.0</v>
      </c>
      <c r="K2477" s="2" t="s">
        <v>10393</v>
      </c>
      <c r="L2477" s="2" t="s">
        <v>10394</v>
      </c>
      <c r="M2477" s="2" t="s">
        <v>409</v>
      </c>
      <c r="N2477" s="2" t="s">
        <v>462</v>
      </c>
      <c r="O2477" s="3">
        <v>0.5</v>
      </c>
      <c r="P2477" s="2" t="s">
        <v>73</v>
      </c>
      <c r="Q2477" s="3">
        <v>1100.0</v>
      </c>
      <c r="T2477" s="2" t="s">
        <v>9018</v>
      </c>
      <c r="U2477" s="171">
        <v>3149.0</v>
      </c>
      <c r="V2477" s="172">
        <v>46066.0</v>
      </c>
      <c r="W2477" s="3">
        <v>346.0</v>
      </c>
      <c r="X2477" s="172">
        <v>46065.605625937504</v>
      </c>
      <c r="Y2477" s="172"/>
      <c r="Z2477" s="3">
        <v>46062.0</v>
      </c>
      <c r="AA2477" s="3"/>
    </row>
    <row r="2478">
      <c r="A2478" s="3">
        <v>6.903946707203E12</v>
      </c>
      <c r="B2478" s="2" t="s">
        <v>10395</v>
      </c>
      <c r="C2478" s="2" t="s">
        <v>10396</v>
      </c>
      <c r="D2478" s="169">
        <v>46062.0</v>
      </c>
      <c r="E2478" s="173" t="s">
        <v>10397</v>
      </c>
      <c r="F2478" s="2" t="s">
        <v>10398</v>
      </c>
      <c r="G2478" s="2" t="s">
        <v>1619</v>
      </c>
      <c r="H2478" s="2">
        <v>2860.0</v>
      </c>
      <c r="I2478" s="2">
        <v>2.5120050021753E13</v>
      </c>
      <c r="J2478" s="3">
        <v>2.0</v>
      </c>
      <c r="K2478" s="2" t="s">
        <v>10399</v>
      </c>
      <c r="L2478" s="2" t="s">
        <v>10400</v>
      </c>
      <c r="M2478" s="2" t="s">
        <v>409</v>
      </c>
      <c r="N2478" s="2" t="s">
        <v>462</v>
      </c>
      <c r="O2478" s="3">
        <v>0.5</v>
      </c>
      <c r="P2478" s="2" t="s">
        <v>73</v>
      </c>
      <c r="Q2478" s="3">
        <v>1100.0</v>
      </c>
      <c r="U2478" s="171">
        <v>2860.0</v>
      </c>
      <c r="X2478" s="172">
        <v>46063.77175114583</v>
      </c>
      <c r="Y2478" s="172"/>
      <c r="Z2478" s="3">
        <v>46062.0</v>
      </c>
      <c r="AA2478" s="3"/>
    </row>
    <row r="2479">
      <c r="A2479" s="3">
        <v>6.903954604291E12</v>
      </c>
      <c r="B2479" s="2" t="s">
        <v>10401</v>
      </c>
      <c r="C2479" s="2" t="s">
        <v>10402</v>
      </c>
      <c r="D2479" s="169">
        <v>46062.0</v>
      </c>
      <c r="E2479" s="173" t="s">
        <v>10403</v>
      </c>
      <c r="F2479" s="2" t="s">
        <v>10404</v>
      </c>
      <c r="G2479" s="2" t="s">
        <v>10405</v>
      </c>
      <c r="H2479" s="2">
        <v>250.0</v>
      </c>
      <c r="I2479" s="2">
        <v>2.1120050021752E13</v>
      </c>
      <c r="J2479" s="3">
        <v>0.0</v>
      </c>
      <c r="K2479" s="2" t="s">
        <v>10406</v>
      </c>
      <c r="L2479" s="2"/>
      <c r="M2479" s="170" t="s">
        <v>455</v>
      </c>
      <c r="N2479" s="2" t="s">
        <v>406</v>
      </c>
      <c r="O2479" s="3">
        <v>0.5</v>
      </c>
      <c r="P2479" s="2" t="s">
        <v>73</v>
      </c>
      <c r="Q2479" s="3">
        <v>0.0</v>
      </c>
      <c r="U2479" s="141"/>
      <c r="W2479" s="3">
        <v>213.0</v>
      </c>
      <c r="X2479" s="172">
        <v>46070.916670949075</v>
      </c>
      <c r="Y2479" s="172"/>
      <c r="Z2479" s="3">
        <v>46062.0</v>
      </c>
      <c r="AA2479" s="3"/>
    </row>
    <row r="2480">
      <c r="A2480" s="3">
        <v>6.903982850307E12</v>
      </c>
      <c r="B2480" s="2" t="s">
        <v>10407</v>
      </c>
      <c r="C2480" s="2" t="s">
        <v>10408</v>
      </c>
      <c r="D2480" s="169">
        <v>46062.0</v>
      </c>
      <c r="E2480" s="173" t="s">
        <v>10409</v>
      </c>
      <c r="F2480" s="2" t="s">
        <v>10410</v>
      </c>
      <c r="G2480" s="2" t="s">
        <v>1619</v>
      </c>
      <c r="H2480" s="2">
        <v>0.0</v>
      </c>
      <c r="J2480" s="3">
        <v>0.0</v>
      </c>
      <c r="K2480" s="2" t="s">
        <v>10411</v>
      </c>
      <c r="L2480" s="2"/>
      <c r="M2480" s="2" t="s">
        <v>468</v>
      </c>
      <c r="N2480" s="2" t="s">
        <v>406</v>
      </c>
      <c r="O2480" s="3">
        <v>0.5</v>
      </c>
      <c r="Q2480" s="3">
        <v>0.0</v>
      </c>
      <c r="U2480" s="141"/>
      <c r="X2480" s="172">
        <v>46063.240951562504</v>
      </c>
      <c r="Y2480" s="172"/>
      <c r="Z2480" s="3">
        <v>46062.0</v>
      </c>
      <c r="AA2480" s="3"/>
    </row>
    <row r="2481">
      <c r="A2481" s="3">
        <v>6.904058511619E12</v>
      </c>
      <c r="B2481" s="2" t="s">
        <v>10412</v>
      </c>
      <c r="C2481" s="2" t="s">
        <v>10413</v>
      </c>
      <c r="D2481" s="169">
        <v>46062.0</v>
      </c>
      <c r="E2481" s="2">
        <v>9.23459747554E11</v>
      </c>
      <c r="F2481" s="2" t="s">
        <v>10414</v>
      </c>
      <c r="G2481" s="2" t="s">
        <v>366</v>
      </c>
      <c r="H2481" s="2">
        <v>2749.0</v>
      </c>
      <c r="I2481" s="2">
        <v>2.3120050021786E13</v>
      </c>
      <c r="J2481" s="3">
        <v>2.0</v>
      </c>
      <c r="K2481" s="2" t="s">
        <v>10415</v>
      </c>
      <c r="L2481" s="2" t="s">
        <v>926</v>
      </c>
      <c r="M2481" s="2" t="s">
        <v>409</v>
      </c>
      <c r="N2481" s="2" t="s">
        <v>462</v>
      </c>
      <c r="O2481" s="3">
        <v>0.5</v>
      </c>
      <c r="P2481" s="2" t="s">
        <v>73</v>
      </c>
      <c r="Q2481" s="3">
        <v>980.0</v>
      </c>
      <c r="T2481" s="2" t="s">
        <v>9018</v>
      </c>
      <c r="U2481" s="171">
        <v>2749.0</v>
      </c>
      <c r="V2481" s="172">
        <v>46066.0</v>
      </c>
      <c r="W2481" s="3">
        <v>330.0</v>
      </c>
      <c r="X2481" s="172">
        <v>46064.521432615744</v>
      </c>
      <c r="Y2481" s="172"/>
      <c r="Z2481" s="3">
        <v>46062.0</v>
      </c>
      <c r="AA2481" s="3"/>
    </row>
    <row r="2482">
      <c r="A2482" s="3">
        <v>6.904073289987E12</v>
      </c>
      <c r="B2482" s="2" t="s">
        <v>10416</v>
      </c>
      <c r="C2482" s="2" t="s">
        <v>10417</v>
      </c>
      <c r="D2482" s="169">
        <v>46062.0</v>
      </c>
      <c r="E2482" s="2">
        <v>3.47904955E9</v>
      </c>
      <c r="F2482" s="2" t="s">
        <v>10418</v>
      </c>
      <c r="G2482" s="2" t="s">
        <v>781</v>
      </c>
      <c r="H2482" s="2">
        <v>1999.0</v>
      </c>
      <c r="I2482" s="2">
        <v>2.4120050021806E13</v>
      </c>
      <c r="J2482" s="3">
        <v>1.0</v>
      </c>
      <c r="K2482" s="2" t="s">
        <v>10419</v>
      </c>
      <c r="L2482" s="2" t="s">
        <v>10420</v>
      </c>
      <c r="M2482" s="2" t="s">
        <v>409</v>
      </c>
      <c r="N2482" s="2" t="s">
        <v>462</v>
      </c>
      <c r="O2482" s="3">
        <v>0.5</v>
      </c>
      <c r="P2482" s="2" t="s">
        <v>73</v>
      </c>
      <c r="Q2482" s="3">
        <v>1100.0</v>
      </c>
      <c r="T2482" s="2" t="s">
        <v>9018</v>
      </c>
      <c r="U2482" s="171">
        <v>1999.0</v>
      </c>
      <c r="V2482" s="172">
        <v>46066.0</v>
      </c>
      <c r="W2482" s="3">
        <v>293.0</v>
      </c>
      <c r="X2482" s="172">
        <v>46065.58482097222</v>
      </c>
      <c r="Y2482" s="172"/>
      <c r="Z2482" s="3">
        <v>46062.0</v>
      </c>
      <c r="AA2482" s="3"/>
    </row>
    <row r="2483">
      <c r="A2483" s="3">
        <v>6.904218616067E12</v>
      </c>
      <c r="B2483" s="2" t="s">
        <v>10421</v>
      </c>
      <c r="C2483" s="2" t="s">
        <v>10422</v>
      </c>
      <c r="D2483" s="169">
        <v>46062.0</v>
      </c>
      <c r="E2483" s="2">
        <v>3.244298878E9</v>
      </c>
      <c r="F2483" s="2" t="s">
        <v>10423</v>
      </c>
      <c r="G2483" s="2" t="s">
        <v>368</v>
      </c>
      <c r="H2483" s="2">
        <v>1699.0</v>
      </c>
      <c r="I2483" s="2">
        <v>2.3120050021816E13</v>
      </c>
      <c r="J2483" s="3">
        <v>1.0</v>
      </c>
      <c r="K2483" s="2" t="s">
        <v>10424</v>
      </c>
      <c r="L2483" s="2" t="s">
        <v>10425</v>
      </c>
      <c r="M2483" s="2" t="s">
        <v>409</v>
      </c>
      <c r="N2483" s="2" t="s">
        <v>462</v>
      </c>
      <c r="O2483" s="3">
        <v>0.5</v>
      </c>
      <c r="P2483" s="2" t="s">
        <v>73</v>
      </c>
      <c r="Q2483" s="3">
        <v>550.0</v>
      </c>
      <c r="T2483" s="2" t="s">
        <v>9018</v>
      </c>
      <c r="U2483" s="171">
        <v>1699.0</v>
      </c>
      <c r="V2483" s="172">
        <v>46066.0</v>
      </c>
      <c r="W2483" s="3">
        <v>175.0</v>
      </c>
      <c r="X2483" s="172">
        <v>46064.730911516206</v>
      </c>
      <c r="Y2483" s="172"/>
      <c r="Z2483" s="3">
        <v>46062.0</v>
      </c>
      <c r="AA2483" s="3"/>
    </row>
    <row r="2484">
      <c r="A2484" s="3">
        <v>6.904344871171E12</v>
      </c>
      <c r="B2484" s="2" t="s">
        <v>10426</v>
      </c>
      <c r="C2484" s="2" t="s">
        <v>10427</v>
      </c>
      <c r="D2484" s="169">
        <v>46062.0</v>
      </c>
      <c r="E2484" s="2">
        <v>3.047751495E9</v>
      </c>
      <c r="F2484" s="2" t="s">
        <v>10428</v>
      </c>
      <c r="G2484" s="2" t="s">
        <v>10429</v>
      </c>
      <c r="H2484" s="2">
        <v>1799.0</v>
      </c>
      <c r="I2484" s="2">
        <v>2.6120050021805E13</v>
      </c>
      <c r="J2484" s="3">
        <v>1.0</v>
      </c>
      <c r="K2484" s="2" t="s">
        <v>10430</v>
      </c>
      <c r="L2484" s="2" t="s">
        <v>4872</v>
      </c>
      <c r="M2484" s="2" t="s">
        <v>409</v>
      </c>
      <c r="N2484" s="2" t="s">
        <v>462</v>
      </c>
      <c r="O2484" s="3">
        <v>0.5</v>
      </c>
      <c r="P2484" s="2" t="s">
        <v>73</v>
      </c>
      <c r="Q2484" s="3">
        <v>490.0</v>
      </c>
      <c r="T2484" s="2" t="s">
        <v>9018</v>
      </c>
      <c r="U2484" s="171">
        <v>1799.0</v>
      </c>
      <c r="V2484" s="172">
        <v>46066.0</v>
      </c>
      <c r="W2484" s="3">
        <v>272.0</v>
      </c>
      <c r="X2484" s="172">
        <v>46064.73091594907</v>
      </c>
      <c r="Y2484" s="172"/>
      <c r="Z2484" s="3">
        <v>46062.0</v>
      </c>
      <c r="AA2484" s="3"/>
    </row>
    <row r="2485">
      <c r="A2485" s="3">
        <v>6.904456937731E12</v>
      </c>
      <c r="B2485" s="2" t="s">
        <v>10431</v>
      </c>
      <c r="C2485" s="2" t="s">
        <v>10432</v>
      </c>
      <c r="D2485" s="169">
        <v>46062.0</v>
      </c>
      <c r="E2485" s="2">
        <v>3.004273851E9</v>
      </c>
      <c r="F2485" s="2" t="s">
        <v>10433</v>
      </c>
      <c r="G2485" s="2" t="s">
        <v>10434</v>
      </c>
      <c r="H2485" s="2">
        <v>0.0</v>
      </c>
      <c r="J2485" s="3">
        <v>0.0</v>
      </c>
      <c r="K2485" s="2" t="s">
        <v>10435</v>
      </c>
      <c r="L2485" s="2"/>
      <c r="M2485" s="2" t="s">
        <v>468</v>
      </c>
      <c r="N2485" s="2" t="s">
        <v>406</v>
      </c>
      <c r="O2485" s="3">
        <v>0.5</v>
      </c>
      <c r="Q2485" s="3">
        <v>0.0</v>
      </c>
      <c r="U2485" s="141"/>
      <c r="X2485" s="172">
        <v>46063.240951562504</v>
      </c>
      <c r="Y2485" s="172"/>
      <c r="Z2485" s="3">
        <v>46062.0</v>
      </c>
      <c r="AA2485" s="3"/>
    </row>
    <row r="2486">
      <c r="A2486" s="3">
        <v>6.904509858051E12</v>
      </c>
      <c r="B2486" s="2" t="s">
        <v>10436</v>
      </c>
      <c r="C2486" s="2" t="s">
        <v>10437</v>
      </c>
      <c r="D2486" s="169">
        <v>46062.0</v>
      </c>
      <c r="E2486" s="2">
        <v>9.23006992086E11</v>
      </c>
      <c r="F2486" s="2" t="s">
        <v>10438</v>
      </c>
      <c r="G2486" s="2" t="s">
        <v>2241</v>
      </c>
      <c r="H2486" s="2">
        <v>3099.0</v>
      </c>
      <c r="I2486" s="2">
        <v>1.73010904504E11</v>
      </c>
      <c r="J2486" s="3">
        <v>1.0</v>
      </c>
      <c r="K2486" s="2" t="s">
        <v>10439</v>
      </c>
      <c r="L2486" s="2" t="s">
        <v>10440</v>
      </c>
      <c r="M2486" s="2" t="s">
        <v>409</v>
      </c>
      <c r="N2486" s="2" t="s">
        <v>462</v>
      </c>
      <c r="O2486" s="3">
        <v>0.5</v>
      </c>
      <c r="P2486" s="2" t="s">
        <v>501</v>
      </c>
      <c r="Q2486" s="3">
        <v>1400.0</v>
      </c>
      <c r="T2486" s="2"/>
      <c r="U2486" s="171">
        <v>3099.0</v>
      </c>
      <c r="W2486" s="3">
        <v>302.6296</v>
      </c>
      <c r="X2486" s="172">
        <v>46073.87454292824</v>
      </c>
      <c r="Y2486" s="172"/>
      <c r="Z2486" s="3">
        <v>46062.0</v>
      </c>
      <c r="AA2486" s="3"/>
    </row>
    <row r="2487">
      <c r="A2487" s="3">
        <v>6.904568611075E12</v>
      </c>
      <c r="B2487" s="2" t="s">
        <v>10441</v>
      </c>
      <c r="C2487" s="2" t="s">
        <v>10442</v>
      </c>
      <c r="D2487" s="169">
        <v>46062.0</v>
      </c>
      <c r="E2487" s="2">
        <v>3.498776091E9</v>
      </c>
      <c r="F2487" s="2" t="s">
        <v>10443</v>
      </c>
      <c r="G2487" s="2" t="s">
        <v>493</v>
      </c>
      <c r="H2487" s="2">
        <v>0.0</v>
      </c>
      <c r="J2487" s="3">
        <v>0.0</v>
      </c>
      <c r="K2487" s="2" t="s">
        <v>8402</v>
      </c>
      <c r="L2487" s="2"/>
      <c r="M2487" s="2" t="s">
        <v>468</v>
      </c>
      <c r="N2487" s="2" t="s">
        <v>406</v>
      </c>
      <c r="O2487" s="3">
        <v>0.5</v>
      </c>
      <c r="Q2487" s="3">
        <v>0.0</v>
      </c>
      <c r="U2487" s="141"/>
      <c r="X2487" s="172">
        <v>46063.240951562504</v>
      </c>
      <c r="Y2487" s="172"/>
      <c r="Z2487" s="3">
        <v>46062.0</v>
      </c>
      <c r="AA2487" s="3"/>
    </row>
    <row r="2488">
      <c r="A2488" s="3">
        <v>6.904616091907E12</v>
      </c>
      <c r="B2488" s="2" t="s">
        <v>10444</v>
      </c>
      <c r="C2488" s="2" t="s">
        <v>10445</v>
      </c>
      <c r="D2488" s="169">
        <v>46062.0</v>
      </c>
      <c r="E2488" s="173" t="s">
        <v>10446</v>
      </c>
      <c r="F2488" s="2" t="s">
        <v>10447</v>
      </c>
      <c r="G2488" s="2" t="s">
        <v>374</v>
      </c>
      <c r="H2488" s="2">
        <v>249.0</v>
      </c>
      <c r="I2488" s="2">
        <v>2.9120050021814E13</v>
      </c>
      <c r="J2488" s="3">
        <v>0.0</v>
      </c>
      <c r="K2488" s="2" t="s">
        <v>10178</v>
      </c>
      <c r="L2488" s="2"/>
      <c r="M2488" s="170" t="s">
        <v>455</v>
      </c>
      <c r="N2488" s="2" t="s">
        <v>406</v>
      </c>
      <c r="O2488" s="3">
        <v>0.5</v>
      </c>
      <c r="P2488" s="2" t="s">
        <v>73</v>
      </c>
      <c r="Q2488" s="3">
        <v>0.0</v>
      </c>
      <c r="U2488" s="141"/>
      <c r="W2488" s="3">
        <v>200.0</v>
      </c>
      <c r="X2488" s="172">
        <v>46070.91667202546</v>
      </c>
      <c r="Y2488" s="172"/>
      <c r="Z2488" s="3">
        <v>46062.0</v>
      </c>
      <c r="AA2488" s="3"/>
    </row>
    <row r="2489">
      <c r="A2489" s="3">
        <v>6.904619008259E12</v>
      </c>
      <c r="B2489" s="2" t="s">
        <v>10448</v>
      </c>
      <c r="C2489" s="2" t="s">
        <v>10449</v>
      </c>
      <c r="D2489" s="169">
        <v>46063.0</v>
      </c>
      <c r="E2489" s="2">
        <v>3.343362255E9</v>
      </c>
      <c r="F2489" s="2" t="s">
        <v>10450</v>
      </c>
      <c r="G2489" s="2" t="s">
        <v>493</v>
      </c>
      <c r="H2489" s="2">
        <v>8300.0</v>
      </c>
      <c r="I2489" s="2">
        <v>2.4120050021804E13</v>
      </c>
      <c r="J2489" s="3">
        <v>5.0</v>
      </c>
      <c r="K2489" s="2" t="s">
        <v>10451</v>
      </c>
      <c r="L2489" s="2" t="s">
        <v>10452</v>
      </c>
      <c r="M2489" s="2" t="s">
        <v>409</v>
      </c>
      <c r="N2489" s="2" t="s">
        <v>462</v>
      </c>
      <c r="O2489" s="3">
        <v>0.5</v>
      </c>
      <c r="P2489" s="2" t="s">
        <v>73</v>
      </c>
      <c r="Q2489" s="3">
        <v>3420.0</v>
      </c>
      <c r="T2489" s="2" t="s">
        <v>9018</v>
      </c>
      <c r="U2489" s="171">
        <v>8300.0</v>
      </c>
      <c r="V2489" s="172">
        <v>46066.0</v>
      </c>
      <c r="W2489" s="3">
        <v>559.0</v>
      </c>
      <c r="X2489" s="172">
        <v>46065.73814498843</v>
      </c>
      <c r="Y2489" s="172"/>
      <c r="Z2489" s="3">
        <v>46063.0</v>
      </c>
      <c r="AA2489" s="3"/>
    </row>
    <row r="2490">
      <c r="A2490" s="3">
        <v>6.904666489091E12</v>
      </c>
      <c r="B2490" s="2" t="s">
        <v>10453</v>
      </c>
      <c r="C2490" s="2" t="s">
        <v>10454</v>
      </c>
      <c r="D2490" s="169">
        <v>46063.0</v>
      </c>
      <c r="E2490" s="173" t="s">
        <v>10455</v>
      </c>
      <c r="F2490" s="2" t="s">
        <v>10456</v>
      </c>
      <c r="G2490" s="2" t="s">
        <v>493</v>
      </c>
      <c r="H2490" s="2">
        <v>2049.0</v>
      </c>
      <c r="I2490" s="2">
        <v>2.7120050021819E13</v>
      </c>
      <c r="J2490" s="3">
        <v>1.0</v>
      </c>
      <c r="K2490" s="2" t="s">
        <v>10457</v>
      </c>
      <c r="L2490" s="2" t="s">
        <v>10458</v>
      </c>
      <c r="M2490" s="2" t="s">
        <v>409</v>
      </c>
      <c r="N2490" s="2" t="s">
        <v>462</v>
      </c>
      <c r="O2490" s="3">
        <v>0.5</v>
      </c>
      <c r="P2490" s="2" t="s">
        <v>73</v>
      </c>
      <c r="Q2490" s="3">
        <v>460.0</v>
      </c>
      <c r="T2490" s="2" t="s">
        <v>9018</v>
      </c>
      <c r="U2490" s="171">
        <v>2049.0</v>
      </c>
      <c r="V2490" s="172">
        <v>46066.0</v>
      </c>
      <c r="W2490" s="3">
        <v>295.0</v>
      </c>
      <c r="X2490" s="172">
        <v>46065.66852305556</v>
      </c>
      <c r="Y2490" s="172"/>
      <c r="Z2490" s="3">
        <v>46063.0</v>
      </c>
      <c r="AA2490" s="3"/>
    </row>
    <row r="2491">
      <c r="A2491" s="3">
        <v>6.904667439363E12</v>
      </c>
      <c r="B2491" s="2" t="s">
        <v>10459</v>
      </c>
      <c r="C2491" s="2" t="s">
        <v>10460</v>
      </c>
      <c r="D2491" s="169">
        <v>46063.0</v>
      </c>
      <c r="E2491" s="2">
        <v>3.102636456E9</v>
      </c>
      <c r="F2491" s="2" t="s">
        <v>10461</v>
      </c>
      <c r="G2491" s="2" t="s">
        <v>10252</v>
      </c>
      <c r="H2491" s="2">
        <v>0.0</v>
      </c>
      <c r="J2491" s="3">
        <v>0.0</v>
      </c>
      <c r="K2491" s="2" t="s">
        <v>10462</v>
      </c>
      <c r="L2491" s="2"/>
      <c r="M2491" s="2" t="s">
        <v>468</v>
      </c>
      <c r="N2491" s="2" t="s">
        <v>406</v>
      </c>
      <c r="O2491" s="3">
        <v>0.5</v>
      </c>
      <c r="Q2491" s="3">
        <v>0.0</v>
      </c>
      <c r="U2491" s="141"/>
      <c r="X2491" s="172">
        <v>46063.240951562504</v>
      </c>
      <c r="Y2491" s="172"/>
      <c r="Z2491" s="3">
        <v>46063.0</v>
      </c>
      <c r="AA2491" s="3"/>
    </row>
    <row r="2492">
      <c r="A2492" s="3">
        <v>6.904683692291E12</v>
      </c>
      <c r="B2492" s="2" t="s">
        <v>10463</v>
      </c>
      <c r="C2492" s="2" t="s">
        <v>10464</v>
      </c>
      <c r="D2492" s="169">
        <v>46063.0</v>
      </c>
      <c r="E2492" s="173" t="s">
        <v>10465</v>
      </c>
      <c r="F2492" s="2" t="s">
        <v>10466</v>
      </c>
      <c r="G2492" s="2" t="s">
        <v>10467</v>
      </c>
      <c r="H2492" s="2">
        <v>0.0</v>
      </c>
      <c r="J2492" s="3">
        <v>0.0</v>
      </c>
      <c r="K2492" s="2" t="s">
        <v>10468</v>
      </c>
      <c r="L2492" s="2"/>
      <c r="M2492" s="2" t="s">
        <v>468</v>
      </c>
      <c r="N2492" s="2" t="s">
        <v>406</v>
      </c>
      <c r="O2492" s="3">
        <v>0.5</v>
      </c>
      <c r="Q2492" s="3">
        <v>0.0</v>
      </c>
      <c r="U2492" s="141"/>
      <c r="X2492" s="172">
        <v>46063.240951562504</v>
      </c>
      <c r="Y2492" s="172"/>
      <c r="Z2492" s="3">
        <v>46063.0</v>
      </c>
      <c r="AA2492" s="3"/>
    </row>
    <row r="2493">
      <c r="A2493" s="3">
        <v>6.904687493379E12</v>
      </c>
      <c r="B2493" s="2" t="s">
        <v>10469</v>
      </c>
      <c r="C2493" s="2" t="s">
        <v>10464</v>
      </c>
      <c r="D2493" s="169">
        <v>46063.0</v>
      </c>
      <c r="E2493" s="173" t="s">
        <v>10465</v>
      </c>
      <c r="F2493" s="2" t="s">
        <v>10466</v>
      </c>
      <c r="G2493" s="2" t="s">
        <v>10467</v>
      </c>
      <c r="H2493" s="2">
        <v>249.0</v>
      </c>
      <c r="I2493" s="2">
        <v>2.2120050021803E13</v>
      </c>
      <c r="J2493" s="3">
        <v>0.0</v>
      </c>
      <c r="K2493" s="2" t="s">
        <v>10470</v>
      </c>
      <c r="L2493" s="2"/>
      <c r="M2493" s="2" t="s">
        <v>409</v>
      </c>
      <c r="N2493" s="2" t="s">
        <v>406</v>
      </c>
      <c r="O2493" s="3">
        <v>0.5</v>
      </c>
      <c r="P2493" s="2" t="s">
        <v>73</v>
      </c>
      <c r="Q2493" s="3">
        <v>0.0</v>
      </c>
      <c r="T2493" s="2" t="s">
        <v>9018</v>
      </c>
      <c r="U2493" s="171">
        <v>249.0</v>
      </c>
      <c r="V2493" s="172">
        <v>46066.0</v>
      </c>
      <c r="W2493" s="3">
        <v>353.0</v>
      </c>
      <c r="X2493" s="172">
        <v>46065.688908599535</v>
      </c>
      <c r="Y2493" s="172"/>
      <c r="Z2493" s="3">
        <v>46063.0</v>
      </c>
      <c r="AA2493" s="3"/>
    </row>
    <row r="2494">
      <c r="A2494" s="3">
        <v>6.904762728707E12</v>
      </c>
      <c r="B2494" s="2" t="s">
        <v>10471</v>
      </c>
      <c r="C2494" s="2" t="s">
        <v>10472</v>
      </c>
      <c r="D2494" s="169">
        <v>46063.0</v>
      </c>
      <c r="E2494" s="2">
        <v>3.083067402E9</v>
      </c>
      <c r="F2494" s="2" t="s">
        <v>10473</v>
      </c>
      <c r="G2494" s="2" t="s">
        <v>506</v>
      </c>
      <c r="H2494" s="2">
        <v>2849.0</v>
      </c>
      <c r="I2494" s="2">
        <v>2.2120050021802E13</v>
      </c>
      <c r="J2494" s="3">
        <v>2.0</v>
      </c>
      <c r="K2494" s="2" t="s">
        <v>10474</v>
      </c>
      <c r="L2494" s="2" t="s">
        <v>593</v>
      </c>
      <c r="M2494" s="2" t="s">
        <v>409</v>
      </c>
      <c r="N2494" s="2" t="s">
        <v>462</v>
      </c>
      <c r="O2494" s="3">
        <v>0.5</v>
      </c>
      <c r="P2494" s="2" t="s">
        <v>73</v>
      </c>
      <c r="Q2494" s="3">
        <v>1050.0</v>
      </c>
      <c r="T2494" s="2" t="s">
        <v>9018</v>
      </c>
      <c r="U2494" s="171">
        <v>2849.0</v>
      </c>
      <c r="V2494" s="172">
        <v>46066.0</v>
      </c>
      <c r="W2494" s="3">
        <v>314.0</v>
      </c>
      <c r="X2494" s="172">
        <v>46065.6056641551</v>
      </c>
      <c r="Y2494" s="172"/>
      <c r="Z2494" s="3">
        <v>46063.0</v>
      </c>
      <c r="AA2494" s="3"/>
    </row>
    <row r="2495">
      <c r="A2495" s="3">
        <v>6.904805261571E12</v>
      </c>
      <c r="B2495" s="2" t="s">
        <v>10475</v>
      </c>
      <c r="C2495" s="2" t="s">
        <v>10476</v>
      </c>
      <c r="D2495" s="169">
        <v>46063.0</v>
      </c>
      <c r="E2495" s="173" t="s">
        <v>10477</v>
      </c>
      <c r="F2495" s="2" t="s">
        <v>10478</v>
      </c>
      <c r="G2495" s="2" t="s">
        <v>368</v>
      </c>
      <c r="H2495" s="2">
        <v>2799.0</v>
      </c>
      <c r="I2495" s="2">
        <v>2.6120050021801E13</v>
      </c>
      <c r="J2495" s="3">
        <v>1.0</v>
      </c>
      <c r="K2495" s="2" t="s">
        <v>10479</v>
      </c>
      <c r="L2495" s="2" t="s">
        <v>557</v>
      </c>
      <c r="M2495" s="2" t="s">
        <v>409</v>
      </c>
      <c r="N2495" s="2" t="s">
        <v>462</v>
      </c>
      <c r="O2495" s="3">
        <v>0.5</v>
      </c>
      <c r="P2495" s="2" t="s">
        <v>73</v>
      </c>
      <c r="Q2495" s="3">
        <v>850.0</v>
      </c>
      <c r="T2495" s="2" t="s">
        <v>9018</v>
      </c>
      <c r="U2495" s="171">
        <v>2799.0</v>
      </c>
      <c r="V2495" s="172">
        <v>46066.0</v>
      </c>
      <c r="W2495" s="3">
        <v>232.0</v>
      </c>
      <c r="X2495" s="172">
        <v>46064.730948310185</v>
      </c>
      <c r="Y2495" s="172"/>
      <c r="Z2495" s="3">
        <v>46063.0</v>
      </c>
      <c r="AA2495" s="3"/>
    </row>
    <row r="2496">
      <c r="A2496" s="3">
        <v>6.905008718083E12</v>
      </c>
      <c r="B2496" s="2" t="s">
        <v>10480</v>
      </c>
      <c r="C2496" s="2" t="s">
        <v>10481</v>
      </c>
      <c r="D2496" s="169">
        <v>46063.0</v>
      </c>
      <c r="E2496" s="2">
        <v>3.043550399E9</v>
      </c>
      <c r="F2496" s="2" t="s">
        <v>10482</v>
      </c>
      <c r="G2496" s="2" t="s">
        <v>693</v>
      </c>
      <c r="H2496" s="2">
        <v>0.0</v>
      </c>
      <c r="J2496" s="3">
        <v>0.0</v>
      </c>
      <c r="K2496" s="2" t="s">
        <v>10483</v>
      </c>
      <c r="L2496" s="2"/>
      <c r="M2496" s="2" t="s">
        <v>468</v>
      </c>
      <c r="N2496" s="2" t="s">
        <v>406</v>
      </c>
      <c r="O2496" s="3">
        <v>0.5</v>
      </c>
      <c r="Q2496" s="3">
        <v>0.0</v>
      </c>
      <c r="U2496" s="141"/>
      <c r="X2496" s="172">
        <v>46063.84420229167</v>
      </c>
      <c r="Y2496" s="172"/>
      <c r="Z2496" s="3">
        <v>46063.0</v>
      </c>
      <c r="AA2496" s="3"/>
    </row>
    <row r="2497">
      <c r="A2497" s="3">
        <v>6.905192284419E12</v>
      </c>
      <c r="B2497" s="2" t="s">
        <v>10484</v>
      </c>
      <c r="C2497" s="2" t="s">
        <v>10485</v>
      </c>
      <c r="D2497" s="169">
        <v>46063.0</v>
      </c>
      <c r="E2497" s="2">
        <v>3.000275327E9</v>
      </c>
      <c r="F2497" s="2" t="s">
        <v>10486</v>
      </c>
      <c r="G2497" s="2" t="s">
        <v>1016</v>
      </c>
      <c r="H2497" s="2">
        <v>5049.0</v>
      </c>
      <c r="I2497" s="2">
        <v>2.31200500218E13</v>
      </c>
      <c r="J2497" s="3">
        <v>3.0</v>
      </c>
      <c r="K2497" s="2" t="s">
        <v>10487</v>
      </c>
      <c r="L2497" s="2" t="s">
        <v>10488</v>
      </c>
      <c r="M2497" s="2" t="s">
        <v>409</v>
      </c>
      <c r="N2497" s="2" t="s">
        <v>462</v>
      </c>
      <c r="O2497" s="3">
        <v>0.5</v>
      </c>
      <c r="P2497" s="2" t="s">
        <v>73</v>
      </c>
      <c r="Q2497" s="3">
        <v>1460.0</v>
      </c>
      <c r="T2497" s="2" t="s">
        <v>9018</v>
      </c>
      <c r="U2497" s="171">
        <v>5049.0</v>
      </c>
      <c r="V2497" s="172">
        <v>46066.0</v>
      </c>
      <c r="W2497" s="3">
        <v>402.0</v>
      </c>
      <c r="X2497" s="172">
        <v>46065.60566880787</v>
      </c>
      <c r="Y2497" s="172"/>
      <c r="Z2497" s="3">
        <v>46063.0</v>
      </c>
      <c r="AA2497" s="3"/>
    </row>
    <row r="2498">
      <c r="A2498" s="3">
        <v>6.905289507075E12</v>
      </c>
      <c r="B2498" s="2" t="s">
        <v>10489</v>
      </c>
      <c r="C2498" s="2" t="s">
        <v>1219</v>
      </c>
      <c r="D2498" s="169">
        <v>46063.0</v>
      </c>
      <c r="E2498" s="173" t="s">
        <v>10490</v>
      </c>
      <c r="F2498" s="2" t="s">
        <v>10491</v>
      </c>
      <c r="G2498" s="2" t="s">
        <v>536</v>
      </c>
      <c r="H2498" s="2">
        <v>6200.0</v>
      </c>
      <c r="I2498" s="2">
        <v>2.1120050021799E13</v>
      </c>
      <c r="J2498" s="3">
        <v>4.0</v>
      </c>
      <c r="K2498" s="2" t="s">
        <v>10492</v>
      </c>
      <c r="L2498" s="2" t="s">
        <v>10493</v>
      </c>
      <c r="M2498" s="2" t="s">
        <v>409</v>
      </c>
      <c r="N2498" s="2" t="s">
        <v>462</v>
      </c>
      <c r="O2498" s="3">
        <v>0.5</v>
      </c>
      <c r="P2498" s="2" t="s">
        <v>73</v>
      </c>
      <c r="Q2498" s="3">
        <v>1920.0</v>
      </c>
      <c r="T2498" s="2" t="s">
        <v>9018</v>
      </c>
      <c r="U2498" s="171">
        <v>6200.0</v>
      </c>
      <c r="V2498" s="172">
        <v>46066.0</v>
      </c>
      <c r="W2498" s="3">
        <v>475.0</v>
      </c>
      <c r="X2498" s="172">
        <v>46065.66853545139</v>
      </c>
      <c r="Y2498" s="172"/>
      <c r="Z2498" s="3">
        <v>46063.0</v>
      </c>
      <c r="AA2498" s="3"/>
    </row>
    <row r="2499">
      <c r="A2499" s="3">
        <v>6.905343148291E12</v>
      </c>
      <c r="B2499" s="2" t="s">
        <v>10494</v>
      </c>
      <c r="C2499" s="2" t="s">
        <v>10495</v>
      </c>
      <c r="D2499" s="169">
        <v>46063.0</v>
      </c>
      <c r="E2499" s="173" t="s">
        <v>10496</v>
      </c>
      <c r="F2499" s="2" t="s">
        <v>10497</v>
      </c>
      <c r="G2499" s="2" t="s">
        <v>10498</v>
      </c>
      <c r="H2499" s="2">
        <v>250.0</v>
      </c>
      <c r="I2499" s="2" t="s">
        <v>10499</v>
      </c>
      <c r="J2499" s="3">
        <v>0.0</v>
      </c>
      <c r="K2499" s="2" t="s">
        <v>10500</v>
      </c>
      <c r="L2499" s="2"/>
      <c r="M2499" s="170" t="s">
        <v>455</v>
      </c>
      <c r="N2499" s="2" t="s">
        <v>406</v>
      </c>
      <c r="O2499" s="3">
        <v>0.5</v>
      </c>
      <c r="P2499" s="2" t="s">
        <v>640</v>
      </c>
      <c r="Q2499" s="3">
        <v>0.0</v>
      </c>
      <c r="T2499" s="2" t="s">
        <v>8550</v>
      </c>
      <c r="U2499" s="141"/>
      <c r="W2499" s="3">
        <v>289.94</v>
      </c>
      <c r="X2499" s="172">
        <v>46084.45909954861</v>
      </c>
      <c r="Y2499" s="172"/>
      <c r="Z2499" s="3">
        <v>46063.0</v>
      </c>
      <c r="AA2499" s="3"/>
    </row>
    <row r="2500">
      <c r="A2500" s="3">
        <v>6.905346556163E12</v>
      </c>
      <c r="B2500" s="2" t="s">
        <v>10501</v>
      </c>
      <c r="C2500" s="2" t="s">
        <v>10502</v>
      </c>
      <c r="D2500" s="169">
        <v>46063.0</v>
      </c>
      <c r="E2500" s="173" t="s">
        <v>10503</v>
      </c>
      <c r="F2500" s="2" t="s">
        <v>10504</v>
      </c>
      <c r="G2500" s="2" t="s">
        <v>10505</v>
      </c>
      <c r="H2500" s="2">
        <v>3100.0</v>
      </c>
      <c r="I2500" s="2">
        <v>2.8120050021798E13</v>
      </c>
      <c r="J2500" s="3">
        <v>2.0</v>
      </c>
      <c r="K2500" s="2" t="s">
        <v>10506</v>
      </c>
      <c r="L2500" s="2" t="s">
        <v>275</v>
      </c>
      <c r="M2500" s="2" t="s">
        <v>409</v>
      </c>
      <c r="N2500" s="2" t="s">
        <v>462</v>
      </c>
      <c r="O2500" s="3">
        <v>0.5</v>
      </c>
      <c r="P2500" s="2" t="s">
        <v>73</v>
      </c>
      <c r="Q2500" s="3">
        <v>960.0</v>
      </c>
      <c r="T2500" s="2" t="s">
        <v>9018</v>
      </c>
      <c r="U2500" s="171">
        <v>3100.0</v>
      </c>
      <c r="V2500" s="172">
        <v>46066.0</v>
      </c>
      <c r="W2500" s="3">
        <v>324.0</v>
      </c>
      <c r="X2500" s="172">
        <v>46065.54308952546</v>
      </c>
      <c r="Y2500" s="172"/>
      <c r="Z2500" s="3">
        <v>46063.0</v>
      </c>
      <c r="AA2500" s="3"/>
    </row>
    <row r="2501">
      <c r="A2501" s="3">
        <v>6.905394987267E12</v>
      </c>
      <c r="B2501" s="2" t="s">
        <v>10507</v>
      </c>
      <c r="C2501" s="2" t="s">
        <v>10508</v>
      </c>
      <c r="D2501" s="169">
        <v>46063.0</v>
      </c>
      <c r="E2501" s="2">
        <v>3.313663532E9</v>
      </c>
      <c r="F2501" s="2" t="s">
        <v>10509</v>
      </c>
      <c r="G2501" s="2" t="s">
        <v>493</v>
      </c>
      <c r="H2501" s="2">
        <v>249.0</v>
      </c>
      <c r="I2501" s="2">
        <v>2.5120050021812E13</v>
      </c>
      <c r="J2501" s="3">
        <v>0.0</v>
      </c>
      <c r="K2501" s="2" t="s">
        <v>10510</v>
      </c>
      <c r="L2501" s="2"/>
      <c r="M2501" s="170" t="s">
        <v>455</v>
      </c>
      <c r="N2501" s="2" t="s">
        <v>406</v>
      </c>
      <c r="O2501" s="3">
        <v>0.5</v>
      </c>
      <c r="P2501" s="2" t="s">
        <v>73</v>
      </c>
      <c r="Q2501" s="3">
        <v>0.0</v>
      </c>
      <c r="U2501" s="141"/>
      <c r="W2501" s="3">
        <v>213.0</v>
      </c>
      <c r="X2501" s="172">
        <v>46077.91596346065</v>
      </c>
      <c r="Y2501" s="172"/>
      <c r="Z2501" s="3">
        <v>46063.0</v>
      </c>
      <c r="AA2501" s="3"/>
    </row>
    <row r="2502">
      <c r="A2502" s="3">
        <v>6.905402196227E12</v>
      </c>
      <c r="B2502" s="2" t="s">
        <v>10511</v>
      </c>
      <c r="C2502" s="2" t="s">
        <v>268</v>
      </c>
      <c r="D2502" s="169">
        <v>46063.0</v>
      </c>
      <c r="E2502" s="173" t="s">
        <v>10512</v>
      </c>
      <c r="F2502" s="2" t="s">
        <v>10513</v>
      </c>
      <c r="G2502" s="2" t="s">
        <v>6174</v>
      </c>
      <c r="H2502" s="2">
        <v>249.0</v>
      </c>
      <c r="I2502" s="2">
        <v>2.8120050021811E13</v>
      </c>
      <c r="J2502" s="3">
        <v>0.0</v>
      </c>
      <c r="K2502" s="2" t="s">
        <v>10514</v>
      </c>
      <c r="L2502" s="2"/>
      <c r="M2502" s="170" t="s">
        <v>455</v>
      </c>
      <c r="N2502" s="2" t="s">
        <v>406</v>
      </c>
      <c r="O2502" s="3">
        <v>0.5</v>
      </c>
      <c r="P2502" s="2" t="s">
        <v>73</v>
      </c>
      <c r="Q2502" s="3">
        <v>0.0</v>
      </c>
      <c r="U2502" s="141"/>
      <c r="W2502" s="3">
        <v>213.0</v>
      </c>
      <c r="X2502" s="172">
        <v>46073.74946306713</v>
      </c>
      <c r="Y2502" s="172"/>
      <c r="Z2502" s="3">
        <v>46063.0</v>
      </c>
      <c r="AA2502" s="3"/>
    </row>
    <row r="2503">
      <c r="A2503" s="3">
        <v>6.905405145347E12</v>
      </c>
      <c r="B2503" s="2" t="s">
        <v>10515</v>
      </c>
      <c r="C2503" s="2" t="s">
        <v>10516</v>
      </c>
      <c r="D2503" s="169">
        <v>46063.0</v>
      </c>
      <c r="E2503" s="2">
        <v>3.368883647E9</v>
      </c>
      <c r="F2503" s="2" t="s">
        <v>10517</v>
      </c>
      <c r="G2503" s="2" t="s">
        <v>1257</v>
      </c>
      <c r="H2503" s="2">
        <v>3099.0</v>
      </c>
      <c r="I2503" s="2">
        <v>2.512005002181E13</v>
      </c>
      <c r="J2503" s="3">
        <v>2.0</v>
      </c>
      <c r="K2503" s="2" t="s">
        <v>10518</v>
      </c>
      <c r="L2503" s="2" t="s">
        <v>906</v>
      </c>
      <c r="M2503" s="2" t="s">
        <v>409</v>
      </c>
      <c r="N2503" s="2" t="s">
        <v>462</v>
      </c>
      <c r="O2503" s="3">
        <v>0.5</v>
      </c>
      <c r="P2503" s="2" t="s">
        <v>73</v>
      </c>
      <c r="Q2503" s="3">
        <v>920.0</v>
      </c>
      <c r="T2503" s="2" t="s">
        <v>9018</v>
      </c>
      <c r="U2503" s="171">
        <v>3099.0</v>
      </c>
      <c r="V2503" s="172">
        <v>46066.0</v>
      </c>
      <c r="W2503" s="3">
        <v>324.0</v>
      </c>
      <c r="X2503" s="172">
        <v>46065.54310045139</v>
      </c>
      <c r="Y2503" s="172"/>
      <c r="Z2503" s="3">
        <v>46063.0</v>
      </c>
      <c r="AA2503" s="3"/>
    </row>
    <row r="2504">
      <c r="A2504" s="3">
        <v>6.905431326979E12</v>
      </c>
      <c r="B2504" s="2" t="s">
        <v>10519</v>
      </c>
      <c r="C2504" s="2" t="s">
        <v>10520</v>
      </c>
      <c r="D2504" s="169">
        <v>46063.0</v>
      </c>
      <c r="E2504" s="2">
        <v>3.012448858E9</v>
      </c>
      <c r="F2504" s="2" t="s">
        <v>10521</v>
      </c>
      <c r="G2504" s="2" t="s">
        <v>3970</v>
      </c>
      <c r="H2504" s="2">
        <v>0.0</v>
      </c>
      <c r="J2504" s="3">
        <v>0.0</v>
      </c>
      <c r="K2504" s="2" t="s">
        <v>10522</v>
      </c>
      <c r="L2504" s="2"/>
      <c r="M2504" s="2" t="s">
        <v>468</v>
      </c>
      <c r="N2504" s="2" t="s">
        <v>406</v>
      </c>
      <c r="O2504" s="3">
        <v>0.5</v>
      </c>
      <c r="Q2504" s="3">
        <v>0.0</v>
      </c>
      <c r="U2504" s="141"/>
      <c r="X2504" s="172">
        <v>46063.84420230324</v>
      </c>
      <c r="Y2504" s="172"/>
      <c r="Z2504" s="3">
        <v>46063.0</v>
      </c>
      <c r="AA2504" s="3"/>
    </row>
    <row r="2505">
      <c r="A2505" s="3">
        <v>6.905441845507E12</v>
      </c>
      <c r="B2505" s="2" t="s">
        <v>10523</v>
      </c>
      <c r="C2505" s="2" t="s">
        <v>33</v>
      </c>
      <c r="D2505" s="169">
        <v>46063.0</v>
      </c>
      <c r="E2505" s="173" t="s">
        <v>2576</v>
      </c>
      <c r="F2505" s="2" t="s">
        <v>2577</v>
      </c>
      <c r="G2505" s="2" t="s">
        <v>2578</v>
      </c>
      <c r="H2505" s="2">
        <v>0.0</v>
      </c>
      <c r="J2505" s="3">
        <v>0.0</v>
      </c>
      <c r="K2505" s="2" t="s">
        <v>10524</v>
      </c>
      <c r="L2505" s="2"/>
      <c r="M2505" s="2" t="s">
        <v>468</v>
      </c>
      <c r="N2505" s="2" t="s">
        <v>406</v>
      </c>
      <c r="O2505" s="3">
        <v>0.5</v>
      </c>
      <c r="Q2505" s="3">
        <v>0.0</v>
      </c>
      <c r="U2505" s="141"/>
      <c r="X2505" s="172">
        <v>46063.84420230324</v>
      </c>
      <c r="Y2505" s="172"/>
      <c r="Z2505" s="3">
        <v>46063.0</v>
      </c>
      <c r="AA2505" s="3"/>
    </row>
    <row r="2506">
      <c r="A2506" s="3">
        <v>6.905450627331E12</v>
      </c>
      <c r="B2506" s="2" t="s">
        <v>10525</v>
      </c>
      <c r="C2506" s="2" t="s">
        <v>10526</v>
      </c>
      <c r="D2506" s="169">
        <v>46063.0</v>
      </c>
      <c r="E2506" s="173" t="s">
        <v>10527</v>
      </c>
      <c r="F2506" s="2" t="s">
        <v>10528</v>
      </c>
      <c r="G2506" s="2" t="s">
        <v>993</v>
      </c>
      <c r="H2506" s="2">
        <v>3099.0</v>
      </c>
      <c r="I2506" s="2">
        <v>2.3120050021833E13</v>
      </c>
      <c r="J2506" s="3">
        <v>2.0</v>
      </c>
      <c r="K2506" s="2" t="s">
        <v>10529</v>
      </c>
      <c r="L2506" s="2" t="s">
        <v>1242</v>
      </c>
      <c r="M2506" s="2" t="s">
        <v>409</v>
      </c>
      <c r="N2506" s="2" t="s">
        <v>462</v>
      </c>
      <c r="O2506" s="3">
        <v>0.5</v>
      </c>
      <c r="P2506" s="2" t="s">
        <v>73</v>
      </c>
      <c r="Q2506" s="3">
        <v>1000.0</v>
      </c>
      <c r="T2506" s="2" t="s">
        <v>8519</v>
      </c>
      <c r="U2506" s="171">
        <v>3099.0</v>
      </c>
      <c r="V2506" s="172">
        <v>46070.0</v>
      </c>
      <c r="W2506" s="3">
        <v>324.0</v>
      </c>
      <c r="X2506" s="172">
        <v>46066.54296245371</v>
      </c>
      <c r="Y2506" s="172"/>
      <c r="Z2506" s="3">
        <v>46063.0</v>
      </c>
      <c r="AA2506" s="3"/>
    </row>
    <row r="2507">
      <c r="A2507" s="3">
        <v>6.905501548803E12</v>
      </c>
      <c r="B2507" s="2" t="s">
        <v>10530</v>
      </c>
      <c r="C2507" s="2" t="s">
        <v>10531</v>
      </c>
      <c r="D2507" s="169">
        <v>46063.0</v>
      </c>
      <c r="E2507" s="2">
        <v>3.035577755E9</v>
      </c>
      <c r="F2507" s="2" t="s">
        <v>10532</v>
      </c>
      <c r="G2507" s="2" t="s">
        <v>368</v>
      </c>
      <c r="H2507" s="2">
        <v>0.0</v>
      </c>
      <c r="J2507" s="3">
        <v>0.0</v>
      </c>
      <c r="K2507" s="2" t="s">
        <v>10533</v>
      </c>
      <c r="L2507" s="2"/>
      <c r="M2507" s="2" t="s">
        <v>468</v>
      </c>
      <c r="N2507" s="2" t="s">
        <v>406</v>
      </c>
      <c r="O2507" s="3">
        <v>0.5</v>
      </c>
      <c r="Q2507" s="3">
        <v>0.0</v>
      </c>
      <c r="U2507" s="141"/>
      <c r="X2507" s="172">
        <v>46063.84420230324</v>
      </c>
      <c r="Y2507" s="172"/>
      <c r="Z2507" s="3">
        <v>46063.0</v>
      </c>
      <c r="AA2507" s="3"/>
    </row>
    <row r="2508">
      <c r="A2508" s="3">
        <v>6.905502662915E12</v>
      </c>
      <c r="B2508" s="2" t="s">
        <v>10534</v>
      </c>
      <c r="C2508" s="2" t="s">
        <v>8068</v>
      </c>
      <c r="D2508" s="169">
        <v>46063.0</v>
      </c>
      <c r="E2508" s="2">
        <v>3.3277668E9</v>
      </c>
      <c r="F2508" s="2" t="s">
        <v>8069</v>
      </c>
      <c r="G2508" s="2" t="s">
        <v>993</v>
      </c>
      <c r="H2508" s="2">
        <v>4249.0</v>
      </c>
      <c r="I2508" s="2">
        <v>1.73010712704E11</v>
      </c>
      <c r="J2508" s="3">
        <v>2.0</v>
      </c>
      <c r="K2508" s="2" t="s">
        <v>10535</v>
      </c>
      <c r="L2508" s="2" t="s">
        <v>913</v>
      </c>
      <c r="M2508" s="2" t="s">
        <v>409</v>
      </c>
      <c r="N2508" s="2" t="s">
        <v>462</v>
      </c>
      <c r="O2508" s="3">
        <v>0.5</v>
      </c>
      <c r="P2508" s="2" t="s">
        <v>501</v>
      </c>
      <c r="Q2508" s="3">
        <v>1700.0</v>
      </c>
      <c r="T2508" s="2"/>
      <c r="U2508" s="171">
        <v>4249.0</v>
      </c>
      <c r="W2508" s="3">
        <v>271.3776</v>
      </c>
      <c r="X2508" s="172">
        <v>46066.00576357639</v>
      </c>
      <c r="Y2508" s="172"/>
      <c r="Z2508" s="3">
        <v>46063.0</v>
      </c>
      <c r="AA2508" s="3"/>
    </row>
    <row r="2509">
      <c r="A2509" s="3">
        <v>6.905503383811E12</v>
      </c>
      <c r="B2509" s="2" t="s">
        <v>10536</v>
      </c>
      <c r="C2509" s="2" t="s">
        <v>10537</v>
      </c>
      <c r="D2509" s="169">
        <v>46063.0</v>
      </c>
      <c r="E2509" s="2">
        <v>3.035577755E9</v>
      </c>
      <c r="F2509" s="2" t="s">
        <v>10538</v>
      </c>
      <c r="G2509" s="2" t="s">
        <v>368</v>
      </c>
      <c r="H2509" s="2">
        <v>3099.0</v>
      </c>
      <c r="I2509" s="2">
        <v>2.7120050021832E13</v>
      </c>
      <c r="J2509" s="3">
        <v>2.0</v>
      </c>
      <c r="K2509" s="2" t="s">
        <v>10539</v>
      </c>
      <c r="L2509" s="2" t="s">
        <v>10540</v>
      </c>
      <c r="M2509" s="2" t="s">
        <v>409</v>
      </c>
      <c r="N2509" s="2" t="s">
        <v>462</v>
      </c>
      <c r="O2509" s="3">
        <v>0.5</v>
      </c>
      <c r="P2509" s="2" t="s">
        <v>73</v>
      </c>
      <c r="Q2509" s="3">
        <v>920.0</v>
      </c>
      <c r="T2509" s="2" t="s">
        <v>9018</v>
      </c>
      <c r="U2509" s="171">
        <v>3099.0</v>
      </c>
      <c r="V2509" s="172">
        <v>46066.0</v>
      </c>
      <c r="W2509" s="3">
        <v>231.0</v>
      </c>
      <c r="X2509" s="172">
        <v>46065.58489856482</v>
      </c>
      <c r="Y2509" s="172"/>
      <c r="Z2509" s="3">
        <v>46063.0</v>
      </c>
      <c r="AA2509" s="3"/>
    </row>
    <row r="2510">
      <c r="A2510" s="3">
        <v>6.905537626371E12</v>
      </c>
      <c r="B2510" s="2" t="s">
        <v>10541</v>
      </c>
      <c r="C2510" s="2" t="s">
        <v>10542</v>
      </c>
      <c r="D2510" s="169">
        <v>46063.0</v>
      </c>
      <c r="E2510" s="2">
        <v>3.235588238E9</v>
      </c>
      <c r="F2510" s="2" t="s">
        <v>10543</v>
      </c>
      <c r="G2510" s="2" t="s">
        <v>493</v>
      </c>
      <c r="H2510" s="2">
        <v>3099.0</v>
      </c>
      <c r="I2510" s="2">
        <v>2.9120050021831E13</v>
      </c>
      <c r="J2510" s="3">
        <v>2.0</v>
      </c>
      <c r="K2510" s="2" t="s">
        <v>10544</v>
      </c>
      <c r="L2510" s="2" t="s">
        <v>50</v>
      </c>
      <c r="M2510" s="2" t="s">
        <v>409</v>
      </c>
      <c r="N2510" s="2" t="s">
        <v>462</v>
      </c>
      <c r="O2510" s="3">
        <v>0.5</v>
      </c>
      <c r="P2510" s="2" t="s">
        <v>73</v>
      </c>
      <c r="Q2510" s="3">
        <v>920.0</v>
      </c>
      <c r="T2510" s="2" t="s">
        <v>8519</v>
      </c>
      <c r="U2510" s="171">
        <v>3099.0</v>
      </c>
      <c r="V2510" s="172">
        <v>46070.0</v>
      </c>
      <c r="W2510" s="3">
        <v>337.0</v>
      </c>
      <c r="X2510" s="172">
        <v>46067.54296472222</v>
      </c>
      <c r="Y2510" s="172"/>
      <c r="Z2510" s="3">
        <v>46063.0</v>
      </c>
      <c r="AA2510" s="3"/>
    </row>
    <row r="2511">
      <c r="A2511" s="3">
        <v>6.905546506499E12</v>
      </c>
      <c r="B2511" s="2" t="s">
        <v>10545</v>
      </c>
      <c r="C2511" s="2" t="s">
        <v>10546</v>
      </c>
      <c r="D2511" s="169">
        <v>46063.0</v>
      </c>
      <c r="E2511" s="173" t="s">
        <v>10547</v>
      </c>
      <c r="F2511" s="2" t="s">
        <v>10548</v>
      </c>
      <c r="G2511" s="2" t="s">
        <v>855</v>
      </c>
      <c r="H2511" s="2">
        <v>249.0</v>
      </c>
      <c r="I2511" s="2">
        <v>2.0120050021824E13</v>
      </c>
      <c r="J2511" s="3">
        <v>0.0</v>
      </c>
      <c r="K2511" s="2" t="s">
        <v>10549</v>
      </c>
      <c r="L2511" s="2"/>
      <c r="M2511" s="170" t="s">
        <v>455</v>
      </c>
      <c r="N2511" s="2" t="s">
        <v>406</v>
      </c>
      <c r="O2511" s="3">
        <v>0.5</v>
      </c>
      <c r="P2511" s="2" t="s">
        <v>73</v>
      </c>
      <c r="Q2511" s="3">
        <v>0.0</v>
      </c>
      <c r="U2511" s="141"/>
      <c r="W2511" s="3">
        <v>200.0</v>
      </c>
      <c r="X2511" s="172">
        <v>46071.77085262732</v>
      </c>
      <c r="Y2511" s="172"/>
      <c r="Z2511" s="3">
        <v>46063.0</v>
      </c>
      <c r="AA2511" s="3"/>
    </row>
    <row r="2512">
      <c r="A2512" s="3">
        <v>6.905562431747E12</v>
      </c>
      <c r="B2512" s="2" t="s">
        <v>10550</v>
      </c>
      <c r="C2512" s="2" t="s">
        <v>10551</v>
      </c>
      <c r="D2512" s="169">
        <v>46063.0</v>
      </c>
      <c r="E2512" s="2">
        <v>3.006406996E9</v>
      </c>
      <c r="F2512" s="2" t="s">
        <v>10552</v>
      </c>
      <c r="G2512" s="2" t="s">
        <v>855</v>
      </c>
      <c r="H2512" s="2">
        <v>3449.0</v>
      </c>
      <c r="I2512" s="2">
        <v>2.6120050021854E13</v>
      </c>
      <c r="J2512" s="3">
        <v>2.0</v>
      </c>
      <c r="K2512" s="2" t="s">
        <v>10553</v>
      </c>
      <c r="L2512" s="2" t="s">
        <v>10554</v>
      </c>
      <c r="M2512" s="2" t="s">
        <v>409</v>
      </c>
      <c r="N2512" s="2" t="s">
        <v>462</v>
      </c>
      <c r="O2512" s="3">
        <v>0.5</v>
      </c>
      <c r="P2512" s="2" t="s">
        <v>73</v>
      </c>
      <c r="Q2512" s="3">
        <v>1650.0</v>
      </c>
      <c r="T2512" s="2" t="s">
        <v>8519</v>
      </c>
      <c r="U2512" s="171">
        <v>3449.0</v>
      </c>
      <c r="V2512" s="172">
        <v>46070.0</v>
      </c>
      <c r="W2512" s="3">
        <v>358.0</v>
      </c>
      <c r="X2512" s="172">
        <v>46066.647192986115</v>
      </c>
      <c r="Y2512" s="172"/>
      <c r="Z2512" s="3">
        <v>46063.0</v>
      </c>
      <c r="AA2512" s="3"/>
    </row>
    <row r="2513">
      <c r="A2513" s="3">
        <v>6.905596084483E12</v>
      </c>
      <c r="B2513" s="2" t="s">
        <v>10555</v>
      </c>
      <c r="C2513" s="2" t="s">
        <v>10556</v>
      </c>
      <c r="D2513" s="169">
        <v>46063.0</v>
      </c>
      <c r="E2513" s="173" t="s">
        <v>10557</v>
      </c>
      <c r="F2513" s="2" t="s">
        <v>10558</v>
      </c>
      <c r="G2513" s="2" t="s">
        <v>10559</v>
      </c>
      <c r="H2513" s="2">
        <v>1674.0</v>
      </c>
      <c r="I2513" s="2">
        <v>1.7301070241E11</v>
      </c>
      <c r="J2513" s="3">
        <v>2.0</v>
      </c>
      <c r="K2513" s="2" t="s">
        <v>10560</v>
      </c>
      <c r="L2513" s="2" t="s">
        <v>10561</v>
      </c>
      <c r="M2513" s="2" t="s">
        <v>409</v>
      </c>
      <c r="N2513" s="2" t="s">
        <v>462</v>
      </c>
      <c r="O2513" s="3">
        <v>0.5</v>
      </c>
      <c r="P2513" s="2" t="s">
        <v>501</v>
      </c>
      <c r="Q2513" s="3">
        <v>1250.0</v>
      </c>
      <c r="T2513" s="2"/>
      <c r="U2513" s="171">
        <v>1674.0</v>
      </c>
      <c r="W2513" s="3">
        <v>271.3776</v>
      </c>
      <c r="X2513" s="172">
        <v>46066.00579255787</v>
      </c>
      <c r="Y2513" s="172"/>
      <c r="Z2513" s="3">
        <v>46063.0</v>
      </c>
      <c r="AA2513" s="3"/>
    </row>
    <row r="2514">
      <c r="A2514" s="3">
        <v>6.905597198595E12</v>
      </c>
      <c r="B2514" s="2" t="s">
        <v>10562</v>
      </c>
      <c r="C2514" s="2" t="s">
        <v>10563</v>
      </c>
      <c r="D2514" s="169">
        <v>46063.0</v>
      </c>
      <c r="E2514" s="2">
        <v>3.315236334E9</v>
      </c>
      <c r="F2514" s="2" t="s">
        <v>10564</v>
      </c>
      <c r="G2514" s="2" t="s">
        <v>366</v>
      </c>
      <c r="H2514" s="2">
        <v>1999.0</v>
      </c>
      <c r="I2514" s="2">
        <v>2.612005002183E13</v>
      </c>
      <c r="J2514" s="3">
        <v>1.0</v>
      </c>
      <c r="K2514" s="2" t="s">
        <v>10565</v>
      </c>
      <c r="L2514" s="2" t="s">
        <v>1855</v>
      </c>
      <c r="M2514" s="2" t="s">
        <v>409</v>
      </c>
      <c r="N2514" s="2" t="s">
        <v>462</v>
      </c>
      <c r="O2514" s="3">
        <v>0.5</v>
      </c>
      <c r="P2514" s="2" t="s">
        <v>73</v>
      </c>
      <c r="Q2514" s="3">
        <v>1100.0</v>
      </c>
      <c r="T2514" s="2" t="s">
        <v>8519</v>
      </c>
      <c r="U2514" s="171">
        <v>1999.0</v>
      </c>
      <c r="V2514" s="172">
        <v>46070.0</v>
      </c>
      <c r="W2514" s="3">
        <v>280.0</v>
      </c>
      <c r="X2514" s="172">
        <v>46066.68883915509</v>
      </c>
      <c r="Y2514" s="172"/>
      <c r="Z2514" s="3">
        <v>46063.0</v>
      </c>
      <c r="AA2514" s="3"/>
    </row>
    <row r="2515">
      <c r="A2515" s="3">
        <v>6.905662767363E12</v>
      </c>
      <c r="B2515" s="2" t="s">
        <v>10566</v>
      </c>
      <c r="C2515" s="2" t="s">
        <v>10567</v>
      </c>
      <c r="D2515" s="169">
        <v>46063.0</v>
      </c>
      <c r="E2515" s="2">
        <v>9.23023007286E11</v>
      </c>
      <c r="F2515" s="2" t="s">
        <v>10568</v>
      </c>
      <c r="G2515" s="2" t="s">
        <v>693</v>
      </c>
      <c r="H2515" s="2">
        <v>5999.0</v>
      </c>
      <c r="I2515" s="2">
        <v>2.7120050021829E13</v>
      </c>
      <c r="J2515" s="3">
        <v>4.0</v>
      </c>
      <c r="K2515" s="2" t="s">
        <v>10569</v>
      </c>
      <c r="L2515" s="2" t="s">
        <v>10570</v>
      </c>
      <c r="M2515" s="2" t="s">
        <v>409</v>
      </c>
      <c r="N2515" s="2" t="s">
        <v>462</v>
      </c>
      <c r="O2515" s="3">
        <v>0.5</v>
      </c>
      <c r="P2515" s="2" t="s">
        <v>73</v>
      </c>
      <c r="Q2515" s="3">
        <v>2520.0</v>
      </c>
      <c r="T2515" s="2" t="s">
        <v>8519</v>
      </c>
      <c r="U2515" s="171">
        <v>5999.0</v>
      </c>
      <c r="V2515" s="172">
        <v>46070.0</v>
      </c>
      <c r="W2515" s="3">
        <v>467.0</v>
      </c>
      <c r="X2515" s="172">
        <v>46067.605433414356</v>
      </c>
      <c r="Y2515" s="172"/>
      <c r="Z2515" s="3">
        <v>46063.0</v>
      </c>
      <c r="AA2515" s="3"/>
    </row>
    <row r="2516">
      <c r="A2516" s="3">
        <v>6.905830408451E12</v>
      </c>
      <c r="B2516" s="2" t="s">
        <v>10571</v>
      </c>
      <c r="C2516" s="2" t="s">
        <v>10572</v>
      </c>
      <c r="D2516" s="169">
        <v>46063.0</v>
      </c>
      <c r="E2516" s="2">
        <v>3.341537521E9</v>
      </c>
      <c r="F2516" s="2" t="s">
        <v>10573</v>
      </c>
      <c r="G2516" s="2" t="s">
        <v>10574</v>
      </c>
      <c r="H2516" s="2">
        <v>2049.0</v>
      </c>
      <c r="I2516" s="2">
        <v>2.0120050021828E13</v>
      </c>
      <c r="J2516" s="3">
        <v>1.0</v>
      </c>
      <c r="K2516" s="2" t="s">
        <v>10575</v>
      </c>
      <c r="L2516" s="2" t="s">
        <v>10576</v>
      </c>
      <c r="M2516" s="2" t="s">
        <v>409</v>
      </c>
      <c r="N2516" s="2" t="s">
        <v>462</v>
      </c>
      <c r="O2516" s="3">
        <v>0.5</v>
      </c>
      <c r="P2516" s="2" t="s">
        <v>73</v>
      </c>
      <c r="Q2516" s="3">
        <v>460.0</v>
      </c>
      <c r="T2516" s="2" t="s">
        <v>8519</v>
      </c>
      <c r="U2516" s="171">
        <v>2049.0</v>
      </c>
      <c r="V2516" s="172">
        <v>46070.0</v>
      </c>
      <c r="W2516" s="3">
        <v>282.0</v>
      </c>
      <c r="X2516" s="172">
        <v>46066.56381895833</v>
      </c>
      <c r="Y2516" s="172"/>
      <c r="Z2516" s="3">
        <v>46063.0</v>
      </c>
      <c r="AA2516" s="3"/>
    </row>
    <row r="2517">
      <c r="A2517" s="3">
        <v>6.905955877123E12</v>
      </c>
      <c r="B2517" s="2" t="s">
        <v>10577</v>
      </c>
      <c r="C2517" s="2" t="s">
        <v>10578</v>
      </c>
      <c r="D2517" s="169">
        <v>46063.0</v>
      </c>
      <c r="E2517" s="2">
        <v>3.008624335E9</v>
      </c>
      <c r="F2517" s="2" t="s">
        <v>10579</v>
      </c>
      <c r="G2517" s="2" t="s">
        <v>1016</v>
      </c>
      <c r="H2517" s="2">
        <v>249.0</v>
      </c>
      <c r="I2517" s="2">
        <v>1.73010736081E11</v>
      </c>
      <c r="J2517" s="3">
        <v>0.0</v>
      </c>
      <c r="K2517" s="2" t="s">
        <v>10580</v>
      </c>
      <c r="L2517" s="2"/>
      <c r="M2517" s="170" t="s">
        <v>455</v>
      </c>
      <c r="N2517" s="2" t="s">
        <v>406</v>
      </c>
      <c r="O2517" s="3">
        <v>0.5</v>
      </c>
      <c r="P2517" s="2" t="s">
        <v>501</v>
      </c>
      <c r="Q2517" s="3">
        <v>0.0</v>
      </c>
      <c r="T2517" s="2" t="s">
        <v>8550</v>
      </c>
      <c r="U2517" s="141"/>
      <c r="W2517" s="3">
        <v>289.94</v>
      </c>
      <c r="X2517" s="172">
        <v>46078.834338368055</v>
      </c>
      <c r="Y2517" s="172"/>
      <c r="Z2517" s="3">
        <v>46063.0</v>
      </c>
      <c r="AA2517" s="3"/>
    </row>
    <row r="2518">
      <c r="A2518" s="3">
        <v>6.906472988931E12</v>
      </c>
      <c r="B2518" s="2" t="s">
        <v>10581</v>
      </c>
      <c r="C2518" s="2" t="s">
        <v>10582</v>
      </c>
      <c r="D2518" s="169">
        <v>46064.0</v>
      </c>
      <c r="E2518" s="2">
        <v>3.323577711E9</v>
      </c>
      <c r="F2518" s="2" t="s">
        <v>10583</v>
      </c>
      <c r="G2518" s="2" t="s">
        <v>7463</v>
      </c>
      <c r="H2518" s="2">
        <v>2749.0</v>
      </c>
      <c r="I2518" s="2">
        <v>2.5120050021827E13</v>
      </c>
      <c r="J2518" s="3">
        <v>2.0</v>
      </c>
      <c r="K2518" s="2" t="s">
        <v>10584</v>
      </c>
      <c r="L2518" s="2" t="s">
        <v>35</v>
      </c>
      <c r="M2518" s="2" t="s">
        <v>409</v>
      </c>
      <c r="N2518" s="2" t="s">
        <v>462</v>
      </c>
      <c r="O2518" s="3">
        <v>0.5</v>
      </c>
      <c r="P2518" s="2" t="s">
        <v>73</v>
      </c>
      <c r="Q2518" s="3">
        <v>980.0</v>
      </c>
      <c r="T2518" s="2" t="s">
        <v>8519</v>
      </c>
      <c r="U2518" s="171">
        <v>2749.0</v>
      </c>
      <c r="V2518" s="172">
        <v>46070.0</v>
      </c>
      <c r="W2518" s="3">
        <v>310.0</v>
      </c>
      <c r="X2518" s="172">
        <v>46066.43906725694</v>
      </c>
      <c r="Y2518" s="172"/>
      <c r="Z2518" s="3">
        <v>46064.0</v>
      </c>
      <c r="AA2518" s="3"/>
    </row>
    <row r="2519">
      <c r="A2519" s="3">
        <v>6.906674020611E12</v>
      </c>
      <c r="B2519" s="2" t="s">
        <v>10585</v>
      </c>
      <c r="C2519" s="2" t="s">
        <v>10586</v>
      </c>
      <c r="D2519" s="169">
        <v>46064.0</v>
      </c>
      <c r="E2519" s="2">
        <v>3.363634444E9</v>
      </c>
      <c r="F2519" s="2" t="s">
        <v>10587</v>
      </c>
      <c r="G2519" s="2" t="s">
        <v>10588</v>
      </c>
      <c r="H2519" s="2">
        <v>3099.0</v>
      </c>
      <c r="I2519" s="2">
        <v>2.6120050021826E13</v>
      </c>
      <c r="J2519" s="3">
        <v>2.0</v>
      </c>
      <c r="K2519" s="2" t="s">
        <v>10589</v>
      </c>
      <c r="L2519" s="2" t="s">
        <v>50</v>
      </c>
      <c r="M2519" s="2" t="s">
        <v>409</v>
      </c>
      <c r="N2519" s="2" t="s">
        <v>462</v>
      </c>
      <c r="O2519" s="3">
        <v>0.5</v>
      </c>
      <c r="P2519" s="2" t="s">
        <v>73</v>
      </c>
      <c r="Q2519" s="3">
        <v>920.0</v>
      </c>
      <c r="T2519" s="2" t="s">
        <v>8519</v>
      </c>
      <c r="U2519" s="171">
        <v>3099.0</v>
      </c>
      <c r="V2519" s="172">
        <v>46070.0</v>
      </c>
      <c r="W2519" s="3">
        <v>324.0</v>
      </c>
      <c r="X2519" s="172">
        <v>46066.60559153935</v>
      </c>
      <c r="Y2519" s="172"/>
      <c r="Z2519" s="3">
        <v>46064.0</v>
      </c>
      <c r="AA2519" s="3"/>
    </row>
    <row r="2520">
      <c r="A2520" s="3">
        <v>6.906702823683E12</v>
      </c>
      <c r="B2520" s="2" t="s">
        <v>10590</v>
      </c>
      <c r="C2520" s="2" t="s">
        <v>2533</v>
      </c>
      <c r="D2520" s="169">
        <v>46064.0</v>
      </c>
      <c r="E2520" s="2">
        <v>3.705152716E9</v>
      </c>
      <c r="F2520" s="2" t="s">
        <v>2534</v>
      </c>
      <c r="G2520" s="2" t="s">
        <v>366</v>
      </c>
      <c r="H2520" s="2">
        <v>5699.0</v>
      </c>
      <c r="I2520" s="2">
        <v>2.8120050021825E13</v>
      </c>
      <c r="J2520" s="3">
        <v>4.0</v>
      </c>
      <c r="K2520" s="2" t="s">
        <v>10591</v>
      </c>
      <c r="L2520" s="2" t="s">
        <v>10592</v>
      </c>
      <c r="M2520" s="2" t="s">
        <v>409</v>
      </c>
      <c r="N2520" s="2" t="s">
        <v>462</v>
      </c>
      <c r="O2520" s="3">
        <v>0.5</v>
      </c>
      <c r="P2520" s="2" t="s">
        <v>73</v>
      </c>
      <c r="Q2520" s="3">
        <v>1970.0</v>
      </c>
      <c r="T2520" s="2" t="s">
        <v>8519</v>
      </c>
      <c r="U2520" s="171">
        <v>5699.0</v>
      </c>
      <c r="V2520" s="172">
        <v>46070.0</v>
      </c>
      <c r="W2520" s="3">
        <v>448.0</v>
      </c>
      <c r="X2520" s="172">
        <v>46066.50134103009</v>
      </c>
      <c r="Y2520" s="172"/>
      <c r="Z2520" s="3">
        <v>46064.0</v>
      </c>
      <c r="AA2520" s="3"/>
    </row>
    <row r="2521">
      <c r="A2521" s="3">
        <v>6.906704232707E12</v>
      </c>
      <c r="B2521" s="2" t="s">
        <v>10593</v>
      </c>
      <c r="C2521" s="2" t="s">
        <v>2533</v>
      </c>
      <c r="D2521" s="169">
        <v>46064.0</v>
      </c>
      <c r="E2521" s="2">
        <v>3.705152716E9</v>
      </c>
      <c r="F2521" s="2" t="s">
        <v>2534</v>
      </c>
      <c r="G2521" s="2" t="s">
        <v>366</v>
      </c>
      <c r="H2521" s="2">
        <v>0.0</v>
      </c>
      <c r="J2521" s="3">
        <v>0.0</v>
      </c>
      <c r="K2521" s="2" t="s">
        <v>7954</v>
      </c>
      <c r="L2521" s="2"/>
      <c r="M2521" s="2" t="s">
        <v>468</v>
      </c>
      <c r="N2521" s="2" t="s">
        <v>406</v>
      </c>
      <c r="O2521" s="3">
        <v>0.5</v>
      </c>
      <c r="Q2521" s="3">
        <v>0.0</v>
      </c>
      <c r="U2521" s="141"/>
      <c r="X2521" s="172">
        <v>46065.24095112269</v>
      </c>
      <c r="Y2521" s="172"/>
      <c r="Z2521" s="3">
        <v>46064.0</v>
      </c>
      <c r="AA2521" s="3"/>
    </row>
    <row r="2522">
      <c r="A2522" s="3">
        <v>6.906750337283E12</v>
      </c>
      <c r="B2522" s="2" t="s">
        <v>10594</v>
      </c>
      <c r="C2522" s="2" t="s">
        <v>4061</v>
      </c>
      <c r="D2522" s="169">
        <v>46064.0</v>
      </c>
      <c r="E2522" s="2">
        <v>3.325720085E9</v>
      </c>
      <c r="F2522" s="2" t="s">
        <v>4062</v>
      </c>
      <c r="G2522" s="2" t="s">
        <v>366</v>
      </c>
      <c r="H2522" s="2">
        <v>1699.0</v>
      </c>
      <c r="I2522" s="2">
        <v>2.2120050021836E13</v>
      </c>
      <c r="J2522" s="3">
        <v>1.0</v>
      </c>
      <c r="K2522" s="2" t="s">
        <v>10595</v>
      </c>
      <c r="L2522" s="2" t="s">
        <v>9249</v>
      </c>
      <c r="M2522" s="2" t="s">
        <v>409</v>
      </c>
      <c r="N2522" s="2" t="s">
        <v>462</v>
      </c>
      <c r="O2522" s="3">
        <v>0.5</v>
      </c>
      <c r="P2522" s="2" t="s">
        <v>73</v>
      </c>
      <c r="Q2522" s="3">
        <v>550.0</v>
      </c>
      <c r="T2522" s="2" t="s">
        <v>10233</v>
      </c>
      <c r="U2522" s="171">
        <v>1699.0</v>
      </c>
      <c r="W2522" s="3">
        <v>206.0</v>
      </c>
      <c r="X2522" s="172">
        <v>46073.52085197916</v>
      </c>
      <c r="Y2522" s="172"/>
      <c r="Z2522" s="3">
        <v>46064.0</v>
      </c>
      <c r="AA2522" s="3"/>
    </row>
    <row r="2523">
      <c r="A2523" s="3">
        <v>6.906781860099E12</v>
      </c>
      <c r="B2523" s="2" t="s">
        <v>10596</v>
      </c>
      <c r="C2523" s="2" t="s">
        <v>10597</v>
      </c>
      <c r="D2523" s="169">
        <v>46064.0</v>
      </c>
      <c r="E2523" s="2">
        <v>3.218801019E9</v>
      </c>
      <c r="F2523" s="2" t="s">
        <v>10598</v>
      </c>
      <c r="G2523" s="2" t="s">
        <v>368</v>
      </c>
      <c r="H2523" s="2">
        <v>0.0</v>
      </c>
      <c r="J2523" s="3">
        <v>0.0</v>
      </c>
      <c r="K2523" s="2" t="s">
        <v>10599</v>
      </c>
      <c r="L2523" s="2"/>
      <c r="M2523" s="2" t="s">
        <v>468</v>
      </c>
      <c r="N2523" s="2" t="s">
        <v>406</v>
      </c>
      <c r="O2523" s="3">
        <v>0.5</v>
      </c>
      <c r="Q2523" s="3">
        <v>0.0</v>
      </c>
      <c r="U2523" s="141"/>
      <c r="X2523" s="172">
        <v>46065.24095112269</v>
      </c>
      <c r="Y2523" s="172"/>
      <c r="Z2523" s="3">
        <v>46064.0</v>
      </c>
      <c r="AA2523" s="3"/>
    </row>
    <row r="2524">
      <c r="A2524" s="3">
        <v>6.906829406467E12</v>
      </c>
      <c r="B2524" s="2" t="s">
        <v>10600</v>
      </c>
      <c r="C2524" s="2" t="s">
        <v>10601</v>
      </c>
      <c r="D2524" s="169">
        <v>46064.0</v>
      </c>
      <c r="E2524" s="173" t="s">
        <v>10602</v>
      </c>
      <c r="F2524" s="2" t="s">
        <v>10603</v>
      </c>
      <c r="G2524" s="2" t="s">
        <v>3305</v>
      </c>
      <c r="H2524" s="2">
        <v>3150.0</v>
      </c>
      <c r="I2524" s="2">
        <v>2.6120050021823E13</v>
      </c>
      <c r="J2524" s="3">
        <v>2.0</v>
      </c>
      <c r="K2524" s="2" t="s">
        <v>10604</v>
      </c>
      <c r="L2524" s="2" t="s">
        <v>10605</v>
      </c>
      <c r="M2524" s="2" t="s">
        <v>409</v>
      </c>
      <c r="N2524" s="2" t="s">
        <v>462</v>
      </c>
      <c r="O2524" s="3">
        <v>0.5</v>
      </c>
      <c r="P2524" s="2" t="s">
        <v>73</v>
      </c>
      <c r="Q2524" s="3">
        <v>1100.0</v>
      </c>
      <c r="T2524" s="2" t="s">
        <v>9599</v>
      </c>
      <c r="U2524" s="171">
        <v>3150.0</v>
      </c>
      <c r="V2524" s="172">
        <v>46073.0</v>
      </c>
      <c r="W2524" s="3">
        <v>346.0</v>
      </c>
      <c r="X2524" s="172">
        <v>46070.655703807875</v>
      </c>
      <c r="Y2524" s="172"/>
      <c r="Z2524" s="3">
        <v>46064.0</v>
      </c>
      <c r="AA2524" s="3"/>
    </row>
    <row r="2525">
      <c r="A2525" s="3">
        <v>6.906871120131E12</v>
      </c>
      <c r="B2525" s="2" t="s">
        <v>10606</v>
      </c>
      <c r="C2525" s="2" t="s">
        <v>6845</v>
      </c>
      <c r="D2525" s="169">
        <v>46064.0</v>
      </c>
      <c r="E2525" s="2">
        <v>3.248009705E9</v>
      </c>
      <c r="F2525" s="2" t="s">
        <v>10607</v>
      </c>
      <c r="G2525" s="2" t="s">
        <v>368</v>
      </c>
      <c r="H2525" s="2">
        <v>3099.0</v>
      </c>
      <c r="I2525" s="2">
        <v>2.6120050021859E13</v>
      </c>
      <c r="J2525" s="3">
        <v>2.0</v>
      </c>
      <c r="K2525" s="2" t="s">
        <v>10608</v>
      </c>
      <c r="L2525" s="2" t="s">
        <v>275</v>
      </c>
      <c r="M2525" s="2" t="s">
        <v>409</v>
      </c>
      <c r="N2525" s="2" t="s">
        <v>462</v>
      </c>
      <c r="O2525" s="3">
        <v>0.5</v>
      </c>
      <c r="P2525" s="2" t="s">
        <v>73</v>
      </c>
      <c r="Q2525" s="3">
        <v>960.0</v>
      </c>
      <c r="T2525" s="2" t="s">
        <v>8519</v>
      </c>
      <c r="U2525" s="171">
        <v>3099.0</v>
      </c>
      <c r="V2525" s="172">
        <v>46070.0</v>
      </c>
      <c r="W2525" s="3">
        <v>231.0</v>
      </c>
      <c r="X2525" s="172">
        <v>46066.50135305556</v>
      </c>
      <c r="Y2525" s="172"/>
      <c r="Z2525" s="3">
        <v>46064.0</v>
      </c>
      <c r="AA2525" s="3"/>
    </row>
    <row r="2526">
      <c r="A2526" s="3">
        <v>6.906981810435E12</v>
      </c>
      <c r="B2526" s="2" t="s">
        <v>10609</v>
      </c>
      <c r="C2526" s="2" t="s">
        <v>10610</v>
      </c>
      <c r="D2526" s="169">
        <v>46064.0</v>
      </c>
      <c r="E2526" s="2">
        <v>3.219897837E9</v>
      </c>
      <c r="F2526" s="2" t="s">
        <v>10611</v>
      </c>
      <c r="G2526" s="2" t="s">
        <v>688</v>
      </c>
      <c r="H2526" s="2">
        <v>1449.0</v>
      </c>
      <c r="I2526" s="2">
        <v>2.8120050021858E13</v>
      </c>
      <c r="J2526" s="3">
        <v>1.0</v>
      </c>
      <c r="K2526" s="2" t="s">
        <v>10612</v>
      </c>
      <c r="L2526" s="2" t="s">
        <v>741</v>
      </c>
      <c r="M2526" s="2" t="s">
        <v>409</v>
      </c>
      <c r="N2526" s="2" t="s">
        <v>462</v>
      </c>
      <c r="O2526" s="3">
        <v>0.5</v>
      </c>
      <c r="P2526" s="2" t="s">
        <v>73</v>
      </c>
      <c r="Q2526" s="3">
        <v>550.0</v>
      </c>
      <c r="T2526" s="2" t="s">
        <v>8519</v>
      </c>
      <c r="U2526" s="171">
        <v>1449.0</v>
      </c>
      <c r="V2526" s="172">
        <v>46070.0</v>
      </c>
      <c r="W2526" s="3">
        <v>258.0</v>
      </c>
      <c r="X2526" s="172">
        <v>46066.543005671294</v>
      </c>
      <c r="Y2526" s="172"/>
      <c r="Z2526" s="3">
        <v>46064.0</v>
      </c>
      <c r="AA2526" s="3"/>
    </row>
    <row r="2527">
      <c r="A2527" s="3">
        <v>6.907264925955E12</v>
      </c>
      <c r="B2527" s="2" t="s">
        <v>10613</v>
      </c>
      <c r="C2527" s="2" t="s">
        <v>10614</v>
      </c>
      <c r="D2527" s="169">
        <v>46064.0</v>
      </c>
      <c r="E2527" s="173" t="s">
        <v>10615</v>
      </c>
      <c r="F2527" s="2" t="s">
        <v>10616</v>
      </c>
      <c r="G2527" s="2" t="s">
        <v>493</v>
      </c>
      <c r="H2527" s="2">
        <v>1499.0</v>
      </c>
      <c r="I2527" s="2">
        <v>2.0120050021853E13</v>
      </c>
      <c r="J2527" s="3">
        <v>1.0</v>
      </c>
      <c r="K2527" s="2" t="s">
        <v>10617</v>
      </c>
      <c r="L2527" s="2" t="s">
        <v>10618</v>
      </c>
      <c r="M2527" s="2" t="s">
        <v>409</v>
      </c>
      <c r="N2527" s="2" t="s">
        <v>462</v>
      </c>
      <c r="O2527" s="3">
        <v>0.5</v>
      </c>
      <c r="P2527" s="2" t="s">
        <v>73</v>
      </c>
      <c r="Q2527" s="3">
        <v>750.0</v>
      </c>
      <c r="T2527" s="2" t="s">
        <v>8519</v>
      </c>
      <c r="U2527" s="171">
        <v>1499.0</v>
      </c>
      <c r="V2527" s="172">
        <v>46070.0</v>
      </c>
      <c r="W2527" s="3">
        <v>273.0</v>
      </c>
      <c r="X2527" s="172">
        <v>46070.65570383102</v>
      </c>
      <c r="Y2527" s="172"/>
      <c r="Z2527" s="3">
        <v>46064.0</v>
      </c>
      <c r="AA2527" s="3"/>
    </row>
    <row r="2528">
      <c r="A2528" s="3">
        <v>6.907292057859E12</v>
      </c>
      <c r="B2528" s="2" t="s">
        <v>10619</v>
      </c>
      <c r="C2528" s="2" t="s">
        <v>10620</v>
      </c>
      <c r="D2528" s="169">
        <v>46064.0</v>
      </c>
      <c r="E2528" s="2">
        <v>3.067722644E9</v>
      </c>
      <c r="F2528" s="2" t="s">
        <v>10621</v>
      </c>
      <c r="G2528" s="2" t="s">
        <v>2608</v>
      </c>
      <c r="H2528" s="2">
        <v>249.0</v>
      </c>
      <c r="I2528" s="2">
        <v>2.1120050021852E13</v>
      </c>
      <c r="J2528" s="3">
        <v>0.0</v>
      </c>
      <c r="K2528" s="2" t="s">
        <v>10622</v>
      </c>
      <c r="L2528" s="2"/>
      <c r="M2528" s="170" t="s">
        <v>455</v>
      </c>
      <c r="N2528" s="2" t="s">
        <v>406</v>
      </c>
      <c r="O2528" s="3">
        <v>0.5</v>
      </c>
      <c r="P2528" s="2" t="s">
        <v>73</v>
      </c>
      <c r="Q2528" s="3">
        <v>0.0</v>
      </c>
      <c r="U2528" s="141"/>
      <c r="W2528" s="3">
        <v>220.0</v>
      </c>
      <c r="X2528" s="172">
        <v>46073.749464884255</v>
      </c>
      <c r="Y2528" s="172"/>
      <c r="Z2528" s="3">
        <v>46064.0</v>
      </c>
      <c r="AA2528" s="3"/>
    </row>
    <row r="2529">
      <c r="A2529" s="3">
        <v>6.907304476931E12</v>
      </c>
      <c r="B2529" s="2" t="s">
        <v>10623</v>
      </c>
      <c r="C2529" s="2" t="s">
        <v>10624</v>
      </c>
      <c r="D2529" s="169">
        <v>46064.0</v>
      </c>
      <c r="E2529" s="2">
        <v>3.027230102E9</v>
      </c>
      <c r="F2529" s="2" t="s">
        <v>10625</v>
      </c>
      <c r="G2529" s="2" t="s">
        <v>701</v>
      </c>
      <c r="H2529" s="2">
        <v>3099.0</v>
      </c>
      <c r="I2529" s="2">
        <v>2.5120050021851E13</v>
      </c>
      <c r="J2529" s="3">
        <v>2.0</v>
      </c>
      <c r="K2529" s="2" t="s">
        <v>10626</v>
      </c>
      <c r="L2529" s="2" t="s">
        <v>40</v>
      </c>
      <c r="M2529" s="2" t="s">
        <v>409</v>
      </c>
      <c r="N2529" s="2" t="s">
        <v>462</v>
      </c>
      <c r="O2529" s="3">
        <v>0.5</v>
      </c>
      <c r="P2529" s="2" t="s">
        <v>73</v>
      </c>
      <c r="Q2529" s="3">
        <v>920.0</v>
      </c>
      <c r="T2529" s="2" t="s">
        <v>8519</v>
      </c>
      <c r="U2529" s="171">
        <v>3099.0</v>
      </c>
      <c r="V2529" s="172">
        <v>46070.0</v>
      </c>
      <c r="W2529" s="3">
        <v>324.0</v>
      </c>
      <c r="X2529" s="172">
        <v>46066.667961134255</v>
      </c>
      <c r="Y2529" s="172"/>
      <c r="Z2529" s="3">
        <v>46064.0</v>
      </c>
      <c r="AA2529" s="3"/>
    </row>
    <row r="2530">
      <c r="A2530" s="3">
        <v>6.907384955139E12</v>
      </c>
      <c r="B2530" s="2" t="s">
        <v>10627</v>
      </c>
      <c r="C2530" s="2" t="s">
        <v>10628</v>
      </c>
      <c r="D2530" s="169">
        <v>46064.0</v>
      </c>
      <c r="E2530" s="2">
        <v>3.096323007E9</v>
      </c>
      <c r="F2530" s="2" t="s">
        <v>10629</v>
      </c>
      <c r="G2530" s="2" t="s">
        <v>2725</v>
      </c>
      <c r="H2530" s="2">
        <v>3850.0</v>
      </c>
      <c r="I2530" s="2">
        <v>1.73010736084E11</v>
      </c>
      <c r="J2530" s="3">
        <v>3.0</v>
      </c>
      <c r="K2530" s="2" t="s">
        <v>10630</v>
      </c>
      <c r="L2530" s="2" t="s">
        <v>10631</v>
      </c>
      <c r="M2530" s="2" t="s">
        <v>409</v>
      </c>
      <c r="N2530" s="2" t="s">
        <v>462</v>
      </c>
      <c r="O2530" s="3">
        <v>0.5</v>
      </c>
      <c r="P2530" s="2" t="s">
        <v>501</v>
      </c>
      <c r="Q2530" s="3">
        <v>1600.0</v>
      </c>
      <c r="T2530" s="2"/>
      <c r="U2530" s="171">
        <v>3850.0</v>
      </c>
      <c r="W2530" s="3">
        <v>301.5376</v>
      </c>
      <c r="X2530" s="172">
        <v>46066.672436712965</v>
      </c>
      <c r="Y2530" s="172"/>
      <c r="Z2530" s="3">
        <v>46064.0</v>
      </c>
      <c r="AA2530" s="3"/>
    </row>
    <row r="2531">
      <c r="A2531" s="3">
        <v>6.907394261251E12</v>
      </c>
      <c r="B2531" s="2" t="s">
        <v>10632</v>
      </c>
      <c r="C2531" s="2" t="s">
        <v>10633</v>
      </c>
      <c r="D2531" s="169">
        <v>46064.0</v>
      </c>
      <c r="E2531" s="2">
        <v>3.137767806E9</v>
      </c>
      <c r="F2531" s="2" t="s">
        <v>10634</v>
      </c>
      <c r="G2531" s="2" t="s">
        <v>1587</v>
      </c>
      <c r="H2531" s="2">
        <v>3099.0</v>
      </c>
      <c r="I2531" s="2">
        <v>2.212005002185E13</v>
      </c>
      <c r="J2531" s="3">
        <v>2.0</v>
      </c>
      <c r="K2531" s="2" t="s">
        <v>10635</v>
      </c>
      <c r="L2531" s="2" t="s">
        <v>2562</v>
      </c>
      <c r="M2531" s="2" t="s">
        <v>409</v>
      </c>
      <c r="N2531" s="2" t="s">
        <v>462</v>
      </c>
      <c r="O2531" s="3">
        <v>0.5</v>
      </c>
      <c r="P2531" s="2" t="s">
        <v>73</v>
      </c>
      <c r="Q2531" s="3">
        <v>1000.0</v>
      </c>
      <c r="T2531" s="2" t="s">
        <v>8519</v>
      </c>
      <c r="U2531" s="171">
        <v>3099.0</v>
      </c>
      <c r="V2531" s="172">
        <v>46070.0</v>
      </c>
      <c r="W2531" s="3">
        <v>324.0</v>
      </c>
      <c r="X2531" s="172">
        <v>46066.584773124996</v>
      </c>
      <c r="Y2531" s="172"/>
      <c r="Z2531" s="3">
        <v>46064.0</v>
      </c>
      <c r="AA2531" s="3"/>
    </row>
    <row r="2532">
      <c r="A2532" s="3">
        <v>6.907404747011E12</v>
      </c>
      <c r="B2532" s="2" t="s">
        <v>10636</v>
      </c>
      <c r="C2532" s="2" t="s">
        <v>10015</v>
      </c>
      <c r="D2532" s="169">
        <v>46064.0</v>
      </c>
      <c r="E2532" s="2">
        <v>3.217647771E9</v>
      </c>
      <c r="F2532" s="2" t="s">
        <v>10637</v>
      </c>
      <c r="G2532" s="2" t="s">
        <v>10638</v>
      </c>
      <c r="H2532" s="2">
        <v>4599.0</v>
      </c>
      <c r="I2532" s="2">
        <v>2.8120050021849E13</v>
      </c>
      <c r="J2532" s="3">
        <v>3.0</v>
      </c>
      <c r="K2532" s="2" t="s">
        <v>10639</v>
      </c>
      <c r="L2532" s="2" t="s">
        <v>10640</v>
      </c>
      <c r="M2532" s="2" t="s">
        <v>409</v>
      </c>
      <c r="N2532" s="2" t="s">
        <v>462</v>
      </c>
      <c r="O2532" s="3">
        <v>0.5</v>
      </c>
      <c r="P2532" s="2" t="s">
        <v>73</v>
      </c>
      <c r="Q2532" s="3">
        <v>1650.0</v>
      </c>
      <c r="T2532" s="2" t="s">
        <v>8519</v>
      </c>
      <c r="U2532" s="171">
        <v>4599.0</v>
      </c>
      <c r="V2532" s="172">
        <v>46070.0</v>
      </c>
      <c r="W2532" s="3">
        <v>404.0</v>
      </c>
      <c r="X2532" s="172">
        <v>46067.81382416667</v>
      </c>
      <c r="Y2532" s="172"/>
      <c r="Z2532" s="3">
        <v>46064.0</v>
      </c>
      <c r="AA2532" s="3"/>
    </row>
    <row r="2533">
      <c r="A2533" s="3">
        <v>6.907416641795E12</v>
      </c>
      <c r="B2533" s="2" t="s">
        <v>10641</v>
      </c>
      <c r="C2533" s="2" t="s">
        <v>10642</v>
      </c>
      <c r="D2533" s="169">
        <v>46064.0</v>
      </c>
      <c r="E2533" s="173" t="s">
        <v>10643</v>
      </c>
      <c r="F2533" s="2" t="s">
        <v>10644</v>
      </c>
      <c r="G2533" s="2" t="s">
        <v>678</v>
      </c>
      <c r="H2533" s="2">
        <v>2849.0</v>
      </c>
      <c r="I2533" s="2">
        <v>2.9120050021848E13</v>
      </c>
      <c r="J2533" s="3">
        <v>2.0</v>
      </c>
      <c r="K2533" s="2" t="s">
        <v>10645</v>
      </c>
      <c r="L2533" s="2" t="s">
        <v>4209</v>
      </c>
      <c r="M2533" s="2" t="s">
        <v>409</v>
      </c>
      <c r="N2533" s="2" t="s">
        <v>462</v>
      </c>
      <c r="O2533" s="3">
        <v>0.5</v>
      </c>
      <c r="P2533" s="2" t="s">
        <v>73</v>
      </c>
      <c r="Q2533" s="3">
        <v>920.0</v>
      </c>
      <c r="T2533" s="2" t="s">
        <v>8519</v>
      </c>
      <c r="U2533" s="171">
        <v>2849.0</v>
      </c>
      <c r="V2533" s="172">
        <v>46070.0</v>
      </c>
      <c r="W2533" s="3">
        <v>221.0</v>
      </c>
      <c r="X2533" s="172">
        <v>46066.58478380787</v>
      </c>
      <c r="Y2533" s="172"/>
      <c r="Z2533" s="3">
        <v>46064.0</v>
      </c>
      <c r="AA2533" s="3"/>
    </row>
    <row r="2534">
      <c r="A2534" s="3">
        <v>6.907510718723E12</v>
      </c>
      <c r="B2534" s="2" t="s">
        <v>10646</v>
      </c>
      <c r="C2534" s="2" t="s">
        <v>30</v>
      </c>
      <c r="D2534" s="169">
        <v>46065.0</v>
      </c>
      <c r="E2534" s="2">
        <v>3.425169661E9</v>
      </c>
      <c r="F2534" s="2" t="s">
        <v>31</v>
      </c>
      <c r="G2534" s="2" t="s">
        <v>493</v>
      </c>
      <c r="H2534" s="2">
        <v>3099.0</v>
      </c>
      <c r="I2534" s="2">
        <v>2.6120050021847E13</v>
      </c>
      <c r="J2534" s="3">
        <v>2.0</v>
      </c>
      <c r="K2534" s="2" t="s">
        <v>10647</v>
      </c>
      <c r="L2534" s="2" t="s">
        <v>27</v>
      </c>
      <c r="M2534" s="2" t="s">
        <v>409</v>
      </c>
      <c r="N2534" s="2" t="s">
        <v>462</v>
      </c>
      <c r="O2534" s="3">
        <v>0.5</v>
      </c>
      <c r="P2534" s="2" t="s">
        <v>73</v>
      </c>
      <c r="Q2534" s="3">
        <v>920.0</v>
      </c>
      <c r="T2534" s="2" t="s">
        <v>9599</v>
      </c>
      <c r="U2534" s="171">
        <v>3099.0</v>
      </c>
      <c r="V2534" s="172">
        <v>46073.0</v>
      </c>
      <c r="W2534" s="3">
        <v>337.0</v>
      </c>
      <c r="X2534" s="172">
        <v>46071.749321944444</v>
      </c>
      <c r="Y2534" s="172"/>
      <c r="Z2534" s="3">
        <v>46065.0</v>
      </c>
      <c r="AA2534" s="3"/>
    </row>
    <row r="2535">
      <c r="A2535" s="3">
        <v>6.907526512899E12</v>
      </c>
      <c r="B2535" s="2" t="s">
        <v>10648</v>
      </c>
      <c r="C2535" s="2" t="s">
        <v>10649</v>
      </c>
      <c r="D2535" s="169">
        <v>46065.0</v>
      </c>
      <c r="E2535" s="2">
        <v>3.334615513E9</v>
      </c>
      <c r="F2535" s="2" t="s">
        <v>10650</v>
      </c>
      <c r="G2535" s="2" t="s">
        <v>855</v>
      </c>
      <c r="H2535" s="2">
        <v>2049.0</v>
      </c>
      <c r="I2535" s="2">
        <v>2.1120050021846E13</v>
      </c>
      <c r="J2535" s="3">
        <v>1.0</v>
      </c>
      <c r="K2535" s="2" t="s">
        <v>10651</v>
      </c>
      <c r="L2535" s="2" t="s">
        <v>10652</v>
      </c>
      <c r="M2535" s="2" t="s">
        <v>409</v>
      </c>
      <c r="N2535" s="2" t="s">
        <v>462</v>
      </c>
      <c r="O2535" s="3">
        <v>0.5</v>
      </c>
      <c r="P2535" s="2" t="s">
        <v>73</v>
      </c>
      <c r="Q2535" s="3">
        <v>480.0</v>
      </c>
      <c r="T2535" s="2" t="s">
        <v>8519</v>
      </c>
      <c r="U2535" s="171">
        <v>2049.0</v>
      </c>
      <c r="V2535" s="172">
        <v>46070.0</v>
      </c>
      <c r="W2535" s="3">
        <v>282.0</v>
      </c>
      <c r="X2535" s="172">
        <v>46067.50133122686</v>
      </c>
      <c r="Y2535" s="172"/>
      <c r="Z2535" s="3">
        <v>46065.0</v>
      </c>
      <c r="AA2535" s="3"/>
    </row>
    <row r="2536">
      <c r="A2536" s="3">
        <v>6.907572748547E12</v>
      </c>
      <c r="B2536" s="2" t="s">
        <v>10653</v>
      </c>
      <c r="C2536" s="2" t="s">
        <v>10654</v>
      </c>
      <c r="D2536" s="169">
        <v>46065.0</v>
      </c>
      <c r="E2536" s="2">
        <v>3.454935474E9</v>
      </c>
      <c r="F2536" s="2" t="s">
        <v>10655</v>
      </c>
      <c r="G2536" s="2" t="s">
        <v>541</v>
      </c>
      <c r="H2536" s="2">
        <v>0.0</v>
      </c>
      <c r="J2536" s="3">
        <v>0.0</v>
      </c>
      <c r="K2536" s="2" t="s">
        <v>10656</v>
      </c>
      <c r="L2536" s="2"/>
      <c r="M2536" s="2" t="s">
        <v>468</v>
      </c>
      <c r="N2536" s="2" t="s">
        <v>406</v>
      </c>
      <c r="O2536" s="3">
        <v>0.5</v>
      </c>
      <c r="Q2536" s="3">
        <v>0.0</v>
      </c>
      <c r="U2536" s="141"/>
      <c r="X2536" s="172">
        <v>46065.240951134256</v>
      </c>
      <c r="Y2536" s="172"/>
      <c r="Z2536" s="3">
        <v>46065.0</v>
      </c>
      <c r="AA2536" s="3"/>
    </row>
    <row r="2537">
      <c r="A2537" s="3">
        <v>6.907752644867E12</v>
      </c>
      <c r="B2537" s="2" t="s">
        <v>10657</v>
      </c>
      <c r="C2537" s="2" t="s">
        <v>10658</v>
      </c>
      <c r="D2537" s="169">
        <v>46065.0</v>
      </c>
      <c r="E2537" s="173" t="s">
        <v>10659</v>
      </c>
      <c r="F2537" s="2" t="s">
        <v>10660</v>
      </c>
      <c r="G2537" s="2" t="s">
        <v>672</v>
      </c>
      <c r="H2537" s="2">
        <v>3099.0</v>
      </c>
      <c r="I2537" s="2">
        <v>2.4120050021845E13</v>
      </c>
      <c r="J2537" s="3">
        <v>2.0</v>
      </c>
      <c r="K2537" s="2" t="s">
        <v>10661</v>
      </c>
      <c r="L2537" s="2" t="s">
        <v>50</v>
      </c>
      <c r="M2537" s="2" t="s">
        <v>409</v>
      </c>
      <c r="N2537" s="2" t="s">
        <v>462</v>
      </c>
      <c r="O2537" s="3">
        <v>0.5</v>
      </c>
      <c r="P2537" s="2" t="s">
        <v>73</v>
      </c>
      <c r="Q2537" s="3">
        <v>920.0</v>
      </c>
      <c r="T2537" s="2" t="s">
        <v>8519</v>
      </c>
      <c r="U2537" s="171">
        <v>3099.0</v>
      </c>
      <c r="V2537" s="172">
        <v>46070.0</v>
      </c>
      <c r="W2537" s="3">
        <v>337.0</v>
      </c>
      <c r="X2537" s="172">
        <v>46070.65570387732</v>
      </c>
      <c r="Y2537" s="172"/>
      <c r="Z2537" s="3">
        <v>46065.0</v>
      </c>
      <c r="AA2537" s="3"/>
    </row>
    <row r="2538">
      <c r="A2538" s="3">
        <v>6.907759722755E12</v>
      </c>
      <c r="B2538" s="2" t="s">
        <v>10662</v>
      </c>
      <c r="C2538" s="2" t="s">
        <v>10663</v>
      </c>
      <c r="D2538" s="169">
        <v>46065.0</v>
      </c>
      <c r="E2538" s="2">
        <v>3.254002366E9</v>
      </c>
      <c r="F2538" s="2" t="s">
        <v>10664</v>
      </c>
      <c r="G2538" s="2" t="s">
        <v>368</v>
      </c>
      <c r="H2538" s="2">
        <v>249.0</v>
      </c>
      <c r="I2538" s="2">
        <v>2.7120050021844E13</v>
      </c>
      <c r="J2538" s="3">
        <v>0.0</v>
      </c>
      <c r="K2538" s="2" t="s">
        <v>10665</v>
      </c>
      <c r="L2538" s="2"/>
      <c r="M2538" s="170" t="s">
        <v>455</v>
      </c>
      <c r="N2538" s="2" t="s">
        <v>406</v>
      </c>
      <c r="O2538" s="3">
        <v>0.5</v>
      </c>
      <c r="P2538" s="2" t="s">
        <v>73</v>
      </c>
      <c r="Q2538" s="3">
        <v>0.0</v>
      </c>
      <c r="U2538" s="141"/>
      <c r="W2538" s="3">
        <v>107.0</v>
      </c>
      <c r="X2538" s="172">
        <v>46072.79109546296</v>
      </c>
      <c r="Y2538" s="172"/>
      <c r="Z2538" s="3">
        <v>46065.0</v>
      </c>
      <c r="AA2538" s="3"/>
    </row>
    <row r="2539">
      <c r="A2539" s="3">
        <v>6.907933393155E12</v>
      </c>
      <c r="B2539" s="2" t="s">
        <v>10666</v>
      </c>
      <c r="C2539" s="2" t="s">
        <v>10667</v>
      </c>
      <c r="D2539" s="169">
        <v>46065.0</v>
      </c>
      <c r="E2539" s="2">
        <v>3.21428302E9</v>
      </c>
      <c r="F2539" s="2" t="s">
        <v>10668</v>
      </c>
      <c r="G2539" s="2" t="s">
        <v>368</v>
      </c>
      <c r="H2539" s="2">
        <v>3099.0</v>
      </c>
      <c r="I2539" s="2">
        <v>2.6120050021843E13</v>
      </c>
      <c r="J2539" s="3">
        <v>2.0</v>
      </c>
      <c r="K2539" s="2" t="s">
        <v>10669</v>
      </c>
      <c r="L2539" s="2" t="s">
        <v>228</v>
      </c>
      <c r="M2539" s="2" t="s">
        <v>409</v>
      </c>
      <c r="N2539" s="2" t="s">
        <v>462</v>
      </c>
      <c r="O2539" s="3">
        <v>0.5</v>
      </c>
      <c r="P2539" s="2" t="s">
        <v>73</v>
      </c>
      <c r="Q2539" s="3">
        <v>920.0</v>
      </c>
      <c r="T2539" s="2" t="s">
        <v>8519</v>
      </c>
      <c r="U2539" s="171">
        <v>3099.0</v>
      </c>
      <c r="V2539" s="172">
        <v>46070.0</v>
      </c>
      <c r="W2539" s="3">
        <v>231.0</v>
      </c>
      <c r="X2539" s="172">
        <v>46066.75162494213</v>
      </c>
      <c r="Y2539" s="172"/>
      <c r="Z2539" s="3">
        <v>46065.0</v>
      </c>
      <c r="AA2539" s="3"/>
    </row>
    <row r="2540">
      <c r="A2540" s="3">
        <v>6.907993260291E12</v>
      </c>
      <c r="B2540" s="2" t="s">
        <v>10670</v>
      </c>
      <c r="C2540" s="2" t="s">
        <v>4029</v>
      </c>
      <c r="D2540" s="169">
        <v>46065.0</v>
      </c>
      <c r="E2540" s="2">
        <v>3.328489254E9</v>
      </c>
      <c r="F2540" s="2" t="s">
        <v>10671</v>
      </c>
      <c r="G2540" s="2" t="s">
        <v>368</v>
      </c>
      <c r="H2540" s="2">
        <v>2849.0</v>
      </c>
      <c r="I2540" s="2">
        <v>2.9120050021842E13</v>
      </c>
      <c r="J2540" s="3">
        <v>2.0</v>
      </c>
      <c r="K2540" s="2" t="s">
        <v>10672</v>
      </c>
      <c r="L2540" s="2" t="s">
        <v>40</v>
      </c>
      <c r="M2540" s="2" t="s">
        <v>409</v>
      </c>
      <c r="N2540" s="2" t="s">
        <v>462</v>
      </c>
      <c r="O2540" s="3">
        <v>0.5</v>
      </c>
      <c r="P2540" s="2" t="s">
        <v>73</v>
      </c>
      <c r="Q2540" s="3">
        <v>920.0</v>
      </c>
      <c r="T2540" s="2" t="s">
        <v>8519</v>
      </c>
      <c r="U2540" s="171">
        <v>2849.0</v>
      </c>
      <c r="V2540" s="172">
        <v>46070.0</v>
      </c>
      <c r="W2540" s="3">
        <v>221.0</v>
      </c>
      <c r="X2540" s="172">
        <v>46066.52219633102</v>
      </c>
      <c r="Y2540" s="172"/>
      <c r="Z2540" s="3">
        <v>46065.0</v>
      </c>
      <c r="AA2540" s="3"/>
    </row>
    <row r="2541">
      <c r="A2541" s="3">
        <v>6.908030583043E12</v>
      </c>
      <c r="B2541" s="2" t="s">
        <v>10673</v>
      </c>
      <c r="C2541" s="2" t="s">
        <v>10674</v>
      </c>
      <c r="D2541" s="169">
        <v>46065.0</v>
      </c>
      <c r="E2541" s="2">
        <v>3.336504544E9</v>
      </c>
      <c r="F2541" s="2" t="s">
        <v>10675</v>
      </c>
      <c r="G2541" s="2" t="s">
        <v>366</v>
      </c>
      <c r="H2541" s="2">
        <v>5700.0</v>
      </c>
      <c r="I2541" s="2">
        <v>2.2120050021841E13</v>
      </c>
      <c r="J2541" s="3">
        <v>4.0</v>
      </c>
      <c r="K2541" s="2" t="s">
        <v>10676</v>
      </c>
      <c r="L2541" s="2" t="s">
        <v>10677</v>
      </c>
      <c r="M2541" s="2" t="s">
        <v>409</v>
      </c>
      <c r="N2541" s="2" t="s">
        <v>462</v>
      </c>
      <c r="O2541" s="3">
        <v>0.5</v>
      </c>
      <c r="P2541" s="2" t="s">
        <v>73</v>
      </c>
      <c r="Q2541" s="3">
        <v>2630.0</v>
      </c>
      <c r="T2541" s="2" t="s">
        <v>8519</v>
      </c>
      <c r="U2541" s="171">
        <v>5700.0</v>
      </c>
      <c r="V2541" s="172">
        <v>46070.0</v>
      </c>
      <c r="W2541" s="3">
        <v>541.0</v>
      </c>
      <c r="X2541" s="172">
        <v>46067.62634983796</v>
      </c>
      <c r="Y2541" s="172"/>
      <c r="Z2541" s="3">
        <v>46065.0</v>
      </c>
      <c r="AA2541" s="3"/>
    </row>
    <row r="2542">
      <c r="A2542" s="3">
        <v>6.908123840771E12</v>
      </c>
      <c r="B2542" s="2" t="s">
        <v>10678</v>
      </c>
      <c r="C2542" s="2" t="s">
        <v>10679</v>
      </c>
      <c r="D2542" s="169">
        <v>46065.0</v>
      </c>
      <c r="E2542" s="2">
        <v>3.39561027E9</v>
      </c>
      <c r="F2542" s="2" t="s">
        <v>10680</v>
      </c>
      <c r="G2542" s="2" t="s">
        <v>368</v>
      </c>
      <c r="H2542" s="2">
        <v>2849.0</v>
      </c>
      <c r="I2542" s="2">
        <v>2.012005002184E13</v>
      </c>
      <c r="J2542" s="3">
        <v>2.0</v>
      </c>
      <c r="K2542" s="2" t="s">
        <v>10681</v>
      </c>
      <c r="L2542" s="2" t="s">
        <v>5839</v>
      </c>
      <c r="M2542" s="2" t="s">
        <v>409</v>
      </c>
      <c r="N2542" s="2" t="s">
        <v>462</v>
      </c>
      <c r="O2542" s="3">
        <v>0.5</v>
      </c>
      <c r="P2542" s="2" t="s">
        <v>73</v>
      </c>
      <c r="Q2542" s="3">
        <v>1050.0</v>
      </c>
      <c r="T2542" s="2" t="s">
        <v>8519</v>
      </c>
      <c r="U2542" s="171">
        <v>2849.0</v>
      </c>
      <c r="V2542" s="172">
        <v>46070.0</v>
      </c>
      <c r="W2542" s="3">
        <v>221.0</v>
      </c>
      <c r="X2542" s="172">
        <v>46066.50141653935</v>
      </c>
      <c r="Y2542" s="172"/>
      <c r="Z2542" s="3">
        <v>46065.0</v>
      </c>
      <c r="AA2542" s="3"/>
    </row>
    <row r="2543">
      <c r="A2543" s="3">
        <v>6.908245999875E12</v>
      </c>
      <c r="B2543" s="2" t="s">
        <v>10682</v>
      </c>
      <c r="C2543" s="2" t="s">
        <v>9891</v>
      </c>
      <c r="D2543" s="169">
        <v>46065.0</v>
      </c>
      <c r="E2543" s="173" t="s">
        <v>10683</v>
      </c>
      <c r="F2543" s="2" t="s">
        <v>10684</v>
      </c>
      <c r="G2543" s="2" t="s">
        <v>9893</v>
      </c>
      <c r="H2543" s="2">
        <v>249.0</v>
      </c>
      <c r="I2543" s="2">
        <v>2.3120050021839E13</v>
      </c>
      <c r="J2543" s="3">
        <v>0.0</v>
      </c>
      <c r="K2543" s="2" t="s">
        <v>10685</v>
      </c>
      <c r="L2543" s="2"/>
      <c r="M2543" s="170" t="s">
        <v>455</v>
      </c>
      <c r="N2543" s="2" t="s">
        <v>406</v>
      </c>
      <c r="O2543" s="3">
        <v>0.5</v>
      </c>
      <c r="P2543" s="2" t="s">
        <v>73</v>
      </c>
      <c r="Q2543" s="3">
        <v>0.0</v>
      </c>
      <c r="U2543" s="141"/>
      <c r="W2543" s="3">
        <v>200.0</v>
      </c>
      <c r="X2543" s="172">
        <v>46080.87439466435</v>
      </c>
      <c r="Y2543" s="172"/>
      <c r="Z2543" s="3">
        <v>46065.0</v>
      </c>
      <c r="AA2543" s="3"/>
    </row>
    <row r="2544">
      <c r="A2544" s="3">
        <v>6.908248162563E12</v>
      </c>
      <c r="B2544" s="2" t="s">
        <v>10686</v>
      </c>
      <c r="C2544" s="2" t="s">
        <v>10687</v>
      </c>
      <c r="D2544" s="169">
        <v>46065.0</v>
      </c>
      <c r="E2544" s="2">
        <v>3.115780183E9</v>
      </c>
      <c r="F2544" s="2" t="s">
        <v>10688</v>
      </c>
      <c r="G2544" s="2" t="s">
        <v>10689</v>
      </c>
      <c r="H2544" s="2">
        <v>2749.0</v>
      </c>
      <c r="I2544" s="2">
        <v>2.0120050021838E13</v>
      </c>
      <c r="J2544" s="3">
        <v>2.0</v>
      </c>
      <c r="K2544" s="2" t="s">
        <v>10690</v>
      </c>
      <c r="L2544" s="2" t="s">
        <v>926</v>
      </c>
      <c r="M2544" s="2" t="s">
        <v>409</v>
      </c>
      <c r="N2544" s="2" t="s">
        <v>462</v>
      </c>
      <c r="O2544" s="3">
        <v>0.5</v>
      </c>
      <c r="P2544" s="2" t="s">
        <v>73</v>
      </c>
      <c r="Q2544" s="3">
        <v>980.0</v>
      </c>
      <c r="T2544" s="2" t="s">
        <v>8519</v>
      </c>
      <c r="U2544" s="171">
        <v>2749.0</v>
      </c>
      <c r="V2544" s="172">
        <v>46070.0</v>
      </c>
      <c r="W2544" s="3">
        <v>310.0</v>
      </c>
      <c r="X2544" s="172">
        <v>46067.4181468287</v>
      </c>
      <c r="Y2544" s="172"/>
      <c r="Z2544" s="3">
        <v>46065.0</v>
      </c>
      <c r="AA2544" s="3"/>
    </row>
    <row r="2545">
      <c r="A2545" s="3">
        <v>6.908256223491E12</v>
      </c>
      <c r="B2545" s="2" t="s">
        <v>10691</v>
      </c>
      <c r="C2545" s="2" t="s">
        <v>10628</v>
      </c>
      <c r="D2545" s="169">
        <v>46065.0</v>
      </c>
      <c r="E2545" s="2">
        <v>3.096323007E9</v>
      </c>
      <c r="F2545" s="2" t="s">
        <v>10629</v>
      </c>
      <c r="G2545" s="2" t="s">
        <v>2725</v>
      </c>
      <c r="H2545" s="2">
        <v>0.0</v>
      </c>
      <c r="J2545" s="3">
        <v>0.0</v>
      </c>
      <c r="K2545" s="2" t="s">
        <v>10692</v>
      </c>
      <c r="L2545" s="2"/>
      <c r="M2545" s="2" t="s">
        <v>468</v>
      </c>
      <c r="N2545" s="2" t="s">
        <v>406</v>
      </c>
      <c r="O2545" s="3">
        <v>0.5</v>
      </c>
      <c r="Q2545" s="3">
        <v>0.0</v>
      </c>
      <c r="U2545" s="141"/>
      <c r="X2545" s="172">
        <v>46065.74401966435</v>
      </c>
      <c r="Y2545" s="172"/>
      <c r="Z2545" s="3">
        <v>46065.0</v>
      </c>
      <c r="AA2545" s="3"/>
    </row>
    <row r="2546">
      <c r="A2546" s="3">
        <v>6.908321464579E12</v>
      </c>
      <c r="B2546" s="2" t="s">
        <v>10693</v>
      </c>
      <c r="C2546" s="2" t="s">
        <v>10694</v>
      </c>
      <c r="D2546" s="169">
        <v>46065.0</v>
      </c>
      <c r="E2546" s="2">
        <v>3.218470967E9</v>
      </c>
      <c r="F2546" s="2" t="s">
        <v>10695</v>
      </c>
      <c r="G2546" s="2" t="s">
        <v>368</v>
      </c>
      <c r="H2546" s="2">
        <v>0.0</v>
      </c>
      <c r="J2546" s="3">
        <v>0.0</v>
      </c>
      <c r="K2546" s="2" t="s">
        <v>10696</v>
      </c>
      <c r="L2546" s="2"/>
      <c r="M2546" s="2" t="s">
        <v>468</v>
      </c>
      <c r="N2546" s="2" t="s">
        <v>406</v>
      </c>
      <c r="O2546" s="3">
        <v>0.5</v>
      </c>
      <c r="Q2546" s="3">
        <v>0.0</v>
      </c>
      <c r="U2546" s="141"/>
      <c r="X2546" s="172">
        <v>46065.74401966435</v>
      </c>
      <c r="Y2546" s="172"/>
      <c r="Z2546" s="3">
        <v>46065.0</v>
      </c>
      <c r="AA2546" s="3"/>
    </row>
    <row r="2547">
      <c r="A2547" s="3">
        <v>6.908324086019E12</v>
      </c>
      <c r="B2547" s="2" t="s">
        <v>10697</v>
      </c>
      <c r="C2547" s="2" t="s">
        <v>10698</v>
      </c>
      <c r="D2547" s="169">
        <v>46065.0</v>
      </c>
      <c r="E2547" s="173" t="s">
        <v>10699</v>
      </c>
      <c r="F2547" s="2" t="s">
        <v>9110</v>
      </c>
      <c r="G2547" s="2" t="s">
        <v>493</v>
      </c>
      <c r="H2547" s="2">
        <v>4999.0</v>
      </c>
      <c r="I2547" s="2">
        <v>2.6120050021857E13</v>
      </c>
      <c r="J2547" s="3">
        <v>3.0</v>
      </c>
      <c r="K2547" s="2" t="s">
        <v>10700</v>
      </c>
      <c r="L2547" s="2" t="s">
        <v>10701</v>
      </c>
      <c r="M2547" s="2" t="s">
        <v>409</v>
      </c>
      <c r="N2547" s="2" t="s">
        <v>462</v>
      </c>
      <c r="O2547" s="3">
        <v>0.5</v>
      </c>
      <c r="P2547" s="2" t="s">
        <v>73</v>
      </c>
      <c r="Q2547" s="3">
        <v>1950.0</v>
      </c>
      <c r="T2547" s="2" t="s">
        <v>8519</v>
      </c>
      <c r="U2547" s="171">
        <v>4999.0</v>
      </c>
      <c r="V2547" s="172">
        <v>46070.0</v>
      </c>
      <c r="W2547" s="3">
        <v>427.0</v>
      </c>
      <c r="X2547" s="172">
        <v>46070.65570396991</v>
      </c>
      <c r="Y2547" s="172"/>
      <c r="Z2547" s="3">
        <v>46065.0</v>
      </c>
      <c r="AA2547" s="3"/>
    </row>
    <row r="2548">
      <c r="A2548" s="3">
        <v>6.908393521411E12</v>
      </c>
      <c r="B2548" s="2" t="s">
        <v>10702</v>
      </c>
      <c r="C2548" s="2" t="s">
        <v>10703</v>
      </c>
      <c r="D2548" s="169">
        <v>46065.0</v>
      </c>
      <c r="E2548" s="2">
        <v>3.065298062E9</v>
      </c>
      <c r="F2548" s="2" t="s">
        <v>10704</v>
      </c>
      <c r="G2548" s="2" t="s">
        <v>10705</v>
      </c>
      <c r="H2548" s="2">
        <v>3099.0</v>
      </c>
      <c r="I2548" s="2">
        <v>2.2120050021856E13</v>
      </c>
      <c r="J2548" s="3">
        <v>2.0</v>
      </c>
      <c r="K2548" s="2" t="s">
        <v>10706</v>
      </c>
      <c r="L2548" s="2" t="s">
        <v>27</v>
      </c>
      <c r="M2548" s="2" t="s">
        <v>409</v>
      </c>
      <c r="N2548" s="2" t="s">
        <v>462</v>
      </c>
      <c r="O2548" s="3">
        <v>0.5</v>
      </c>
      <c r="P2548" s="2" t="s">
        <v>73</v>
      </c>
      <c r="Q2548" s="3">
        <v>920.0</v>
      </c>
      <c r="T2548" s="2" t="s">
        <v>8519</v>
      </c>
      <c r="U2548" s="171">
        <v>3099.0</v>
      </c>
      <c r="V2548" s="172">
        <v>46070.0</v>
      </c>
      <c r="W2548" s="3">
        <v>337.0</v>
      </c>
      <c r="X2548" s="172">
        <v>46070.655703993056</v>
      </c>
      <c r="Y2548" s="172"/>
      <c r="Z2548" s="3">
        <v>46065.0</v>
      </c>
      <c r="AA2548" s="3"/>
    </row>
    <row r="2549">
      <c r="A2549" s="3">
        <v>6.908449456387E12</v>
      </c>
      <c r="B2549" s="2" t="s">
        <v>10707</v>
      </c>
      <c r="C2549" s="2" t="s">
        <v>2530</v>
      </c>
      <c r="D2549" s="169">
        <v>46065.0</v>
      </c>
      <c r="E2549" s="2">
        <v>3.097050077E9</v>
      </c>
      <c r="F2549" s="2" t="s">
        <v>10708</v>
      </c>
      <c r="G2549" s="2" t="s">
        <v>693</v>
      </c>
      <c r="H2549" s="2">
        <v>2849.0</v>
      </c>
      <c r="I2549" s="2">
        <v>2.9120050021875E13</v>
      </c>
      <c r="J2549" s="3">
        <v>2.0</v>
      </c>
      <c r="K2549" s="2" t="s">
        <v>10709</v>
      </c>
      <c r="L2549" s="2" t="s">
        <v>2324</v>
      </c>
      <c r="M2549" s="2" t="s">
        <v>409</v>
      </c>
      <c r="N2549" s="2" t="s">
        <v>462</v>
      </c>
      <c r="O2549" s="3">
        <v>0.5</v>
      </c>
      <c r="P2549" s="2" t="s">
        <v>73</v>
      </c>
      <c r="Q2549" s="3">
        <v>920.0</v>
      </c>
      <c r="T2549" s="2" t="s">
        <v>8519</v>
      </c>
      <c r="U2549" s="171">
        <v>2849.0</v>
      </c>
      <c r="V2549" s="172">
        <v>46070.0</v>
      </c>
      <c r="W2549" s="3">
        <v>327.0</v>
      </c>
      <c r="X2549" s="172">
        <v>46070.65570400463</v>
      </c>
      <c r="Y2549" s="172"/>
      <c r="Z2549" s="3">
        <v>46065.0</v>
      </c>
      <c r="AA2549" s="3"/>
    </row>
    <row r="2550">
      <c r="A2550" s="3">
        <v>6.908473966851E12</v>
      </c>
      <c r="B2550" s="2" t="s">
        <v>10710</v>
      </c>
      <c r="C2550" s="2" t="s">
        <v>10711</v>
      </c>
      <c r="D2550" s="169">
        <v>46065.0</v>
      </c>
      <c r="E2550" s="2">
        <v>3.013361555E9</v>
      </c>
      <c r="F2550" s="2" t="s">
        <v>10712</v>
      </c>
      <c r="G2550" s="2" t="s">
        <v>366</v>
      </c>
      <c r="H2550" s="2">
        <v>2749.0</v>
      </c>
      <c r="I2550" s="2">
        <v>2.1120050021874E13</v>
      </c>
      <c r="J2550" s="3">
        <v>2.0</v>
      </c>
      <c r="K2550" s="2" t="s">
        <v>10713</v>
      </c>
      <c r="L2550" s="2" t="s">
        <v>35</v>
      </c>
      <c r="M2550" s="2" t="s">
        <v>409</v>
      </c>
      <c r="N2550" s="2" t="s">
        <v>462</v>
      </c>
      <c r="O2550" s="3">
        <v>0.5</v>
      </c>
      <c r="P2550" s="2" t="s">
        <v>73</v>
      </c>
      <c r="Q2550" s="3">
        <v>980.0</v>
      </c>
      <c r="T2550" s="2" t="s">
        <v>9599</v>
      </c>
      <c r="U2550" s="171">
        <v>2749.0</v>
      </c>
      <c r="V2550" s="172">
        <v>46073.0</v>
      </c>
      <c r="W2550" s="3">
        <v>310.0</v>
      </c>
      <c r="X2550" s="172">
        <v>46070.749338634254</v>
      </c>
      <c r="Y2550" s="172"/>
      <c r="Z2550" s="3">
        <v>46065.0</v>
      </c>
      <c r="AA2550" s="3"/>
    </row>
    <row r="2551">
      <c r="A2551" s="3">
        <v>6.908475638019E12</v>
      </c>
      <c r="B2551" s="2" t="s">
        <v>10714</v>
      </c>
      <c r="C2551" s="2" t="s">
        <v>10715</v>
      </c>
      <c r="D2551" s="169">
        <v>46065.0</v>
      </c>
      <c r="E2551" s="2">
        <v>3.002003636E9</v>
      </c>
      <c r="F2551" s="2" t="s">
        <v>10716</v>
      </c>
      <c r="G2551" s="2" t="s">
        <v>493</v>
      </c>
      <c r="H2551" s="2">
        <v>3099.0</v>
      </c>
      <c r="I2551" s="2">
        <v>2.8120050021873E13</v>
      </c>
      <c r="J2551" s="3">
        <v>2.0</v>
      </c>
      <c r="K2551" s="2" t="s">
        <v>10717</v>
      </c>
      <c r="L2551" s="2" t="s">
        <v>275</v>
      </c>
      <c r="M2551" s="2" t="s">
        <v>409</v>
      </c>
      <c r="N2551" s="2" t="s">
        <v>462</v>
      </c>
      <c r="O2551" s="3">
        <v>0.5</v>
      </c>
      <c r="P2551" s="2" t="s">
        <v>73</v>
      </c>
      <c r="Q2551" s="3">
        <v>960.0</v>
      </c>
      <c r="T2551" s="2" t="s">
        <v>8519</v>
      </c>
      <c r="U2551" s="171">
        <v>3099.0</v>
      </c>
      <c r="V2551" s="172">
        <v>46070.0</v>
      </c>
      <c r="W2551" s="3">
        <v>337.0</v>
      </c>
      <c r="X2551" s="172">
        <v>46070.65570403935</v>
      </c>
      <c r="Y2551" s="172"/>
      <c r="Z2551" s="3">
        <v>46065.0</v>
      </c>
      <c r="AA2551" s="3"/>
    </row>
    <row r="2552">
      <c r="A2552" s="3">
        <v>6.908485828867E12</v>
      </c>
      <c r="B2552" s="2" t="s">
        <v>10718</v>
      </c>
      <c r="C2552" s="2" t="s">
        <v>10719</v>
      </c>
      <c r="D2552" s="169">
        <v>46065.0</v>
      </c>
      <c r="E2552" s="2">
        <v>3.36300315E9</v>
      </c>
      <c r="F2552" s="2" t="s">
        <v>10720</v>
      </c>
      <c r="G2552" s="2" t="s">
        <v>368</v>
      </c>
      <c r="H2552" s="2">
        <v>2475.0</v>
      </c>
      <c r="I2552" s="2">
        <v>2.3120050021872E13</v>
      </c>
      <c r="J2552" s="3">
        <v>2.0</v>
      </c>
      <c r="K2552" s="2" t="s">
        <v>10721</v>
      </c>
      <c r="L2552" s="2" t="s">
        <v>35</v>
      </c>
      <c r="M2552" s="2" t="s">
        <v>409</v>
      </c>
      <c r="N2552" s="2" t="s">
        <v>462</v>
      </c>
      <c r="O2552" s="3">
        <v>0.5</v>
      </c>
      <c r="P2552" s="2" t="s">
        <v>73</v>
      </c>
      <c r="Q2552" s="3">
        <v>980.0</v>
      </c>
      <c r="U2552" s="171">
        <v>2475.0</v>
      </c>
      <c r="X2552" s="172">
        <v>46067.626379594905</v>
      </c>
      <c r="Y2552" s="172"/>
      <c r="Z2552" s="3">
        <v>46065.0</v>
      </c>
      <c r="AA2552" s="3"/>
    </row>
    <row r="2553">
      <c r="A2553" s="3">
        <v>6.908501885187E12</v>
      </c>
      <c r="B2553" s="2" t="s">
        <v>10722</v>
      </c>
      <c r="C2553" s="2" t="s">
        <v>10723</v>
      </c>
      <c r="D2553" s="169">
        <v>46065.0</v>
      </c>
      <c r="E2553" s="2">
        <v>3.216421001E9</v>
      </c>
      <c r="F2553" s="2" t="s">
        <v>10724</v>
      </c>
      <c r="G2553" s="2" t="s">
        <v>855</v>
      </c>
      <c r="H2553" s="2">
        <v>1799.0</v>
      </c>
      <c r="I2553" s="2">
        <v>2.2120050021871E13</v>
      </c>
      <c r="J2553" s="3">
        <v>1.0</v>
      </c>
      <c r="K2553" s="2" t="s">
        <v>10725</v>
      </c>
      <c r="L2553" s="2" t="s">
        <v>3222</v>
      </c>
      <c r="M2553" s="2" t="s">
        <v>409</v>
      </c>
      <c r="N2553" s="2" t="s">
        <v>462</v>
      </c>
      <c r="O2553" s="3">
        <v>0.5</v>
      </c>
      <c r="P2553" s="2" t="s">
        <v>73</v>
      </c>
      <c r="Q2553" s="3">
        <v>490.0</v>
      </c>
      <c r="T2553" s="2" t="s">
        <v>8519</v>
      </c>
      <c r="U2553" s="171">
        <v>1799.0</v>
      </c>
      <c r="V2553" s="172">
        <v>46070.0</v>
      </c>
      <c r="W2553" s="3">
        <v>272.0</v>
      </c>
      <c r="X2553" s="172">
        <v>46067.60549940972</v>
      </c>
      <c r="Y2553" s="172"/>
      <c r="Z2553" s="3">
        <v>46065.0</v>
      </c>
      <c r="AA2553" s="3"/>
    </row>
    <row r="2554">
      <c r="A2554" s="3">
        <v>6.908541894915E12</v>
      </c>
      <c r="B2554" s="2" t="s">
        <v>10726</v>
      </c>
      <c r="C2554" s="2" t="s">
        <v>10727</v>
      </c>
      <c r="D2554" s="169">
        <v>46065.0</v>
      </c>
      <c r="E2554" s="173" t="s">
        <v>10728</v>
      </c>
      <c r="F2554" s="2" t="s">
        <v>10729</v>
      </c>
      <c r="G2554" s="2" t="s">
        <v>10730</v>
      </c>
      <c r="H2554" s="2">
        <v>6100.0</v>
      </c>
      <c r="I2554" s="2">
        <v>2.812005002187E13</v>
      </c>
      <c r="J2554" s="3">
        <v>4.0</v>
      </c>
      <c r="K2554" s="2" t="s">
        <v>10731</v>
      </c>
      <c r="L2554" s="2" t="s">
        <v>10732</v>
      </c>
      <c r="M2554" s="2" t="s">
        <v>409</v>
      </c>
      <c r="N2554" s="2" t="s">
        <v>462</v>
      </c>
      <c r="O2554" s="3">
        <v>0.5</v>
      </c>
      <c r="P2554" s="2" t="s">
        <v>73</v>
      </c>
      <c r="Q2554" s="3">
        <v>2750.0</v>
      </c>
      <c r="T2554" s="2" t="s">
        <v>8519</v>
      </c>
      <c r="U2554" s="171">
        <v>6100.0</v>
      </c>
      <c r="V2554" s="172">
        <v>46070.0</v>
      </c>
      <c r="W2554" s="3">
        <v>557.0</v>
      </c>
      <c r="X2554" s="172">
        <v>46070.655704062505</v>
      </c>
      <c r="Y2554" s="172"/>
      <c r="Z2554" s="3">
        <v>46065.0</v>
      </c>
      <c r="AA2554" s="3"/>
    </row>
    <row r="2555">
      <c r="A2555" s="3">
        <v>6.908743352579E12</v>
      </c>
      <c r="B2555" s="2" t="s">
        <v>10733</v>
      </c>
      <c r="C2555" s="2" t="s">
        <v>10734</v>
      </c>
      <c r="D2555" s="169">
        <v>46065.0</v>
      </c>
      <c r="E2555" s="2">
        <v>3.419311533E9</v>
      </c>
      <c r="F2555" s="2" t="s">
        <v>10735</v>
      </c>
      <c r="G2555" s="2" t="s">
        <v>10736</v>
      </c>
      <c r="H2555" s="2">
        <v>249.0</v>
      </c>
      <c r="I2555" s="2" t="s">
        <v>10737</v>
      </c>
      <c r="J2555" s="3">
        <v>0.0</v>
      </c>
      <c r="K2555" s="2" t="s">
        <v>10738</v>
      </c>
      <c r="L2555" s="2"/>
      <c r="M2555" s="170" t="s">
        <v>455</v>
      </c>
      <c r="N2555" s="2" t="s">
        <v>406</v>
      </c>
      <c r="O2555" s="3">
        <v>0.5</v>
      </c>
      <c r="P2555" s="2" t="s">
        <v>640</v>
      </c>
      <c r="Q2555" s="3">
        <v>0.0</v>
      </c>
      <c r="T2555" s="2" t="s">
        <v>9275</v>
      </c>
      <c r="U2555" s="141"/>
      <c r="W2555" s="3">
        <v>290.99</v>
      </c>
      <c r="X2555" s="172">
        <v>46078.83429261574</v>
      </c>
      <c r="Y2555" s="172"/>
      <c r="Z2555" s="3">
        <v>46065.0</v>
      </c>
      <c r="AA2555" s="3"/>
    </row>
    <row r="2556">
      <c r="A2556" s="3">
        <v>6.908855976195E12</v>
      </c>
      <c r="B2556" s="2" t="s">
        <v>10739</v>
      </c>
      <c r="C2556" s="2" t="s">
        <v>33</v>
      </c>
      <c r="D2556" s="169">
        <v>46065.0</v>
      </c>
      <c r="E2556" s="2">
        <v>3.236551086E9</v>
      </c>
      <c r="F2556" s="2" t="s">
        <v>34</v>
      </c>
      <c r="G2556" s="2" t="s">
        <v>1390</v>
      </c>
      <c r="H2556" s="2">
        <v>249.0</v>
      </c>
      <c r="I2556" s="2">
        <v>2.2120050021869E13</v>
      </c>
      <c r="J2556" s="3">
        <v>0.0</v>
      </c>
      <c r="K2556" s="2" t="s">
        <v>10740</v>
      </c>
      <c r="L2556" s="2"/>
      <c r="M2556" s="170" t="s">
        <v>455</v>
      </c>
      <c r="N2556" s="2" t="s">
        <v>406</v>
      </c>
      <c r="O2556" s="3">
        <v>0.5</v>
      </c>
      <c r="P2556" s="2" t="s">
        <v>73</v>
      </c>
      <c r="Q2556" s="3">
        <v>0.0</v>
      </c>
      <c r="U2556" s="141"/>
      <c r="W2556" s="3">
        <v>200.0</v>
      </c>
      <c r="X2556" s="172">
        <v>46074.70765480324</v>
      </c>
      <c r="Y2556" s="172"/>
      <c r="Z2556" s="3">
        <v>46065.0</v>
      </c>
      <c r="AA2556" s="3"/>
    </row>
    <row r="2557">
      <c r="A2557" s="3">
        <v>6.908905357571E12</v>
      </c>
      <c r="B2557" s="2" t="s">
        <v>10741</v>
      </c>
      <c r="C2557" s="2" t="s">
        <v>10742</v>
      </c>
      <c r="D2557" s="169">
        <v>46065.0</v>
      </c>
      <c r="E2557" s="173" t="s">
        <v>10743</v>
      </c>
      <c r="F2557" s="2" t="s">
        <v>10744</v>
      </c>
      <c r="G2557" s="2" t="s">
        <v>541</v>
      </c>
      <c r="H2557" s="2">
        <v>249.0</v>
      </c>
      <c r="I2557" s="2">
        <v>2.3120050021868E13</v>
      </c>
      <c r="J2557" s="3">
        <v>0.0</v>
      </c>
      <c r="K2557" s="2" t="s">
        <v>10745</v>
      </c>
      <c r="L2557" s="2"/>
      <c r="M2557" s="170" t="s">
        <v>455</v>
      </c>
      <c r="N2557" s="2" t="s">
        <v>406</v>
      </c>
      <c r="O2557" s="3">
        <v>0.5</v>
      </c>
      <c r="P2557" s="2" t="s">
        <v>73</v>
      </c>
      <c r="Q2557" s="3">
        <v>0.0</v>
      </c>
      <c r="U2557" s="141"/>
      <c r="W2557" s="3">
        <v>220.0</v>
      </c>
      <c r="X2557" s="172">
        <v>46074.70765481482</v>
      </c>
      <c r="Y2557" s="172"/>
      <c r="Z2557" s="3">
        <v>46065.0</v>
      </c>
      <c r="AA2557" s="3"/>
    </row>
    <row r="2558">
      <c r="A2558" s="3">
        <v>6.908934390019E12</v>
      </c>
      <c r="B2558" s="2" t="s">
        <v>10746</v>
      </c>
      <c r="C2558" s="2" t="s">
        <v>10747</v>
      </c>
      <c r="D2558" s="169">
        <v>46065.0</v>
      </c>
      <c r="E2558" s="2">
        <v>3.009618559E9</v>
      </c>
      <c r="F2558" s="2" t="s">
        <v>10748</v>
      </c>
      <c r="G2558" s="2" t="s">
        <v>688</v>
      </c>
      <c r="H2558" s="2">
        <v>3348.0</v>
      </c>
      <c r="I2558" s="2">
        <v>2.9120050021867E13</v>
      </c>
      <c r="J2558" s="3">
        <v>2.0</v>
      </c>
      <c r="K2558" s="2" t="s">
        <v>10749</v>
      </c>
      <c r="L2558" s="2" t="s">
        <v>40</v>
      </c>
      <c r="M2558" s="2" t="s">
        <v>409</v>
      </c>
      <c r="N2558" s="2" t="s">
        <v>462</v>
      </c>
      <c r="O2558" s="3">
        <v>0.5</v>
      </c>
      <c r="P2558" s="2" t="s">
        <v>73</v>
      </c>
      <c r="Q2558" s="3">
        <v>920.0</v>
      </c>
      <c r="T2558" s="2" t="s">
        <v>9599</v>
      </c>
      <c r="U2558" s="171">
        <v>3348.0</v>
      </c>
      <c r="V2558" s="172">
        <v>46073.0</v>
      </c>
      <c r="W2558" s="3">
        <v>334.0</v>
      </c>
      <c r="X2558" s="172">
        <v>46070.655704108794</v>
      </c>
      <c r="Y2558" s="172"/>
      <c r="Z2558" s="3">
        <v>46065.0</v>
      </c>
      <c r="AA2558" s="3"/>
    </row>
    <row r="2559">
      <c r="A2559" s="3">
        <v>6.908965159171E12</v>
      </c>
      <c r="B2559" s="2" t="s">
        <v>10750</v>
      </c>
      <c r="C2559" s="2" t="s">
        <v>10751</v>
      </c>
      <c r="D2559" s="169">
        <v>46066.0</v>
      </c>
      <c r="E2559" s="2">
        <v>3.343266097E9</v>
      </c>
      <c r="F2559" s="2" t="s">
        <v>10752</v>
      </c>
      <c r="G2559" s="2" t="s">
        <v>493</v>
      </c>
      <c r="H2559" s="2">
        <v>4199.0</v>
      </c>
      <c r="I2559" s="2">
        <v>2.9120050021866E13</v>
      </c>
      <c r="J2559" s="3">
        <v>3.0</v>
      </c>
      <c r="K2559" s="2" t="s">
        <v>10753</v>
      </c>
      <c r="L2559" s="2" t="s">
        <v>10754</v>
      </c>
      <c r="M2559" s="2" t="s">
        <v>409</v>
      </c>
      <c r="N2559" s="2" t="s">
        <v>462</v>
      </c>
      <c r="O2559" s="3">
        <v>0.5</v>
      </c>
      <c r="P2559" s="2" t="s">
        <v>73</v>
      </c>
      <c r="Q2559" s="3">
        <v>1530.0</v>
      </c>
      <c r="T2559" s="2" t="s">
        <v>8519</v>
      </c>
      <c r="U2559" s="171">
        <v>4199.0</v>
      </c>
      <c r="V2559" s="172">
        <v>46070.0</v>
      </c>
      <c r="W2559" s="3">
        <v>395.0</v>
      </c>
      <c r="X2559" s="172">
        <v>46070.65570413195</v>
      </c>
      <c r="Y2559" s="172"/>
      <c r="Z2559" s="3">
        <v>46066.0</v>
      </c>
      <c r="AA2559" s="3"/>
    </row>
    <row r="2560">
      <c r="A2560" s="3">
        <v>6.909000155395E12</v>
      </c>
      <c r="B2560" s="2" t="s">
        <v>10755</v>
      </c>
      <c r="C2560" s="2" t="s">
        <v>10756</v>
      </c>
      <c r="D2560" s="169">
        <v>46066.0</v>
      </c>
      <c r="E2560" s="2">
        <v>3.001286161E9</v>
      </c>
      <c r="F2560" s="2" t="s">
        <v>10757</v>
      </c>
      <c r="G2560" s="2" t="s">
        <v>1016</v>
      </c>
      <c r="H2560" s="2">
        <v>1799.0</v>
      </c>
      <c r="I2560" s="2">
        <v>2.1120050021865E13</v>
      </c>
      <c r="J2560" s="3">
        <v>1.0</v>
      </c>
      <c r="K2560" s="2" t="s">
        <v>10758</v>
      </c>
      <c r="L2560" s="2" t="s">
        <v>4872</v>
      </c>
      <c r="M2560" s="2" t="s">
        <v>409</v>
      </c>
      <c r="N2560" s="2" t="s">
        <v>462</v>
      </c>
      <c r="O2560" s="3">
        <v>0.5</v>
      </c>
      <c r="P2560" s="2" t="s">
        <v>73</v>
      </c>
      <c r="Q2560" s="3">
        <v>490.0</v>
      </c>
      <c r="T2560" s="2" t="s">
        <v>9599</v>
      </c>
      <c r="U2560" s="171">
        <v>1799.0</v>
      </c>
      <c r="V2560" s="172">
        <v>46073.0</v>
      </c>
      <c r="W2560" s="3">
        <v>272.0</v>
      </c>
      <c r="X2560" s="172">
        <v>46070.655704143515</v>
      </c>
      <c r="Y2560" s="172"/>
      <c r="Z2560" s="3">
        <v>46066.0</v>
      </c>
      <c r="AA2560" s="3"/>
    </row>
    <row r="2561">
      <c r="A2561" s="3">
        <v>6.909062643971E12</v>
      </c>
      <c r="B2561" s="2" t="s">
        <v>10759</v>
      </c>
      <c r="C2561" s="2" t="s">
        <v>5405</v>
      </c>
      <c r="D2561" s="169">
        <v>46066.0</v>
      </c>
      <c r="E2561" s="2">
        <v>3.108986466E9</v>
      </c>
      <c r="F2561" s="2" t="s">
        <v>10760</v>
      </c>
      <c r="G2561" s="2" t="s">
        <v>506</v>
      </c>
      <c r="H2561" s="2">
        <v>249.0</v>
      </c>
      <c r="I2561" s="2">
        <v>2.8120050021864E13</v>
      </c>
      <c r="J2561" s="3">
        <v>0.0</v>
      </c>
      <c r="K2561" s="2" t="s">
        <v>10761</v>
      </c>
      <c r="L2561" s="2"/>
      <c r="M2561" s="170" t="s">
        <v>455</v>
      </c>
      <c r="N2561" s="2" t="s">
        <v>406</v>
      </c>
      <c r="O2561" s="3">
        <v>0.5</v>
      </c>
      <c r="P2561" s="2" t="s">
        <v>73</v>
      </c>
      <c r="Q2561" s="3">
        <v>0.0</v>
      </c>
      <c r="U2561" s="141"/>
      <c r="W2561" s="3">
        <v>200.0</v>
      </c>
      <c r="X2561" s="172">
        <v>46076.79099164352</v>
      </c>
      <c r="Y2561" s="172"/>
      <c r="Z2561" s="3">
        <v>46066.0</v>
      </c>
      <c r="AA2561" s="3"/>
    </row>
    <row r="2562">
      <c r="A2562" s="3">
        <v>6.909247455491E12</v>
      </c>
      <c r="B2562" s="2" t="s">
        <v>10762</v>
      </c>
      <c r="C2562" s="2" t="s">
        <v>10092</v>
      </c>
      <c r="D2562" s="169">
        <v>46066.0</v>
      </c>
      <c r="E2562" s="2">
        <v>3.192679847E9</v>
      </c>
      <c r="F2562" s="2" t="s">
        <v>10763</v>
      </c>
      <c r="G2562" s="2" t="s">
        <v>493</v>
      </c>
      <c r="H2562" s="2">
        <v>2148.0</v>
      </c>
      <c r="I2562" s="2">
        <v>2.3120050021884E13</v>
      </c>
      <c r="J2562" s="3">
        <v>1.0</v>
      </c>
      <c r="K2562" s="2" t="s">
        <v>10764</v>
      </c>
      <c r="L2562" s="2" t="s">
        <v>10765</v>
      </c>
      <c r="M2562" s="2" t="s">
        <v>409</v>
      </c>
      <c r="N2562" s="2" t="s">
        <v>462</v>
      </c>
      <c r="O2562" s="3">
        <v>0.5</v>
      </c>
      <c r="P2562" s="2" t="s">
        <v>73</v>
      </c>
      <c r="Q2562" s="3">
        <v>730.0</v>
      </c>
      <c r="T2562" s="2" t="s">
        <v>9599</v>
      </c>
      <c r="U2562" s="171">
        <v>2148.0</v>
      </c>
      <c r="V2562" s="172">
        <v>46073.0</v>
      </c>
      <c r="W2562" s="3">
        <v>299.0</v>
      </c>
      <c r="X2562" s="172">
        <v>46070.65570416667</v>
      </c>
      <c r="Y2562" s="172"/>
      <c r="Z2562" s="3">
        <v>46066.0</v>
      </c>
      <c r="AA2562" s="3"/>
    </row>
    <row r="2563">
      <c r="A2563" s="3">
        <v>6.909563732227E12</v>
      </c>
      <c r="B2563" s="2" t="s">
        <v>10766</v>
      </c>
      <c r="C2563" s="2" t="s">
        <v>10767</v>
      </c>
      <c r="D2563" s="169">
        <v>46066.0</v>
      </c>
      <c r="E2563" s="2">
        <v>3.150701206E9</v>
      </c>
      <c r="F2563" s="2" t="s">
        <v>10768</v>
      </c>
      <c r="G2563" s="2" t="s">
        <v>374</v>
      </c>
      <c r="H2563" s="2">
        <v>2749.0</v>
      </c>
      <c r="I2563" s="2">
        <v>2.1120050021939E13</v>
      </c>
      <c r="J2563" s="3">
        <v>2.0</v>
      </c>
      <c r="K2563" s="2" t="s">
        <v>10769</v>
      </c>
      <c r="L2563" s="2" t="s">
        <v>926</v>
      </c>
      <c r="M2563" s="2" t="s">
        <v>409</v>
      </c>
      <c r="N2563" s="2" t="s">
        <v>462</v>
      </c>
      <c r="O2563" s="3">
        <v>0.5</v>
      </c>
      <c r="P2563" s="2" t="s">
        <v>73</v>
      </c>
      <c r="Q2563" s="3">
        <v>980.0</v>
      </c>
      <c r="T2563" s="2" t="s">
        <v>9599</v>
      </c>
      <c r="U2563" s="171">
        <v>2749.0</v>
      </c>
      <c r="V2563" s="172">
        <v>46073.0</v>
      </c>
      <c r="W2563" s="3">
        <v>330.0</v>
      </c>
      <c r="X2563" s="172">
        <v>46072.9993665625</v>
      </c>
      <c r="Y2563" s="172"/>
      <c r="Z2563" s="3">
        <v>46066.0</v>
      </c>
      <c r="AA2563" s="3"/>
    </row>
    <row r="2564">
      <c r="A2564" s="3">
        <v>6.909684416771E12</v>
      </c>
      <c r="B2564" s="2" t="s">
        <v>10770</v>
      </c>
      <c r="C2564" s="2" t="s">
        <v>10771</v>
      </c>
      <c r="D2564" s="169">
        <v>46066.0</v>
      </c>
      <c r="E2564" s="2">
        <v>3.066364477E9</v>
      </c>
      <c r="F2564" s="2" t="s">
        <v>10772</v>
      </c>
      <c r="G2564" s="2" t="s">
        <v>1678</v>
      </c>
      <c r="H2564" s="2">
        <v>3348.0</v>
      </c>
      <c r="I2564" s="2">
        <v>2.7120050021863E13</v>
      </c>
      <c r="J2564" s="3">
        <v>2.0</v>
      </c>
      <c r="K2564" s="2" t="s">
        <v>10773</v>
      </c>
      <c r="L2564" s="2" t="s">
        <v>27</v>
      </c>
      <c r="M2564" s="2" t="s">
        <v>409</v>
      </c>
      <c r="N2564" s="2" t="s">
        <v>462</v>
      </c>
      <c r="O2564" s="3">
        <v>0.5</v>
      </c>
      <c r="P2564" s="2" t="s">
        <v>73</v>
      </c>
      <c r="Q2564" s="3">
        <v>920.0</v>
      </c>
      <c r="T2564" s="2" t="s">
        <v>8519</v>
      </c>
      <c r="U2564" s="171">
        <v>3348.0</v>
      </c>
      <c r="V2564" s="172">
        <v>46070.0</v>
      </c>
      <c r="W2564" s="3">
        <v>334.0</v>
      </c>
      <c r="X2564" s="172">
        <v>46067.522282986116</v>
      </c>
      <c r="Y2564" s="172"/>
      <c r="Z2564" s="3">
        <v>46066.0</v>
      </c>
      <c r="AA2564" s="3"/>
    </row>
    <row r="2565">
      <c r="A2565" s="3">
        <v>6.909692313859E12</v>
      </c>
      <c r="B2565" s="2" t="s">
        <v>10774</v>
      </c>
      <c r="C2565" s="2" t="s">
        <v>10775</v>
      </c>
      <c r="D2565" s="169">
        <v>46066.0</v>
      </c>
      <c r="E2565" s="2">
        <v>3.003340433E9</v>
      </c>
      <c r="F2565" s="2" t="s">
        <v>10776</v>
      </c>
      <c r="G2565" s="2" t="s">
        <v>688</v>
      </c>
      <c r="H2565" s="2">
        <v>249.0</v>
      </c>
      <c r="I2565" s="2">
        <v>1.73010870045E11</v>
      </c>
      <c r="J2565" s="3">
        <v>0.0</v>
      </c>
      <c r="K2565" s="2" t="s">
        <v>10777</v>
      </c>
      <c r="L2565" s="2"/>
      <c r="M2565" s="170" t="s">
        <v>455</v>
      </c>
      <c r="N2565" s="2" t="s">
        <v>406</v>
      </c>
      <c r="O2565" s="3">
        <v>0.5</v>
      </c>
      <c r="P2565" s="2" t="s">
        <v>501</v>
      </c>
      <c r="Q2565" s="3">
        <v>0.0</v>
      </c>
      <c r="T2565" s="2" t="s">
        <v>9275</v>
      </c>
      <c r="U2565" s="141"/>
      <c r="W2565" s="3">
        <v>290.99</v>
      </c>
      <c r="X2565" s="172">
        <v>46093.66819631944</v>
      </c>
      <c r="Y2565" s="172"/>
      <c r="Z2565" s="3">
        <v>46066.0</v>
      </c>
      <c r="AA2565" s="3"/>
    </row>
    <row r="2566">
      <c r="A2566" s="3">
        <v>6.909815521539E12</v>
      </c>
      <c r="B2566" s="2" t="s">
        <v>10778</v>
      </c>
      <c r="C2566" s="2" t="s">
        <v>38</v>
      </c>
      <c r="D2566" s="169">
        <v>46066.0</v>
      </c>
      <c r="E2566" s="2">
        <v>3.224142431E9</v>
      </c>
      <c r="F2566" s="2" t="s">
        <v>39</v>
      </c>
      <c r="G2566" s="2" t="s">
        <v>368</v>
      </c>
      <c r="H2566" s="2">
        <v>3348.0</v>
      </c>
      <c r="I2566" s="2">
        <v>2.2120050021862E13</v>
      </c>
      <c r="J2566" s="3">
        <v>2.0</v>
      </c>
      <c r="K2566" s="2" t="s">
        <v>10779</v>
      </c>
      <c r="L2566" s="2" t="s">
        <v>40</v>
      </c>
      <c r="M2566" s="2" t="s">
        <v>409</v>
      </c>
      <c r="N2566" s="2" t="s">
        <v>462</v>
      </c>
      <c r="O2566" s="3">
        <v>0.5</v>
      </c>
      <c r="P2566" s="2" t="s">
        <v>73</v>
      </c>
      <c r="Q2566" s="3">
        <v>920.0</v>
      </c>
      <c r="T2566" s="2" t="s">
        <v>10233</v>
      </c>
      <c r="U2566" s="171">
        <v>3348.0</v>
      </c>
      <c r="W2566" s="3">
        <v>241.0</v>
      </c>
      <c r="X2566" s="172">
        <v>46073.58264613426</v>
      </c>
      <c r="Y2566" s="172"/>
      <c r="Z2566" s="3">
        <v>46066.0</v>
      </c>
      <c r="AA2566" s="3"/>
    </row>
    <row r="2567">
      <c r="A2567" s="3">
        <v>6.909827121411E12</v>
      </c>
      <c r="B2567" s="2" t="s">
        <v>10780</v>
      </c>
      <c r="C2567" s="2" t="s">
        <v>10781</v>
      </c>
      <c r="D2567" s="169">
        <v>46066.0</v>
      </c>
      <c r="E2567" s="2">
        <v>3.324545548E9</v>
      </c>
      <c r="F2567" s="2" t="s">
        <v>10782</v>
      </c>
      <c r="G2567" s="2" t="s">
        <v>10783</v>
      </c>
      <c r="H2567" s="2">
        <v>249.0</v>
      </c>
      <c r="I2567" s="2">
        <v>2.9120050021861E13</v>
      </c>
      <c r="J2567" s="3">
        <v>0.0</v>
      </c>
      <c r="K2567" s="2" t="s">
        <v>10784</v>
      </c>
      <c r="L2567" s="2"/>
      <c r="M2567" s="170" t="s">
        <v>455</v>
      </c>
      <c r="N2567" s="2" t="s">
        <v>406</v>
      </c>
      <c r="O2567" s="3">
        <v>0.5</v>
      </c>
      <c r="P2567" s="2" t="s">
        <v>73</v>
      </c>
      <c r="Q2567" s="3">
        <v>0.0</v>
      </c>
      <c r="U2567" s="141"/>
      <c r="W2567" s="3">
        <v>200.0</v>
      </c>
      <c r="X2567" s="172">
        <v>46076.79099166667</v>
      </c>
      <c r="Y2567" s="172"/>
      <c r="Z2567" s="3">
        <v>46066.0</v>
      </c>
      <c r="AA2567" s="3"/>
    </row>
    <row r="2568">
      <c r="A2568" s="3">
        <v>6.909879288067E12</v>
      </c>
      <c r="B2568" s="2" t="s">
        <v>10785</v>
      </c>
      <c r="C2568" s="2" t="s">
        <v>10786</v>
      </c>
      <c r="D2568" s="169">
        <v>46066.0</v>
      </c>
      <c r="E2568" s="2">
        <v>3.076491447E9</v>
      </c>
      <c r="F2568" s="2" t="s">
        <v>10787</v>
      </c>
      <c r="G2568" s="2" t="s">
        <v>993</v>
      </c>
      <c r="H2568" s="2">
        <v>1699.0</v>
      </c>
      <c r="I2568" s="2">
        <v>2.612005002186E13</v>
      </c>
      <c r="J2568" s="3">
        <v>1.0</v>
      </c>
      <c r="K2568" s="2" t="s">
        <v>10788</v>
      </c>
      <c r="L2568" s="2" t="s">
        <v>10789</v>
      </c>
      <c r="M2568" s="2" t="s">
        <v>409</v>
      </c>
      <c r="N2568" s="2" t="s">
        <v>462</v>
      </c>
      <c r="O2568" s="3">
        <v>0.5</v>
      </c>
      <c r="P2568" s="2" t="s">
        <v>73</v>
      </c>
      <c r="Q2568" s="3">
        <v>550.0</v>
      </c>
      <c r="T2568" s="2" t="s">
        <v>8519</v>
      </c>
      <c r="U2568" s="171">
        <v>1699.0</v>
      </c>
      <c r="V2568" s="172">
        <v>46070.0</v>
      </c>
      <c r="W2568" s="3">
        <v>268.0</v>
      </c>
      <c r="X2568" s="172">
        <v>46070.65570422454</v>
      </c>
      <c r="Y2568" s="172"/>
      <c r="Z2568" s="3">
        <v>46066.0</v>
      </c>
      <c r="AA2568" s="3"/>
    </row>
    <row r="2569">
      <c r="A2569" s="3">
        <v>6.909961535747E12</v>
      </c>
      <c r="B2569" s="2" t="s">
        <v>10790</v>
      </c>
      <c r="C2569" s="2" t="s">
        <v>10791</v>
      </c>
      <c r="D2569" s="169">
        <v>46066.0</v>
      </c>
      <c r="E2569" s="2">
        <v>3.008019822E9</v>
      </c>
      <c r="F2569" s="2" t="s">
        <v>10792</v>
      </c>
      <c r="G2569" s="2" t="s">
        <v>368</v>
      </c>
      <c r="H2569" s="2">
        <v>0.0</v>
      </c>
      <c r="J2569" s="3">
        <v>0.0</v>
      </c>
      <c r="K2569" s="2" t="s">
        <v>10793</v>
      </c>
      <c r="L2569" s="2"/>
      <c r="M2569" s="2" t="s">
        <v>468</v>
      </c>
      <c r="N2569" s="2" t="s">
        <v>406</v>
      </c>
      <c r="O2569" s="3">
        <v>0.5</v>
      </c>
      <c r="Q2569" s="3">
        <v>0.0</v>
      </c>
      <c r="U2569" s="141"/>
      <c r="X2569" s="172">
        <v>46066.66811068287</v>
      </c>
      <c r="Y2569" s="172"/>
      <c r="Z2569" s="3">
        <v>46066.0</v>
      </c>
      <c r="AA2569" s="3"/>
    </row>
    <row r="2570">
      <c r="A2570" s="3">
        <v>6.909984145667E12</v>
      </c>
      <c r="B2570" s="2" t="s">
        <v>10794</v>
      </c>
      <c r="C2570" s="2" t="s">
        <v>10795</v>
      </c>
      <c r="D2570" s="169">
        <v>46066.0</v>
      </c>
      <c r="E2570" s="2">
        <v>3.332109411E9</v>
      </c>
      <c r="F2570" s="2" t="s">
        <v>10796</v>
      </c>
      <c r="G2570" s="2" t="s">
        <v>493</v>
      </c>
      <c r="H2570" s="2">
        <v>1999.0</v>
      </c>
      <c r="I2570" s="2">
        <v>2.4120050021883E13</v>
      </c>
      <c r="J2570" s="3">
        <v>1.0</v>
      </c>
      <c r="K2570" s="2" t="s">
        <v>10797</v>
      </c>
      <c r="L2570" s="2" t="s">
        <v>4830</v>
      </c>
      <c r="M2570" s="2" t="s">
        <v>409</v>
      </c>
      <c r="N2570" s="2" t="s">
        <v>462</v>
      </c>
      <c r="O2570" s="3">
        <v>0.5</v>
      </c>
      <c r="P2570" s="2" t="s">
        <v>73</v>
      </c>
      <c r="Q2570" s="3">
        <v>1100.0</v>
      </c>
      <c r="T2570" s="2" t="s">
        <v>9599</v>
      </c>
      <c r="U2570" s="171">
        <v>1999.0</v>
      </c>
      <c r="V2570" s="172">
        <v>46073.0</v>
      </c>
      <c r="W2570" s="3">
        <v>293.0</v>
      </c>
      <c r="X2570" s="172">
        <v>46071.790981701386</v>
      </c>
      <c r="Y2570" s="172"/>
      <c r="Z2570" s="3">
        <v>46066.0</v>
      </c>
      <c r="AA2570" s="3"/>
    </row>
    <row r="2571">
      <c r="A2571" s="3">
        <v>6.910127014147E12</v>
      </c>
      <c r="B2571" s="2" t="s">
        <v>10798</v>
      </c>
      <c r="C2571" s="2" t="s">
        <v>2104</v>
      </c>
      <c r="D2571" s="169">
        <v>46066.0</v>
      </c>
      <c r="E2571" s="2">
        <v>3.159573786E9</v>
      </c>
      <c r="F2571" s="2" t="s">
        <v>2105</v>
      </c>
      <c r="G2571" s="2" t="s">
        <v>2106</v>
      </c>
      <c r="H2571" s="2">
        <v>4249.0</v>
      </c>
      <c r="I2571" s="2" t="s">
        <v>10799</v>
      </c>
      <c r="J2571" s="3">
        <v>2.0</v>
      </c>
      <c r="K2571" s="2" t="s">
        <v>10800</v>
      </c>
      <c r="L2571" s="2" t="s">
        <v>913</v>
      </c>
      <c r="M2571" s="2" t="s">
        <v>409</v>
      </c>
      <c r="N2571" s="2" t="s">
        <v>462</v>
      </c>
      <c r="O2571" s="3">
        <v>0.5</v>
      </c>
      <c r="P2571" s="2" t="s">
        <v>640</v>
      </c>
      <c r="Q2571" s="3">
        <v>1700.0</v>
      </c>
      <c r="T2571" s="2"/>
      <c r="U2571" s="171">
        <v>4249.0</v>
      </c>
      <c r="W2571" s="3">
        <v>429.3016</v>
      </c>
      <c r="X2571" s="172">
        <v>46073.707747824075</v>
      </c>
      <c r="Y2571" s="172"/>
      <c r="Z2571" s="3">
        <v>46066.0</v>
      </c>
      <c r="AA2571" s="3"/>
    </row>
    <row r="2572">
      <c r="A2572" s="3">
        <v>6.910131601667E12</v>
      </c>
      <c r="B2572" s="2" t="s">
        <v>10801</v>
      </c>
      <c r="C2572" s="2" t="s">
        <v>10802</v>
      </c>
      <c r="D2572" s="169">
        <v>46066.0</v>
      </c>
      <c r="E2572" s="2">
        <v>3.093781366E9</v>
      </c>
      <c r="F2572" s="2" t="s">
        <v>10803</v>
      </c>
      <c r="G2572" s="2" t="s">
        <v>10804</v>
      </c>
      <c r="H2572" s="2">
        <v>1699.0</v>
      </c>
      <c r="I2572" s="2">
        <v>2.4120050021882E13</v>
      </c>
      <c r="J2572" s="3">
        <v>1.0</v>
      </c>
      <c r="K2572" s="2" t="s">
        <v>10805</v>
      </c>
      <c r="L2572" s="2" t="s">
        <v>6317</v>
      </c>
      <c r="M2572" s="2" t="s">
        <v>409</v>
      </c>
      <c r="N2572" s="2" t="s">
        <v>462</v>
      </c>
      <c r="O2572" s="3">
        <v>0.5</v>
      </c>
      <c r="P2572" s="2" t="s">
        <v>73</v>
      </c>
      <c r="Q2572" s="3">
        <v>550.0</v>
      </c>
      <c r="T2572" s="2" t="s">
        <v>9599</v>
      </c>
      <c r="U2572" s="171">
        <v>1699.0</v>
      </c>
      <c r="V2572" s="172">
        <v>46073.0</v>
      </c>
      <c r="W2572" s="3">
        <v>281.0</v>
      </c>
      <c r="X2572" s="172">
        <v>46071.790981805556</v>
      </c>
      <c r="Y2572" s="172"/>
      <c r="Z2572" s="3">
        <v>46066.0</v>
      </c>
      <c r="AA2572" s="3"/>
    </row>
    <row r="2573">
      <c r="A2573" s="3">
        <v>6.910569054467E12</v>
      </c>
      <c r="B2573" s="2" t="s">
        <v>10806</v>
      </c>
      <c r="C2573" s="2" t="s">
        <v>10807</v>
      </c>
      <c r="D2573" s="169">
        <v>46067.0</v>
      </c>
      <c r="E2573" s="2">
        <v>3.056033555E9</v>
      </c>
      <c r="F2573" s="2" t="s">
        <v>10808</v>
      </c>
      <c r="G2573" s="2" t="s">
        <v>493</v>
      </c>
      <c r="H2573" s="2">
        <v>5700.0</v>
      </c>
      <c r="I2573" s="2">
        <v>2.3120050021886E13</v>
      </c>
      <c r="J2573" s="3">
        <v>1.0</v>
      </c>
      <c r="K2573" s="2" t="s">
        <v>10809</v>
      </c>
      <c r="L2573" s="2" t="s">
        <v>10810</v>
      </c>
      <c r="M2573" s="2" t="s">
        <v>409</v>
      </c>
      <c r="N2573" s="2" t="s">
        <v>462</v>
      </c>
      <c r="O2573" s="3">
        <v>0.5</v>
      </c>
      <c r="P2573" s="2" t="s">
        <v>73</v>
      </c>
      <c r="Q2573" s="3">
        <v>2800.0</v>
      </c>
      <c r="T2573" s="2" t="s">
        <v>9599</v>
      </c>
      <c r="U2573" s="171">
        <v>5700.0</v>
      </c>
      <c r="V2573" s="172">
        <v>46073.0</v>
      </c>
      <c r="W2573" s="3">
        <v>455.0</v>
      </c>
      <c r="X2573" s="172">
        <v>46071.83259456018</v>
      </c>
      <c r="Y2573" s="172"/>
      <c r="Z2573" s="3">
        <v>46067.0</v>
      </c>
      <c r="AA2573" s="3"/>
    </row>
    <row r="2574">
      <c r="A2574" s="3">
        <v>6.910633902339E12</v>
      </c>
      <c r="B2574" s="2" t="s">
        <v>10811</v>
      </c>
      <c r="C2574" s="2" t="s">
        <v>10812</v>
      </c>
      <c r="D2574" s="169">
        <v>46067.0</v>
      </c>
      <c r="E2574" s="2">
        <v>3.203771623E9</v>
      </c>
      <c r="F2574" s="2" t="s">
        <v>10813</v>
      </c>
      <c r="G2574" s="2" t="s">
        <v>1044</v>
      </c>
      <c r="H2574" s="2">
        <v>1449.0</v>
      </c>
      <c r="I2574" s="2">
        <v>2.0120050021881E13</v>
      </c>
      <c r="J2574" s="3">
        <v>1.0</v>
      </c>
      <c r="K2574" s="2" t="s">
        <v>10814</v>
      </c>
      <c r="L2574" s="2" t="s">
        <v>3889</v>
      </c>
      <c r="M2574" s="2" t="s">
        <v>409</v>
      </c>
      <c r="N2574" s="2" t="s">
        <v>462</v>
      </c>
      <c r="O2574" s="3">
        <v>0.5</v>
      </c>
      <c r="P2574" s="2" t="s">
        <v>73</v>
      </c>
      <c r="Q2574" s="3">
        <v>550.0</v>
      </c>
      <c r="T2574" s="2" t="s">
        <v>9599</v>
      </c>
      <c r="U2574" s="171">
        <v>1449.0</v>
      </c>
      <c r="V2574" s="172">
        <v>46073.0</v>
      </c>
      <c r="W2574" s="3">
        <v>258.0</v>
      </c>
      <c r="X2574" s="172">
        <v>46071.83259457176</v>
      </c>
      <c r="Y2574" s="172"/>
      <c r="Z2574" s="3">
        <v>46067.0</v>
      </c>
      <c r="AA2574" s="3"/>
    </row>
    <row r="2575">
      <c r="A2575" s="3">
        <v>6.910652219651E12</v>
      </c>
      <c r="B2575" s="2" t="s">
        <v>10815</v>
      </c>
      <c r="C2575" s="2" t="s">
        <v>10816</v>
      </c>
      <c r="D2575" s="169">
        <v>46067.0</v>
      </c>
      <c r="E2575" s="173" t="s">
        <v>10817</v>
      </c>
      <c r="F2575" s="2" t="s">
        <v>10818</v>
      </c>
      <c r="G2575" s="2" t="s">
        <v>10819</v>
      </c>
      <c r="H2575" s="2">
        <v>249.0</v>
      </c>
      <c r="I2575" s="2">
        <v>1.73010878896E11</v>
      </c>
      <c r="J2575" s="3">
        <v>0.0</v>
      </c>
      <c r="K2575" s="2" t="s">
        <v>10820</v>
      </c>
      <c r="L2575" s="2"/>
      <c r="M2575" s="170" t="s">
        <v>455</v>
      </c>
      <c r="N2575" s="2" t="s">
        <v>406</v>
      </c>
      <c r="O2575" s="3">
        <v>0.5</v>
      </c>
      <c r="P2575" s="2" t="s">
        <v>501</v>
      </c>
      <c r="Q2575" s="3">
        <v>0.0</v>
      </c>
      <c r="T2575" s="2" t="s">
        <v>9275</v>
      </c>
      <c r="U2575" s="141"/>
      <c r="W2575" s="3">
        <v>290.99</v>
      </c>
      <c r="X2575" s="172">
        <v>46084.4591397801</v>
      </c>
      <c r="Y2575" s="172"/>
      <c r="Z2575" s="3">
        <v>46067.0</v>
      </c>
      <c r="AA2575" s="3"/>
    </row>
    <row r="2576">
      <c r="A2576" s="3">
        <v>6.910695145731E12</v>
      </c>
      <c r="B2576" s="2" t="s">
        <v>10821</v>
      </c>
      <c r="C2576" s="2" t="s">
        <v>10822</v>
      </c>
      <c r="D2576" s="169">
        <v>46067.0</v>
      </c>
      <c r="E2576" s="2">
        <v>3.023830991E9</v>
      </c>
      <c r="F2576" s="2" t="s">
        <v>10823</v>
      </c>
      <c r="G2576" s="2" t="s">
        <v>493</v>
      </c>
      <c r="H2576" s="2">
        <v>3299.0</v>
      </c>
      <c r="I2576" s="2">
        <v>2.512005002188E13</v>
      </c>
      <c r="J2576" s="3">
        <v>1.0</v>
      </c>
      <c r="K2576" s="2" t="s">
        <v>10824</v>
      </c>
      <c r="L2576" s="2" t="s">
        <v>10825</v>
      </c>
      <c r="M2576" s="2" t="s">
        <v>409</v>
      </c>
      <c r="N2576" s="2" t="s">
        <v>462</v>
      </c>
      <c r="O2576" s="3">
        <v>0.5</v>
      </c>
      <c r="P2576" s="2" t="s">
        <v>73</v>
      </c>
      <c r="Q2576" s="3">
        <v>1400.0</v>
      </c>
      <c r="T2576" s="2" t="s">
        <v>9599</v>
      </c>
      <c r="U2576" s="171">
        <v>3299.0</v>
      </c>
      <c r="V2576" s="172">
        <v>46073.0</v>
      </c>
      <c r="W2576" s="3">
        <v>345.0</v>
      </c>
      <c r="X2576" s="172">
        <v>46070.655704351855</v>
      </c>
      <c r="Y2576" s="172"/>
      <c r="Z2576" s="3">
        <v>46067.0</v>
      </c>
      <c r="AA2576" s="3"/>
    </row>
    <row r="2577">
      <c r="A2577" s="3">
        <v>6.910737154307E12</v>
      </c>
      <c r="B2577" s="2" t="s">
        <v>10826</v>
      </c>
      <c r="C2577" s="2" t="s">
        <v>10827</v>
      </c>
      <c r="D2577" s="169">
        <v>46067.0</v>
      </c>
      <c r="E2577" s="2">
        <v>3.129446897E9</v>
      </c>
      <c r="F2577" s="2" t="s">
        <v>10828</v>
      </c>
      <c r="G2577" s="2" t="s">
        <v>10829</v>
      </c>
      <c r="H2577" s="2">
        <v>249.0</v>
      </c>
      <c r="I2577" s="2">
        <v>1.73010870047E11</v>
      </c>
      <c r="J2577" s="3">
        <v>0.0</v>
      </c>
      <c r="K2577" s="2" t="s">
        <v>10830</v>
      </c>
      <c r="L2577" s="2"/>
      <c r="M2577" s="170" t="s">
        <v>455</v>
      </c>
      <c r="N2577" s="2" t="s">
        <v>406</v>
      </c>
      <c r="O2577" s="3">
        <v>0.5</v>
      </c>
      <c r="P2577" s="2" t="s">
        <v>501</v>
      </c>
      <c r="Q2577" s="3">
        <v>0.0</v>
      </c>
      <c r="T2577" s="2" t="s">
        <v>9275</v>
      </c>
      <c r="U2577" s="141"/>
      <c r="W2577" s="3">
        <v>290.99</v>
      </c>
      <c r="X2577" s="172">
        <v>46093.668196377315</v>
      </c>
      <c r="Y2577" s="172"/>
      <c r="Z2577" s="3">
        <v>46067.0</v>
      </c>
      <c r="AA2577" s="3"/>
    </row>
    <row r="2578">
      <c r="A2578" s="3">
        <v>6.910933270787E12</v>
      </c>
      <c r="B2578" s="2" t="s">
        <v>10831</v>
      </c>
      <c r="C2578" s="2" t="s">
        <v>43</v>
      </c>
      <c r="D2578" s="169">
        <v>46067.0</v>
      </c>
      <c r="E2578" s="2">
        <v>3.212447691E9</v>
      </c>
      <c r="F2578" s="2" t="s">
        <v>44</v>
      </c>
      <c r="G2578" s="2" t="s">
        <v>493</v>
      </c>
      <c r="H2578" s="2">
        <v>249.0</v>
      </c>
      <c r="I2578" s="2">
        <v>2.2120050021879E13</v>
      </c>
      <c r="J2578" s="3">
        <v>0.0</v>
      </c>
      <c r="K2578" s="2" t="s">
        <v>10832</v>
      </c>
      <c r="L2578" s="2"/>
      <c r="M2578" s="170" t="s">
        <v>455</v>
      </c>
      <c r="N2578" s="2" t="s">
        <v>406</v>
      </c>
      <c r="O2578" s="3">
        <v>0.5</v>
      </c>
      <c r="P2578" s="2" t="s">
        <v>73</v>
      </c>
      <c r="Q2578" s="3">
        <v>0.0</v>
      </c>
      <c r="U2578" s="141"/>
      <c r="W2578" s="3">
        <v>227.0</v>
      </c>
      <c r="X2578" s="172">
        <v>46077.91596456019</v>
      </c>
      <c r="Y2578" s="172"/>
      <c r="Z2578" s="3">
        <v>46067.0</v>
      </c>
      <c r="AA2578" s="3"/>
    </row>
    <row r="2579">
      <c r="A2579" s="3">
        <v>6.910961647875E12</v>
      </c>
      <c r="B2579" s="2" t="s">
        <v>10833</v>
      </c>
      <c r="C2579" s="2" t="s">
        <v>2530</v>
      </c>
      <c r="D2579" s="169">
        <v>46067.0</v>
      </c>
      <c r="E2579" s="2">
        <v>3.431839296E9</v>
      </c>
      <c r="F2579" s="2" t="s">
        <v>10834</v>
      </c>
      <c r="G2579" s="2" t="s">
        <v>10835</v>
      </c>
      <c r="H2579" s="2">
        <v>3099.0</v>
      </c>
      <c r="I2579" s="2" t="s">
        <v>10836</v>
      </c>
      <c r="J2579" s="3">
        <v>2.0</v>
      </c>
      <c r="K2579" s="2" t="s">
        <v>9820</v>
      </c>
      <c r="L2579" s="2" t="s">
        <v>1143</v>
      </c>
      <c r="M2579" s="2" t="s">
        <v>409</v>
      </c>
      <c r="N2579" s="2" t="s">
        <v>462</v>
      </c>
      <c r="O2579" s="3">
        <v>0.5</v>
      </c>
      <c r="P2579" s="2" t="s">
        <v>640</v>
      </c>
      <c r="Q2579" s="3">
        <v>960.0</v>
      </c>
      <c r="T2579" s="2"/>
      <c r="U2579" s="171">
        <v>3099.0</v>
      </c>
      <c r="W2579" s="3">
        <v>302.6296</v>
      </c>
      <c r="X2579" s="172">
        <v>46074.62551469907</v>
      </c>
      <c r="Y2579" s="172"/>
      <c r="Z2579" s="3">
        <v>46067.0</v>
      </c>
      <c r="AA2579" s="3"/>
    </row>
    <row r="2580">
      <c r="A2580" s="3">
        <v>6.911177294083E12</v>
      </c>
      <c r="B2580" s="2" t="s">
        <v>10837</v>
      </c>
      <c r="C2580" s="2" t="s">
        <v>10838</v>
      </c>
      <c r="D2580" s="169">
        <v>46067.0</v>
      </c>
      <c r="E2580" s="173" t="s">
        <v>10839</v>
      </c>
      <c r="F2580" s="2" t="s">
        <v>10840</v>
      </c>
      <c r="G2580" s="2" t="s">
        <v>493</v>
      </c>
      <c r="H2580" s="2">
        <v>249.0</v>
      </c>
      <c r="I2580" s="2">
        <v>2.7120050021909E13</v>
      </c>
      <c r="J2580" s="3">
        <v>0.0</v>
      </c>
      <c r="K2580" s="2" t="s">
        <v>10841</v>
      </c>
      <c r="L2580" s="2"/>
      <c r="M2580" s="170" t="s">
        <v>455</v>
      </c>
      <c r="N2580" s="2" t="s">
        <v>406</v>
      </c>
      <c r="O2580" s="3">
        <v>0.5</v>
      </c>
      <c r="P2580" s="2" t="s">
        <v>73</v>
      </c>
      <c r="Q2580" s="3">
        <v>0.0</v>
      </c>
      <c r="U2580" s="141"/>
      <c r="W2580" s="3">
        <v>213.0</v>
      </c>
      <c r="X2580" s="172">
        <v>46078.82032759259</v>
      </c>
      <c r="Y2580" s="172"/>
      <c r="Z2580" s="3">
        <v>46067.0</v>
      </c>
      <c r="AA2580" s="3"/>
    </row>
    <row r="2581">
      <c r="A2581" s="3">
        <v>6.911240503555E12</v>
      </c>
      <c r="B2581" s="2" t="s">
        <v>10842</v>
      </c>
      <c r="C2581" s="2" t="s">
        <v>10843</v>
      </c>
      <c r="D2581" s="169">
        <v>46067.0</v>
      </c>
      <c r="E2581" s="2">
        <v>3.312555973E9</v>
      </c>
      <c r="F2581" s="2" t="s">
        <v>10844</v>
      </c>
      <c r="G2581" s="2" t="s">
        <v>493</v>
      </c>
      <c r="H2581" s="2">
        <v>2749.0</v>
      </c>
      <c r="I2581" s="2">
        <v>2.2120050021878E13</v>
      </c>
      <c r="J2581" s="3">
        <v>2.0</v>
      </c>
      <c r="K2581" s="2" t="s">
        <v>10845</v>
      </c>
      <c r="L2581" s="2" t="s">
        <v>926</v>
      </c>
      <c r="M2581" s="2" t="s">
        <v>409</v>
      </c>
      <c r="N2581" s="2" t="s">
        <v>462</v>
      </c>
      <c r="O2581" s="3">
        <v>0.5</v>
      </c>
      <c r="P2581" s="2" t="s">
        <v>73</v>
      </c>
      <c r="Q2581" s="3">
        <v>980.0</v>
      </c>
      <c r="T2581" s="2" t="s">
        <v>9599</v>
      </c>
      <c r="U2581" s="171">
        <v>2749.0</v>
      </c>
      <c r="V2581" s="172">
        <v>46073.0</v>
      </c>
      <c r="W2581" s="3">
        <v>337.0</v>
      </c>
      <c r="X2581" s="172">
        <v>46070.65570445602</v>
      </c>
      <c r="Y2581" s="172"/>
      <c r="Z2581" s="3">
        <v>46067.0</v>
      </c>
      <c r="AA2581" s="3"/>
    </row>
    <row r="2582">
      <c r="A2582" s="3">
        <v>6.911251218691E12</v>
      </c>
      <c r="B2582" s="2" t="s">
        <v>10846</v>
      </c>
      <c r="C2582" s="2" t="s">
        <v>10847</v>
      </c>
      <c r="D2582" s="169">
        <v>46067.0</v>
      </c>
      <c r="E2582" s="173" t="s">
        <v>10848</v>
      </c>
      <c r="F2582" s="2" t="s">
        <v>10849</v>
      </c>
      <c r="G2582" s="2" t="s">
        <v>855</v>
      </c>
      <c r="H2582" s="2">
        <v>2849.0</v>
      </c>
      <c r="I2582" s="2">
        <v>2.3120050021877E13</v>
      </c>
      <c r="J2582" s="3">
        <v>2.0</v>
      </c>
      <c r="K2582" s="2" t="s">
        <v>10850</v>
      </c>
      <c r="L2582" s="2" t="s">
        <v>4209</v>
      </c>
      <c r="M2582" s="2" t="s">
        <v>409</v>
      </c>
      <c r="N2582" s="2" t="s">
        <v>462</v>
      </c>
      <c r="O2582" s="3">
        <v>0.5</v>
      </c>
      <c r="P2582" s="2" t="s">
        <v>73</v>
      </c>
      <c r="Q2582" s="3">
        <v>920.0</v>
      </c>
      <c r="T2582" s="2" t="s">
        <v>8519</v>
      </c>
      <c r="U2582" s="171">
        <v>2849.0</v>
      </c>
      <c r="V2582" s="172">
        <v>46070.0</v>
      </c>
      <c r="W2582" s="3">
        <v>314.0</v>
      </c>
      <c r="X2582" s="172">
        <v>46070.65570447917</v>
      </c>
      <c r="Y2582" s="172"/>
      <c r="Z2582" s="3">
        <v>46067.0</v>
      </c>
      <c r="AA2582" s="3"/>
    </row>
    <row r="2583">
      <c r="A2583" s="3">
        <v>6.911294505219E12</v>
      </c>
      <c r="B2583" s="2" t="s">
        <v>10851</v>
      </c>
      <c r="C2583" s="2" t="s">
        <v>10852</v>
      </c>
      <c r="D2583" s="169">
        <v>46067.0</v>
      </c>
      <c r="E2583" s="2">
        <v>3.004716217E9</v>
      </c>
      <c r="F2583" s="2" t="s">
        <v>10853</v>
      </c>
      <c r="G2583" s="2" t="s">
        <v>368</v>
      </c>
      <c r="H2583" s="2">
        <v>2849.0</v>
      </c>
      <c r="I2583" s="2">
        <v>2.9120050021876E13</v>
      </c>
      <c r="J2583" s="3">
        <v>2.0</v>
      </c>
      <c r="K2583" s="2" t="s">
        <v>10854</v>
      </c>
      <c r="L2583" s="2" t="s">
        <v>5916</v>
      </c>
      <c r="M2583" s="2" t="s">
        <v>409</v>
      </c>
      <c r="N2583" s="2" t="s">
        <v>462</v>
      </c>
      <c r="O2583" s="3">
        <v>0.5</v>
      </c>
      <c r="P2583" s="2" t="s">
        <v>73</v>
      </c>
      <c r="Q2583" s="3">
        <v>960.0</v>
      </c>
      <c r="T2583" s="2" t="s">
        <v>8519</v>
      </c>
      <c r="U2583" s="171">
        <v>2849.0</v>
      </c>
      <c r="V2583" s="172">
        <v>46070.0</v>
      </c>
      <c r="W2583" s="3">
        <v>221.0</v>
      </c>
      <c r="X2583" s="172">
        <v>46070.655704502315</v>
      </c>
      <c r="Y2583" s="172"/>
      <c r="Z2583" s="3">
        <v>46067.0</v>
      </c>
      <c r="AA2583" s="3"/>
    </row>
    <row r="2584">
      <c r="A2584" s="3">
        <v>6.911413977347E12</v>
      </c>
      <c r="B2584" s="2" t="s">
        <v>10855</v>
      </c>
      <c r="C2584" s="2" t="s">
        <v>10856</v>
      </c>
      <c r="D2584" s="169">
        <v>46067.0</v>
      </c>
      <c r="E2584" s="2">
        <v>3.22565E9</v>
      </c>
      <c r="F2584" s="2" t="s">
        <v>10857</v>
      </c>
      <c r="G2584" s="2" t="s">
        <v>2966</v>
      </c>
      <c r="H2584" s="2">
        <v>0.0</v>
      </c>
      <c r="J2584" s="3">
        <v>0.0</v>
      </c>
      <c r="K2584" s="2" t="s">
        <v>10858</v>
      </c>
      <c r="L2584" s="2"/>
      <c r="M2584" s="2" t="s">
        <v>468</v>
      </c>
      <c r="N2584" s="2" t="s">
        <v>406</v>
      </c>
      <c r="O2584" s="3">
        <v>0.5</v>
      </c>
      <c r="Q2584" s="3">
        <v>0.0</v>
      </c>
      <c r="U2584" s="141"/>
      <c r="X2584" s="172">
        <v>46067.668105439814</v>
      </c>
      <c r="Y2584" s="172"/>
      <c r="Z2584" s="3">
        <v>46067.0</v>
      </c>
      <c r="AA2584" s="3"/>
    </row>
    <row r="2585">
      <c r="A2585" s="3">
        <v>6.911419187459E12</v>
      </c>
      <c r="B2585" s="2" t="s">
        <v>10859</v>
      </c>
      <c r="C2585" s="2" t="s">
        <v>10856</v>
      </c>
      <c r="D2585" s="169">
        <v>46067.0</v>
      </c>
      <c r="E2585" s="2">
        <v>3.22565E9</v>
      </c>
      <c r="F2585" s="2" t="s">
        <v>10857</v>
      </c>
      <c r="G2585" s="2" t="s">
        <v>2966</v>
      </c>
      <c r="H2585" s="2">
        <v>0.0</v>
      </c>
      <c r="J2585" s="3">
        <v>0.0</v>
      </c>
      <c r="K2585" s="2" t="s">
        <v>10860</v>
      </c>
      <c r="L2585" s="2"/>
      <c r="M2585" s="2" t="s">
        <v>468</v>
      </c>
      <c r="N2585" s="2" t="s">
        <v>406</v>
      </c>
      <c r="O2585" s="3">
        <v>0.5</v>
      </c>
      <c r="Q2585" s="3">
        <v>0.0</v>
      </c>
      <c r="U2585" s="141"/>
      <c r="X2585" s="172">
        <v>46067.68896155093</v>
      </c>
      <c r="Y2585" s="172"/>
      <c r="Z2585" s="3">
        <v>46067.0</v>
      </c>
      <c r="AA2585" s="3"/>
    </row>
    <row r="2586">
      <c r="A2586" s="3">
        <v>6.911430033667E12</v>
      </c>
      <c r="B2586" s="2" t="s">
        <v>10861</v>
      </c>
      <c r="C2586" s="2" t="s">
        <v>10862</v>
      </c>
      <c r="D2586" s="169">
        <v>46067.0</v>
      </c>
      <c r="E2586" s="2">
        <v>3.01347499E9</v>
      </c>
      <c r="F2586" s="2" t="s">
        <v>10863</v>
      </c>
      <c r="G2586" s="2" t="s">
        <v>493</v>
      </c>
      <c r="H2586" s="2">
        <v>3099.0</v>
      </c>
      <c r="I2586" s="2">
        <v>2.4120050021925E13</v>
      </c>
      <c r="J2586" s="3">
        <v>1.0</v>
      </c>
      <c r="K2586" s="2" t="s">
        <v>10864</v>
      </c>
      <c r="L2586" s="2" t="s">
        <v>10865</v>
      </c>
      <c r="M2586" s="2" t="s">
        <v>409</v>
      </c>
      <c r="N2586" s="2" t="s">
        <v>462</v>
      </c>
      <c r="O2586" s="3">
        <v>0.5</v>
      </c>
      <c r="P2586" s="2" t="s">
        <v>73</v>
      </c>
      <c r="Q2586" s="3">
        <v>920.0</v>
      </c>
      <c r="T2586" s="2" t="s">
        <v>10233</v>
      </c>
      <c r="U2586" s="171">
        <v>3099.0</v>
      </c>
      <c r="W2586" s="3">
        <v>337.0</v>
      </c>
      <c r="X2586" s="172">
        <v>46073.49929173611</v>
      </c>
      <c r="Y2586" s="172"/>
      <c r="Z2586" s="3">
        <v>46067.0</v>
      </c>
      <c r="AA2586" s="3"/>
    </row>
    <row r="2587">
      <c r="A2587" s="3">
        <v>6.911460278531E12</v>
      </c>
      <c r="B2587" s="2" t="s">
        <v>10866</v>
      </c>
      <c r="C2587" s="2" t="s">
        <v>10867</v>
      </c>
      <c r="D2587" s="169">
        <v>46067.0</v>
      </c>
      <c r="E2587" s="2">
        <v>3.334384708E9</v>
      </c>
      <c r="F2587" s="2" t="s">
        <v>10868</v>
      </c>
      <c r="G2587" s="2" t="s">
        <v>368</v>
      </c>
      <c r="H2587" s="2">
        <v>3348.0</v>
      </c>
      <c r="I2587" s="2">
        <v>2.4120050021918E13</v>
      </c>
      <c r="J2587" s="3">
        <v>2.0</v>
      </c>
      <c r="K2587" s="2" t="s">
        <v>10869</v>
      </c>
      <c r="L2587" s="2" t="s">
        <v>40</v>
      </c>
      <c r="M2587" s="2" t="s">
        <v>409</v>
      </c>
      <c r="N2587" s="2" t="s">
        <v>462</v>
      </c>
      <c r="O2587" s="3">
        <v>0.5</v>
      </c>
      <c r="P2587" s="2" t="s">
        <v>73</v>
      </c>
      <c r="Q2587" s="3">
        <v>920.0</v>
      </c>
      <c r="T2587" s="2" t="s">
        <v>9599</v>
      </c>
      <c r="U2587" s="171">
        <v>3348.0</v>
      </c>
      <c r="V2587" s="172">
        <v>46073.0</v>
      </c>
      <c r="W2587" s="3">
        <v>241.0</v>
      </c>
      <c r="X2587" s="172">
        <v>46070.655704537035</v>
      </c>
      <c r="Y2587" s="172"/>
      <c r="Z2587" s="3">
        <v>46067.0</v>
      </c>
      <c r="AA2587" s="3"/>
    </row>
    <row r="2588">
      <c r="A2588" s="3">
        <v>6.911462244611E12</v>
      </c>
      <c r="B2588" s="2" t="s">
        <v>10870</v>
      </c>
      <c r="C2588" s="2" t="s">
        <v>10303</v>
      </c>
      <c r="D2588" s="169">
        <v>46067.0</v>
      </c>
      <c r="E2588" s="2">
        <v>3.156026438E9</v>
      </c>
      <c r="F2588" s="2" t="s">
        <v>10304</v>
      </c>
      <c r="G2588" s="2" t="s">
        <v>506</v>
      </c>
      <c r="H2588" s="2">
        <v>1799.0</v>
      </c>
      <c r="I2588" s="2">
        <v>2.2120050021885E13</v>
      </c>
      <c r="J2588" s="3">
        <v>1.0</v>
      </c>
      <c r="K2588" s="2" t="s">
        <v>10871</v>
      </c>
      <c r="L2588" s="2" t="s">
        <v>4482</v>
      </c>
      <c r="M2588" s="2" t="s">
        <v>409</v>
      </c>
      <c r="N2588" s="2" t="s">
        <v>462</v>
      </c>
      <c r="O2588" s="3">
        <v>0.5</v>
      </c>
      <c r="P2588" s="2" t="s">
        <v>73</v>
      </c>
      <c r="Q2588" s="3">
        <v>490.0</v>
      </c>
      <c r="T2588" s="2" t="s">
        <v>8519</v>
      </c>
      <c r="U2588" s="171">
        <v>1799.0</v>
      </c>
      <c r="V2588" s="172">
        <v>46070.0</v>
      </c>
      <c r="W2588" s="3">
        <v>210.0</v>
      </c>
      <c r="X2588" s="172">
        <v>46070.65570454861</v>
      </c>
      <c r="Y2588" s="172"/>
      <c r="Z2588" s="3">
        <v>46067.0</v>
      </c>
      <c r="AA2588" s="3"/>
    </row>
    <row r="2589">
      <c r="A2589" s="3">
        <v>6.911519949059E12</v>
      </c>
      <c r="B2589" s="2" t="s">
        <v>10872</v>
      </c>
      <c r="C2589" s="2" t="s">
        <v>10873</v>
      </c>
      <c r="D2589" s="169">
        <v>46067.0</v>
      </c>
      <c r="E2589" s="2">
        <v>3.347327714E9</v>
      </c>
      <c r="F2589" s="2" t="s">
        <v>10874</v>
      </c>
      <c r="G2589" s="2" t="s">
        <v>493</v>
      </c>
      <c r="H2589" s="2">
        <v>2849.0</v>
      </c>
      <c r="I2589" s="2">
        <v>2.3120050021908E13</v>
      </c>
      <c r="J2589" s="3">
        <v>2.0</v>
      </c>
      <c r="K2589" s="2" t="s">
        <v>10875</v>
      </c>
      <c r="L2589" s="2" t="s">
        <v>2324</v>
      </c>
      <c r="M2589" s="2" t="s">
        <v>409</v>
      </c>
      <c r="N2589" s="2" t="s">
        <v>462</v>
      </c>
      <c r="O2589" s="3">
        <v>0.5</v>
      </c>
      <c r="P2589" s="2" t="s">
        <v>73</v>
      </c>
      <c r="Q2589" s="3">
        <v>920.0</v>
      </c>
      <c r="T2589" s="2" t="s">
        <v>9599</v>
      </c>
      <c r="U2589" s="171">
        <v>2849.0</v>
      </c>
      <c r="V2589" s="172">
        <v>46073.0</v>
      </c>
      <c r="W2589" s="3">
        <v>327.0</v>
      </c>
      <c r="X2589" s="172">
        <v>46072.27114491898</v>
      </c>
      <c r="Y2589" s="172"/>
      <c r="Z2589" s="3">
        <v>46067.0</v>
      </c>
      <c r="AA2589" s="3"/>
    </row>
    <row r="2590">
      <c r="A2590" s="3">
        <v>6.911531286787E12</v>
      </c>
      <c r="B2590" s="2" t="s">
        <v>10876</v>
      </c>
      <c r="C2590" s="2" t="s">
        <v>10877</v>
      </c>
      <c r="D2590" s="169">
        <v>46067.0</v>
      </c>
      <c r="E2590" s="2">
        <v>3.020760116E9</v>
      </c>
      <c r="F2590" s="2" t="s">
        <v>10878</v>
      </c>
      <c r="G2590" s="2" t="s">
        <v>541</v>
      </c>
      <c r="H2590" s="2">
        <v>1899.0</v>
      </c>
      <c r="I2590" s="2">
        <v>2.4120050021938E13</v>
      </c>
      <c r="J2590" s="3">
        <v>1.0</v>
      </c>
      <c r="K2590" s="2" t="s">
        <v>10879</v>
      </c>
      <c r="L2590" s="2" t="s">
        <v>10880</v>
      </c>
      <c r="M2590" s="2" t="s">
        <v>409</v>
      </c>
      <c r="N2590" s="2" t="s">
        <v>462</v>
      </c>
      <c r="O2590" s="3">
        <v>0.5</v>
      </c>
      <c r="P2590" s="2" t="s">
        <v>73</v>
      </c>
      <c r="Q2590" s="3">
        <v>550.0</v>
      </c>
      <c r="T2590" s="2" t="s">
        <v>9599</v>
      </c>
      <c r="U2590" s="171">
        <v>1899.0</v>
      </c>
      <c r="V2590" s="172">
        <v>46073.0</v>
      </c>
      <c r="W2590" s="3">
        <v>276.0</v>
      </c>
      <c r="X2590" s="172">
        <v>46072.999422106484</v>
      </c>
      <c r="Y2590" s="172"/>
      <c r="Z2590" s="3">
        <v>46067.0</v>
      </c>
      <c r="AA2590" s="3"/>
    </row>
    <row r="2591">
      <c r="A2591" s="3">
        <v>6.911547474179E12</v>
      </c>
      <c r="B2591" s="2" t="s">
        <v>10881</v>
      </c>
      <c r="C2591" s="2" t="s">
        <v>10882</v>
      </c>
      <c r="D2591" s="169">
        <v>46067.0</v>
      </c>
      <c r="E2591" s="2">
        <v>3.12561739E9</v>
      </c>
      <c r="F2591" s="2" t="s">
        <v>10883</v>
      </c>
      <c r="G2591" s="2" t="s">
        <v>506</v>
      </c>
      <c r="H2591" s="2">
        <v>2699.0</v>
      </c>
      <c r="I2591" s="2">
        <v>2.9120050021937E13</v>
      </c>
      <c r="J2591" s="3">
        <v>1.0</v>
      </c>
      <c r="K2591" s="2" t="s">
        <v>10884</v>
      </c>
      <c r="L2591" s="2" t="s">
        <v>10885</v>
      </c>
      <c r="M2591" s="2" t="s">
        <v>409</v>
      </c>
      <c r="N2591" s="2" t="s">
        <v>462</v>
      </c>
      <c r="O2591" s="3">
        <v>0.5</v>
      </c>
      <c r="P2591" s="2" t="s">
        <v>73</v>
      </c>
      <c r="Q2591" s="3">
        <v>1075.0</v>
      </c>
      <c r="T2591" s="2" t="s">
        <v>9599</v>
      </c>
      <c r="U2591" s="171">
        <v>2699.0</v>
      </c>
      <c r="V2591" s="172">
        <v>46073.0</v>
      </c>
      <c r="W2591" s="3">
        <v>328.0</v>
      </c>
      <c r="X2591" s="172">
        <v>46072.99942221065</v>
      </c>
      <c r="Y2591" s="172"/>
      <c r="Z2591" s="3">
        <v>46067.0</v>
      </c>
      <c r="AA2591" s="3"/>
    </row>
    <row r="2592">
      <c r="A2592" s="3">
        <v>6.911585812739E12</v>
      </c>
      <c r="B2592" s="2" t="s">
        <v>10886</v>
      </c>
      <c r="C2592" s="2" t="s">
        <v>10887</v>
      </c>
      <c r="D2592" s="169">
        <v>46067.0</v>
      </c>
      <c r="E2592" s="2">
        <v>3.405046568E9</v>
      </c>
      <c r="F2592" s="2" t="s">
        <v>10888</v>
      </c>
      <c r="G2592" s="2" t="s">
        <v>366</v>
      </c>
      <c r="H2592" s="2">
        <v>2699.0</v>
      </c>
      <c r="I2592" s="2">
        <v>2.7120050021907E13</v>
      </c>
      <c r="J2592" s="3">
        <v>1.0</v>
      </c>
      <c r="K2592" s="2" t="s">
        <v>10889</v>
      </c>
      <c r="L2592" s="2" t="s">
        <v>10890</v>
      </c>
      <c r="M2592" s="2" t="s">
        <v>409</v>
      </c>
      <c r="N2592" s="2" t="s">
        <v>462</v>
      </c>
      <c r="O2592" s="3">
        <v>0.5</v>
      </c>
      <c r="P2592" s="2" t="s">
        <v>73</v>
      </c>
      <c r="Q2592" s="3">
        <v>1075.0</v>
      </c>
      <c r="T2592" s="2" t="s">
        <v>9599</v>
      </c>
      <c r="U2592" s="171">
        <v>2699.0</v>
      </c>
      <c r="V2592" s="172">
        <v>46073.0</v>
      </c>
      <c r="W2592" s="3">
        <v>328.0</v>
      </c>
      <c r="X2592" s="172">
        <v>46072.2711449537</v>
      </c>
      <c r="Y2592" s="172"/>
      <c r="Z2592" s="3">
        <v>46067.0</v>
      </c>
      <c r="AA2592" s="3"/>
    </row>
    <row r="2593">
      <c r="A2593" s="3">
        <v>6.911603015939E12</v>
      </c>
      <c r="B2593" s="2" t="s">
        <v>10891</v>
      </c>
      <c r="C2593" s="2" t="s">
        <v>10892</v>
      </c>
      <c r="D2593" s="169">
        <v>46067.0</v>
      </c>
      <c r="E2593" s="2">
        <v>3.163300828E9</v>
      </c>
      <c r="F2593" s="2" t="s">
        <v>10893</v>
      </c>
      <c r="G2593" s="2" t="s">
        <v>1425</v>
      </c>
      <c r="H2593" s="2">
        <v>3099.0</v>
      </c>
      <c r="I2593" s="2">
        <v>2.7120050021936E13</v>
      </c>
      <c r="J2593" s="3">
        <v>2.0</v>
      </c>
      <c r="K2593" s="2" t="s">
        <v>10894</v>
      </c>
      <c r="L2593" s="2" t="s">
        <v>1143</v>
      </c>
      <c r="M2593" s="2" t="s">
        <v>409</v>
      </c>
      <c r="N2593" s="2" t="s">
        <v>462</v>
      </c>
      <c r="O2593" s="3">
        <v>0.5</v>
      </c>
      <c r="P2593" s="2" t="s">
        <v>73</v>
      </c>
      <c r="Q2593" s="3">
        <v>960.0</v>
      </c>
      <c r="T2593" s="2" t="s">
        <v>9599</v>
      </c>
      <c r="U2593" s="171">
        <v>3099.0</v>
      </c>
      <c r="V2593" s="172">
        <v>46073.0</v>
      </c>
      <c r="W2593" s="3">
        <v>337.0</v>
      </c>
      <c r="X2593" s="172">
        <v>46072.99942256944</v>
      </c>
      <c r="Y2593" s="172"/>
      <c r="Z2593" s="3">
        <v>46067.0</v>
      </c>
      <c r="AA2593" s="3"/>
    </row>
    <row r="2594">
      <c r="A2594" s="3">
        <v>6.911606325507E12</v>
      </c>
      <c r="B2594" s="2" t="s">
        <v>10895</v>
      </c>
      <c r="C2594" s="2" t="s">
        <v>10896</v>
      </c>
      <c r="D2594" s="169">
        <v>46067.0</v>
      </c>
      <c r="E2594" s="2">
        <v>3.331555528E9</v>
      </c>
      <c r="F2594" s="2" t="s">
        <v>10897</v>
      </c>
      <c r="G2594" s="2" t="s">
        <v>506</v>
      </c>
      <c r="H2594" s="2">
        <v>7000.0</v>
      </c>
      <c r="I2594" s="2">
        <v>2.2120050021917E13</v>
      </c>
      <c r="J2594" s="3">
        <v>4.0</v>
      </c>
      <c r="K2594" s="2" t="s">
        <v>10898</v>
      </c>
      <c r="L2594" s="2" t="s">
        <v>10899</v>
      </c>
      <c r="M2594" s="2" t="s">
        <v>409</v>
      </c>
      <c r="N2594" s="2" t="s">
        <v>462</v>
      </c>
      <c r="O2594" s="3">
        <v>0.5</v>
      </c>
      <c r="P2594" s="2" t="s">
        <v>73</v>
      </c>
      <c r="Q2594" s="3">
        <v>2930.0</v>
      </c>
      <c r="T2594" s="2" t="s">
        <v>9599</v>
      </c>
      <c r="U2594" s="171">
        <v>7000.0</v>
      </c>
      <c r="V2594" s="172">
        <v>46073.0</v>
      </c>
      <c r="W2594" s="3">
        <v>500.0</v>
      </c>
      <c r="X2594" s="172">
        <v>46072.83268849537</v>
      </c>
      <c r="Y2594" s="172"/>
      <c r="Z2594" s="3">
        <v>46067.0</v>
      </c>
      <c r="AA2594" s="3"/>
    </row>
    <row r="2595">
      <c r="A2595" s="3">
        <v>6.911643025667E12</v>
      </c>
      <c r="B2595" s="2" t="s">
        <v>10900</v>
      </c>
      <c r="C2595" s="2" t="s">
        <v>10901</v>
      </c>
      <c r="D2595" s="169">
        <v>46067.0</v>
      </c>
      <c r="E2595" s="2">
        <v>3.003043833E9</v>
      </c>
      <c r="F2595" s="2" t="s">
        <v>10902</v>
      </c>
      <c r="G2595" s="2" t="s">
        <v>10903</v>
      </c>
      <c r="H2595" s="2">
        <v>3348.0</v>
      </c>
      <c r="I2595" s="2">
        <v>2.4120050022013E13</v>
      </c>
      <c r="J2595" s="3">
        <v>2.0</v>
      </c>
      <c r="K2595" s="2" t="s">
        <v>10904</v>
      </c>
      <c r="L2595" s="2" t="s">
        <v>40</v>
      </c>
      <c r="M2595" s="2" t="s">
        <v>409</v>
      </c>
      <c r="N2595" s="2" t="s">
        <v>462</v>
      </c>
      <c r="O2595" s="3">
        <v>0.5</v>
      </c>
      <c r="P2595" s="2" t="s">
        <v>73</v>
      </c>
      <c r="Q2595" s="3">
        <v>720.0</v>
      </c>
      <c r="T2595" s="2" t="s">
        <v>10905</v>
      </c>
      <c r="U2595" s="171">
        <v>3348.0</v>
      </c>
      <c r="V2595" s="172">
        <v>46080.0</v>
      </c>
      <c r="W2595" s="3">
        <v>347.0</v>
      </c>
      <c r="X2595" s="172">
        <v>46077.707653125</v>
      </c>
      <c r="Y2595" s="172"/>
      <c r="Z2595" s="3">
        <v>46067.0</v>
      </c>
      <c r="AA2595" s="3"/>
    </row>
    <row r="2596">
      <c r="A2596" s="3">
        <v>6.911665766659E12</v>
      </c>
      <c r="B2596" s="2" t="s">
        <v>10906</v>
      </c>
      <c r="C2596" s="2" t="s">
        <v>10907</v>
      </c>
      <c r="D2596" s="169">
        <v>46067.0</v>
      </c>
      <c r="E2596" s="173" t="s">
        <v>10908</v>
      </c>
      <c r="F2596" s="2" t="s">
        <v>10909</v>
      </c>
      <c r="G2596" s="2" t="s">
        <v>10910</v>
      </c>
      <c r="H2596" s="2">
        <v>2749.0</v>
      </c>
      <c r="I2596" s="2">
        <v>2.9120050021916E13</v>
      </c>
      <c r="J2596" s="3">
        <v>2.0</v>
      </c>
      <c r="K2596" s="2" t="s">
        <v>10911</v>
      </c>
      <c r="L2596" s="2" t="s">
        <v>35</v>
      </c>
      <c r="M2596" s="2" t="s">
        <v>409</v>
      </c>
      <c r="N2596" s="2" t="s">
        <v>462</v>
      </c>
      <c r="O2596" s="3">
        <v>0.5</v>
      </c>
      <c r="P2596" s="2" t="s">
        <v>73</v>
      </c>
      <c r="Q2596" s="3">
        <v>980.0</v>
      </c>
      <c r="T2596" s="2" t="s">
        <v>9599</v>
      </c>
      <c r="U2596" s="171">
        <v>2749.0</v>
      </c>
      <c r="V2596" s="172">
        <v>46073.0</v>
      </c>
      <c r="W2596" s="3">
        <v>323.0</v>
      </c>
      <c r="X2596" s="172">
        <v>46072.87428399306</v>
      </c>
      <c r="Y2596" s="172"/>
      <c r="Z2596" s="3">
        <v>46067.0</v>
      </c>
      <c r="AA2596" s="3"/>
    </row>
    <row r="2597">
      <c r="A2597" s="3">
        <v>6.911679561987E12</v>
      </c>
      <c r="B2597" s="2" t="s">
        <v>10912</v>
      </c>
      <c r="C2597" s="2" t="s">
        <v>10913</v>
      </c>
      <c r="D2597" s="169">
        <v>46067.0</v>
      </c>
      <c r="E2597" s="2">
        <v>3.007439142E9</v>
      </c>
      <c r="F2597" s="2" t="s">
        <v>10914</v>
      </c>
      <c r="G2597" s="2" t="s">
        <v>506</v>
      </c>
      <c r="H2597" s="2">
        <v>3348.0</v>
      </c>
      <c r="I2597" s="2">
        <v>2.3120050021915E13</v>
      </c>
      <c r="J2597" s="3">
        <v>2.0</v>
      </c>
      <c r="K2597" s="2" t="s">
        <v>10915</v>
      </c>
      <c r="L2597" s="2" t="s">
        <v>27</v>
      </c>
      <c r="M2597" s="2" t="s">
        <v>409</v>
      </c>
      <c r="N2597" s="2" t="s">
        <v>462</v>
      </c>
      <c r="O2597" s="3">
        <v>0.5</v>
      </c>
      <c r="P2597" s="2" t="s">
        <v>73</v>
      </c>
      <c r="Q2597" s="3">
        <v>920.0</v>
      </c>
      <c r="T2597" s="2" t="s">
        <v>9599</v>
      </c>
      <c r="U2597" s="171">
        <v>3348.0</v>
      </c>
      <c r="V2597" s="172">
        <v>46073.0</v>
      </c>
      <c r="W2597" s="3">
        <v>334.0</v>
      </c>
      <c r="X2597" s="172">
        <v>46070.65572386574</v>
      </c>
      <c r="Y2597" s="172"/>
      <c r="Z2597" s="3">
        <v>46067.0</v>
      </c>
      <c r="AA2597" s="3"/>
    </row>
    <row r="2598">
      <c r="A2598" s="3">
        <v>6.911681822979E12</v>
      </c>
      <c r="B2598" s="2" t="s">
        <v>10916</v>
      </c>
      <c r="C2598" s="2" t="s">
        <v>10917</v>
      </c>
      <c r="D2598" s="169">
        <v>46067.0</v>
      </c>
      <c r="E2598" s="2">
        <v>3.044929204E9</v>
      </c>
      <c r="F2598" s="2" t="s">
        <v>10918</v>
      </c>
      <c r="G2598" s="2" t="s">
        <v>1682</v>
      </c>
      <c r="H2598" s="2">
        <v>0.0</v>
      </c>
      <c r="J2598" s="3">
        <v>0.0</v>
      </c>
      <c r="K2598" s="2" t="s">
        <v>10919</v>
      </c>
      <c r="L2598" s="2"/>
      <c r="M2598" s="2" t="s">
        <v>468</v>
      </c>
      <c r="N2598" s="2" t="s">
        <v>406</v>
      </c>
      <c r="O2598" s="3">
        <v>0.5</v>
      </c>
      <c r="Q2598" s="3">
        <v>0.0</v>
      </c>
      <c r="U2598" s="141"/>
      <c r="X2598" s="172">
        <v>46067.87644232639</v>
      </c>
      <c r="Y2598" s="172"/>
      <c r="Z2598" s="3">
        <v>46067.0</v>
      </c>
      <c r="AA2598" s="3"/>
    </row>
    <row r="2599">
      <c r="A2599" s="3">
        <v>6.911709249795E12</v>
      </c>
      <c r="B2599" s="2" t="s">
        <v>10920</v>
      </c>
      <c r="C2599" s="2" t="s">
        <v>10921</v>
      </c>
      <c r="D2599" s="169">
        <v>46067.0</v>
      </c>
      <c r="E2599" s="2">
        <v>3.028633905E9</v>
      </c>
      <c r="F2599" s="2" t="s">
        <v>10922</v>
      </c>
      <c r="G2599" s="2" t="s">
        <v>541</v>
      </c>
      <c r="H2599" s="2">
        <v>2849.0</v>
      </c>
      <c r="I2599" s="2">
        <v>2.6120050021914E13</v>
      </c>
      <c r="J2599" s="3">
        <v>2.0</v>
      </c>
      <c r="K2599" s="2" t="s">
        <v>10923</v>
      </c>
      <c r="L2599" s="2" t="s">
        <v>4209</v>
      </c>
      <c r="M2599" s="2" t="s">
        <v>409</v>
      </c>
      <c r="N2599" s="2" t="s">
        <v>462</v>
      </c>
      <c r="O2599" s="3">
        <v>0.5</v>
      </c>
      <c r="P2599" s="2" t="s">
        <v>73</v>
      </c>
      <c r="Q2599" s="3">
        <v>720.0</v>
      </c>
      <c r="T2599" s="2" t="s">
        <v>10233</v>
      </c>
      <c r="U2599" s="171">
        <v>2849.0</v>
      </c>
      <c r="W2599" s="3">
        <v>314.0</v>
      </c>
      <c r="X2599" s="172">
        <v>46073.66593575232</v>
      </c>
      <c r="Y2599" s="172"/>
      <c r="Z2599" s="3">
        <v>46067.0</v>
      </c>
      <c r="AA2599" s="3"/>
    </row>
    <row r="2600">
      <c r="A2600" s="3">
        <v>6.911886754051E12</v>
      </c>
      <c r="B2600" s="2" t="s">
        <v>10924</v>
      </c>
      <c r="C2600" s="2" t="s">
        <v>6869</v>
      </c>
      <c r="D2600" s="169">
        <v>46067.0</v>
      </c>
      <c r="E2600" s="2">
        <v>3.008658109E9</v>
      </c>
      <c r="F2600" s="2" t="s">
        <v>10925</v>
      </c>
      <c r="G2600" s="2" t="s">
        <v>374</v>
      </c>
      <c r="H2600" s="2">
        <v>3549.0</v>
      </c>
      <c r="I2600" s="2">
        <v>2.4120050021924E13</v>
      </c>
      <c r="J2600" s="3">
        <v>2.0</v>
      </c>
      <c r="K2600" s="2" t="s">
        <v>10926</v>
      </c>
      <c r="L2600" s="2" t="s">
        <v>10927</v>
      </c>
      <c r="M2600" s="2" t="s">
        <v>409</v>
      </c>
      <c r="N2600" s="2" t="s">
        <v>462</v>
      </c>
      <c r="O2600" s="3">
        <v>0.5</v>
      </c>
      <c r="P2600" s="2" t="s">
        <v>73</v>
      </c>
      <c r="Q2600" s="3">
        <v>1100.0</v>
      </c>
      <c r="T2600" s="2" t="s">
        <v>10233</v>
      </c>
      <c r="U2600" s="171">
        <v>3549.0</v>
      </c>
      <c r="W2600" s="3">
        <v>362.0</v>
      </c>
      <c r="X2600" s="172">
        <v>46074.49930590278</v>
      </c>
      <c r="Y2600" s="172"/>
      <c r="Z2600" s="3">
        <v>46067.0</v>
      </c>
      <c r="AA2600" s="3"/>
    </row>
    <row r="2601">
      <c r="A2601" s="3">
        <v>6.911892717827E12</v>
      </c>
      <c r="B2601" s="2" t="s">
        <v>10928</v>
      </c>
      <c r="C2601" s="2" t="s">
        <v>10929</v>
      </c>
      <c r="D2601" s="169">
        <v>46067.0</v>
      </c>
      <c r="E2601" s="2">
        <v>3.219255665E9</v>
      </c>
      <c r="F2601" s="2" t="s">
        <v>10930</v>
      </c>
      <c r="G2601" s="2" t="s">
        <v>493</v>
      </c>
      <c r="H2601" s="2">
        <v>1899.0</v>
      </c>
      <c r="I2601" s="2">
        <v>2.5120050021913E13</v>
      </c>
      <c r="J2601" s="3">
        <v>1.0</v>
      </c>
      <c r="K2601" s="2" t="s">
        <v>10931</v>
      </c>
      <c r="L2601" s="2" t="s">
        <v>10932</v>
      </c>
      <c r="M2601" s="2" t="s">
        <v>409</v>
      </c>
      <c r="N2601" s="2" t="s">
        <v>462</v>
      </c>
      <c r="O2601" s="3">
        <v>0.5</v>
      </c>
      <c r="P2601" s="2" t="s">
        <v>73</v>
      </c>
      <c r="Q2601" s="3">
        <v>550.0</v>
      </c>
      <c r="T2601" s="2" t="s">
        <v>9599</v>
      </c>
      <c r="U2601" s="171">
        <v>1899.0</v>
      </c>
      <c r="V2601" s="172">
        <v>46073.0</v>
      </c>
      <c r="W2601" s="3">
        <v>289.0</v>
      </c>
      <c r="X2601" s="172">
        <v>46072.271145624996</v>
      </c>
      <c r="Y2601" s="172"/>
      <c r="Z2601" s="3">
        <v>46067.0</v>
      </c>
      <c r="AA2601" s="3"/>
    </row>
    <row r="2602">
      <c r="A2602" s="3">
        <v>6.912211321091E12</v>
      </c>
      <c r="B2602" s="2" t="s">
        <v>10933</v>
      </c>
      <c r="C2602" s="2" t="s">
        <v>10934</v>
      </c>
      <c r="D2602" s="169">
        <v>46068.0</v>
      </c>
      <c r="E2602" s="2">
        <v>3.226894469E9</v>
      </c>
      <c r="F2602" s="2" t="s">
        <v>10935</v>
      </c>
      <c r="G2602" s="2" t="s">
        <v>368</v>
      </c>
      <c r="H2602" s="2">
        <v>249.0</v>
      </c>
      <c r="I2602" s="2">
        <v>2.1120050021935E13</v>
      </c>
      <c r="J2602" s="3">
        <v>0.0</v>
      </c>
      <c r="K2602" s="2" t="s">
        <v>10936</v>
      </c>
      <c r="L2602" s="2"/>
      <c r="M2602" s="170" t="s">
        <v>455</v>
      </c>
      <c r="N2602" s="2" t="s">
        <v>406</v>
      </c>
      <c r="O2602" s="3">
        <v>0.5</v>
      </c>
      <c r="P2602" s="2" t="s">
        <v>73</v>
      </c>
      <c r="Q2602" s="3">
        <v>0.0</v>
      </c>
      <c r="U2602" s="141"/>
      <c r="W2602" s="3">
        <v>120.0</v>
      </c>
      <c r="X2602" s="172">
        <v>46076.790991747686</v>
      </c>
      <c r="Y2602" s="172"/>
      <c r="Z2602" s="3">
        <v>46068.0</v>
      </c>
      <c r="AA2602" s="3"/>
    </row>
    <row r="2603">
      <c r="A2603" s="3">
        <v>6.912232653059E12</v>
      </c>
      <c r="B2603" s="2" t="s">
        <v>10937</v>
      </c>
      <c r="C2603" s="2" t="s">
        <v>10938</v>
      </c>
      <c r="D2603" s="169">
        <v>46068.0</v>
      </c>
      <c r="E2603" s="2">
        <v>3.009261866E9</v>
      </c>
      <c r="F2603" s="2" t="s">
        <v>10939</v>
      </c>
      <c r="G2603" s="2" t="s">
        <v>493</v>
      </c>
      <c r="H2603" s="2">
        <v>249.0</v>
      </c>
      <c r="I2603" s="2">
        <v>2.1120050021912E13</v>
      </c>
      <c r="J2603" s="3">
        <v>0.0</v>
      </c>
      <c r="K2603" s="2" t="s">
        <v>10940</v>
      </c>
      <c r="L2603" s="2"/>
      <c r="M2603" s="170" t="s">
        <v>455</v>
      </c>
      <c r="N2603" s="2" t="s">
        <v>406</v>
      </c>
      <c r="O2603" s="3">
        <v>0.5</v>
      </c>
      <c r="P2603" s="2" t="s">
        <v>73</v>
      </c>
      <c r="Q2603" s="3">
        <v>0.0</v>
      </c>
      <c r="U2603" s="141"/>
      <c r="W2603" s="3">
        <v>213.0</v>
      </c>
      <c r="X2603" s="172">
        <v>46078.82032760417</v>
      </c>
      <c r="Y2603" s="172"/>
      <c r="Z2603" s="3">
        <v>46068.0</v>
      </c>
      <c r="AA2603" s="3"/>
    </row>
    <row r="2604">
      <c r="A2604" s="3">
        <v>6.912396853507E12</v>
      </c>
      <c r="B2604" s="2" t="s">
        <v>10941</v>
      </c>
      <c r="C2604" s="2" t="s">
        <v>10942</v>
      </c>
      <c r="D2604" s="169">
        <v>46068.0</v>
      </c>
      <c r="E2604" s="2">
        <v>3.154568576E9</v>
      </c>
      <c r="F2604" s="2" t="s">
        <v>10943</v>
      </c>
      <c r="G2604" s="2" t="s">
        <v>3653</v>
      </c>
      <c r="H2604" s="2">
        <v>3348.0</v>
      </c>
      <c r="I2604" s="2">
        <v>2.1120050021911E13</v>
      </c>
      <c r="J2604" s="3">
        <v>2.0</v>
      </c>
      <c r="K2604" s="2" t="s">
        <v>10944</v>
      </c>
      <c r="L2604" s="2" t="s">
        <v>228</v>
      </c>
      <c r="M2604" s="2" t="s">
        <v>409</v>
      </c>
      <c r="N2604" s="2" t="s">
        <v>462</v>
      </c>
      <c r="O2604" s="3">
        <v>0.5</v>
      </c>
      <c r="P2604" s="2" t="s">
        <v>73</v>
      </c>
      <c r="Q2604" s="3">
        <v>920.0</v>
      </c>
      <c r="T2604" s="2" t="s">
        <v>9599</v>
      </c>
      <c r="U2604" s="171">
        <v>3348.0</v>
      </c>
      <c r="V2604" s="172">
        <v>46073.0</v>
      </c>
      <c r="W2604" s="3">
        <v>347.0</v>
      </c>
      <c r="X2604" s="172">
        <v>46072.27114571759</v>
      </c>
      <c r="Y2604" s="172"/>
      <c r="Z2604" s="3">
        <v>46068.0</v>
      </c>
      <c r="AA2604" s="3"/>
    </row>
    <row r="2605">
      <c r="A2605" s="3">
        <v>6.912613417219E12</v>
      </c>
      <c r="B2605" s="2" t="s">
        <v>10945</v>
      </c>
      <c r="C2605" s="2" t="s">
        <v>10946</v>
      </c>
      <c r="D2605" s="169">
        <v>46068.0</v>
      </c>
      <c r="E2605" s="2">
        <v>3.026921174E9</v>
      </c>
      <c r="F2605" s="2" t="s">
        <v>10947</v>
      </c>
      <c r="G2605" s="2" t="s">
        <v>368</v>
      </c>
      <c r="H2605" s="2">
        <v>3348.0</v>
      </c>
      <c r="I2605" s="2">
        <v>2.5120050021906E13</v>
      </c>
      <c r="J2605" s="3">
        <v>2.0</v>
      </c>
      <c r="K2605" s="2" t="s">
        <v>10948</v>
      </c>
      <c r="L2605" s="2" t="s">
        <v>50</v>
      </c>
      <c r="M2605" s="2" t="s">
        <v>409</v>
      </c>
      <c r="N2605" s="2" t="s">
        <v>462</v>
      </c>
      <c r="O2605" s="3">
        <v>0.5</v>
      </c>
      <c r="P2605" s="2" t="s">
        <v>73</v>
      </c>
      <c r="Q2605" s="3">
        <v>920.0</v>
      </c>
      <c r="T2605" s="2" t="s">
        <v>9599</v>
      </c>
      <c r="U2605" s="171">
        <v>3348.0</v>
      </c>
      <c r="V2605" s="172">
        <v>46073.0</v>
      </c>
      <c r="W2605" s="3">
        <v>241.0</v>
      </c>
      <c r="X2605" s="172">
        <v>46070.65572393518</v>
      </c>
      <c r="Y2605" s="172"/>
      <c r="Z2605" s="3">
        <v>46068.0</v>
      </c>
      <c r="AA2605" s="3"/>
    </row>
    <row r="2606">
      <c r="A2606" s="3">
        <v>6.912626852099E12</v>
      </c>
      <c r="B2606" s="2" t="s">
        <v>10949</v>
      </c>
      <c r="C2606" s="2" t="s">
        <v>10950</v>
      </c>
      <c r="D2606" s="169">
        <v>46068.0</v>
      </c>
      <c r="E2606" s="2">
        <v>3.323457684E9</v>
      </c>
      <c r="F2606" s="2" t="s">
        <v>10951</v>
      </c>
      <c r="G2606" s="2" t="s">
        <v>561</v>
      </c>
      <c r="H2606" s="2">
        <v>3348.0</v>
      </c>
      <c r="I2606" s="2">
        <v>2.9120050021905E13</v>
      </c>
      <c r="J2606" s="3">
        <v>2.0</v>
      </c>
      <c r="K2606" s="2" t="s">
        <v>10952</v>
      </c>
      <c r="L2606" s="2" t="s">
        <v>27</v>
      </c>
      <c r="M2606" s="2" t="s">
        <v>409</v>
      </c>
      <c r="N2606" s="2" t="s">
        <v>462</v>
      </c>
      <c r="O2606" s="3">
        <v>0.5</v>
      </c>
      <c r="P2606" s="2" t="s">
        <v>73</v>
      </c>
      <c r="Q2606" s="3">
        <v>920.0</v>
      </c>
      <c r="T2606" s="2" t="s">
        <v>9599</v>
      </c>
      <c r="U2606" s="171">
        <v>3348.0</v>
      </c>
      <c r="V2606" s="172">
        <v>46073.0</v>
      </c>
      <c r="W2606" s="3">
        <v>347.0</v>
      </c>
      <c r="X2606" s="172">
        <v>46072.271145763894</v>
      </c>
      <c r="Y2606" s="172"/>
      <c r="Z2606" s="3">
        <v>46068.0</v>
      </c>
      <c r="AA2606" s="3"/>
    </row>
    <row r="2607">
      <c r="A2607" s="3">
        <v>6.912661160195E12</v>
      </c>
      <c r="B2607" s="2" t="s">
        <v>10953</v>
      </c>
      <c r="C2607" s="2" t="s">
        <v>10954</v>
      </c>
      <c r="D2607" s="169">
        <v>46068.0</v>
      </c>
      <c r="E2607" s="2">
        <v>3.19542842E9</v>
      </c>
      <c r="F2607" s="2" t="s">
        <v>10955</v>
      </c>
      <c r="G2607" s="2" t="s">
        <v>1395</v>
      </c>
      <c r="H2607" s="2">
        <v>0.0</v>
      </c>
      <c r="I2607" s="2">
        <v>2.5120050021904E13</v>
      </c>
      <c r="J2607" s="3">
        <v>0.0</v>
      </c>
      <c r="K2607" s="2" t="s">
        <v>10956</v>
      </c>
      <c r="L2607" s="2"/>
      <c r="M2607" s="2" t="s">
        <v>409</v>
      </c>
      <c r="N2607" s="2" t="s">
        <v>406</v>
      </c>
      <c r="O2607" s="3">
        <v>0.5</v>
      </c>
      <c r="P2607" s="2" t="s">
        <v>73</v>
      </c>
      <c r="Q2607" s="3">
        <v>0.0</v>
      </c>
      <c r="T2607" s="2" t="s">
        <v>9599</v>
      </c>
      <c r="U2607" s="171">
        <v>0.0</v>
      </c>
      <c r="V2607" s="172">
        <v>46073.0</v>
      </c>
      <c r="W2607" s="3">
        <v>455.0</v>
      </c>
      <c r="X2607" s="172">
        <v>46072.99942569445</v>
      </c>
      <c r="Y2607" s="172"/>
      <c r="Z2607" s="3">
        <v>46068.0</v>
      </c>
      <c r="AA2607" s="3"/>
    </row>
    <row r="2608">
      <c r="A2608" s="3">
        <v>6.912708641027E12</v>
      </c>
      <c r="B2608" s="2" t="s">
        <v>10957</v>
      </c>
      <c r="C2608" s="2" t="s">
        <v>10958</v>
      </c>
      <c r="D2608" s="169">
        <v>46068.0</v>
      </c>
      <c r="E2608" s="2">
        <v>3.44949504E9</v>
      </c>
      <c r="F2608" s="2" t="s">
        <v>10959</v>
      </c>
      <c r="G2608" s="2" t="s">
        <v>506</v>
      </c>
      <c r="H2608" s="2">
        <v>3348.0</v>
      </c>
      <c r="I2608" s="2">
        <v>2.9120050021903E13</v>
      </c>
      <c r="J2608" s="3">
        <v>2.0</v>
      </c>
      <c r="K2608" s="2" t="s">
        <v>10960</v>
      </c>
      <c r="L2608" s="2" t="s">
        <v>40</v>
      </c>
      <c r="M2608" s="2" t="s">
        <v>409</v>
      </c>
      <c r="N2608" s="2" t="s">
        <v>462</v>
      </c>
      <c r="O2608" s="3">
        <v>0.5</v>
      </c>
      <c r="P2608" s="2" t="s">
        <v>73</v>
      </c>
      <c r="Q2608" s="3">
        <v>920.0</v>
      </c>
      <c r="T2608" s="2" t="s">
        <v>9599</v>
      </c>
      <c r="U2608" s="171">
        <v>3348.0</v>
      </c>
      <c r="V2608" s="172">
        <v>46073.0</v>
      </c>
      <c r="W2608" s="3">
        <v>334.0</v>
      </c>
      <c r="X2608" s="172">
        <v>46070.707613969906</v>
      </c>
      <c r="Y2608" s="172"/>
      <c r="Z2608" s="3">
        <v>46068.0</v>
      </c>
      <c r="AA2608" s="3"/>
    </row>
    <row r="2609">
      <c r="A2609" s="3">
        <v>6.912710770947E12</v>
      </c>
      <c r="B2609" s="2" t="s">
        <v>10961</v>
      </c>
      <c r="C2609" s="2" t="s">
        <v>10962</v>
      </c>
      <c r="D2609" s="169">
        <v>46068.0</v>
      </c>
      <c r="E2609" s="2">
        <v>3.059822804E9</v>
      </c>
      <c r="F2609" s="2" t="s">
        <v>10963</v>
      </c>
      <c r="G2609" s="2" t="s">
        <v>368</v>
      </c>
      <c r="H2609" s="2">
        <v>0.0</v>
      </c>
      <c r="J2609" s="3">
        <v>0.0</v>
      </c>
      <c r="K2609" s="2" t="s">
        <v>10964</v>
      </c>
      <c r="L2609" s="2"/>
      <c r="M2609" s="2" t="s">
        <v>468</v>
      </c>
      <c r="N2609" s="2" t="s">
        <v>406</v>
      </c>
      <c r="O2609" s="3">
        <v>0.5</v>
      </c>
      <c r="Q2609" s="3">
        <v>0.0</v>
      </c>
      <c r="U2609" s="141"/>
      <c r="X2609" s="172">
        <v>46068.563933171296</v>
      </c>
      <c r="Y2609" s="172"/>
      <c r="Z2609" s="3">
        <v>46068.0</v>
      </c>
      <c r="AA2609" s="3"/>
    </row>
    <row r="2610">
      <c r="A2610" s="3">
        <v>6.912722764035E12</v>
      </c>
      <c r="B2610" s="2" t="s">
        <v>10965</v>
      </c>
      <c r="C2610" s="2" t="s">
        <v>10966</v>
      </c>
      <c r="D2610" s="169">
        <v>46068.0</v>
      </c>
      <c r="E2610" s="2">
        <v>3.002097179E9</v>
      </c>
      <c r="F2610" s="2" t="s">
        <v>10967</v>
      </c>
      <c r="G2610" s="2" t="s">
        <v>493</v>
      </c>
      <c r="H2610" s="2">
        <v>2749.0</v>
      </c>
      <c r="I2610" s="2">
        <v>2.3120050021902E13</v>
      </c>
      <c r="J2610" s="3">
        <v>2.0</v>
      </c>
      <c r="K2610" s="2" t="s">
        <v>10968</v>
      </c>
      <c r="L2610" s="2" t="s">
        <v>16</v>
      </c>
      <c r="M2610" s="2" t="s">
        <v>409</v>
      </c>
      <c r="N2610" s="2" t="s">
        <v>462</v>
      </c>
      <c r="O2610" s="3">
        <v>0.5</v>
      </c>
      <c r="P2610" s="2" t="s">
        <v>73</v>
      </c>
      <c r="Q2610" s="3">
        <v>980.0</v>
      </c>
      <c r="T2610" s="2" t="s">
        <v>10233</v>
      </c>
      <c r="U2610" s="171">
        <v>2749.0</v>
      </c>
      <c r="W2610" s="3">
        <v>323.0</v>
      </c>
      <c r="X2610" s="172">
        <v>46076.49928386574</v>
      </c>
      <c r="Y2610" s="172"/>
      <c r="Z2610" s="3">
        <v>46068.0</v>
      </c>
      <c r="AA2610" s="3"/>
    </row>
    <row r="2611">
      <c r="A2611" s="3">
        <v>6.912735805699E12</v>
      </c>
      <c r="B2611" s="2" t="s">
        <v>10969</v>
      </c>
      <c r="C2611" s="2" t="s">
        <v>2257</v>
      </c>
      <c r="D2611" s="169">
        <v>46068.0</v>
      </c>
      <c r="E2611" s="173" t="s">
        <v>10970</v>
      </c>
      <c r="F2611" s="2" t="s">
        <v>10971</v>
      </c>
      <c r="G2611" s="2" t="s">
        <v>10972</v>
      </c>
      <c r="H2611" s="2">
        <v>1899.0</v>
      </c>
      <c r="I2611" s="2">
        <v>2.9120050021901E13</v>
      </c>
      <c r="J2611" s="3">
        <v>1.0</v>
      </c>
      <c r="K2611" s="2" t="s">
        <v>10973</v>
      </c>
      <c r="L2611" s="2" t="s">
        <v>10974</v>
      </c>
      <c r="M2611" s="2" t="s">
        <v>409</v>
      </c>
      <c r="N2611" s="2" t="s">
        <v>462</v>
      </c>
      <c r="O2611" s="3">
        <v>0.5</v>
      </c>
      <c r="P2611" s="2" t="s">
        <v>73</v>
      </c>
      <c r="Q2611" s="3">
        <v>550.0</v>
      </c>
      <c r="T2611" s="2" t="s">
        <v>9599</v>
      </c>
      <c r="U2611" s="171">
        <v>1899.0</v>
      </c>
      <c r="V2611" s="172">
        <v>46073.0</v>
      </c>
      <c r="W2611" s="3">
        <v>276.0</v>
      </c>
      <c r="X2611" s="172">
        <v>46072.271146122686</v>
      </c>
      <c r="Y2611" s="172"/>
      <c r="Z2611" s="3">
        <v>46068.0</v>
      </c>
      <c r="AA2611" s="3"/>
    </row>
    <row r="2612">
      <c r="A2612" s="3">
        <v>6.912749895939E12</v>
      </c>
      <c r="B2612" s="2" t="s">
        <v>10975</v>
      </c>
      <c r="C2612" s="2" t="s">
        <v>10976</v>
      </c>
      <c r="D2612" s="169">
        <v>46068.0</v>
      </c>
      <c r="E2612" s="173" t="s">
        <v>10977</v>
      </c>
      <c r="F2612" s="2" t="s">
        <v>10978</v>
      </c>
      <c r="G2612" s="2" t="s">
        <v>368</v>
      </c>
      <c r="H2612" s="2">
        <v>2148.0</v>
      </c>
      <c r="I2612" s="2">
        <v>2.11200500219E13</v>
      </c>
      <c r="J2612" s="3">
        <v>1.0</v>
      </c>
      <c r="K2612" s="2" t="s">
        <v>10979</v>
      </c>
      <c r="L2612" s="2" t="s">
        <v>6441</v>
      </c>
      <c r="M2612" s="2" t="s">
        <v>409</v>
      </c>
      <c r="N2612" s="2" t="s">
        <v>462</v>
      </c>
      <c r="O2612" s="3">
        <v>0.5</v>
      </c>
      <c r="P2612" s="2" t="s">
        <v>73</v>
      </c>
      <c r="Q2612" s="3">
        <v>730.0</v>
      </c>
      <c r="T2612" s="2" t="s">
        <v>9599</v>
      </c>
      <c r="U2612" s="171">
        <v>2148.0</v>
      </c>
      <c r="V2612" s="172">
        <v>46073.0</v>
      </c>
      <c r="W2612" s="3">
        <v>193.0</v>
      </c>
      <c r="X2612" s="172">
        <v>46070.65572400463</v>
      </c>
      <c r="Y2612" s="172"/>
      <c r="Z2612" s="3">
        <v>46068.0</v>
      </c>
      <c r="AA2612" s="3"/>
    </row>
    <row r="2613">
      <c r="A2613" s="3">
        <v>6.912840007939E12</v>
      </c>
      <c r="B2613" s="2" t="s">
        <v>10980</v>
      </c>
      <c r="C2613" s="2" t="s">
        <v>9251</v>
      </c>
      <c r="D2613" s="169">
        <v>46068.0</v>
      </c>
      <c r="E2613" s="173" t="s">
        <v>10981</v>
      </c>
      <c r="F2613" s="2" t="s">
        <v>10982</v>
      </c>
      <c r="G2613" s="2" t="s">
        <v>3739</v>
      </c>
      <c r="H2613" s="2">
        <v>3374.0</v>
      </c>
      <c r="I2613" s="2">
        <v>2.9120050021899E13</v>
      </c>
      <c r="J2613" s="3">
        <v>2.0</v>
      </c>
      <c r="K2613" s="2" t="s">
        <v>10983</v>
      </c>
      <c r="L2613" s="2" t="s">
        <v>10984</v>
      </c>
      <c r="M2613" s="2" t="s">
        <v>409</v>
      </c>
      <c r="N2613" s="2" t="s">
        <v>462</v>
      </c>
      <c r="O2613" s="3">
        <v>0.5</v>
      </c>
      <c r="P2613" s="2" t="s">
        <v>73</v>
      </c>
      <c r="Q2613" s="3">
        <v>2200.0</v>
      </c>
      <c r="T2613" s="2" t="s">
        <v>9599</v>
      </c>
      <c r="U2613" s="171">
        <v>3374.0</v>
      </c>
      <c r="V2613" s="172">
        <v>46073.0</v>
      </c>
      <c r="W2613" s="3">
        <v>220.0</v>
      </c>
      <c r="X2613" s="172">
        <v>46072.27114614584</v>
      </c>
      <c r="Y2613" s="172"/>
      <c r="Z2613" s="3">
        <v>46068.0</v>
      </c>
      <c r="AA2613" s="3"/>
    </row>
    <row r="2614">
      <c r="A2614" s="3">
        <v>6.912846627075E12</v>
      </c>
      <c r="B2614" s="2" t="s">
        <v>10985</v>
      </c>
      <c r="C2614" s="2" t="s">
        <v>10986</v>
      </c>
      <c r="D2614" s="169">
        <v>46068.0</v>
      </c>
      <c r="E2614" s="2">
        <v>3.217760577E9</v>
      </c>
      <c r="F2614" s="2" t="s">
        <v>10987</v>
      </c>
      <c r="G2614" s="2" t="s">
        <v>368</v>
      </c>
      <c r="H2614" s="2">
        <v>2199.0</v>
      </c>
      <c r="I2614" s="2">
        <v>2.7120050021898E13</v>
      </c>
      <c r="J2614" s="3">
        <v>1.0</v>
      </c>
      <c r="K2614" s="2" t="s">
        <v>10988</v>
      </c>
      <c r="L2614" s="2" t="s">
        <v>10989</v>
      </c>
      <c r="M2614" s="2" t="s">
        <v>409</v>
      </c>
      <c r="N2614" s="2" t="s">
        <v>462</v>
      </c>
      <c r="O2614" s="3">
        <v>0.5</v>
      </c>
      <c r="P2614" s="2" t="s">
        <v>73</v>
      </c>
      <c r="Q2614" s="3">
        <v>500.0</v>
      </c>
      <c r="T2614" s="2" t="s">
        <v>9599</v>
      </c>
      <c r="U2614" s="171">
        <v>2199.0</v>
      </c>
      <c r="V2614" s="172">
        <v>46073.0</v>
      </c>
      <c r="W2614" s="3">
        <v>195.0</v>
      </c>
      <c r="X2614" s="172">
        <v>46070.655724027776</v>
      </c>
      <c r="Y2614" s="172"/>
      <c r="Z2614" s="3">
        <v>46068.0</v>
      </c>
      <c r="AA2614" s="3"/>
    </row>
    <row r="2615">
      <c r="A2615" s="3">
        <v>6.912936608003E12</v>
      </c>
      <c r="B2615" s="2" t="s">
        <v>10990</v>
      </c>
      <c r="C2615" s="2" t="s">
        <v>10991</v>
      </c>
      <c r="D2615" s="169">
        <v>46068.0</v>
      </c>
      <c r="E2615" s="173" t="s">
        <v>10992</v>
      </c>
      <c r="F2615" s="2" t="s">
        <v>10993</v>
      </c>
      <c r="G2615" s="2" t="s">
        <v>368</v>
      </c>
      <c r="H2615" s="2">
        <v>5949.0</v>
      </c>
      <c r="I2615" s="2">
        <v>2.5120050021897E13</v>
      </c>
      <c r="J2615" s="3">
        <v>3.0</v>
      </c>
      <c r="K2615" s="2" t="s">
        <v>10994</v>
      </c>
      <c r="L2615" s="2" t="s">
        <v>10995</v>
      </c>
      <c r="M2615" s="2" t="s">
        <v>409</v>
      </c>
      <c r="N2615" s="2" t="s">
        <v>462</v>
      </c>
      <c r="O2615" s="3">
        <v>0.5</v>
      </c>
      <c r="P2615" s="2" t="s">
        <v>73</v>
      </c>
      <c r="Q2615" s="3">
        <v>2260.0</v>
      </c>
      <c r="T2615" s="2" t="s">
        <v>9599</v>
      </c>
      <c r="U2615" s="171">
        <v>5949.0</v>
      </c>
      <c r="V2615" s="172">
        <v>46073.0</v>
      </c>
      <c r="W2615" s="3">
        <v>358.0</v>
      </c>
      <c r="X2615" s="172">
        <v>46070.70761400463</v>
      </c>
      <c r="Y2615" s="172"/>
      <c r="Z2615" s="3">
        <v>46068.0</v>
      </c>
      <c r="AA2615" s="3"/>
    </row>
    <row r="2616">
      <c r="A2616" s="3">
        <v>6.913220149507E12</v>
      </c>
      <c r="B2616" s="2" t="s">
        <v>10996</v>
      </c>
      <c r="C2616" s="2" t="s">
        <v>9082</v>
      </c>
      <c r="D2616" s="169">
        <v>46068.0</v>
      </c>
      <c r="E2616" s="2">
        <v>3.168319592E9</v>
      </c>
      <c r="F2616" s="2" t="s">
        <v>10997</v>
      </c>
      <c r="G2616" s="2" t="s">
        <v>10998</v>
      </c>
      <c r="H2616" s="2">
        <v>1999.0</v>
      </c>
      <c r="I2616" s="2">
        <v>2.6120050021896E13</v>
      </c>
      <c r="J2616" s="3">
        <v>1.0</v>
      </c>
      <c r="K2616" s="2" t="s">
        <v>10999</v>
      </c>
      <c r="L2616" s="2" t="s">
        <v>1598</v>
      </c>
      <c r="M2616" s="2" t="s">
        <v>409</v>
      </c>
      <c r="N2616" s="2" t="s">
        <v>462</v>
      </c>
      <c r="O2616" s="3">
        <v>0.5</v>
      </c>
      <c r="P2616" s="2" t="s">
        <v>73</v>
      </c>
      <c r="Q2616" s="3">
        <v>1000.0</v>
      </c>
      <c r="T2616" s="2" t="s">
        <v>9599</v>
      </c>
      <c r="U2616" s="171">
        <v>1999.0</v>
      </c>
      <c r="V2616" s="172">
        <v>46073.0</v>
      </c>
      <c r="W2616" s="3">
        <v>280.0</v>
      </c>
      <c r="X2616" s="172">
        <v>46072.2711462963</v>
      </c>
      <c r="Y2616" s="172"/>
      <c r="Z2616" s="3">
        <v>46068.0</v>
      </c>
      <c r="AA2616" s="3"/>
    </row>
    <row r="2617">
      <c r="A2617" s="3">
        <v>6.913239646467E12</v>
      </c>
      <c r="B2617" s="2" t="s">
        <v>11000</v>
      </c>
      <c r="C2617" s="2" t="s">
        <v>11001</v>
      </c>
      <c r="D2617" s="169">
        <v>46068.0</v>
      </c>
      <c r="E2617" s="2">
        <v>3.334272675E9</v>
      </c>
      <c r="F2617" s="2" t="s">
        <v>11002</v>
      </c>
      <c r="G2617" s="2" t="s">
        <v>368</v>
      </c>
      <c r="H2617" s="2">
        <v>3348.0</v>
      </c>
      <c r="I2617" s="2" t="s">
        <v>11003</v>
      </c>
      <c r="J2617" s="3">
        <v>2.0</v>
      </c>
      <c r="K2617" s="2" t="s">
        <v>11004</v>
      </c>
      <c r="L2617" s="2" t="s">
        <v>296</v>
      </c>
      <c r="M2617" s="2" t="s">
        <v>409</v>
      </c>
      <c r="N2617" s="2" t="s">
        <v>462</v>
      </c>
      <c r="O2617" s="3">
        <v>0.5</v>
      </c>
      <c r="Q2617" s="3">
        <v>720.0</v>
      </c>
      <c r="U2617" s="171">
        <v>3348.0</v>
      </c>
      <c r="X2617" s="172">
        <v>46069.550856076385</v>
      </c>
      <c r="Y2617" s="172"/>
      <c r="Z2617" s="3">
        <v>46068.0</v>
      </c>
      <c r="AA2617" s="3"/>
    </row>
    <row r="2618">
      <c r="A2618" s="3">
        <v>6.913240367363E12</v>
      </c>
      <c r="B2618" s="2" t="s">
        <v>11005</v>
      </c>
      <c r="C2618" s="2" t="s">
        <v>11006</v>
      </c>
      <c r="D2618" s="169">
        <v>46068.0</v>
      </c>
      <c r="E2618" s="2">
        <v>3.217477017E9</v>
      </c>
      <c r="F2618" s="2" t="s">
        <v>11007</v>
      </c>
      <c r="G2618" s="2" t="s">
        <v>11008</v>
      </c>
      <c r="H2618" s="2">
        <v>1799.0</v>
      </c>
      <c r="I2618" s="2">
        <v>2.012005002191E13</v>
      </c>
      <c r="J2618" s="3">
        <v>1.0</v>
      </c>
      <c r="K2618" s="2" t="s">
        <v>11009</v>
      </c>
      <c r="L2618" s="2" t="s">
        <v>3222</v>
      </c>
      <c r="M2618" s="2" t="s">
        <v>409</v>
      </c>
      <c r="N2618" s="2" t="s">
        <v>462</v>
      </c>
      <c r="O2618" s="3">
        <v>0.5</v>
      </c>
      <c r="P2618" s="2" t="s">
        <v>73</v>
      </c>
      <c r="Q2618" s="3">
        <v>490.0</v>
      </c>
      <c r="T2618" s="2" t="s">
        <v>9599</v>
      </c>
      <c r="U2618" s="171">
        <v>1799.0</v>
      </c>
      <c r="V2618" s="172">
        <v>46073.0</v>
      </c>
      <c r="W2618" s="3">
        <v>272.0</v>
      </c>
      <c r="X2618" s="172">
        <v>46072.27114633102</v>
      </c>
      <c r="Y2618" s="172"/>
      <c r="Z2618" s="3">
        <v>46068.0</v>
      </c>
      <c r="AA2618" s="3"/>
    </row>
    <row r="2619">
      <c r="A2619" s="3">
        <v>6.913278673155E12</v>
      </c>
      <c r="B2619" s="2" t="s">
        <v>11010</v>
      </c>
      <c r="C2619" s="2" t="s">
        <v>11011</v>
      </c>
      <c r="D2619" s="169">
        <v>46068.0</v>
      </c>
      <c r="E2619" s="2">
        <v>3.076544325E9</v>
      </c>
      <c r="F2619" s="2" t="s">
        <v>11012</v>
      </c>
      <c r="G2619" s="2" t="s">
        <v>1016</v>
      </c>
      <c r="H2619" s="2">
        <v>3099.0</v>
      </c>
      <c r="I2619" s="2">
        <v>2.1120050021895E13</v>
      </c>
      <c r="J2619" s="3">
        <v>2.0</v>
      </c>
      <c r="K2619" s="2" t="s">
        <v>11013</v>
      </c>
      <c r="L2619" s="2" t="s">
        <v>1129</v>
      </c>
      <c r="M2619" s="2" t="s">
        <v>409</v>
      </c>
      <c r="N2619" s="2" t="s">
        <v>462</v>
      </c>
      <c r="O2619" s="3">
        <v>0.5</v>
      </c>
      <c r="P2619" s="2" t="s">
        <v>73</v>
      </c>
      <c r="Q2619" s="3">
        <v>960.0</v>
      </c>
      <c r="T2619" s="2" t="s">
        <v>9599</v>
      </c>
      <c r="U2619" s="171">
        <v>3099.0</v>
      </c>
      <c r="V2619" s="172">
        <v>46073.0</v>
      </c>
      <c r="W2619" s="3">
        <v>324.0</v>
      </c>
      <c r="X2619" s="172">
        <v>46072.999426168986</v>
      </c>
      <c r="Y2619" s="172"/>
      <c r="Z2619" s="3">
        <v>46068.0</v>
      </c>
      <c r="AA2619" s="3"/>
    </row>
    <row r="2620">
      <c r="A2620" s="3">
        <v>6.913279688963E12</v>
      </c>
      <c r="B2620" s="2" t="s">
        <v>11014</v>
      </c>
      <c r="C2620" s="2" t="s">
        <v>11015</v>
      </c>
      <c r="D2620" s="169">
        <v>46068.0</v>
      </c>
      <c r="E2620" s="2">
        <v>3.013287928E9</v>
      </c>
      <c r="F2620" s="2" t="s">
        <v>11016</v>
      </c>
      <c r="G2620" s="2" t="s">
        <v>556</v>
      </c>
      <c r="H2620" s="2">
        <v>10799.0</v>
      </c>
      <c r="I2620" s="2">
        <v>2.4120050021988E13</v>
      </c>
      <c r="J2620" s="3">
        <v>6.0</v>
      </c>
      <c r="K2620" s="2" t="s">
        <v>11017</v>
      </c>
      <c r="L2620" s="2" t="s">
        <v>11018</v>
      </c>
      <c r="M2620" s="2" t="s">
        <v>409</v>
      </c>
      <c r="N2620" s="2" t="s">
        <v>462</v>
      </c>
      <c r="O2620" s="3">
        <v>0.5</v>
      </c>
      <c r="P2620" s="2" t="s">
        <v>73</v>
      </c>
      <c r="Q2620" s="3">
        <v>4210.0</v>
      </c>
      <c r="T2620" s="2" t="s">
        <v>10905</v>
      </c>
      <c r="U2620" s="171">
        <v>10799.0</v>
      </c>
      <c r="V2620" s="172">
        <v>46080.0</v>
      </c>
      <c r="W2620" s="3">
        <v>836.0</v>
      </c>
      <c r="X2620" s="172">
        <v>46077.70765326389</v>
      </c>
      <c r="Y2620" s="172"/>
      <c r="Z2620" s="3">
        <v>46068.0</v>
      </c>
      <c r="AA2620" s="3"/>
    </row>
    <row r="2621">
      <c r="A2621" s="3">
        <v>6.913398997251E12</v>
      </c>
      <c r="B2621" s="2" t="s">
        <v>11019</v>
      </c>
      <c r="C2621" s="2" t="s">
        <v>11020</v>
      </c>
      <c r="D2621" s="169">
        <v>46069.0</v>
      </c>
      <c r="E2621" s="2">
        <v>3.005220911E9</v>
      </c>
      <c r="F2621" s="2" t="s">
        <v>11021</v>
      </c>
      <c r="G2621" s="2" t="s">
        <v>4844</v>
      </c>
      <c r="H2621" s="2">
        <v>0.0</v>
      </c>
      <c r="J2621" s="3">
        <v>0.0</v>
      </c>
      <c r="K2621" s="2" t="s">
        <v>11022</v>
      </c>
      <c r="L2621" s="2"/>
      <c r="M2621" s="2" t="s">
        <v>468</v>
      </c>
      <c r="N2621" s="2" t="s">
        <v>406</v>
      </c>
      <c r="O2621" s="3">
        <v>0.5</v>
      </c>
      <c r="Q2621" s="3">
        <v>0.0</v>
      </c>
      <c r="U2621" s="141"/>
      <c r="X2621" s="172">
        <v>46069.550856076385</v>
      </c>
      <c r="Y2621" s="172"/>
      <c r="Z2621" s="3">
        <v>46069.0</v>
      </c>
      <c r="AA2621" s="3"/>
    </row>
    <row r="2622">
      <c r="A2622" s="3">
        <v>6.913507819779E12</v>
      </c>
      <c r="B2622" s="2" t="s">
        <v>11023</v>
      </c>
      <c r="C2622" s="2" t="s">
        <v>11024</v>
      </c>
      <c r="D2622" s="169">
        <v>46069.0</v>
      </c>
      <c r="E2622" s="2">
        <v>3.454110007E9</v>
      </c>
      <c r="F2622" s="2" t="s">
        <v>11025</v>
      </c>
      <c r="G2622" s="2" t="s">
        <v>368</v>
      </c>
      <c r="H2622" s="2">
        <v>3348.0</v>
      </c>
      <c r="I2622" s="2">
        <v>2.3120050021894E13</v>
      </c>
      <c r="J2622" s="3">
        <v>2.0</v>
      </c>
      <c r="K2622" s="2" t="s">
        <v>11026</v>
      </c>
      <c r="L2622" s="2" t="s">
        <v>275</v>
      </c>
      <c r="M2622" s="2" t="s">
        <v>409</v>
      </c>
      <c r="N2622" s="2" t="s">
        <v>462</v>
      </c>
      <c r="O2622" s="3">
        <v>0.5</v>
      </c>
      <c r="P2622" s="2" t="s">
        <v>73</v>
      </c>
      <c r="Q2622" s="3">
        <v>960.0</v>
      </c>
      <c r="T2622" s="2" t="s">
        <v>9599</v>
      </c>
      <c r="U2622" s="171">
        <v>3348.0</v>
      </c>
      <c r="V2622" s="172">
        <v>46073.0</v>
      </c>
      <c r="W2622" s="3">
        <v>241.0</v>
      </c>
      <c r="X2622" s="172">
        <v>46070.749340891205</v>
      </c>
      <c r="Y2622" s="172"/>
      <c r="Z2622" s="3">
        <v>46069.0</v>
      </c>
      <c r="AA2622" s="3"/>
    </row>
    <row r="2623">
      <c r="A2623" s="3">
        <v>6.913540030723E12</v>
      </c>
      <c r="B2623" s="2" t="s">
        <v>11027</v>
      </c>
      <c r="C2623" s="2" t="s">
        <v>11028</v>
      </c>
      <c r="D2623" s="169">
        <v>46069.0</v>
      </c>
      <c r="E2623" s="2">
        <v>3.355122397E9</v>
      </c>
      <c r="F2623" s="2" t="s">
        <v>11029</v>
      </c>
      <c r="G2623" s="2" t="s">
        <v>672</v>
      </c>
      <c r="H2623" s="2">
        <v>3348.0</v>
      </c>
      <c r="I2623" s="2">
        <v>2.0120050021893E13</v>
      </c>
      <c r="J2623" s="3">
        <v>2.0</v>
      </c>
      <c r="K2623" s="2" t="s">
        <v>11030</v>
      </c>
      <c r="L2623" s="2" t="s">
        <v>296</v>
      </c>
      <c r="M2623" s="2" t="s">
        <v>409</v>
      </c>
      <c r="N2623" s="2" t="s">
        <v>462</v>
      </c>
      <c r="O2623" s="3">
        <v>0.5</v>
      </c>
      <c r="P2623" s="2" t="s">
        <v>73</v>
      </c>
      <c r="Q2623" s="3">
        <v>920.0</v>
      </c>
      <c r="T2623" s="2" t="s">
        <v>9599</v>
      </c>
      <c r="U2623" s="171">
        <v>3348.0</v>
      </c>
      <c r="V2623" s="172">
        <v>46073.0</v>
      </c>
      <c r="W2623" s="3">
        <v>347.0</v>
      </c>
      <c r="X2623" s="172">
        <v>46072.99942680556</v>
      </c>
      <c r="Y2623" s="172"/>
      <c r="Z2623" s="3">
        <v>46069.0</v>
      </c>
      <c r="AA2623" s="3"/>
    </row>
    <row r="2624">
      <c r="A2624" s="3">
        <v>6.913738670339E12</v>
      </c>
      <c r="B2624" s="2" t="s">
        <v>11031</v>
      </c>
      <c r="C2624" s="2" t="s">
        <v>3534</v>
      </c>
      <c r="D2624" s="169">
        <v>46069.0</v>
      </c>
      <c r="E2624" s="2">
        <v>3.070001729E9</v>
      </c>
      <c r="F2624" s="2" t="s">
        <v>11032</v>
      </c>
      <c r="G2624" s="2" t="s">
        <v>506</v>
      </c>
      <c r="H2624" s="2">
        <v>4248.0</v>
      </c>
      <c r="I2624" s="2">
        <v>2.5120050021892E13</v>
      </c>
      <c r="J2624" s="3">
        <v>2.0</v>
      </c>
      <c r="K2624" s="2" t="s">
        <v>11033</v>
      </c>
      <c r="L2624" s="2" t="s">
        <v>479</v>
      </c>
      <c r="M2624" s="2" t="s">
        <v>409</v>
      </c>
      <c r="N2624" s="2" t="s">
        <v>462</v>
      </c>
      <c r="O2624" s="3">
        <v>0.5</v>
      </c>
      <c r="P2624" s="2" t="s">
        <v>73</v>
      </c>
      <c r="Q2624" s="3">
        <v>1700.0</v>
      </c>
      <c r="T2624" s="2" t="s">
        <v>9599</v>
      </c>
      <c r="U2624" s="171">
        <v>4248.0</v>
      </c>
      <c r="V2624" s="172">
        <v>46073.0</v>
      </c>
      <c r="W2624" s="3">
        <v>390.0</v>
      </c>
      <c r="X2624" s="172">
        <v>46072.27114642361</v>
      </c>
      <c r="Y2624" s="172"/>
      <c r="Z2624" s="3">
        <v>46069.0</v>
      </c>
      <c r="AA2624" s="3"/>
    </row>
    <row r="2625">
      <c r="A2625" s="3">
        <v>6.913799848195E12</v>
      </c>
      <c r="B2625" s="2" t="s">
        <v>11034</v>
      </c>
      <c r="C2625" s="2" t="s">
        <v>11035</v>
      </c>
      <c r="D2625" s="169">
        <v>46069.0</v>
      </c>
      <c r="E2625" s="2">
        <v>3.131023031E9</v>
      </c>
      <c r="F2625" s="2" t="s">
        <v>11036</v>
      </c>
      <c r="G2625" s="2" t="s">
        <v>368</v>
      </c>
      <c r="H2625" s="2">
        <v>1899.0</v>
      </c>
      <c r="I2625" s="2">
        <v>2.2120050021891E13</v>
      </c>
      <c r="J2625" s="3">
        <v>1.0</v>
      </c>
      <c r="K2625" s="2" t="s">
        <v>11037</v>
      </c>
      <c r="L2625" s="2" t="s">
        <v>10425</v>
      </c>
      <c r="M2625" s="2" t="s">
        <v>409</v>
      </c>
      <c r="N2625" s="2" t="s">
        <v>462</v>
      </c>
      <c r="O2625" s="3">
        <v>0.5</v>
      </c>
      <c r="P2625" s="2" t="s">
        <v>73</v>
      </c>
      <c r="Q2625" s="3">
        <v>550.0</v>
      </c>
      <c r="T2625" s="2" t="s">
        <v>9599</v>
      </c>
      <c r="U2625" s="171">
        <v>1899.0</v>
      </c>
      <c r="V2625" s="172">
        <v>46073.0</v>
      </c>
      <c r="W2625" s="3">
        <v>276.0</v>
      </c>
      <c r="X2625" s="172">
        <v>46072.27114646991</v>
      </c>
      <c r="Y2625" s="172"/>
      <c r="Z2625" s="3">
        <v>46069.0</v>
      </c>
      <c r="AA2625" s="3"/>
    </row>
    <row r="2626">
      <c r="A2626" s="3">
        <v>6.913839792387E12</v>
      </c>
      <c r="B2626" s="2" t="s">
        <v>11038</v>
      </c>
      <c r="C2626" s="2" t="s">
        <v>11039</v>
      </c>
      <c r="D2626" s="169">
        <v>46069.0</v>
      </c>
      <c r="E2626" s="2">
        <v>3.230664692E9</v>
      </c>
      <c r="F2626" s="2" t="s">
        <v>11040</v>
      </c>
      <c r="G2626" s="2" t="s">
        <v>855</v>
      </c>
      <c r="H2626" s="2">
        <v>3348.0</v>
      </c>
      <c r="I2626" s="2">
        <v>2.612005002189E13</v>
      </c>
      <c r="J2626" s="3">
        <v>2.0</v>
      </c>
      <c r="K2626" s="2" t="s">
        <v>11041</v>
      </c>
      <c r="L2626" s="2" t="s">
        <v>228</v>
      </c>
      <c r="M2626" s="2" t="s">
        <v>409</v>
      </c>
      <c r="N2626" s="2" t="s">
        <v>462</v>
      </c>
      <c r="O2626" s="3">
        <v>0.5</v>
      </c>
      <c r="P2626" s="2" t="s">
        <v>73</v>
      </c>
      <c r="Q2626" s="3">
        <v>920.0</v>
      </c>
      <c r="T2626" s="2" t="s">
        <v>9599</v>
      </c>
      <c r="U2626" s="171">
        <v>3348.0</v>
      </c>
      <c r="V2626" s="172">
        <v>46073.0</v>
      </c>
      <c r="W2626" s="3">
        <v>334.0</v>
      </c>
      <c r="X2626" s="172">
        <v>46070.65572415509</v>
      </c>
      <c r="Y2626" s="172"/>
      <c r="Z2626" s="3">
        <v>46069.0</v>
      </c>
      <c r="AA2626" s="3"/>
    </row>
    <row r="2627">
      <c r="A2627" s="3">
        <v>6.913860272387E12</v>
      </c>
      <c r="B2627" s="2" t="s">
        <v>11042</v>
      </c>
      <c r="C2627" s="175" t="s">
        <v>11043</v>
      </c>
      <c r="D2627" s="169">
        <v>46069.0</v>
      </c>
      <c r="E2627" s="2">
        <v>3.005375752E9</v>
      </c>
      <c r="F2627" s="175" t="s">
        <v>11044</v>
      </c>
      <c r="G2627" s="175" t="s">
        <v>11045</v>
      </c>
      <c r="H2627" s="2">
        <v>249.0</v>
      </c>
      <c r="I2627" s="2">
        <v>2.8120050021889E13</v>
      </c>
      <c r="J2627" s="3">
        <v>0.0</v>
      </c>
      <c r="K2627" s="2" t="s">
        <v>11046</v>
      </c>
      <c r="L2627" s="2"/>
      <c r="M2627" s="170" t="s">
        <v>455</v>
      </c>
      <c r="N2627" s="2" t="s">
        <v>406</v>
      </c>
      <c r="O2627" s="3">
        <v>0.5</v>
      </c>
      <c r="P2627" s="2" t="s">
        <v>73</v>
      </c>
      <c r="Q2627" s="3">
        <v>0.0</v>
      </c>
      <c r="U2627" s="141"/>
      <c r="W2627" s="3">
        <v>200.0</v>
      </c>
      <c r="X2627" s="172">
        <v>46078.82032762731</v>
      </c>
      <c r="Y2627" s="172"/>
      <c r="Z2627" s="3">
        <v>46069.0</v>
      </c>
      <c r="AA2627" s="3"/>
    </row>
    <row r="2628">
      <c r="A2628" s="3">
        <v>6.913910178051E12</v>
      </c>
      <c r="B2628" s="2" t="s">
        <v>11047</v>
      </c>
      <c r="C2628" s="2" t="s">
        <v>4832</v>
      </c>
      <c r="D2628" s="169">
        <v>46069.0</v>
      </c>
      <c r="E2628" s="173" t="s">
        <v>9336</v>
      </c>
      <c r="F2628" s="2" t="s">
        <v>9337</v>
      </c>
      <c r="G2628" s="2" t="s">
        <v>368</v>
      </c>
      <c r="H2628" s="2">
        <v>249.0</v>
      </c>
      <c r="I2628" s="2">
        <v>2.4120050022561E13</v>
      </c>
      <c r="J2628" s="3">
        <v>0.0</v>
      </c>
      <c r="K2628" s="2" t="s">
        <v>11048</v>
      </c>
      <c r="L2628" s="2"/>
      <c r="M2628" s="170" t="s">
        <v>455</v>
      </c>
      <c r="N2628" s="2" t="s">
        <v>406</v>
      </c>
      <c r="O2628" s="3">
        <v>0.5</v>
      </c>
      <c r="P2628" s="2" t="s">
        <v>73</v>
      </c>
      <c r="Q2628" s="3">
        <v>0.0</v>
      </c>
      <c r="U2628" s="141"/>
      <c r="X2628" s="172">
        <v>46105.83269409722</v>
      </c>
      <c r="Y2628" s="172"/>
      <c r="Z2628" s="3">
        <v>46069.0</v>
      </c>
      <c r="AA2628" s="3"/>
    </row>
    <row r="2629">
      <c r="A2629" s="3">
        <v>6.913929150723E12</v>
      </c>
      <c r="B2629" s="2" t="s">
        <v>11049</v>
      </c>
      <c r="C2629" s="2" t="s">
        <v>3642</v>
      </c>
      <c r="D2629" s="169">
        <v>46069.0</v>
      </c>
      <c r="E2629" s="2">
        <v>3.280605097E9</v>
      </c>
      <c r="F2629" s="2" t="s">
        <v>11050</v>
      </c>
      <c r="G2629" s="2" t="s">
        <v>3016</v>
      </c>
      <c r="H2629" s="2">
        <v>2749.0</v>
      </c>
      <c r="I2629" s="2">
        <v>2.9120050021934E13</v>
      </c>
      <c r="J2629" s="3">
        <v>2.0</v>
      </c>
      <c r="K2629" s="2" t="s">
        <v>11051</v>
      </c>
      <c r="L2629" s="2" t="s">
        <v>16</v>
      </c>
      <c r="M2629" s="2" t="s">
        <v>409</v>
      </c>
      <c r="N2629" s="2" t="s">
        <v>462</v>
      </c>
      <c r="O2629" s="3">
        <v>0.5</v>
      </c>
      <c r="P2629" s="2" t="s">
        <v>73</v>
      </c>
      <c r="Q2629" s="3">
        <v>980.0</v>
      </c>
      <c r="T2629" s="2" t="s">
        <v>10233</v>
      </c>
      <c r="U2629" s="171">
        <v>2749.0</v>
      </c>
      <c r="W2629" s="3">
        <v>310.0</v>
      </c>
      <c r="X2629" s="172">
        <v>46074.62428928241</v>
      </c>
      <c r="Y2629" s="172"/>
      <c r="Z2629" s="3">
        <v>46069.0</v>
      </c>
      <c r="AA2629" s="3"/>
    </row>
    <row r="2630">
      <c r="A2630" s="3">
        <v>6.913956479235E12</v>
      </c>
      <c r="B2630" s="2" t="s">
        <v>11052</v>
      </c>
      <c r="C2630" s="2" t="s">
        <v>48</v>
      </c>
      <c r="D2630" s="169">
        <v>46069.0</v>
      </c>
      <c r="E2630" s="2">
        <v>3.004031405E9</v>
      </c>
      <c r="F2630" s="2" t="s">
        <v>49</v>
      </c>
      <c r="G2630" s="2" t="s">
        <v>11053</v>
      </c>
      <c r="H2630" s="2">
        <v>3348.0</v>
      </c>
      <c r="I2630" s="2">
        <v>2.5120050021888E13</v>
      </c>
      <c r="J2630" s="3">
        <v>2.0</v>
      </c>
      <c r="K2630" s="2" t="s">
        <v>11054</v>
      </c>
      <c r="L2630" s="2" t="s">
        <v>50</v>
      </c>
      <c r="M2630" s="2" t="s">
        <v>409</v>
      </c>
      <c r="N2630" s="2" t="s">
        <v>462</v>
      </c>
      <c r="O2630" s="3">
        <v>0.5</v>
      </c>
      <c r="P2630" s="2" t="s">
        <v>73</v>
      </c>
      <c r="Q2630" s="3">
        <v>920.0</v>
      </c>
      <c r="T2630" s="2" t="s">
        <v>9599</v>
      </c>
      <c r="U2630" s="171">
        <v>3348.0</v>
      </c>
      <c r="V2630" s="172">
        <v>46073.0</v>
      </c>
      <c r="W2630" s="3">
        <v>334.0</v>
      </c>
      <c r="X2630" s="172">
        <v>46072.27114655093</v>
      </c>
      <c r="Y2630" s="172"/>
      <c r="Z2630" s="3">
        <v>46069.0</v>
      </c>
      <c r="AA2630" s="3"/>
    </row>
    <row r="2631">
      <c r="A2631" s="3">
        <v>6.913978073347E12</v>
      </c>
      <c r="B2631" s="2" t="s">
        <v>11055</v>
      </c>
      <c r="C2631" s="2" t="s">
        <v>11056</v>
      </c>
      <c r="D2631" s="169">
        <v>46069.0</v>
      </c>
      <c r="E2631" s="2">
        <v>3.009128963E9</v>
      </c>
      <c r="F2631" s="2" t="s">
        <v>11057</v>
      </c>
      <c r="G2631" s="2" t="s">
        <v>366</v>
      </c>
      <c r="H2631" s="2">
        <v>3299.0</v>
      </c>
      <c r="I2631" s="2">
        <v>2.7120050021887E13</v>
      </c>
      <c r="J2631" s="3">
        <v>1.0</v>
      </c>
      <c r="K2631" s="2" t="s">
        <v>11058</v>
      </c>
      <c r="L2631" s="2" t="s">
        <v>2028</v>
      </c>
      <c r="M2631" s="2" t="s">
        <v>409</v>
      </c>
      <c r="N2631" s="2" t="s">
        <v>462</v>
      </c>
      <c r="O2631" s="3">
        <v>0.5</v>
      </c>
      <c r="P2631" s="2" t="s">
        <v>73</v>
      </c>
      <c r="Q2631" s="3">
        <v>1400.0</v>
      </c>
      <c r="T2631" s="2" t="s">
        <v>9599</v>
      </c>
      <c r="U2631" s="171">
        <v>3299.0</v>
      </c>
      <c r="V2631" s="172">
        <v>46073.0</v>
      </c>
      <c r="W2631" s="3">
        <v>332.0</v>
      </c>
      <c r="X2631" s="172">
        <v>46070.655724212964</v>
      </c>
      <c r="Y2631" s="172"/>
      <c r="Z2631" s="3">
        <v>46069.0</v>
      </c>
      <c r="AA2631" s="3"/>
    </row>
    <row r="2632">
      <c r="A2632" s="3">
        <v>6.914042822915E12</v>
      </c>
      <c r="B2632" s="2" t="s">
        <v>11059</v>
      </c>
      <c r="C2632" s="2" t="s">
        <v>11060</v>
      </c>
      <c r="D2632" s="169">
        <v>46069.0</v>
      </c>
      <c r="E2632" s="173" t="s">
        <v>11061</v>
      </c>
      <c r="F2632" s="2" t="s">
        <v>11062</v>
      </c>
      <c r="G2632" s="2" t="s">
        <v>11063</v>
      </c>
      <c r="H2632" s="2">
        <v>250.0</v>
      </c>
      <c r="I2632" s="2" t="s">
        <v>11064</v>
      </c>
      <c r="J2632" s="3">
        <v>0.0</v>
      </c>
      <c r="K2632" s="2" t="s">
        <v>11065</v>
      </c>
      <c r="L2632" s="2"/>
      <c r="M2632" s="170" t="s">
        <v>455</v>
      </c>
      <c r="N2632" s="2" t="s">
        <v>406</v>
      </c>
      <c r="O2632" s="3">
        <v>0.5</v>
      </c>
      <c r="P2632" s="2" t="s">
        <v>640</v>
      </c>
      <c r="Q2632" s="3">
        <v>0.0</v>
      </c>
      <c r="T2632" s="2" t="s">
        <v>9275</v>
      </c>
      <c r="U2632" s="141"/>
      <c r="W2632" s="3">
        <v>290.99</v>
      </c>
      <c r="X2632" s="172">
        <v>46093.66814221065</v>
      </c>
      <c r="Y2632" s="172"/>
      <c r="Z2632" s="3">
        <v>46069.0</v>
      </c>
      <c r="AA2632" s="3"/>
    </row>
    <row r="2633">
      <c r="A2633" s="3">
        <v>6.914112028931E12</v>
      </c>
      <c r="B2633" s="2" t="s">
        <v>11066</v>
      </c>
      <c r="C2633" s="2" t="s">
        <v>11067</v>
      </c>
      <c r="D2633" s="169">
        <v>46069.0</v>
      </c>
      <c r="E2633" s="173" t="s">
        <v>11068</v>
      </c>
      <c r="F2633" s="2" t="s">
        <v>11069</v>
      </c>
      <c r="G2633" s="2" t="s">
        <v>506</v>
      </c>
      <c r="H2633" s="2">
        <v>249.0</v>
      </c>
      <c r="I2633" s="2">
        <v>2.6120050021933E13</v>
      </c>
      <c r="J2633" s="3">
        <v>0.0</v>
      </c>
      <c r="K2633" s="2" t="s">
        <v>11070</v>
      </c>
      <c r="L2633" s="2"/>
      <c r="M2633" s="170" t="s">
        <v>455</v>
      </c>
      <c r="N2633" s="2" t="s">
        <v>406</v>
      </c>
      <c r="O2633" s="3">
        <v>0.5</v>
      </c>
      <c r="P2633" s="2" t="s">
        <v>73</v>
      </c>
      <c r="Q2633" s="3">
        <v>0.0</v>
      </c>
      <c r="U2633" s="141"/>
      <c r="W2633" s="3">
        <v>200.0</v>
      </c>
      <c r="X2633" s="172">
        <v>46081.79094907407</v>
      </c>
      <c r="Y2633" s="172"/>
      <c r="Z2633" s="3">
        <v>46069.0</v>
      </c>
      <c r="AA2633" s="3"/>
    </row>
    <row r="2634">
      <c r="A2634" s="3">
        <v>6.914126905603E12</v>
      </c>
      <c r="B2634" s="2" t="s">
        <v>11071</v>
      </c>
      <c r="C2634" s="2" t="s">
        <v>11072</v>
      </c>
      <c r="D2634" s="169">
        <v>46069.0</v>
      </c>
      <c r="E2634" s="2">
        <v>3.258710098E9</v>
      </c>
      <c r="F2634" s="2" t="s">
        <v>11073</v>
      </c>
      <c r="G2634" s="2" t="s">
        <v>8328</v>
      </c>
      <c r="H2634" s="2">
        <v>3348.0</v>
      </c>
      <c r="I2634" s="2">
        <v>2.3120050021932E13</v>
      </c>
      <c r="J2634" s="3">
        <v>2.0</v>
      </c>
      <c r="K2634" s="2" t="s">
        <v>11074</v>
      </c>
      <c r="L2634" s="2" t="s">
        <v>228</v>
      </c>
      <c r="M2634" s="2" t="s">
        <v>409</v>
      </c>
      <c r="N2634" s="2" t="s">
        <v>462</v>
      </c>
      <c r="O2634" s="3">
        <v>0.5</v>
      </c>
      <c r="P2634" s="2" t="s">
        <v>73</v>
      </c>
      <c r="Q2634" s="3">
        <v>920.0</v>
      </c>
      <c r="T2634" s="2" t="s">
        <v>9599</v>
      </c>
      <c r="U2634" s="171">
        <v>3348.0</v>
      </c>
      <c r="V2634" s="172">
        <v>46073.0</v>
      </c>
      <c r="W2634" s="3">
        <v>334.0</v>
      </c>
      <c r="X2634" s="172">
        <v>46072.999427187504</v>
      </c>
      <c r="Y2634" s="172"/>
      <c r="Z2634" s="3">
        <v>46069.0</v>
      </c>
      <c r="AA2634" s="3"/>
    </row>
    <row r="2635">
      <c r="A2635" s="3">
        <v>6.914210332931E12</v>
      </c>
      <c r="B2635" s="2" t="s">
        <v>11075</v>
      </c>
      <c r="C2635" s="2" t="s">
        <v>9456</v>
      </c>
      <c r="D2635" s="169">
        <v>46069.0</v>
      </c>
      <c r="E2635" s="173" t="s">
        <v>9457</v>
      </c>
      <c r="F2635" s="2" t="s">
        <v>9458</v>
      </c>
      <c r="G2635" s="2" t="s">
        <v>9459</v>
      </c>
      <c r="H2635" s="2">
        <v>0.0</v>
      </c>
      <c r="J2635" s="3">
        <v>0.0</v>
      </c>
      <c r="K2635" s="2" t="s">
        <v>11076</v>
      </c>
      <c r="L2635" s="2"/>
      <c r="M2635" s="2" t="s">
        <v>468</v>
      </c>
      <c r="N2635" s="2" t="s">
        <v>406</v>
      </c>
      <c r="O2635" s="3">
        <v>0.5</v>
      </c>
      <c r="Q2635" s="3">
        <v>0.0</v>
      </c>
      <c r="U2635" s="141"/>
      <c r="X2635" s="172">
        <v>46072.25850398148</v>
      </c>
      <c r="Y2635" s="172"/>
      <c r="Z2635" s="3">
        <v>46069.0</v>
      </c>
      <c r="AA2635" s="3"/>
    </row>
    <row r="2636">
      <c r="A2636" s="3">
        <v>6.914277179651E12</v>
      </c>
      <c r="B2636" s="2" t="s">
        <v>11077</v>
      </c>
      <c r="C2636" s="2" t="s">
        <v>11078</v>
      </c>
      <c r="D2636" s="169">
        <v>46069.0</v>
      </c>
      <c r="E2636" s="2">
        <v>3.223592341E9</v>
      </c>
      <c r="F2636" s="2" t="s">
        <v>11079</v>
      </c>
      <c r="G2636" s="2" t="s">
        <v>493</v>
      </c>
      <c r="H2636" s="2">
        <v>0.0</v>
      </c>
      <c r="J2636" s="3">
        <v>0.0</v>
      </c>
      <c r="K2636" s="2" t="s">
        <v>11080</v>
      </c>
      <c r="L2636" s="2"/>
      <c r="M2636" s="2" t="s">
        <v>468</v>
      </c>
      <c r="N2636" s="2" t="s">
        <v>406</v>
      </c>
      <c r="O2636" s="3">
        <v>0.5</v>
      </c>
      <c r="Q2636" s="3">
        <v>0.0</v>
      </c>
      <c r="U2636" s="141"/>
      <c r="X2636" s="172">
        <v>46072.25850398148</v>
      </c>
      <c r="Y2636" s="172"/>
      <c r="Z2636" s="3">
        <v>46069.0</v>
      </c>
      <c r="AA2636" s="3"/>
    </row>
    <row r="2637">
      <c r="A2637" s="3">
        <v>6.914508751107E12</v>
      </c>
      <c r="B2637" s="2" t="s">
        <v>11081</v>
      </c>
      <c r="C2637" s="2" t="s">
        <v>11082</v>
      </c>
      <c r="D2637" s="169">
        <v>46069.0</v>
      </c>
      <c r="E2637" s="2">
        <v>3.067722644E9</v>
      </c>
      <c r="F2637" s="2" t="s">
        <v>11083</v>
      </c>
      <c r="G2637" s="2" t="s">
        <v>11084</v>
      </c>
      <c r="H2637" s="2">
        <v>3299.0</v>
      </c>
      <c r="I2637" s="2">
        <v>2.3120050021971E13</v>
      </c>
      <c r="J2637" s="3">
        <v>1.0</v>
      </c>
      <c r="K2637" s="2" t="s">
        <v>11085</v>
      </c>
      <c r="L2637" s="2" t="s">
        <v>11086</v>
      </c>
      <c r="M2637" s="2" t="s">
        <v>409</v>
      </c>
      <c r="N2637" s="2" t="s">
        <v>462</v>
      </c>
      <c r="O2637" s="3">
        <v>0.5</v>
      </c>
      <c r="P2637" s="2" t="s">
        <v>73</v>
      </c>
      <c r="Q2637" s="3">
        <v>1400.0</v>
      </c>
      <c r="U2637" s="171">
        <v>3299.0</v>
      </c>
      <c r="X2637" s="172">
        <v>46074.49930740741</v>
      </c>
      <c r="Y2637" s="172"/>
      <c r="Z2637" s="3">
        <v>46069.0</v>
      </c>
      <c r="AA2637" s="3"/>
    </row>
    <row r="2638">
      <c r="A2638" s="3">
        <v>6.914922643715E12</v>
      </c>
      <c r="B2638" s="2" t="s">
        <v>11087</v>
      </c>
      <c r="C2638" s="2" t="s">
        <v>11088</v>
      </c>
      <c r="D2638" s="169">
        <v>46070.0</v>
      </c>
      <c r="E2638" s="2">
        <v>3.205555444E9</v>
      </c>
      <c r="F2638" s="2" t="s">
        <v>11089</v>
      </c>
      <c r="G2638" s="2" t="s">
        <v>672</v>
      </c>
      <c r="H2638" s="2">
        <v>3038.1</v>
      </c>
      <c r="I2638" s="2">
        <v>2.9120050021931E13</v>
      </c>
      <c r="J2638" s="3">
        <v>2.0</v>
      </c>
      <c r="K2638" s="2" t="s">
        <v>11090</v>
      </c>
      <c r="L2638" s="2" t="s">
        <v>40</v>
      </c>
      <c r="M2638" s="2" t="s">
        <v>409</v>
      </c>
      <c r="N2638" s="2" t="s">
        <v>462</v>
      </c>
      <c r="O2638" s="3">
        <v>0.5</v>
      </c>
      <c r="P2638" s="2" t="s">
        <v>73</v>
      </c>
      <c r="Q2638" s="3">
        <v>920.0</v>
      </c>
      <c r="T2638" s="2" t="s">
        <v>10233</v>
      </c>
      <c r="U2638" s="171">
        <v>3038.1</v>
      </c>
      <c r="W2638" s="3">
        <v>335.0</v>
      </c>
      <c r="X2638" s="172">
        <v>46074.665955289354</v>
      </c>
      <c r="Y2638" s="172"/>
      <c r="Z2638" s="3">
        <v>46070.0</v>
      </c>
      <c r="AA2638" s="3"/>
    </row>
    <row r="2639">
      <c r="A2639" s="3">
        <v>6.915157328131E12</v>
      </c>
      <c r="B2639" s="2" t="s">
        <v>11091</v>
      </c>
      <c r="C2639" s="2" t="s">
        <v>11092</v>
      </c>
      <c r="D2639" s="169">
        <v>46070.0</v>
      </c>
      <c r="E2639" s="2">
        <v>3.008114341E9</v>
      </c>
      <c r="F2639" s="2" t="s">
        <v>11093</v>
      </c>
      <c r="G2639" s="2" t="s">
        <v>2725</v>
      </c>
      <c r="H2639" s="2">
        <v>1798.5</v>
      </c>
      <c r="I2639" s="2" t="s">
        <v>11094</v>
      </c>
      <c r="J2639" s="3">
        <v>1.0</v>
      </c>
      <c r="K2639" s="2" t="s">
        <v>11095</v>
      </c>
      <c r="L2639" s="2" t="s">
        <v>11096</v>
      </c>
      <c r="M2639" s="2" t="s">
        <v>409</v>
      </c>
      <c r="N2639" s="2" t="s">
        <v>406</v>
      </c>
      <c r="O2639" s="3">
        <v>0.5</v>
      </c>
      <c r="P2639" s="2" t="s">
        <v>640</v>
      </c>
      <c r="Q2639" s="3">
        <v>400.0</v>
      </c>
      <c r="T2639" s="2"/>
      <c r="U2639" s="171">
        <v>3348.0</v>
      </c>
      <c r="W2639" s="3">
        <v>302.6296</v>
      </c>
      <c r="X2639" s="172">
        <v>46074.54193753473</v>
      </c>
      <c r="Y2639" s="172"/>
      <c r="Z2639" s="3">
        <v>46070.0</v>
      </c>
      <c r="AA2639" s="3"/>
    </row>
    <row r="2640">
      <c r="A2640" s="3">
        <v>6.915227287811E12</v>
      </c>
      <c r="B2640" s="2" t="s">
        <v>11097</v>
      </c>
      <c r="C2640" s="2" t="s">
        <v>6800</v>
      </c>
      <c r="D2640" s="169">
        <v>46070.0</v>
      </c>
      <c r="E2640" s="2">
        <v>3.214426412E9</v>
      </c>
      <c r="F2640" s="2" t="s">
        <v>11098</v>
      </c>
      <c r="G2640" s="2" t="s">
        <v>368</v>
      </c>
      <c r="H2640" s="2">
        <v>0.0</v>
      </c>
      <c r="J2640" s="3">
        <v>0.0</v>
      </c>
      <c r="K2640" s="2" t="s">
        <v>11099</v>
      </c>
      <c r="L2640" s="2"/>
      <c r="M2640" s="2" t="s">
        <v>468</v>
      </c>
      <c r="N2640" s="2" t="s">
        <v>406</v>
      </c>
      <c r="O2640" s="3">
        <v>0.5</v>
      </c>
      <c r="Q2640" s="3">
        <v>0.0</v>
      </c>
      <c r="U2640" s="141"/>
      <c r="X2640" s="172">
        <v>46072.25850398148</v>
      </c>
      <c r="Y2640" s="172"/>
      <c r="Z2640" s="3">
        <v>46070.0</v>
      </c>
      <c r="AA2640" s="3"/>
    </row>
    <row r="2641">
      <c r="A2641" s="3">
        <v>6.915278078211E12</v>
      </c>
      <c r="B2641" s="2" t="s">
        <v>11100</v>
      </c>
      <c r="C2641" s="2" t="s">
        <v>11101</v>
      </c>
      <c r="D2641" s="169">
        <v>46070.0</v>
      </c>
      <c r="E2641" s="2">
        <v>3.161414659E9</v>
      </c>
      <c r="F2641" s="2" t="s">
        <v>11102</v>
      </c>
      <c r="G2641" s="2" t="s">
        <v>368</v>
      </c>
      <c r="H2641" s="2">
        <v>249.0</v>
      </c>
      <c r="I2641" s="2">
        <v>2.6120050021923E13</v>
      </c>
      <c r="J2641" s="3">
        <v>0.0</v>
      </c>
      <c r="K2641" s="2" t="s">
        <v>11103</v>
      </c>
      <c r="L2641" s="2"/>
      <c r="M2641" s="170" t="s">
        <v>455</v>
      </c>
      <c r="N2641" s="2" t="s">
        <v>406</v>
      </c>
      <c r="O2641" s="3">
        <v>0.5</v>
      </c>
      <c r="P2641" s="2" t="s">
        <v>73</v>
      </c>
      <c r="Q2641" s="3">
        <v>0.0</v>
      </c>
      <c r="U2641" s="141"/>
      <c r="W2641" s="3">
        <v>107.0</v>
      </c>
      <c r="X2641" s="172">
        <v>46076.79099181713</v>
      </c>
      <c r="Y2641" s="172"/>
      <c r="Z2641" s="3">
        <v>46070.0</v>
      </c>
      <c r="AA2641" s="3"/>
    </row>
    <row r="2642">
      <c r="A2642" s="3">
        <v>6.915322839299E12</v>
      </c>
      <c r="B2642" s="2" t="s">
        <v>11104</v>
      </c>
      <c r="C2642" s="2" t="s">
        <v>11105</v>
      </c>
      <c r="D2642" s="169">
        <v>46070.0</v>
      </c>
      <c r="E2642" s="173" t="s">
        <v>11106</v>
      </c>
      <c r="F2642" s="2" t="s">
        <v>11107</v>
      </c>
      <c r="G2642" s="2" t="s">
        <v>493</v>
      </c>
      <c r="H2642" s="2">
        <v>3299.0</v>
      </c>
      <c r="I2642" s="2">
        <v>2.5120050021922E13</v>
      </c>
      <c r="J2642" s="3">
        <v>1.0</v>
      </c>
      <c r="K2642" s="2" t="s">
        <v>11108</v>
      </c>
      <c r="L2642" s="2" t="s">
        <v>3455</v>
      </c>
      <c r="M2642" s="2" t="s">
        <v>409</v>
      </c>
      <c r="N2642" s="2" t="s">
        <v>462</v>
      </c>
      <c r="O2642" s="3">
        <v>0.5</v>
      </c>
      <c r="P2642" s="2" t="s">
        <v>73</v>
      </c>
      <c r="Q2642" s="3">
        <v>1400.0</v>
      </c>
      <c r="T2642" s="2" t="s">
        <v>10233</v>
      </c>
      <c r="U2642" s="171">
        <v>3299.0</v>
      </c>
      <c r="W2642" s="3">
        <v>359.0</v>
      </c>
      <c r="X2642" s="172">
        <v>46074.082701666666</v>
      </c>
      <c r="Y2642" s="172"/>
      <c r="Z2642" s="3">
        <v>46070.0</v>
      </c>
      <c r="AA2642" s="3"/>
    </row>
    <row r="2643">
      <c r="A2643" s="3">
        <v>6.915333193987E12</v>
      </c>
      <c r="B2643" s="2" t="s">
        <v>11109</v>
      </c>
      <c r="C2643" s="2" t="s">
        <v>11110</v>
      </c>
      <c r="D2643" s="169">
        <v>46070.0</v>
      </c>
      <c r="E2643" s="2">
        <v>3.181050611E9</v>
      </c>
      <c r="F2643" s="2" t="s">
        <v>11111</v>
      </c>
      <c r="G2643" s="2" t="s">
        <v>493</v>
      </c>
      <c r="H2643" s="2">
        <v>2049.0</v>
      </c>
      <c r="I2643" s="2">
        <v>2.2120050021921E13</v>
      </c>
      <c r="J2643" s="3">
        <v>1.0</v>
      </c>
      <c r="K2643" s="2" t="s">
        <v>11112</v>
      </c>
      <c r="L2643" s="2" t="s">
        <v>11096</v>
      </c>
      <c r="M2643" s="2" t="s">
        <v>409</v>
      </c>
      <c r="N2643" s="2" t="s">
        <v>462</v>
      </c>
      <c r="O2643" s="3">
        <v>0.5</v>
      </c>
      <c r="P2643" s="2" t="s">
        <v>73</v>
      </c>
      <c r="Q2643" s="3">
        <v>480.0</v>
      </c>
      <c r="T2643" s="2" t="s">
        <v>10233</v>
      </c>
      <c r="U2643" s="171">
        <v>2049.0</v>
      </c>
      <c r="W2643" s="3">
        <v>295.0</v>
      </c>
      <c r="X2643" s="172">
        <v>46074.08270167824</v>
      </c>
      <c r="Y2643" s="172"/>
      <c r="Z2643" s="3">
        <v>46070.0</v>
      </c>
      <c r="AA2643" s="3"/>
    </row>
    <row r="2644">
      <c r="A2644" s="3">
        <v>6.915338862851E12</v>
      </c>
      <c r="B2644" s="2" t="s">
        <v>11113</v>
      </c>
      <c r="C2644" s="2" t="s">
        <v>11114</v>
      </c>
      <c r="D2644" s="169">
        <v>46070.0</v>
      </c>
      <c r="E2644" s="2">
        <v>3.00201816E9</v>
      </c>
      <c r="F2644" s="2" t="s">
        <v>11115</v>
      </c>
      <c r="G2644" s="2" t="s">
        <v>493</v>
      </c>
      <c r="H2644" s="2">
        <v>1899.0</v>
      </c>
      <c r="I2644" s="2">
        <v>2.612005002192E13</v>
      </c>
      <c r="J2644" s="3">
        <v>1.0</v>
      </c>
      <c r="K2644" s="2" t="s">
        <v>11116</v>
      </c>
      <c r="L2644" s="2" t="s">
        <v>5698</v>
      </c>
      <c r="M2644" s="2" t="s">
        <v>409</v>
      </c>
      <c r="N2644" s="2" t="s">
        <v>462</v>
      </c>
      <c r="O2644" s="3">
        <v>0.5</v>
      </c>
      <c r="P2644" s="2" t="s">
        <v>73</v>
      </c>
      <c r="Q2644" s="3">
        <v>550.0</v>
      </c>
      <c r="T2644" s="2" t="s">
        <v>10233</v>
      </c>
      <c r="U2644" s="171">
        <v>1899.0</v>
      </c>
      <c r="W2644" s="3">
        <v>289.0</v>
      </c>
      <c r="X2644" s="172">
        <v>46075.79094741898</v>
      </c>
      <c r="Y2644" s="172"/>
      <c r="Z2644" s="3">
        <v>46070.0</v>
      </c>
      <c r="AA2644" s="3"/>
    </row>
    <row r="2645">
      <c r="A2645" s="3">
        <v>6.915420586243E12</v>
      </c>
      <c r="B2645" s="2" t="s">
        <v>11117</v>
      </c>
      <c r="C2645" s="2" t="s">
        <v>11118</v>
      </c>
      <c r="D2645" s="169">
        <v>46070.0</v>
      </c>
      <c r="E2645" s="173" t="s">
        <v>11119</v>
      </c>
      <c r="F2645" s="2" t="s">
        <v>11120</v>
      </c>
      <c r="G2645" s="2" t="s">
        <v>368</v>
      </c>
      <c r="H2645" s="2">
        <v>2790.0</v>
      </c>
      <c r="I2645" s="2">
        <v>2.712005002193E13</v>
      </c>
      <c r="J2645" s="3">
        <v>2.0</v>
      </c>
      <c r="K2645" s="2" t="s">
        <v>11121</v>
      </c>
      <c r="L2645" s="2" t="s">
        <v>1129</v>
      </c>
      <c r="M2645" s="2" t="s">
        <v>409</v>
      </c>
      <c r="N2645" s="2" t="s">
        <v>462</v>
      </c>
      <c r="O2645" s="3">
        <v>0.5</v>
      </c>
      <c r="P2645" s="2" t="s">
        <v>73</v>
      </c>
      <c r="Q2645" s="3">
        <v>960.0</v>
      </c>
      <c r="T2645" s="2" t="s">
        <v>9599</v>
      </c>
      <c r="U2645" s="171">
        <v>2790.0</v>
      </c>
      <c r="V2645" s="172">
        <v>46073.0</v>
      </c>
      <c r="W2645" s="3">
        <v>200.0</v>
      </c>
      <c r="X2645" s="172">
        <v>46072.27114703704</v>
      </c>
      <c r="Y2645" s="172"/>
      <c r="Z2645" s="3">
        <v>46070.0</v>
      </c>
      <c r="AA2645" s="3"/>
    </row>
    <row r="2646">
      <c r="A2646" s="3">
        <v>6.915453321475E12</v>
      </c>
      <c r="B2646" s="2" t="s">
        <v>11122</v>
      </c>
      <c r="C2646" s="2" t="s">
        <v>779</v>
      </c>
      <c r="D2646" s="169">
        <v>46070.0</v>
      </c>
      <c r="E2646" s="2">
        <v>3.008482358E9</v>
      </c>
      <c r="F2646" s="2" t="s">
        <v>11123</v>
      </c>
      <c r="G2646" s="2" t="s">
        <v>368</v>
      </c>
      <c r="H2646" s="2">
        <v>3348.5</v>
      </c>
      <c r="I2646" s="2">
        <v>2.9120050021919E13</v>
      </c>
      <c r="J2646" s="3">
        <v>2.0</v>
      </c>
      <c r="K2646" s="2" t="s">
        <v>11074</v>
      </c>
      <c r="L2646" s="2" t="s">
        <v>40</v>
      </c>
      <c r="M2646" s="2" t="s">
        <v>409</v>
      </c>
      <c r="N2646" s="2" t="s">
        <v>462</v>
      </c>
      <c r="O2646" s="3">
        <v>0.5</v>
      </c>
      <c r="P2646" s="2" t="s">
        <v>73</v>
      </c>
      <c r="Q2646" s="3">
        <v>920.0</v>
      </c>
      <c r="T2646" s="2" t="s">
        <v>9599</v>
      </c>
      <c r="U2646" s="171">
        <v>3348.5</v>
      </c>
      <c r="V2646" s="172">
        <v>46073.0</v>
      </c>
      <c r="W2646" s="3">
        <v>241.0</v>
      </c>
      <c r="X2646" s="172">
        <v>46072.27114708333</v>
      </c>
      <c r="Y2646" s="172"/>
      <c r="Z2646" s="3">
        <v>46070.0</v>
      </c>
      <c r="AA2646" s="3"/>
    </row>
    <row r="2647">
      <c r="A2647" s="3">
        <v>6.915456008451E12</v>
      </c>
      <c r="B2647" s="2" t="s">
        <v>11124</v>
      </c>
      <c r="C2647" s="2" t="s">
        <v>11125</v>
      </c>
      <c r="D2647" s="169">
        <v>46070.0</v>
      </c>
      <c r="E2647" s="2">
        <v>3.155583738E9</v>
      </c>
      <c r="F2647" s="2" t="s">
        <v>11126</v>
      </c>
      <c r="G2647" s="2" t="s">
        <v>11127</v>
      </c>
      <c r="H2647" s="2">
        <v>2814.0</v>
      </c>
      <c r="I2647" s="2">
        <v>2.9120050021929E13</v>
      </c>
      <c r="J2647" s="3">
        <v>2.0</v>
      </c>
      <c r="K2647" s="2" t="s">
        <v>11128</v>
      </c>
      <c r="L2647" s="2" t="s">
        <v>1129</v>
      </c>
      <c r="M2647" s="2" t="s">
        <v>409</v>
      </c>
      <c r="N2647" s="2" t="s">
        <v>462</v>
      </c>
      <c r="O2647" s="3">
        <v>0.5</v>
      </c>
      <c r="P2647" s="2" t="s">
        <v>73</v>
      </c>
      <c r="Q2647" s="3">
        <v>960.0</v>
      </c>
      <c r="T2647" s="2" t="s">
        <v>9599</v>
      </c>
      <c r="U2647" s="171">
        <v>2814.0</v>
      </c>
      <c r="V2647" s="172">
        <v>46073.0</v>
      </c>
      <c r="W2647" s="3">
        <v>326.0</v>
      </c>
      <c r="X2647" s="172">
        <v>46072.99943098379</v>
      </c>
      <c r="Y2647" s="172"/>
      <c r="Z2647" s="3">
        <v>46070.0</v>
      </c>
      <c r="AA2647" s="3"/>
    </row>
    <row r="2648">
      <c r="A2648" s="3">
        <v>6.915463512323E12</v>
      </c>
      <c r="B2648" s="2" t="s">
        <v>11129</v>
      </c>
      <c r="C2648" s="2" t="s">
        <v>11130</v>
      </c>
      <c r="D2648" s="169">
        <v>46070.0</v>
      </c>
      <c r="E2648" s="2">
        <v>3.361001002E9</v>
      </c>
      <c r="F2648" s="2" t="s">
        <v>11131</v>
      </c>
      <c r="G2648" s="2" t="s">
        <v>506</v>
      </c>
      <c r="H2648" s="2">
        <v>249.0</v>
      </c>
      <c r="I2648" s="2">
        <v>2.0120050021928E13</v>
      </c>
      <c r="J2648" s="3">
        <v>0.0</v>
      </c>
      <c r="K2648" s="2" t="s">
        <v>11132</v>
      </c>
      <c r="L2648" s="2"/>
      <c r="M2648" s="170" t="s">
        <v>455</v>
      </c>
      <c r="N2648" s="2" t="s">
        <v>406</v>
      </c>
      <c r="O2648" s="3">
        <v>0.5</v>
      </c>
      <c r="P2648" s="2" t="s">
        <v>73</v>
      </c>
      <c r="Q2648" s="3">
        <v>0.0</v>
      </c>
      <c r="U2648" s="141"/>
      <c r="W2648" s="3">
        <v>200.0</v>
      </c>
      <c r="X2648" s="172">
        <v>46078.82032767361</v>
      </c>
      <c r="Y2648" s="172"/>
      <c r="Z2648" s="3">
        <v>46070.0</v>
      </c>
      <c r="AA2648" s="3"/>
    </row>
    <row r="2649">
      <c r="A2649" s="3">
        <v>6.915482616067E12</v>
      </c>
      <c r="B2649" s="2" t="s">
        <v>11133</v>
      </c>
      <c r="C2649" s="2" t="s">
        <v>11134</v>
      </c>
      <c r="D2649" s="169">
        <v>46070.0</v>
      </c>
      <c r="E2649" s="2">
        <v>3.052076276E9</v>
      </c>
      <c r="F2649" s="2" t="s">
        <v>11135</v>
      </c>
      <c r="G2649" s="2" t="s">
        <v>368</v>
      </c>
      <c r="H2649" s="2">
        <v>3348.0</v>
      </c>
      <c r="I2649" s="2">
        <v>2.5120050021962E13</v>
      </c>
      <c r="J2649" s="3">
        <v>2.0</v>
      </c>
      <c r="K2649" s="2" t="s">
        <v>11136</v>
      </c>
      <c r="L2649" s="2" t="s">
        <v>27</v>
      </c>
      <c r="M2649" s="2" t="s">
        <v>409</v>
      </c>
      <c r="N2649" s="2" t="s">
        <v>462</v>
      </c>
      <c r="O2649" s="3">
        <v>0.5</v>
      </c>
      <c r="P2649" s="2" t="s">
        <v>73</v>
      </c>
      <c r="Q2649" s="3">
        <v>720.0</v>
      </c>
      <c r="T2649" s="2" t="s">
        <v>10233</v>
      </c>
      <c r="U2649" s="171">
        <v>3348.0</v>
      </c>
      <c r="W2649" s="3">
        <v>334.0</v>
      </c>
      <c r="X2649" s="172">
        <v>46073.49931046296</v>
      </c>
      <c r="Y2649" s="172"/>
      <c r="Z2649" s="3">
        <v>46070.0</v>
      </c>
      <c r="AA2649" s="3"/>
    </row>
    <row r="2650">
      <c r="A2650" s="3">
        <v>6.915520397571E12</v>
      </c>
      <c r="B2650" s="2" t="s">
        <v>11137</v>
      </c>
      <c r="C2650" s="2" t="s">
        <v>11138</v>
      </c>
      <c r="D2650" s="169">
        <v>46070.0</v>
      </c>
      <c r="E2650" s="173" t="s">
        <v>11139</v>
      </c>
      <c r="F2650" s="2" t="s">
        <v>11140</v>
      </c>
      <c r="G2650" s="2" t="s">
        <v>374</v>
      </c>
      <c r="H2650" s="2">
        <v>2850.0</v>
      </c>
      <c r="I2650" s="2">
        <v>2.4120050021927E13</v>
      </c>
      <c r="J2650" s="3">
        <v>2.0</v>
      </c>
      <c r="K2650" s="2" t="s">
        <v>11141</v>
      </c>
      <c r="L2650" s="2" t="s">
        <v>11142</v>
      </c>
      <c r="M2650" s="2" t="s">
        <v>409</v>
      </c>
      <c r="N2650" s="2" t="s">
        <v>462</v>
      </c>
      <c r="O2650" s="3">
        <v>0.5</v>
      </c>
      <c r="P2650" s="2" t="s">
        <v>73</v>
      </c>
      <c r="Q2650" s="3">
        <v>985.0</v>
      </c>
      <c r="T2650" s="2" t="s">
        <v>10233</v>
      </c>
      <c r="U2650" s="171">
        <v>2850.0</v>
      </c>
      <c r="W2650" s="3">
        <v>314.0</v>
      </c>
      <c r="X2650" s="172">
        <v>46073.49931047454</v>
      </c>
      <c r="Y2650" s="172"/>
      <c r="Z2650" s="3">
        <v>46070.0</v>
      </c>
      <c r="AA2650" s="3"/>
    </row>
    <row r="2651">
      <c r="A2651" s="3">
        <v>6.915552936195E12</v>
      </c>
      <c r="B2651" s="2" t="s">
        <v>11143</v>
      </c>
      <c r="C2651" s="2" t="s">
        <v>11144</v>
      </c>
      <c r="D2651" s="169">
        <v>46070.0</v>
      </c>
      <c r="E2651" s="173" t="s">
        <v>11145</v>
      </c>
      <c r="F2651" s="2" t="s">
        <v>11146</v>
      </c>
      <c r="G2651" s="2" t="s">
        <v>374</v>
      </c>
      <c r="H2651" s="2">
        <v>2749.0</v>
      </c>
      <c r="I2651" s="2">
        <v>2.2120050021961E13</v>
      </c>
      <c r="J2651" s="3">
        <v>2.0</v>
      </c>
      <c r="K2651" s="2" t="s">
        <v>11051</v>
      </c>
      <c r="L2651" s="2" t="s">
        <v>926</v>
      </c>
      <c r="M2651" s="2" t="s">
        <v>409</v>
      </c>
      <c r="N2651" s="2" t="s">
        <v>462</v>
      </c>
      <c r="O2651" s="3">
        <v>0.5</v>
      </c>
      <c r="P2651" s="2" t="s">
        <v>73</v>
      </c>
      <c r="Q2651" s="3">
        <v>980.0</v>
      </c>
      <c r="T2651" s="2" t="s">
        <v>10233</v>
      </c>
      <c r="U2651" s="171">
        <v>2749.0</v>
      </c>
      <c r="W2651" s="3">
        <v>310.0</v>
      </c>
      <c r="X2651" s="172">
        <v>46074.08270168981</v>
      </c>
      <c r="Y2651" s="172"/>
      <c r="Z2651" s="3">
        <v>46070.0</v>
      </c>
      <c r="AA2651" s="3"/>
    </row>
    <row r="2652">
      <c r="A2652" s="3">
        <v>6.915564536067E12</v>
      </c>
      <c r="B2652" s="2" t="s">
        <v>11147</v>
      </c>
      <c r="C2652" s="2" t="s">
        <v>11148</v>
      </c>
      <c r="D2652" s="169">
        <v>46070.0</v>
      </c>
      <c r="E2652" s="2">
        <v>3.459991422E9</v>
      </c>
      <c r="F2652" s="2" t="s">
        <v>11149</v>
      </c>
      <c r="G2652" s="2" t="s">
        <v>506</v>
      </c>
      <c r="H2652" s="2">
        <v>2849.0</v>
      </c>
      <c r="I2652" s="2">
        <v>2.6120050021926E13</v>
      </c>
      <c r="J2652" s="3">
        <v>2.0</v>
      </c>
      <c r="K2652" s="2" t="s">
        <v>11150</v>
      </c>
      <c r="L2652" s="2" t="s">
        <v>2324</v>
      </c>
      <c r="M2652" s="2" t="s">
        <v>409</v>
      </c>
      <c r="N2652" s="2" t="s">
        <v>462</v>
      </c>
      <c r="O2652" s="3">
        <v>0.5</v>
      </c>
      <c r="P2652" s="2" t="s">
        <v>73</v>
      </c>
      <c r="Q2652" s="3">
        <v>920.0</v>
      </c>
      <c r="T2652" s="2" t="s">
        <v>9599</v>
      </c>
      <c r="U2652" s="171">
        <v>2849.0</v>
      </c>
      <c r="V2652" s="172">
        <v>46073.0</v>
      </c>
      <c r="W2652" s="3">
        <v>314.0</v>
      </c>
      <c r="X2652" s="172">
        <v>46072.99943127314</v>
      </c>
      <c r="Y2652" s="172"/>
      <c r="Z2652" s="3">
        <v>46070.0</v>
      </c>
      <c r="AA2652" s="3"/>
    </row>
    <row r="2653">
      <c r="A2653" s="3">
        <v>6.915602678019E12</v>
      </c>
      <c r="B2653" s="2" t="s">
        <v>11151</v>
      </c>
      <c r="C2653" s="2" t="s">
        <v>11152</v>
      </c>
      <c r="D2653" s="169">
        <v>46070.0</v>
      </c>
      <c r="E2653" s="2">
        <v>3.134220338E9</v>
      </c>
      <c r="F2653" s="2" t="s">
        <v>11153</v>
      </c>
      <c r="G2653" s="2" t="s">
        <v>2675</v>
      </c>
      <c r="H2653" s="2">
        <v>3348.0</v>
      </c>
      <c r="I2653" s="2">
        <v>2.612005002196E13</v>
      </c>
      <c r="J2653" s="3">
        <v>2.0</v>
      </c>
      <c r="K2653" s="2" t="s">
        <v>11154</v>
      </c>
      <c r="L2653" s="2" t="s">
        <v>40</v>
      </c>
      <c r="M2653" s="2" t="s">
        <v>409</v>
      </c>
      <c r="N2653" s="2" t="s">
        <v>462</v>
      </c>
      <c r="O2653" s="3">
        <v>0.5</v>
      </c>
      <c r="P2653" s="2" t="s">
        <v>73</v>
      </c>
      <c r="Q2653" s="3">
        <v>920.0</v>
      </c>
      <c r="T2653" s="2" t="s">
        <v>9599</v>
      </c>
      <c r="U2653" s="171">
        <v>3348.0</v>
      </c>
      <c r="V2653" s="172">
        <v>46073.0</v>
      </c>
      <c r="W2653" s="3">
        <v>334.0</v>
      </c>
      <c r="X2653" s="172">
        <v>46072.99943142361</v>
      </c>
      <c r="Y2653" s="172"/>
      <c r="Z2653" s="3">
        <v>46070.0</v>
      </c>
      <c r="AA2653" s="3"/>
    </row>
    <row r="2654">
      <c r="A2654" s="3">
        <v>6.915648028931E12</v>
      </c>
      <c r="B2654" s="2" t="s">
        <v>11155</v>
      </c>
      <c r="C2654" s="2" t="s">
        <v>1137</v>
      </c>
      <c r="D2654" s="169">
        <v>46070.0</v>
      </c>
      <c r="E2654" s="2">
        <v>3.034829539E9</v>
      </c>
      <c r="F2654" s="2" t="s">
        <v>11156</v>
      </c>
      <c r="G2654" s="2" t="s">
        <v>368</v>
      </c>
      <c r="H2654" s="2">
        <v>249.0</v>
      </c>
      <c r="I2654" s="2">
        <v>2.6120050021959E13</v>
      </c>
      <c r="J2654" s="3">
        <v>0.0</v>
      </c>
      <c r="K2654" s="2" t="s">
        <v>11157</v>
      </c>
      <c r="L2654" s="2"/>
      <c r="M2654" s="170" t="s">
        <v>455</v>
      </c>
      <c r="N2654" s="2" t="s">
        <v>406</v>
      </c>
      <c r="O2654" s="3">
        <v>0.5</v>
      </c>
      <c r="P2654" s="2" t="s">
        <v>73</v>
      </c>
      <c r="Q2654" s="3">
        <v>0.0</v>
      </c>
      <c r="U2654" s="141"/>
      <c r="W2654" s="3">
        <v>107.0</v>
      </c>
      <c r="X2654" s="172">
        <v>46078.820327685185</v>
      </c>
      <c r="Y2654" s="172"/>
      <c r="Z2654" s="3">
        <v>46070.0</v>
      </c>
      <c r="AA2654" s="3"/>
    </row>
    <row r="2655">
      <c r="A2655" s="3">
        <v>6.915658809603E12</v>
      </c>
      <c r="B2655" s="2" t="s">
        <v>11158</v>
      </c>
      <c r="C2655" s="2" t="s">
        <v>11159</v>
      </c>
      <c r="D2655" s="169">
        <v>46070.0</v>
      </c>
      <c r="E2655" s="2">
        <v>3.144965383E9</v>
      </c>
      <c r="F2655" s="2" t="s">
        <v>11160</v>
      </c>
      <c r="G2655" s="2" t="s">
        <v>11161</v>
      </c>
      <c r="H2655" s="2">
        <v>3099.0</v>
      </c>
      <c r="I2655" s="2" t="s">
        <v>11162</v>
      </c>
      <c r="J2655" s="3">
        <v>2.0</v>
      </c>
      <c r="K2655" s="2" t="s">
        <v>9820</v>
      </c>
      <c r="L2655" s="2" t="s">
        <v>1143</v>
      </c>
      <c r="M2655" s="2" t="s">
        <v>409</v>
      </c>
      <c r="N2655" s="2" t="s">
        <v>462</v>
      </c>
      <c r="O2655" s="3">
        <v>0.5</v>
      </c>
      <c r="P2655" s="2" t="s">
        <v>640</v>
      </c>
      <c r="Q2655" s="3">
        <v>960.0</v>
      </c>
      <c r="T2655" s="2"/>
      <c r="U2655" s="171">
        <v>3099.0</v>
      </c>
      <c r="W2655" s="3">
        <v>302.6296</v>
      </c>
      <c r="X2655" s="172">
        <v>46076.87593484954</v>
      </c>
      <c r="Y2655" s="172"/>
      <c r="Z2655" s="3">
        <v>46070.0</v>
      </c>
      <c r="AA2655" s="3"/>
    </row>
    <row r="2656">
      <c r="A2656" s="3">
        <v>6.915678863619E12</v>
      </c>
      <c r="B2656" s="2" t="s">
        <v>11163</v>
      </c>
      <c r="C2656" s="2" t="s">
        <v>11164</v>
      </c>
      <c r="D2656" s="169">
        <v>46070.0</v>
      </c>
      <c r="E2656" s="173" t="s">
        <v>11165</v>
      </c>
      <c r="F2656" s="2" t="s">
        <v>11166</v>
      </c>
      <c r="G2656" s="2" t="s">
        <v>11167</v>
      </c>
      <c r="H2656" s="2">
        <v>3099.0</v>
      </c>
      <c r="I2656" s="2" t="s">
        <v>11168</v>
      </c>
      <c r="J2656" s="3">
        <v>2.0</v>
      </c>
      <c r="K2656" s="2" t="s">
        <v>9820</v>
      </c>
      <c r="L2656" s="2" t="s">
        <v>11169</v>
      </c>
      <c r="M2656" s="2" t="s">
        <v>409</v>
      </c>
      <c r="N2656" s="2" t="s">
        <v>462</v>
      </c>
      <c r="O2656" s="3">
        <v>0.5</v>
      </c>
      <c r="P2656" s="2" t="s">
        <v>640</v>
      </c>
      <c r="Q2656" s="3">
        <v>980.0</v>
      </c>
      <c r="T2656" s="2"/>
      <c r="U2656" s="171">
        <v>3099.0</v>
      </c>
      <c r="W2656" s="3">
        <v>302.6296</v>
      </c>
      <c r="X2656" s="172">
        <v>46076.87593488426</v>
      </c>
      <c r="Y2656" s="172"/>
      <c r="Z2656" s="3">
        <v>46070.0</v>
      </c>
      <c r="AA2656" s="3"/>
    </row>
    <row r="2657">
      <c r="A2657" s="3">
        <v>6.915702685955E12</v>
      </c>
      <c r="B2657" s="2" t="s">
        <v>11170</v>
      </c>
      <c r="C2657" s="2" t="s">
        <v>11171</v>
      </c>
      <c r="D2657" s="169">
        <v>46070.0</v>
      </c>
      <c r="E2657" s="2">
        <v>3.373303509E9</v>
      </c>
      <c r="F2657" s="2" t="s">
        <v>11172</v>
      </c>
      <c r="G2657" s="2" t="s">
        <v>945</v>
      </c>
      <c r="H2657" s="2">
        <v>249.0</v>
      </c>
      <c r="I2657" s="2">
        <v>2.0120050022012E13</v>
      </c>
      <c r="J2657" s="3">
        <v>0.0</v>
      </c>
      <c r="K2657" s="2" t="s">
        <v>11173</v>
      </c>
      <c r="L2657" s="2"/>
      <c r="M2657" s="170" t="s">
        <v>455</v>
      </c>
      <c r="N2657" s="2" t="s">
        <v>406</v>
      </c>
      <c r="O2657" s="3">
        <v>0.5</v>
      </c>
      <c r="P2657" s="2" t="s">
        <v>73</v>
      </c>
      <c r="Q2657" s="3">
        <v>0.0</v>
      </c>
      <c r="U2657" s="141"/>
      <c r="W2657" s="3">
        <v>227.0</v>
      </c>
      <c r="X2657" s="172">
        <v>46081.79094908565</v>
      </c>
      <c r="Y2657" s="172"/>
      <c r="Z2657" s="3">
        <v>46070.0</v>
      </c>
      <c r="AA2657" s="3"/>
    </row>
    <row r="2658">
      <c r="A2658" s="3">
        <v>6.915773890819E12</v>
      </c>
      <c r="B2658" s="2" t="s">
        <v>11174</v>
      </c>
      <c r="C2658" s="2" t="s">
        <v>11175</v>
      </c>
      <c r="D2658" s="169">
        <v>46070.0</v>
      </c>
      <c r="E2658" s="2">
        <v>3.129716167E9</v>
      </c>
      <c r="F2658" s="2" t="s">
        <v>11176</v>
      </c>
      <c r="G2658" s="2" t="s">
        <v>11177</v>
      </c>
      <c r="H2658" s="2">
        <v>1799.0</v>
      </c>
      <c r="I2658" s="2">
        <v>2.4120050021958E13</v>
      </c>
      <c r="J2658" s="3">
        <v>1.0</v>
      </c>
      <c r="K2658" s="2" t="s">
        <v>11178</v>
      </c>
      <c r="L2658" s="2" t="s">
        <v>3222</v>
      </c>
      <c r="M2658" s="2" t="s">
        <v>409</v>
      </c>
      <c r="N2658" s="2" t="s">
        <v>462</v>
      </c>
      <c r="O2658" s="3">
        <v>0.5</v>
      </c>
      <c r="P2658" s="2" t="s">
        <v>73</v>
      </c>
      <c r="Q2658" s="3">
        <v>490.0</v>
      </c>
      <c r="T2658" s="2" t="s">
        <v>10233</v>
      </c>
      <c r="U2658" s="171">
        <v>1799.0</v>
      </c>
      <c r="W2658" s="3">
        <v>285.0</v>
      </c>
      <c r="X2658" s="172">
        <v>46074.66599962963</v>
      </c>
      <c r="Y2658" s="172"/>
      <c r="Z2658" s="3">
        <v>46070.0</v>
      </c>
      <c r="AA2658" s="3"/>
    </row>
    <row r="2659">
      <c r="A2659" s="3">
        <v>6.915777888515E12</v>
      </c>
      <c r="B2659" s="2" t="s">
        <v>11179</v>
      </c>
      <c r="C2659" s="2" t="s">
        <v>11180</v>
      </c>
      <c r="D2659" s="169">
        <v>46070.0</v>
      </c>
      <c r="E2659" s="2">
        <v>3.215301369E9</v>
      </c>
      <c r="F2659" s="2" t="s">
        <v>11181</v>
      </c>
      <c r="G2659" s="2" t="s">
        <v>506</v>
      </c>
      <c r="H2659" s="2">
        <v>2849.0</v>
      </c>
      <c r="I2659" s="2">
        <v>2.5120050021957E13</v>
      </c>
      <c r="J2659" s="3">
        <v>2.0</v>
      </c>
      <c r="K2659" s="2" t="s">
        <v>11182</v>
      </c>
      <c r="L2659" s="2" t="s">
        <v>11183</v>
      </c>
      <c r="M2659" s="2" t="s">
        <v>409</v>
      </c>
      <c r="N2659" s="2" t="s">
        <v>462</v>
      </c>
      <c r="O2659" s="3">
        <v>0.5</v>
      </c>
      <c r="P2659" s="2" t="s">
        <v>73</v>
      </c>
      <c r="Q2659" s="3">
        <v>960.0</v>
      </c>
      <c r="T2659" s="2" t="s">
        <v>10233</v>
      </c>
      <c r="U2659" s="171">
        <v>2849.0</v>
      </c>
      <c r="W2659" s="3">
        <v>314.0</v>
      </c>
      <c r="X2659" s="172">
        <v>46073.520911342595</v>
      </c>
      <c r="Y2659" s="172"/>
      <c r="Z2659" s="3">
        <v>46070.0</v>
      </c>
      <c r="AA2659" s="3"/>
    </row>
    <row r="2660">
      <c r="A2660" s="3">
        <v>6.915822452995E12</v>
      </c>
      <c r="B2660" s="2" t="s">
        <v>11184</v>
      </c>
      <c r="C2660" s="2" t="s">
        <v>11185</v>
      </c>
      <c r="D2660" s="169">
        <v>46070.0</v>
      </c>
      <c r="E2660" s="2">
        <v>3.070051666E9</v>
      </c>
      <c r="F2660" s="2" t="s">
        <v>11186</v>
      </c>
      <c r="G2660" s="2" t="s">
        <v>368</v>
      </c>
      <c r="H2660" s="2">
        <v>3348.0</v>
      </c>
      <c r="I2660" s="2">
        <v>2.2120050021956E13</v>
      </c>
      <c r="J2660" s="3">
        <v>2.0</v>
      </c>
      <c r="K2660" s="2" t="s">
        <v>11154</v>
      </c>
      <c r="L2660" s="2" t="s">
        <v>906</v>
      </c>
      <c r="M2660" s="2" t="s">
        <v>409</v>
      </c>
      <c r="N2660" s="2" t="s">
        <v>462</v>
      </c>
      <c r="O2660" s="3">
        <v>0.5</v>
      </c>
      <c r="P2660" s="2" t="s">
        <v>73</v>
      </c>
      <c r="Q2660" s="3">
        <v>920.0</v>
      </c>
      <c r="T2660" s="2" t="s">
        <v>9599</v>
      </c>
      <c r="U2660" s="171">
        <v>3348.0</v>
      </c>
      <c r="V2660" s="172">
        <v>46073.0</v>
      </c>
      <c r="W2660" s="3">
        <v>241.0</v>
      </c>
      <c r="X2660" s="172">
        <v>46072.999431828706</v>
      </c>
      <c r="Y2660" s="172"/>
      <c r="Z2660" s="3">
        <v>46070.0</v>
      </c>
      <c r="AA2660" s="3"/>
    </row>
    <row r="2661">
      <c r="A2661" s="3">
        <v>6.915845652739E12</v>
      </c>
      <c r="B2661" s="2" t="s">
        <v>11187</v>
      </c>
      <c r="C2661" s="2" t="s">
        <v>1114</v>
      </c>
      <c r="D2661" s="169">
        <v>46070.0</v>
      </c>
      <c r="E2661" s="173" t="s">
        <v>11188</v>
      </c>
      <c r="F2661" s="2" t="s">
        <v>11189</v>
      </c>
      <c r="G2661" s="2" t="s">
        <v>11190</v>
      </c>
      <c r="H2661" s="2">
        <v>3349.0</v>
      </c>
      <c r="I2661" s="2">
        <v>2.7120050021955E13</v>
      </c>
      <c r="J2661" s="3">
        <v>2.0</v>
      </c>
      <c r="K2661" s="2" t="s">
        <v>11191</v>
      </c>
      <c r="L2661" s="2" t="s">
        <v>296</v>
      </c>
      <c r="M2661" s="2" t="s">
        <v>409</v>
      </c>
      <c r="N2661" s="2" t="s">
        <v>462</v>
      </c>
      <c r="O2661" s="3">
        <v>0.5</v>
      </c>
      <c r="P2661" s="2" t="s">
        <v>73</v>
      </c>
      <c r="Q2661" s="3">
        <v>920.0</v>
      </c>
      <c r="T2661" s="2" t="s">
        <v>10233</v>
      </c>
      <c r="U2661" s="171">
        <v>3349.0</v>
      </c>
      <c r="W2661" s="3">
        <v>334.0</v>
      </c>
      <c r="X2661" s="172">
        <v>46073.52091206019</v>
      </c>
      <c r="Y2661" s="172"/>
      <c r="Z2661" s="3">
        <v>46070.0</v>
      </c>
      <c r="AA2661" s="3"/>
    </row>
    <row r="2662">
      <c r="A2662" s="3">
        <v>6.915903324419E12</v>
      </c>
      <c r="B2662" s="2" t="s">
        <v>11192</v>
      </c>
      <c r="C2662" s="2" t="s">
        <v>4211</v>
      </c>
      <c r="D2662" s="169">
        <v>46070.0</v>
      </c>
      <c r="E2662" s="2">
        <v>3.097782518E9</v>
      </c>
      <c r="F2662" s="2" t="s">
        <v>11193</v>
      </c>
      <c r="G2662" s="2" t="s">
        <v>6507</v>
      </c>
      <c r="H2662" s="2">
        <v>2849.0</v>
      </c>
      <c r="I2662" s="2">
        <v>2.1120050021954E13</v>
      </c>
      <c r="J2662" s="3">
        <v>2.0</v>
      </c>
      <c r="K2662" s="2" t="s">
        <v>11182</v>
      </c>
      <c r="L2662" s="2" t="s">
        <v>1920</v>
      </c>
      <c r="M2662" s="2" t="s">
        <v>409</v>
      </c>
      <c r="N2662" s="2" t="s">
        <v>462</v>
      </c>
      <c r="O2662" s="3">
        <v>0.5</v>
      </c>
      <c r="P2662" s="2" t="s">
        <v>73</v>
      </c>
      <c r="Q2662" s="3">
        <v>1050.0</v>
      </c>
      <c r="T2662" s="2" t="s">
        <v>10233</v>
      </c>
      <c r="U2662" s="171">
        <v>2849.0</v>
      </c>
      <c r="W2662" s="3">
        <v>314.0</v>
      </c>
      <c r="X2662" s="172">
        <v>46074.54101931713</v>
      </c>
      <c r="Y2662" s="172"/>
      <c r="Z2662" s="3">
        <v>46070.0</v>
      </c>
      <c r="AA2662" s="3"/>
    </row>
    <row r="2663">
      <c r="A2663" s="3">
        <v>6.915926098179E12</v>
      </c>
      <c r="B2663" s="2" t="s">
        <v>11194</v>
      </c>
      <c r="C2663" s="2" t="s">
        <v>11195</v>
      </c>
      <c r="D2663" s="169">
        <v>46070.0</v>
      </c>
      <c r="E2663" s="2">
        <v>3.338214909E9</v>
      </c>
      <c r="F2663" s="2" t="s">
        <v>11196</v>
      </c>
      <c r="G2663" s="2" t="s">
        <v>781</v>
      </c>
      <c r="H2663" s="2">
        <v>3348.0</v>
      </c>
      <c r="I2663" s="2">
        <v>2.6120050021953E13</v>
      </c>
      <c r="J2663" s="3">
        <v>2.0</v>
      </c>
      <c r="K2663" s="2" t="s">
        <v>11136</v>
      </c>
      <c r="L2663" s="2" t="s">
        <v>906</v>
      </c>
      <c r="M2663" s="2" t="s">
        <v>409</v>
      </c>
      <c r="N2663" s="2" t="s">
        <v>462</v>
      </c>
      <c r="O2663" s="3">
        <v>0.5</v>
      </c>
      <c r="P2663" s="2" t="s">
        <v>73</v>
      </c>
      <c r="Q2663" s="3">
        <v>720.0</v>
      </c>
      <c r="T2663" s="2" t="s">
        <v>10233</v>
      </c>
      <c r="U2663" s="171">
        <v>3348.0</v>
      </c>
      <c r="W2663" s="3">
        <v>347.0</v>
      </c>
      <c r="X2663" s="172">
        <v>46073.54099202546</v>
      </c>
      <c r="Y2663" s="172"/>
      <c r="Z2663" s="3">
        <v>46070.0</v>
      </c>
      <c r="AA2663" s="3"/>
    </row>
    <row r="2664">
      <c r="A2664" s="3">
        <v>6.916010934531E12</v>
      </c>
      <c r="B2664" s="2" t="s">
        <v>11197</v>
      </c>
      <c r="C2664" s="2" t="s">
        <v>11198</v>
      </c>
      <c r="D2664" s="169">
        <v>46070.0</v>
      </c>
      <c r="E2664" s="2">
        <v>3.214829991E9</v>
      </c>
      <c r="F2664" s="2" t="s">
        <v>11199</v>
      </c>
      <c r="G2664" s="2" t="s">
        <v>493</v>
      </c>
      <c r="H2664" s="2">
        <v>3348.0</v>
      </c>
      <c r="I2664" s="2">
        <v>2.0120050021952E13</v>
      </c>
      <c r="J2664" s="3">
        <v>2.0</v>
      </c>
      <c r="K2664" s="2" t="s">
        <v>11136</v>
      </c>
      <c r="L2664" s="2" t="s">
        <v>296</v>
      </c>
      <c r="M2664" s="2" t="s">
        <v>409</v>
      </c>
      <c r="N2664" s="2" t="s">
        <v>462</v>
      </c>
      <c r="O2664" s="3">
        <v>0.5</v>
      </c>
      <c r="P2664" s="2" t="s">
        <v>73</v>
      </c>
      <c r="Q2664" s="3">
        <v>920.0</v>
      </c>
      <c r="T2664" s="2" t="s">
        <v>10233</v>
      </c>
      <c r="U2664" s="171">
        <v>3348.0</v>
      </c>
      <c r="W2664" s="3">
        <v>347.0</v>
      </c>
      <c r="X2664" s="172">
        <v>46074.520924537035</v>
      </c>
      <c r="Y2664" s="172"/>
      <c r="Z2664" s="3">
        <v>46070.0</v>
      </c>
      <c r="AA2664" s="3"/>
    </row>
    <row r="2665">
      <c r="A2665" s="3">
        <v>6.916013359363E12</v>
      </c>
      <c r="B2665" s="2" t="s">
        <v>11200</v>
      </c>
      <c r="C2665" s="2" t="s">
        <v>11201</v>
      </c>
      <c r="D2665" s="169">
        <v>46070.0</v>
      </c>
      <c r="E2665" s="2">
        <v>3.08631877E9</v>
      </c>
      <c r="F2665" s="2" t="s">
        <v>11202</v>
      </c>
      <c r="G2665" s="2" t="s">
        <v>1016</v>
      </c>
      <c r="H2665" s="2">
        <v>3348.0</v>
      </c>
      <c r="I2665" s="2">
        <v>2.2120050021951E13</v>
      </c>
      <c r="J2665" s="3">
        <v>2.0</v>
      </c>
      <c r="K2665" s="2" t="s">
        <v>11203</v>
      </c>
      <c r="L2665" s="2" t="s">
        <v>1116</v>
      </c>
      <c r="M2665" s="2" t="s">
        <v>409</v>
      </c>
      <c r="N2665" s="2" t="s">
        <v>462</v>
      </c>
      <c r="O2665" s="3">
        <v>0.5</v>
      </c>
      <c r="P2665" s="2" t="s">
        <v>73</v>
      </c>
      <c r="Q2665" s="3">
        <v>960.0</v>
      </c>
      <c r="T2665" s="2" t="s">
        <v>10233</v>
      </c>
      <c r="U2665" s="171">
        <v>3348.0</v>
      </c>
      <c r="W2665" s="3">
        <v>334.0</v>
      </c>
      <c r="X2665" s="172">
        <v>46073.62440306713</v>
      </c>
      <c r="Y2665" s="172"/>
      <c r="Z2665" s="3">
        <v>46070.0</v>
      </c>
      <c r="AA2665" s="3"/>
    </row>
    <row r="2666">
      <c r="A2666" s="3">
        <v>6.916035182851E12</v>
      </c>
      <c r="B2666" s="2" t="s">
        <v>11204</v>
      </c>
      <c r="C2666" s="2" t="s">
        <v>11205</v>
      </c>
      <c r="D2666" s="169">
        <v>46071.0</v>
      </c>
      <c r="E2666" s="2">
        <v>3.098572989E9</v>
      </c>
      <c r="F2666" s="2" t="s">
        <v>11206</v>
      </c>
      <c r="G2666" s="2" t="s">
        <v>374</v>
      </c>
      <c r="H2666" s="2">
        <v>1799.0</v>
      </c>
      <c r="I2666" s="2">
        <v>2.212005002195E13</v>
      </c>
      <c r="J2666" s="3">
        <v>1.0</v>
      </c>
      <c r="K2666" s="2" t="s">
        <v>11207</v>
      </c>
      <c r="L2666" s="2" t="s">
        <v>4482</v>
      </c>
      <c r="M2666" s="2" t="s">
        <v>409</v>
      </c>
      <c r="N2666" s="2" t="s">
        <v>462</v>
      </c>
      <c r="O2666" s="3">
        <v>0.5</v>
      </c>
      <c r="P2666" s="2" t="s">
        <v>73</v>
      </c>
      <c r="Q2666" s="3">
        <v>490.0</v>
      </c>
      <c r="T2666" s="2" t="s">
        <v>9599</v>
      </c>
      <c r="U2666" s="171">
        <v>1799.0</v>
      </c>
      <c r="V2666" s="172">
        <v>46073.0</v>
      </c>
      <c r="W2666" s="3">
        <v>272.0</v>
      </c>
      <c r="X2666" s="172">
        <v>46072.999433715275</v>
      </c>
      <c r="Y2666" s="172"/>
      <c r="Z2666" s="3">
        <v>46071.0</v>
      </c>
      <c r="AA2666" s="3"/>
    </row>
    <row r="2667">
      <c r="A2667" s="3">
        <v>6.916039180547E12</v>
      </c>
      <c r="B2667" s="2" t="s">
        <v>11208</v>
      </c>
      <c r="C2667" s="2" t="s">
        <v>11209</v>
      </c>
      <c r="D2667" s="169">
        <v>46071.0</v>
      </c>
      <c r="E2667" s="2">
        <v>3.451944692E9</v>
      </c>
      <c r="F2667" s="2" t="s">
        <v>11210</v>
      </c>
      <c r="G2667" s="2" t="s">
        <v>11211</v>
      </c>
      <c r="H2667" s="2">
        <v>0.0</v>
      </c>
      <c r="J2667" s="3">
        <v>0.0</v>
      </c>
      <c r="K2667" s="2" t="s">
        <v>11212</v>
      </c>
      <c r="L2667" s="2"/>
      <c r="M2667" s="2" t="s">
        <v>468</v>
      </c>
      <c r="N2667" s="2" t="s">
        <v>406</v>
      </c>
      <c r="O2667" s="3">
        <v>0.5</v>
      </c>
      <c r="Q2667" s="3">
        <v>0.0</v>
      </c>
      <c r="U2667" s="141"/>
      <c r="X2667" s="172">
        <v>46072.25850399306</v>
      </c>
      <c r="Y2667" s="172"/>
      <c r="Z2667" s="3">
        <v>46071.0</v>
      </c>
      <c r="AA2667" s="3"/>
    </row>
    <row r="2668">
      <c r="A2668" s="3">
        <v>6.916040229123E12</v>
      </c>
      <c r="B2668" s="2" t="s">
        <v>11213</v>
      </c>
      <c r="C2668" s="2" t="s">
        <v>2197</v>
      </c>
      <c r="D2668" s="169">
        <v>46071.0</v>
      </c>
      <c r="E2668" s="2">
        <v>3.087656199E9</v>
      </c>
      <c r="F2668" s="2" t="s">
        <v>11214</v>
      </c>
      <c r="G2668" s="2" t="s">
        <v>11215</v>
      </c>
      <c r="H2668" s="2">
        <v>0.0</v>
      </c>
      <c r="J2668" s="3">
        <v>0.0</v>
      </c>
      <c r="K2668" s="2" t="s">
        <v>11216</v>
      </c>
      <c r="L2668" s="2"/>
      <c r="M2668" s="2" t="s">
        <v>468</v>
      </c>
      <c r="N2668" s="2" t="s">
        <v>406</v>
      </c>
      <c r="O2668" s="3">
        <v>0.5</v>
      </c>
      <c r="Q2668" s="3">
        <v>0.0</v>
      </c>
      <c r="U2668" s="141"/>
      <c r="X2668" s="172">
        <v>46072.25850399306</v>
      </c>
      <c r="Y2668" s="172"/>
      <c r="Z2668" s="3">
        <v>46071.0</v>
      </c>
      <c r="AA2668" s="3"/>
    </row>
    <row r="2669">
      <c r="A2669" s="3">
        <v>6.916067819779E12</v>
      </c>
      <c r="B2669" s="2" t="s">
        <v>11217</v>
      </c>
      <c r="C2669" s="2" t="s">
        <v>2197</v>
      </c>
      <c r="D2669" s="169">
        <v>46071.0</v>
      </c>
      <c r="E2669" s="173" t="s">
        <v>11218</v>
      </c>
      <c r="F2669" s="2" t="s">
        <v>11219</v>
      </c>
      <c r="G2669" s="2" t="s">
        <v>11215</v>
      </c>
      <c r="H2669" s="2">
        <v>3099.0</v>
      </c>
      <c r="I2669" s="2" t="s">
        <v>11220</v>
      </c>
      <c r="J2669" s="3">
        <v>2.0</v>
      </c>
      <c r="K2669" s="2" t="s">
        <v>7745</v>
      </c>
      <c r="L2669" s="2" t="s">
        <v>1129</v>
      </c>
      <c r="M2669" s="2" t="s">
        <v>409</v>
      </c>
      <c r="N2669" s="2" t="s">
        <v>406</v>
      </c>
      <c r="O2669" s="3">
        <v>0.5</v>
      </c>
      <c r="P2669" s="2" t="s">
        <v>640</v>
      </c>
      <c r="Q2669" s="3">
        <v>960.0</v>
      </c>
      <c r="T2669" s="2" t="s">
        <v>8991</v>
      </c>
      <c r="U2669" s="141"/>
      <c r="W2669" s="3">
        <v>499.79</v>
      </c>
      <c r="X2669" s="172">
        <v>46072.99973251157</v>
      </c>
      <c r="Y2669" s="172"/>
      <c r="Z2669" s="3">
        <v>46071.0</v>
      </c>
      <c r="AA2669" s="3"/>
    </row>
    <row r="2670">
      <c r="A2670" s="3">
        <v>6.916071555331E12</v>
      </c>
      <c r="B2670" s="2" t="s">
        <v>11221</v>
      </c>
      <c r="C2670" s="2" t="s">
        <v>2530</v>
      </c>
      <c r="D2670" s="169">
        <v>46071.0</v>
      </c>
      <c r="E2670" s="2">
        <v>3.217248769E9</v>
      </c>
      <c r="F2670" s="2" t="s">
        <v>11222</v>
      </c>
      <c r="G2670" s="2" t="s">
        <v>3826</v>
      </c>
      <c r="H2670" s="2">
        <v>249.0</v>
      </c>
      <c r="I2670" s="2">
        <v>2.2120050021986E13</v>
      </c>
      <c r="J2670" s="3">
        <v>0.0</v>
      </c>
      <c r="K2670" s="2" t="s">
        <v>11223</v>
      </c>
      <c r="L2670" s="2"/>
      <c r="M2670" s="170" t="s">
        <v>455</v>
      </c>
      <c r="N2670" s="2" t="s">
        <v>406</v>
      </c>
      <c r="O2670" s="3">
        <v>0.5</v>
      </c>
      <c r="P2670" s="2" t="s">
        <v>73</v>
      </c>
      <c r="Q2670" s="3">
        <v>0.0</v>
      </c>
      <c r="U2670" s="141"/>
      <c r="W2670" s="3">
        <v>200.0</v>
      </c>
      <c r="X2670" s="172">
        <v>46083.83286767361</v>
      </c>
      <c r="Y2670" s="172"/>
      <c r="Z2670" s="3">
        <v>46071.0</v>
      </c>
      <c r="AA2670" s="3"/>
    </row>
    <row r="2671">
      <c r="A2671" s="3">
        <v>6.916127981827E12</v>
      </c>
      <c r="B2671" s="2" t="s">
        <v>11224</v>
      </c>
      <c r="C2671" s="2" t="s">
        <v>11225</v>
      </c>
      <c r="D2671" s="169">
        <v>46071.0</v>
      </c>
      <c r="E2671" s="2">
        <v>3.002340625E9</v>
      </c>
      <c r="F2671" s="2" t="s">
        <v>11226</v>
      </c>
      <c r="G2671" s="2" t="s">
        <v>493</v>
      </c>
      <c r="H2671" s="2">
        <v>3348.0</v>
      </c>
      <c r="I2671" s="2">
        <v>2.1120050021949E13</v>
      </c>
      <c r="J2671" s="3">
        <v>2.0</v>
      </c>
      <c r="K2671" s="2" t="s">
        <v>11136</v>
      </c>
      <c r="L2671" s="2" t="s">
        <v>275</v>
      </c>
      <c r="M2671" s="2" t="s">
        <v>409</v>
      </c>
      <c r="N2671" s="2" t="s">
        <v>462</v>
      </c>
      <c r="O2671" s="3">
        <v>0.5</v>
      </c>
      <c r="P2671" s="2" t="s">
        <v>73</v>
      </c>
      <c r="Q2671" s="3">
        <v>960.0</v>
      </c>
      <c r="T2671" s="2" t="s">
        <v>10233</v>
      </c>
      <c r="U2671" s="171">
        <v>3348.0</v>
      </c>
      <c r="W2671" s="3">
        <v>347.0</v>
      </c>
      <c r="X2671" s="172">
        <v>46074.665999652774</v>
      </c>
      <c r="Y2671" s="172"/>
      <c r="Z2671" s="3">
        <v>46071.0</v>
      </c>
      <c r="AA2671" s="3"/>
    </row>
    <row r="2672">
      <c r="A2672" s="3">
        <v>6.916194304259E12</v>
      </c>
      <c r="B2672" s="2" t="s">
        <v>11227</v>
      </c>
      <c r="C2672" s="2" t="s">
        <v>5316</v>
      </c>
      <c r="D2672" s="169">
        <v>46071.0</v>
      </c>
      <c r="E2672" s="2">
        <v>3.046111333E9</v>
      </c>
      <c r="F2672" s="2" t="s">
        <v>11228</v>
      </c>
      <c r="G2672" s="2" t="s">
        <v>3396</v>
      </c>
      <c r="H2672" s="2">
        <v>0.0</v>
      </c>
      <c r="I2672" s="2">
        <v>2.3120050021948E13</v>
      </c>
      <c r="J2672" s="3">
        <v>0.0</v>
      </c>
      <c r="K2672" s="2" t="s">
        <v>11229</v>
      </c>
      <c r="L2672" s="2"/>
      <c r="M2672" s="2" t="s">
        <v>409</v>
      </c>
      <c r="N2672" s="2" t="s">
        <v>406</v>
      </c>
      <c r="O2672" s="3">
        <v>0.5</v>
      </c>
      <c r="P2672" s="2" t="s">
        <v>73</v>
      </c>
      <c r="Q2672" s="3">
        <v>0.0</v>
      </c>
      <c r="T2672" s="2" t="s">
        <v>10233</v>
      </c>
      <c r="U2672" s="171">
        <v>0.0</v>
      </c>
      <c r="W2672" s="3">
        <v>470.0</v>
      </c>
      <c r="X2672" s="172">
        <v>46074.082701747684</v>
      </c>
      <c r="Y2672" s="172"/>
      <c r="Z2672" s="3">
        <v>46071.0</v>
      </c>
      <c r="AA2672" s="3"/>
    </row>
    <row r="2673">
      <c r="A2673" s="3">
        <v>6.916215374083E12</v>
      </c>
      <c r="B2673" s="2" t="s">
        <v>11230</v>
      </c>
      <c r="C2673" s="2" t="s">
        <v>11231</v>
      </c>
      <c r="D2673" s="169">
        <v>46071.0</v>
      </c>
      <c r="E2673" s="2">
        <v>3.082021717E9</v>
      </c>
      <c r="F2673" s="2" t="s">
        <v>11232</v>
      </c>
      <c r="G2673" s="2" t="s">
        <v>11233</v>
      </c>
      <c r="H2673" s="2">
        <v>2749.0</v>
      </c>
      <c r="I2673" s="2">
        <v>2.3120050021947E13</v>
      </c>
      <c r="J2673" s="3">
        <v>2.0</v>
      </c>
      <c r="K2673" s="2" t="s">
        <v>11051</v>
      </c>
      <c r="L2673" s="2" t="s">
        <v>926</v>
      </c>
      <c r="M2673" s="2" t="s">
        <v>409</v>
      </c>
      <c r="N2673" s="2" t="s">
        <v>462</v>
      </c>
      <c r="O2673" s="3">
        <v>0.5</v>
      </c>
      <c r="P2673" s="2" t="s">
        <v>73</v>
      </c>
      <c r="Q2673" s="3">
        <v>980.0</v>
      </c>
      <c r="T2673" s="2" t="s">
        <v>10233</v>
      </c>
      <c r="U2673" s="171">
        <v>2749.0</v>
      </c>
      <c r="W2673" s="3">
        <v>337.0</v>
      </c>
      <c r="X2673" s="172">
        <v>46074.70770591435</v>
      </c>
      <c r="Y2673" s="172"/>
      <c r="Z2673" s="3">
        <v>46071.0</v>
      </c>
      <c r="AA2673" s="3"/>
    </row>
    <row r="2674">
      <c r="A2674" s="3">
        <v>6.916328784131E12</v>
      </c>
      <c r="B2674" s="2" t="s">
        <v>11234</v>
      </c>
      <c r="C2674" s="2" t="s">
        <v>11235</v>
      </c>
      <c r="D2674" s="169">
        <v>46071.0</v>
      </c>
      <c r="E2674" s="2">
        <v>3.122117792E9</v>
      </c>
      <c r="F2674" s="2" t="s">
        <v>11236</v>
      </c>
      <c r="G2674" s="2" t="s">
        <v>493</v>
      </c>
      <c r="H2674" s="2">
        <v>249.0</v>
      </c>
      <c r="I2674" s="2">
        <v>2.8120050021946E13</v>
      </c>
      <c r="J2674" s="3">
        <v>0.0</v>
      </c>
      <c r="K2674" s="2" t="s">
        <v>11237</v>
      </c>
      <c r="L2674" s="2"/>
      <c r="M2674" s="170" t="s">
        <v>455</v>
      </c>
      <c r="N2674" s="2" t="s">
        <v>406</v>
      </c>
      <c r="O2674" s="3">
        <v>0.5</v>
      </c>
      <c r="P2674" s="2" t="s">
        <v>73</v>
      </c>
      <c r="Q2674" s="3">
        <v>0.0</v>
      </c>
      <c r="U2674" s="141"/>
      <c r="W2674" s="3">
        <v>213.0</v>
      </c>
      <c r="X2674" s="172">
        <v>46080.87439473379</v>
      </c>
      <c r="Y2674" s="172"/>
      <c r="Z2674" s="3">
        <v>46071.0</v>
      </c>
      <c r="AA2674" s="3"/>
    </row>
    <row r="2675">
      <c r="A2675" s="3">
        <v>6.916338352387E12</v>
      </c>
      <c r="B2675" s="2" t="s">
        <v>11238</v>
      </c>
      <c r="C2675" s="2" t="s">
        <v>11239</v>
      </c>
      <c r="D2675" s="169">
        <v>46071.0</v>
      </c>
      <c r="E2675" s="2">
        <v>3.054755068E9</v>
      </c>
      <c r="F2675" s="2" t="s">
        <v>11240</v>
      </c>
      <c r="G2675" s="2" t="s">
        <v>368</v>
      </c>
      <c r="H2675" s="2">
        <v>2799.0</v>
      </c>
      <c r="I2675" s="2">
        <v>2.1120050021945E13</v>
      </c>
      <c r="J2675" s="3">
        <v>1.0</v>
      </c>
      <c r="K2675" s="2" t="s">
        <v>11241</v>
      </c>
      <c r="L2675" s="2" t="s">
        <v>519</v>
      </c>
      <c r="M2675" s="2" t="s">
        <v>409</v>
      </c>
      <c r="N2675" s="2" t="s">
        <v>462</v>
      </c>
      <c r="O2675" s="3">
        <v>0.5</v>
      </c>
      <c r="P2675" s="2" t="s">
        <v>73</v>
      </c>
      <c r="Q2675" s="3">
        <v>850.0</v>
      </c>
      <c r="T2675" s="2" t="s">
        <v>9599</v>
      </c>
      <c r="U2675" s="171">
        <v>2799.0</v>
      </c>
      <c r="V2675" s="172">
        <v>46073.0</v>
      </c>
      <c r="W2675" s="3">
        <v>232.0</v>
      </c>
      <c r="X2675" s="172">
        <v>46073.02099099537</v>
      </c>
      <c r="Y2675" s="172"/>
      <c r="Z2675" s="3">
        <v>46071.0</v>
      </c>
      <c r="AA2675" s="3"/>
    </row>
    <row r="2676">
      <c r="A2676" s="3">
        <v>6.916448157955E12</v>
      </c>
      <c r="B2676" s="2" t="s">
        <v>11242</v>
      </c>
      <c r="C2676" s="2" t="s">
        <v>11243</v>
      </c>
      <c r="D2676" s="169">
        <v>46071.0</v>
      </c>
      <c r="E2676" s="173" t="s">
        <v>11244</v>
      </c>
      <c r="F2676" s="2" t="s">
        <v>11245</v>
      </c>
      <c r="G2676" s="2" t="s">
        <v>11246</v>
      </c>
      <c r="H2676" s="2">
        <v>0.0</v>
      </c>
      <c r="J2676" s="3">
        <v>0.0</v>
      </c>
      <c r="K2676" s="2" t="s">
        <v>11247</v>
      </c>
      <c r="L2676" s="2"/>
      <c r="M2676" s="2" t="s">
        <v>468</v>
      </c>
      <c r="N2676" s="2" t="s">
        <v>406</v>
      </c>
      <c r="O2676" s="3">
        <v>0.5</v>
      </c>
      <c r="Q2676" s="3">
        <v>0.0</v>
      </c>
      <c r="U2676" s="141"/>
      <c r="X2676" s="172">
        <v>46072.25850399306</v>
      </c>
      <c r="Y2676" s="172"/>
      <c r="Z2676" s="3">
        <v>46071.0</v>
      </c>
      <c r="AA2676" s="3"/>
    </row>
    <row r="2677">
      <c r="A2677" s="3">
        <v>6.916531716355E12</v>
      </c>
      <c r="B2677" s="2" t="s">
        <v>11248</v>
      </c>
      <c r="C2677" s="2" t="s">
        <v>11249</v>
      </c>
      <c r="D2677" s="169">
        <v>46071.0</v>
      </c>
      <c r="E2677" s="2">
        <v>3.338941918E9</v>
      </c>
      <c r="F2677" s="2" t="s">
        <v>11250</v>
      </c>
      <c r="G2677" s="2" t="s">
        <v>3016</v>
      </c>
      <c r="H2677" s="2">
        <v>3348.0</v>
      </c>
      <c r="I2677" s="2">
        <v>2.0120050021944E13</v>
      </c>
      <c r="J2677" s="3">
        <v>2.0</v>
      </c>
      <c r="K2677" s="2" t="s">
        <v>11136</v>
      </c>
      <c r="L2677" s="2" t="s">
        <v>1116</v>
      </c>
      <c r="M2677" s="2" t="s">
        <v>409</v>
      </c>
      <c r="N2677" s="2" t="s">
        <v>462</v>
      </c>
      <c r="O2677" s="3">
        <v>0.5</v>
      </c>
      <c r="P2677" s="2" t="s">
        <v>73</v>
      </c>
      <c r="Q2677" s="3">
        <v>960.0</v>
      </c>
      <c r="T2677" s="2" t="s">
        <v>10233</v>
      </c>
      <c r="U2677" s="171">
        <v>3348.0</v>
      </c>
      <c r="W2677" s="3">
        <v>334.0</v>
      </c>
      <c r="X2677" s="172">
        <v>46074.082701770836</v>
      </c>
      <c r="Y2677" s="172"/>
      <c r="Z2677" s="3">
        <v>46071.0</v>
      </c>
      <c r="AA2677" s="3"/>
    </row>
    <row r="2678">
      <c r="A2678" s="3">
        <v>6.916547969283E12</v>
      </c>
      <c r="B2678" s="2" t="s">
        <v>11251</v>
      </c>
      <c r="C2678" s="2" t="s">
        <v>11252</v>
      </c>
      <c r="D2678" s="169">
        <v>46071.0</v>
      </c>
      <c r="E2678" s="2">
        <v>3.234836721E9</v>
      </c>
      <c r="F2678" s="2" t="s">
        <v>11253</v>
      </c>
      <c r="G2678" s="2" t="s">
        <v>368</v>
      </c>
      <c r="H2678" s="2">
        <v>3348.0</v>
      </c>
      <c r="I2678" s="2">
        <v>2.9120050021943E13</v>
      </c>
      <c r="J2678" s="3">
        <v>2.0</v>
      </c>
      <c r="K2678" s="2" t="s">
        <v>11254</v>
      </c>
      <c r="L2678" s="2" t="s">
        <v>50</v>
      </c>
      <c r="M2678" s="2" t="s">
        <v>409</v>
      </c>
      <c r="N2678" s="2" t="s">
        <v>462</v>
      </c>
      <c r="O2678" s="3">
        <v>0.5</v>
      </c>
      <c r="P2678" s="2" t="s">
        <v>73</v>
      </c>
      <c r="Q2678" s="3">
        <v>920.0</v>
      </c>
      <c r="T2678" s="2" t="s">
        <v>9599</v>
      </c>
      <c r="U2678" s="171">
        <v>3348.0</v>
      </c>
      <c r="V2678" s="172">
        <v>46073.0</v>
      </c>
      <c r="W2678" s="3">
        <v>241.0</v>
      </c>
      <c r="X2678" s="172">
        <v>46073.02099109953</v>
      </c>
      <c r="Y2678" s="172"/>
      <c r="Z2678" s="3">
        <v>46071.0</v>
      </c>
      <c r="AA2678" s="3"/>
    </row>
    <row r="2679">
      <c r="A2679" s="3">
        <v>6.916559044867E12</v>
      </c>
      <c r="B2679" s="2" t="s">
        <v>11255</v>
      </c>
      <c r="C2679" s="2" t="s">
        <v>11256</v>
      </c>
      <c r="D2679" s="169">
        <v>46071.0</v>
      </c>
      <c r="E2679" s="2">
        <v>3.098871414E9</v>
      </c>
      <c r="F2679" s="2" t="s">
        <v>11257</v>
      </c>
      <c r="G2679" s="2" t="s">
        <v>461</v>
      </c>
      <c r="H2679" s="2">
        <v>3348.0</v>
      </c>
      <c r="I2679" s="2">
        <v>2.9120050021942E13</v>
      </c>
      <c r="J2679" s="3">
        <v>2.0</v>
      </c>
      <c r="K2679" s="2" t="s">
        <v>11258</v>
      </c>
      <c r="L2679" s="2" t="s">
        <v>1116</v>
      </c>
      <c r="M2679" s="2" t="s">
        <v>409</v>
      </c>
      <c r="N2679" s="2" t="s">
        <v>462</v>
      </c>
      <c r="O2679" s="3">
        <v>0.5</v>
      </c>
      <c r="P2679" s="2" t="s">
        <v>73</v>
      </c>
      <c r="Q2679" s="3">
        <v>960.0</v>
      </c>
      <c r="T2679" s="2" t="s">
        <v>10233</v>
      </c>
      <c r="U2679" s="171">
        <v>3348.0</v>
      </c>
      <c r="W2679" s="3">
        <v>334.0</v>
      </c>
      <c r="X2679" s="172">
        <v>46073.49931078704</v>
      </c>
      <c r="Y2679" s="172"/>
      <c r="Z2679" s="3">
        <v>46071.0</v>
      </c>
      <c r="AA2679" s="3"/>
    </row>
    <row r="2680">
      <c r="A2680" s="3">
        <v>6.916597121283E12</v>
      </c>
      <c r="B2680" s="2" t="s">
        <v>11259</v>
      </c>
      <c r="C2680" s="2" t="s">
        <v>2187</v>
      </c>
      <c r="D2680" s="169">
        <v>46071.0</v>
      </c>
      <c r="E2680" s="2">
        <v>3.334498483E9</v>
      </c>
      <c r="F2680" s="2" t="s">
        <v>2188</v>
      </c>
      <c r="G2680" s="2" t="s">
        <v>368</v>
      </c>
      <c r="H2680" s="2">
        <v>249.0</v>
      </c>
      <c r="I2680" s="2">
        <v>2.0120050021941E13</v>
      </c>
      <c r="J2680" s="3">
        <v>0.0</v>
      </c>
      <c r="K2680" s="2" t="s">
        <v>11154</v>
      </c>
      <c r="L2680" s="2"/>
      <c r="M2680" s="2" t="s">
        <v>409</v>
      </c>
      <c r="N2680" s="2" t="s">
        <v>406</v>
      </c>
      <c r="O2680" s="3">
        <v>0.5</v>
      </c>
      <c r="P2680" s="2" t="s">
        <v>73</v>
      </c>
      <c r="Q2680" s="3">
        <v>0.0</v>
      </c>
      <c r="T2680" s="2" t="s">
        <v>9599</v>
      </c>
      <c r="U2680" s="171">
        <v>249.0</v>
      </c>
      <c r="V2680" s="172">
        <v>46073.0</v>
      </c>
      <c r="W2680" s="3">
        <v>241.0</v>
      </c>
      <c r="X2680" s="172">
        <v>46073.020991122685</v>
      </c>
      <c r="Y2680" s="172"/>
      <c r="Z2680" s="3">
        <v>46071.0</v>
      </c>
      <c r="AA2680" s="3"/>
    </row>
    <row r="2681">
      <c r="A2681" s="3">
        <v>6.916608131331E12</v>
      </c>
      <c r="B2681" s="2" t="s">
        <v>11260</v>
      </c>
      <c r="C2681" s="2" t="s">
        <v>11261</v>
      </c>
      <c r="D2681" s="169">
        <v>46071.0</v>
      </c>
      <c r="E2681" s="173" t="s">
        <v>11262</v>
      </c>
      <c r="F2681" s="2" t="s">
        <v>11263</v>
      </c>
      <c r="G2681" s="2" t="s">
        <v>11264</v>
      </c>
      <c r="H2681" s="2">
        <v>0.0</v>
      </c>
      <c r="J2681" s="3">
        <v>0.0</v>
      </c>
      <c r="K2681" s="2" t="s">
        <v>8402</v>
      </c>
      <c r="L2681" s="2"/>
      <c r="M2681" s="2" t="s">
        <v>468</v>
      </c>
      <c r="N2681" s="2" t="s">
        <v>406</v>
      </c>
      <c r="O2681" s="3">
        <v>0.5</v>
      </c>
      <c r="Q2681" s="3">
        <v>0.0</v>
      </c>
      <c r="U2681" s="141"/>
      <c r="X2681" s="172">
        <v>46072.25850399306</v>
      </c>
      <c r="Y2681" s="172"/>
      <c r="Z2681" s="3">
        <v>46071.0</v>
      </c>
      <c r="AA2681" s="3"/>
    </row>
    <row r="2682">
      <c r="A2682" s="3">
        <v>6.916706566403E12</v>
      </c>
      <c r="B2682" s="2" t="s">
        <v>11265</v>
      </c>
      <c r="C2682" s="2" t="s">
        <v>11266</v>
      </c>
      <c r="D2682" s="169">
        <v>46071.0</v>
      </c>
      <c r="E2682" s="173" t="s">
        <v>11267</v>
      </c>
      <c r="F2682" s="2" t="s">
        <v>11268</v>
      </c>
      <c r="G2682" s="2" t="s">
        <v>541</v>
      </c>
      <c r="H2682" s="2">
        <v>0.0</v>
      </c>
      <c r="J2682" s="3">
        <v>0.0</v>
      </c>
      <c r="K2682" s="2" t="s">
        <v>10112</v>
      </c>
      <c r="L2682" s="2"/>
      <c r="M2682" s="2" t="s">
        <v>468</v>
      </c>
      <c r="N2682" s="2" t="s">
        <v>406</v>
      </c>
      <c r="O2682" s="3">
        <v>0.5</v>
      </c>
      <c r="Q2682" s="3">
        <v>0.0</v>
      </c>
      <c r="U2682" s="141"/>
      <c r="X2682" s="172">
        <v>46072.25850399306</v>
      </c>
      <c r="Y2682" s="172"/>
      <c r="Z2682" s="3">
        <v>46071.0</v>
      </c>
      <c r="AA2682" s="3"/>
    </row>
    <row r="2683">
      <c r="A2683" s="3">
        <v>6.916714725635E12</v>
      </c>
      <c r="B2683" s="2" t="s">
        <v>11269</v>
      </c>
      <c r="C2683" s="2" t="s">
        <v>10556</v>
      </c>
      <c r="D2683" s="169">
        <v>46071.0</v>
      </c>
      <c r="E2683" s="173" t="s">
        <v>10557</v>
      </c>
      <c r="F2683" s="2" t="s">
        <v>10558</v>
      </c>
      <c r="G2683" s="2" t="s">
        <v>10559</v>
      </c>
      <c r="H2683" s="2">
        <v>1675.0</v>
      </c>
      <c r="I2683" s="2">
        <v>2.012005002197E13</v>
      </c>
      <c r="J2683" s="3">
        <v>1.0</v>
      </c>
      <c r="K2683" s="2" t="s">
        <v>11270</v>
      </c>
      <c r="L2683" s="2" t="s">
        <v>11271</v>
      </c>
      <c r="M2683" s="2" t="s">
        <v>409</v>
      </c>
      <c r="N2683" s="2" t="s">
        <v>462</v>
      </c>
      <c r="O2683" s="3">
        <v>0.5</v>
      </c>
      <c r="P2683" s="2" t="s">
        <v>73</v>
      </c>
      <c r="Q2683" s="3">
        <v>400.0</v>
      </c>
      <c r="U2683" s="171">
        <v>1675.0</v>
      </c>
      <c r="X2683" s="172">
        <v>46074.665999675926</v>
      </c>
      <c r="Y2683" s="172"/>
      <c r="Z2683" s="3">
        <v>46071.0</v>
      </c>
      <c r="AA2683" s="3"/>
    </row>
    <row r="2684">
      <c r="A2684" s="3">
        <v>6.916722589955E12</v>
      </c>
      <c r="B2684" s="2" t="s">
        <v>11272</v>
      </c>
      <c r="C2684" s="2" t="s">
        <v>4129</v>
      </c>
      <c r="D2684" s="169">
        <v>46071.0</v>
      </c>
      <c r="E2684" s="2">
        <v>3.242160206E9</v>
      </c>
      <c r="F2684" s="2" t="s">
        <v>11273</v>
      </c>
      <c r="G2684" s="2" t="s">
        <v>493</v>
      </c>
      <c r="H2684" s="2">
        <v>4049.0</v>
      </c>
      <c r="I2684" s="2">
        <v>2.412005002194E13</v>
      </c>
      <c r="J2684" s="3">
        <v>3.0</v>
      </c>
      <c r="K2684" s="2" t="s">
        <v>11274</v>
      </c>
      <c r="L2684" s="2" t="s">
        <v>11275</v>
      </c>
      <c r="M2684" s="2" t="s">
        <v>409</v>
      </c>
      <c r="N2684" s="2" t="s">
        <v>462</v>
      </c>
      <c r="O2684" s="3">
        <v>0.5</v>
      </c>
      <c r="P2684" s="2" t="s">
        <v>73</v>
      </c>
      <c r="Q2684" s="3">
        <v>1270.0</v>
      </c>
      <c r="T2684" s="2" t="s">
        <v>10233</v>
      </c>
      <c r="U2684" s="171">
        <v>4049.0</v>
      </c>
      <c r="W2684" s="3">
        <v>389.0</v>
      </c>
      <c r="X2684" s="172">
        <v>46074.58272496528</v>
      </c>
      <c r="Y2684" s="172"/>
      <c r="Z2684" s="3">
        <v>46071.0</v>
      </c>
      <c r="AA2684" s="3"/>
    </row>
    <row r="2685">
      <c r="A2685" s="3">
        <v>6.916785078531E12</v>
      </c>
      <c r="B2685" s="2" t="s">
        <v>11276</v>
      </c>
      <c r="C2685" s="2" t="s">
        <v>11277</v>
      </c>
      <c r="D2685" s="169">
        <v>46071.0</v>
      </c>
      <c r="E2685" s="2">
        <v>3.14495291E9</v>
      </c>
      <c r="F2685" s="2" t="s">
        <v>11278</v>
      </c>
      <c r="G2685" s="2" t="s">
        <v>506</v>
      </c>
      <c r="H2685" s="2">
        <v>3348.0</v>
      </c>
      <c r="I2685" s="2">
        <v>2.8120050021985E13</v>
      </c>
      <c r="J2685" s="3">
        <v>2.0</v>
      </c>
      <c r="K2685" s="2" t="s">
        <v>11258</v>
      </c>
      <c r="L2685" s="2" t="s">
        <v>275</v>
      </c>
      <c r="M2685" s="2" t="s">
        <v>409</v>
      </c>
      <c r="N2685" s="2" t="s">
        <v>462</v>
      </c>
      <c r="O2685" s="3">
        <v>0.5</v>
      </c>
      <c r="P2685" s="2" t="s">
        <v>73</v>
      </c>
      <c r="Q2685" s="3">
        <v>960.0</v>
      </c>
      <c r="T2685" s="2" t="s">
        <v>10233</v>
      </c>
      <c r="U2685" s="171">
        <v>3348.0</v>
      </c>
      <c r="W2685" s="3">
        <v>334.0</v>
      </c>
      <c r="X2685" s="172">
        <v>46076.74934072916</v>
      </c>
      <c r="Y2685" s="172"/>
      <c r="Z2685" s="3">
        <v>46071.0</v>
      </c>
      <c r="AA2685" s="3"/>
    </row>
    <row r="2686">
      <c r="A2686" s="3">
        <v>6.916790190339E12</v>
      </c>
      <c r="B2686" s="2" t="s">
        <v>11279</v>
      </c>
      <c r="C2686" s="2" t="s">
        <v>10092</v>
      </c>
      <c r="D2686" s="169">
        <v>46071.0</v>
      </c>
      <c r="E2686" s="2">
        <v>3.192679847E9</v>
      </c>
      <c r="F2686" s="2" t="s">
        <v>10763</v>
      </c>
      <c r="G2686" s="2" t="s">
        <v>493</v>
      </c>
      <c r="H2686" s="2">
        <v>0.0</v>
      </c>
      <c r="J2686" s="3">
        <v>0.0</v>
      </c>
      <c r="K2686" s="2" t="s">
        <v>11280</v>
      </c>
      <c r="L2686" s="2"/>
      <c r="M2686" s="2" t="s">
        <v>468</v>
      </c>
      <c r="N2686" s="2" t="s">
        <v>406</v>
      </c>
      <c r="O2686" s="3">
        <v>0.5</v>
      </c>
      <c r="Q2686" s="3">
        <v>0.0</v>
      </c>
      <c r="U2686" s="141"/>
      <c r="X2686" s="172">
        <v>46072.25850399306</v>
      </c>
      <c r="Y2686" s="172"/>
      <c r="Z2686" s="3">
        <v>46071.0</v>
      </c>
      <c r="AA2686" s="3"/>
    </row>
    <row r="2687">
      <c r="A2687" s="3">
        <v>6.916893933827E12</v>
      </c>
      <c r="B2687" s="2" t="s">
        <v>11281</v>
      </c>
      <c r="C2687" s="2" t="s">
        <v>4739</v>
      </c>
      <c r="D2687" s="169">
        <v>46071.0</v>
      </c>
      <c r="E2687" s="2">
        <v>3.459221591E9</v>
      </c>
      <c r="F2687" s="2" t="s">
        <v>11282</v>
      </c>
      <c r="G2687" s="2" t="s">
        <v>781</v>
      </c>
      <c r="H2687" s="2">
        <v>3348.0</v>
      </c>
      <c r="I2687" s="2">
        <v>2.9120050021984E13</v>
      </c>
      <c r="J2687" s="3">
        <v>2.0</v>
      </c>
      <c r="K2687" s="2" t="s">
        <v>11136</v>
      </c>
      <c r="L2687" s="2" t="s">
        <v>296</v>
      </c>
      <c r="M2687" s="2" t="s">
        <v>409</v>
      </c>
      <c r="N2687" s="2" t="s">
        <v>462</v>
      </c>
      <c r="O2687" s="3">
        <v>0.5</v>
      </c>
      <c r="P2687" s="2" t="s">
        <v>73</v>
      </c>
      <c r="Q2687" s="3">
        <v>920.0</v>
      </c>
      <c r="T2687" s="2" t="s">
        <v>10233</v>
      </c>
      <c r="U2687" s="171">
        <v>3348.0</v>
      </c>
      <c r="W2687" s="3">
        <v>347.0</v>
      </c>
      <c r="X2687" s="172">
        <v>46074.49936888889</v>
      </c>
      <c r="Y2687" s="172"/>
      <c r="Z2687" s="3">
        <v>46071.0</v>
      </c>
      <c r="AA2687" s="3"/>
    </row>
    <row r="2688">
      <c r="A2688" s="3">
        <v>6.916906254595E12</v>
      </c>
      <c r="B2688" s="2" t="s">
        <v>11283</v>
      </c>
      <c r="C2688" s="2" t="s">
        <v>11284</v>
      </c>
      <c r="D2688" s="169">
        <v>46071.0</v>
      </c>
      <c r="E2688" s="2">
        <v>3.123912233E9</v>
      </c>
      <c r="F2688" s="2" t="s">
        <v>11285</v>
      </c>
      <c r="G2688" s="2" t="s">
        <v>493</v>
      </c>
      <c r="H2688" s="2">
        <v>2849.0</v>
      </c>
      <c r="I2688" s="2">
        <v>2.6120050021969E13</v>
      </c>
      <c r="J2688" s="3">
        <v>2.0</v>
      </c>
      <c r="K2688" s="2" t="s">
        <v>11286</v>
      </c>
      <c r="L2688" s="2" t="s">
        <v>4209</v>
      </c>
      <c r="M2688" s="2" t="s">
        <v>409</v>
      </c>
      <c r="N2688" s="2" t="s">
        <v>462</v>
      </c>
      <c r="O2688" s="3">
        <v>0.5</v>
      </c>
      <c r="P2688" s="2" t="s">
        <v>73</v>
      </c>
      <c r="Q2688" s="3">
        <v>720.0</v>
      </c>
      <c r="T2688" s="2" t="s">
        <v>11287</v>
      </c>
      <c r="U2688" s="171">
        <v>2849.0</v>
      </c>
      <c r="V2688" s="172">
        <v>46084.0</v>
      </c>
      <c r="W2688" s="3">
        <v>327.0</v>
      </c>
      <c r="X2688" s="172">
        <v>46080.54104859954</v>
      </c>
      <c r="Y2688" s="172"/>
      <c r="Z2688" s="3">
        <v>46071.0</v>
      </c>
      <c r="AA2688" s="3"/>
    </row>
    <row r="2689">
      <c r="A2689" s="3">
        <v>6.916955209987E12</v>
      </c>
      <c r="B2689" s="2" t="s">
        <v>11288</v>
      </c>
      <c r="C2689" s="2" t="s">
        <v>11289</v>
      </c>
      <c r="D2689" s="169">
        <v>46071.0</v>
      </c>
      <c r="E2689" s="2">
        <v>3.214598258E9</v>
      </c>
      <c r="F2689" s="2" t="s">
        <v>11290</v>
      </c>
      <c r="G2689" s="2" t="s">
        <v>368</v>
      </c>
      <c r="H2689" s="2">
        <v>2849.0</v>
      </c>
      <c r="I2689" s="2">
        <v>2.2120050021968E13</v>
      </c>
      <c r="J2689" s="3">
        <v>2.0</v>
      </c>
      <c r="K2689" s="2" t="s">
        <v>11291</v>
      </c>
      <c r="L2689" s="2" t="s">
        <v>2324</v>
      </c>
      <c r="M2689" s="2" t="s">
        <v>409</v>
      </c>
      <c r="N2689" s="2" t="s">
        <v>462</v>
      </c>
      <c r="O2689" s="3">
        <v>0.5</v>
      </c>
      <c r="P2689" s="2" t="s">
        <v>73</v>
      </c>
      <c r="Q2689" s="3">
        <v>720.0</v>
      </c>
      <c r="T2689" s="2" t="s">
        <v>10233</v>
      </c>
      <c r="U2689" s="171">
        <v>2849.0</v>
      </c>
      <c r="W2689" s="3">
        <v>221.0</v>
      </c>
      <c r="X2689" s="172">
        <v>46074.08270180556</v>
      </c>
      <c r="Y2689" s="172"/>
      <c r="Z2689" s="3">
        <v>46071.0</v>
      </c>
      <c r="AA2689" s="3"/>
    </row>
    <row r="2690">
      <c r="A2690" s="3">
        <v>6.916959502595E12</v>
      </c>
      <c r="B2690" s="2" t="s">
        <v>11292</v>
      </c>
      <c r="C2690" s="2" t="s">
        <v>11293</v>
      </c>
      <c r="D2690" s="169">
        <v>46071.0</v>
      </c>
      <c r="E2690" s="2">
        <v>3.234589886E9</v>
      </c>
      <c r="F2690" s="2" t="s">
        <v>11294</v>
      </c>
      <c r="G2690" s="2" t="s">
        <v>368</v>
      </c>
      <c r="H2690" s="2">
        <v>1899.0</v>
      </c>
      <c r="I2690" s="2">
        <v>2.9120050021967E13</v>
      </c>
      <c r="J2690" s="3">
        <v>1.0</v>
      </c>
      <c r="K2690" s="2" t="s">
        <v>11295</v>
      </c>
      <c r="L2690" s="2" t="s">
        <v>11296</v>
      </c>
      <c r="M2690" s="2" t="s">
        <v>409</v>
      </c>
      <c r="N2690" s="2" t="s">
        <v>462</v>
      </c>
      <c r="O2690" s="3">
        <v>0.5</v>
      </c>
      <c r="P2690" s="2" t="s">
        <v>73</v>
      </c>
      <c r="Q2690" s="3">
        <v>550.0</v>
      </c>
      <c r="T2690" s="2" t="s">
        <v>10233</v>
      </c>
      <c r="U2690" s="171">
        <v>1899.0</v>
      </c>
      <c r="W2690" s="3">
        <v>183.0</v>
      </c>
      <c r="X2690" s="172">
        <v>46073.624404675924</v>
      </c>
      <c r="Y2690" s="172"/>
      <c r="Z2690" s="3">
        <v>46071.0</v>
      </c>
      <c r="AA2690" s="3"/>
    </row>
    <row r="2691">
      <c r="A2691" s="3">
        <v>6.917224956163E12</v>
      </c>
      <c r="B2691" s="2" t="s">
        <v>11297</v>
      </c>
      <c r="C2691" s="2" t="s">
        <v>11298</v>
      </c>
      <c r="D2691" s="169">
        <v>46071.0</v>
      </c>
      <c r="E2691" s="2">
        <v>3.088925259E9</v>
      </c>
      <c r="F2691" s="2" t="s">
        <v>11299</v>
      </c>
      <c r="G2691" s="2" t="s">
        <v>1083</v>
      </c>
      <c r="H2691" s="2">
        <v>249.0</v>
      </c>
      <c r="I2691" s="2">
        <v>2.5120050021983E13</v>
      </c>
      <c r="J2691" s="3">
        <v>0.0</v>
      </c>
      <c r="K2691" s="2" t="s">
        <v>11300</v>
      </c>
      <c r="L2691" s="2"/>
      <c r="M2691" s="170" t="s">
        <v>455</v>
      </c>
      <c r="N2691" s="2" t="s">
        <v>406</v>
      </c>
      <c r="O2691" s="3">
        <v>0.5</v>
      </c>
      <c r="P2691" s="2" t="s">
        <v>73</v>
      </c>
      <c r="Q2691" s="3">
        <v>0.0</v>
      </c>
      <c r="U2691" s="141"/>
      <c r="W2691" s="3">
        <v>200.0</v>
      </c>
      <c r="X2691" s="172">
        <v>46084.832651979166</v>
      </c>
      <c r="Y2691" s="172"/>
      <c r="Z2691" s="3">
        <v>46071.0</v>
      </c>
      <c r="AA2691" s="3"/>
    </row>
    <row r="2692">
      <c r="A2692" s="3">
        <v>6.917485986051E12</v>
      </c>
      <c r="B2692" s="2" t="s">
        <v>11301</v>
      </c>
      <c r="C2692" s="2" t="s">
        <v>11302</v>
      </c>
      <c r="D2692" s="169">
        <v>46071.0</v>
      </c>
      <c r="E2692" s="2">
        <v>3.414544096E9</v>
      </c>
      <c r="F2692" s="2" t="s">
        <v>11303</v>
      </c>
      <c r="G2692" s="2" t="s">
        <v>11304</v>
      </c>
      <c r="H2692" s="2">
        <v>2749.0</v>
      </c>
      <c r="I2692" s="2">
        <v>2.1120050021989E13</v>
      </c>
      <c r="J2692" s="3">
        <v>2.0</v>
      </c>
      <c r="K2692" s="2" t="s">
        <v>11305</v>
      </c>
      <c r="L2692" s="2" t="s">
        <v>926</v>
      </c>
      <c r="M2692" s="2" t="s">
        <v>409</v>
      </c>
      <c r="N2692" s="2" t="s">
        <v>462</v>
      </c>
      <c r="O2692" s="3">
        <v>0.5</v>
      </c>
      <c r="P2692" s="2" t="s">
        <v>73</v>
      </c>
      <c r="Q2692" s="3">
        <v>980.0</v>
      </c>
      <c r="T2692" s="2" t="s">
        <v>10233</v>
      </c>
      <c r="U2692" s="171">
        <v>2749.0</v>
      </c>
      <c r="W2692" s="3">
        <v>330.0</v>
      </c>
      <c r="X2692" s="172">
        <v>46076.70770875</v>
      </c>
      <c r="Y2692" s="172"/>
      <c r="Z2692" s="3">
        <v>46071.0</v>
      </c>
      <c r="AA2692" s="3"/>
    </row>
    <row r="2693">
      <c r="A2693" s="3">
        <v>6.917489459459E12</v>
      </c>
      <c r="B2693" s="2" t="s">
        <v>11306</v>
      </c>
      <c r="C2693" s="2" t="s">
        <v>11307</v>
      </c>
      <c r="D2693" s="169">
        <v>46071.0</v>
      </c>
      <c r="E2693" s="173" t="s">
        <v>11308</v>
      </c>
      <c r="F2693" s="2" t="s">
        <v>11309</v>
      </c>
      <c r="G2693" s="2" t="s">
        <v>506</v>
      </c>
      <c r="H2693" s="2">
        <v>2749.0</v>
      </c>
      <c r="I2693" s="2">
        <v>2.3120050021966E13</v>
      </c>
      <c r="J2693" s="3">
        <v>2.0</v>
      </c>
      <c r="K2693" s="2" t="s">
        <v>11310</v>
      </c>
      <c r="L2693" s="2" t="s">
        <v>35</v>
      </c>
      <c r="M2693" s="2" t="s">
        <v>409</v>
      </c>
      <c r="N2693" s="2" t="s">
        <v>462</v>
      </c>
      <c r="O2693" s="3">
        <v>0.5</v>
      </c>
      <c r="P2693" s="2" t="s">
        <v>73</v>
      </c>
      <c r="Q2693" s="3">
        <v>980.0</v>
      </c>
      <c r="T2693" s="2" t="s">
        <v>10233</v>
      </c>
      <c r="U2693" s="171">
        <v>2749.0</v>
      </c>
      <c r="W2693" s="3">
        <v>310.0</v>
      </c>
      <c r="X2693" s="172">
        <v>46074.457661064815</v>
      </c>
      <c r="Y2693" s="172"/>
      <c r="Z2693" s="3">
        <v>46071.0</v>
      </c>
      <c r="AA2693" s="3"/>
    </row>
    <row r="2694">
      <c r="A2694" s="3">
        <v>6.917535662339E12</v>
      </c>
      <c r="B2694" s="2" t="s">
        <v>11311</v>
      </c>
      <c r="C2694" s="2" t="s">
        <v>11312</v>
      </c>
      <c r="D2694" s="169">
        <v>46071.0</v>
      </c>
      <c r="E2694" s="2">
        <v>3.039527098E9</v>
      </c>
      <c r="F2694" s="2" t="s">
        <v>11313</v>
      </c>
      <c r="G2694" s="2" t="s">
        <v>6174</v>
      </c>
      <c r="H2694" s="2">
        <v>2849.0</v>
      </c>
      <c r="I2694" s="2">
        <v>2.5120050021965E13</v>
      </c>
      <c r="J2694" s="3">
        <v>2.0</v>
      </c>
      <c r="K2694" s="2" t="s">
        <v>11291</v>
      </c>
      <c r="L2694" s="2" t="s">
        <v>1920</v>
      </c>
      <c r="M2694" s="2" t="s">
        <v>409</v>
      </c>
      <c r="N2694" s="2" t="s">
        <v>462</v>
      </c>
      <c r="O2694" s="3">
        <v>0.5</v>
      </c>
      <c r="P2694" s="2" t="s">
        <v>73</v>
      </c>
      <c r="Q2694" s="3">
        <v>1050.0</v>
      </c>
      <c r="T2694" s="2" t="s">
        <v>10233</v>
      </c>
      <c r="U2694" s="171">
        <v>2849.0</v>
      </c>
      <c r="W2694" s="3">
        <v>327.0</v>
      </c>
      <c r="X2694" s="172">
        <v>46074.66599974537</v>
      </c>
      <c r="Y2694" s="172"/>
      <c r="Z2694" s="3">
        <v>46071.0</v>
      </c>
      <c r="AA2694" s="3"/>
    </row>
    <row r="2695">
      <c r="A2695" s="3">
        <v>6.917677646083E12</v>
      </c>
      <c r="B2695" s="2" t="s">
        <v>11314</v>
      </c>
      <c r="C2695" s="2" t="s">
        <v>11315</v>
      </c>
      <c r="D2695" s="169">
        <v>46072.0</v>
      </c>
      <c r="E2695" s="2">
        <v>3.005522872E9</v>
      </c>
      <c r="F2695" s="2" t="s">
        <v>11316</v>
      </c>
      <c r="G2695" s="2" t="s">
        <v>5204</v>
      </c>
      <c r="H2695" s="2">
        <v>3348.0</v>
      </c>
      <c r="I2695" s="2">
        <v>2.6120050021964E13</v>
      </c>
      <c r="J2695" s="3">
        <v>2.0</v>
      </c>
      <c r="K2695" s="2" t="s">
        <v>11203</v>
      </c>
      <c r="L2695" s="2" t="s">
        <v>9448</v>
      </c>
      <c r="M2695" s="2" t="s">
        <v>409</v>
      </c>
      <c r="N2695" s="2" t="s">
        <v>462</v>
      </c>
      <c r="O2695" s="3">
        <v>0.5</v>
      </c>
      <c r="P2695" s="2" t="s">
        <v>73</v>
      </c>
      <c r="Q2695" s="3">
        <v>940.0</v>
      </c>
      <c r="T2695" s="2" t="s">
        <v>10233</v>
      </c>
      <c r="U2695" s="171">
        <v>3348.0</v>
      </c>
      <c r="W2695" s="3">
        <v>334.0</v>
      </c>
      <c r="X2695" s="172">
        <v>46074.45766136574</v>
      </c>
      <c r="Y2695" s="172"/>
      <c r="Z2695" s="3">
        <v>46072.0</v>
      </c>
      <c r="AA2695" s="3"/>
    </row>
    <row r="2696">
      <c r="A2696" s="3">
        <v>6.917763203331E12</v>
      </c>
      <c r="B2696" s="2" t="s">
        <v>11317</v>
      </c>
      <c r="C2696" s="2" t="s">
        <v>11318</v>
      </c>
      <c r="D2696" s="169">
        <v>46072.0</v>
      </c>
      <c r="E2696" s="2">
        <v>3.014885786E9</v>
      </c>
      <c r="F2696" s="2" t="s">
        <v>11319</v>
      </c>
      <c r="G2696" s="2" t="s">
        <v>506</v>
      </c>
      <c r="H2696" s="2">
        <v>1449.0</v>
      </c>
      <c r="I2696" s="2">
        <v>2.5120050021982E13</v>
      </c>
      <c r="J2696" s="3">
        <v>1.0</v>
      </c>
      <c r="K2696" s="2" t="s">
        <v>11320</v>
      </c>
      <c r="L2696" s="2" t="s">
        <v>3889</v>
      </c>
      <c r="M2696" s="2" t="s">
        <v>409</v>
      </c>
      <c r="N2696" s="2" t="s">
        <v>462</v>
      </c>
      <c r="O2696" s="3">
        <v>0.5</v>
      </c>
      <c r="P2696" s="2" t="s">
        <v>73</v>
      </c>
      <c r="Q2696" s="3">
        <v>550.0</v>
      </c>
      <c r="T2696" s="2" t="s">
        <v>10233</v>
      </c>
      <c r="U2696" s="171">
        <v>1449.0</v>
      </c>
      <c r="W2696" s="3">
        <v>258.0</v>
      </c>
      <c r="X2696" s="172">
        <v>46076.74934081019</v>
      </c>
      <c r="Y2696" s="172"/>
      <c r="Z2696" s="3">
        <v>46072.0</v>
      </c>
      <c r="AA2696" s="3"/>
    </row>
    <row r="2697">
      <c r="A2697" s="3">
        <v>6.917987762435E12</v>
      </c>
      <c r="B2697" s="2" t="s">
        <v>11321</v>
      </c>
      <c r="C2697" s="2" t="s">
        <v>11322</v>
      </c>
      <c r="D2697" s="169">
        <v>46072.0</v>
      </c>
      <c r="E2697" s="173" t="s">
        <v>11323</v>
      </c>
      <c r="F2697" s="2" t="s">
        <v>11324</v>
      </c>
      <c r="G2697" s="2" t="s">
        <v>688</v>
      </c>
      <c r="H2697" s="2">
        <v>10248.0</v>
      </c>
      <c r="I2697" s="2">
        <v>2.1120050021981E13</v>
      </c>
      <c r="J2697" s="3">
        <v>5.0</v>
      </c>
      <c r="K2697" s="2" t="s">
        <v>11325</v>
      </c>
      <c r="L2697" s="2" t="s">
        <v>11326</v>
      </c>
      <c r="M2697" s="2" t="s">
        <v>409</v>
      </c>
      <c r="N2697" s="2" t="s">
        <v>462</v>
      </c>
      <c r="O2697" s="3">
        <v>0.5</v>
      </c>
      <c r="P2697" s="2" t="s">
        <v>73</v>
      </c>
      <c r="Q2697" s="3">
        <v>4400.0</v>
      </c>
      <c r="T2697" s="2" t="s">
        <v>10233</v>
      </c>
      <c r="U2697" s="171">
        <v>10248.0</v>
      </c>
      <c r="W2697" s="3">
        <v>723.0</v>
      </c>
      <c r="X2697" s="172">
        <v>46074.74932956019</v>
      </c>
      <c r="Y2697" s="172"/>
      <c r="Z2697" s="3">
        <v>46072.0</v>
      </c>
      <c r="AA2697" s="3"/>
    </row>
    <row r="2698">
      <c r="A2698" s="3">
        <v>6.918033146115E12</v>
      </c>
      <c r="B2698" s="2" t="s">
        <v>11327</v>
      </c>
      <c r="C2698" s="2" t="s">
        <v>11328</v>
      </c>
      <c r="D2698" s="169">
        <v>46072.0</v>
      </c>
      <c r="E2698" s="2">
        <v>3.00495132E9</v>
      </c>
      <c r="F2698" s="2" t="s">
        <v>11329</v>
      </c>
      <c r="G2698" s="2" t="s">
        <v>11330</v>
      </c>
      <c r="H2698" s="2">
        <v>5199.0</v>
      </c>
      <c r="I2698" s="2">
        <v>2.112005002199E13</v>
      </c>
      <c r="J2698" s="3">
        <v>3.0</v>
      </c>
      <c r="K2698" s="2" t="s">
        <v>11331</v>
      </c>
      <c r="L2698" s="2" t="s">
        <v>11332</v>
      </c>
      <c r="M2698" s="2" t="s">
        <v>409</v>
      </c>
      <c r="N2698" s="2" t="s">
        <v>462</v>
      </c>
      <c r="O2698" s="3">
        <v>0.5</v>
      </c>
      <c r="P2698" s="2" t="s">
        <v>73</v>
      </c>
      <c r="Q2698" s="3">
        <v>1650.0</v>
      </c>
      <c r="T2698" s="2" t="s">
        <v>10233</v>
      </c>
      <c r="U2698" s="171">
        <v>5199.0</v>
      </c>
      <c r="W2698" s="3">
        <v>428.0</v>
      </c>
      <c r="X2698" s="172">
        <v>46074.52092548611</v>
      </c>
      <c r="Y2698" s="172"/>
      <c r="Z2698" s="3">
        <v>46072.0</v>
      </c>
      <c r="AA2698" s="3"/>
    </row>
    <row r="2699">
      <c r="A2699" s="3">
        <v>6.918055461123E12</v>
      </c>
      <c r="B2699" s="2" t="s">
        <v>11333</v>
      </c>
      <c r="C2699" s="2" t="s">
        <v>10887</v>
      </c>
      <c r="D2699" s="169">
        <v>46072.0</v>
      </c>
      <c r="E2699" s="173" t="s">
        <v>11334</v>
      </c>
      <c r="F2699" s="2" t="s">
        <v>10888</v>
      </c>
      <c r="G2699" s="2" t="s">
        <v>366</v>
      </c>
      <c r="H2699" s="2">
        <v>11148.0</v>
      </c>
      <c r="I2699" s="2">
        <v>2.212005002198E13</v>
      </c>
      <c r="J2699" s="3">
        <v>6.0</v>
      </c>
      <c r="K2699" s="2" t="s">
        <v>11335</v>
      </c>
      <c r="L2699" s="2" t="s">
        <v>11336</v>
      </c>
      <c r="M2699" s="2" t="s">
        <v>409</v>
      </c>
      <c r="N2699" s="2" t="s">
        <v>462</v>
      </c>
      <c r="O2699" s="3">
        <v>0.5</v>
      </c>
      <c r="P2699" s="2" t="s">
        <v>73</v>
      </c>
      <c r="Q2699" s="3">
        <v>4535.0</v>
      </c>
      <c r="T2699" s="2" t="s">
        <v>10233</v>
      </c>
      <c r="U2699" s="171">
        <v>11148.0</v>
      </c>
      <c r="W2699" s="3">
        <v>759.0</v>
      </c>
      <c r="X2699" s="172">
        <v>46074.62434263889</v>
      </c>
      <c r="Y2699" s="172"/>
      <c r="Z2699" s="3">
        <v>46072.0</v>
      </c>
      <c r="AA2699" s="3"/>
    </row>
    <row r="2700">
      <c r="A2700" s="3">
        <v>6.918301122819E12</v>
      </c>
      <c r="B2700" s="2" t="s">
        <v>11337</v>
      </c>
      <c r="C2700" s="2" t="s">
        <v>11338</v>
      </c>
      <c r="D2700" s="169">
        <v>46072.0</v>
      </c>
      <c r="E2700" s="2">
        <v>3.066845104E9</v>
      </c>
      <c r="F2700" s="2" t="s">
        <v>11339</v>
      </c>
      <c r="G2700" s="2" t="s">
        <v>11340</v>
      </c>
      <c r="H2700" s="2">
        <v>3099.0</v>
      </c>
      <c r="I2700" s="2" t="s">
        <v>11341</v>
      </c>
      <c r="J2700" s="3">
        <v>2.0</v>
      </c>
      <c r="K2700" s="2" t="s">
        <v>11342</v>
      </c>
      <c r="L2700" s="2" t="s">
        <v>1116</v>
      </c>
      <c r="M2700" s="2" t="s">
        <v>409</v>
      </c>
      <c r="N2700" s="2" t="s">
        <v>462</v>
      </c>
      <c r="O2700" s="3">
        <v>0.5</v>
      </c>
      <c r="P2700" s="2" t="s">
        <v>640</v>
      </c>
      <c r="Q2700" s="3">
        <v>800.0</v>
      </c>
      <c r="T2700" s="2"/>
      <c r="U2700" s="171">
        <v>3099.0</v>
      </c>
      <c r="W2700" s="3">
        <v>302.6296</v>
      </c>
      <c r="X2700" s="172">
        <v>46075.66723521991</v>
      </c>
      <c r="Y2700" s="172"/>
      <c r="Z2700" s="3">
        <v>46072.0</v>
      </c>
      <c r="AA2700" s="3"/>
    </row>
    <row r="2701">
      <c r="A2701" s="3">
        <v>6.918417973507E12</v>
      </c>
      <c r="B2701" s="2" t="s">
        <v>11343</v>
      </c>
      <c r="C2701" s="2" t="s">
        <v>11344</v>
      </c>
      <c r="D2701" s="169">
        <v>46072.0</v>
      </c>
      <c r="E2701" s="173" t="s">
        <v>11345</v>
      </c>
      <c r="F2701" s="2" t="s">
        <v>11346</v>
      </c>
      <c r="G2701" s="2" t="s">
        <v>688</v>
      </c>
      <c r="H2701" s="2">
        <v>0.0</v>
      </c>
      <c r="J2701" s="3">
        <v>0.0</v>
      </c>
      <c r="K2701" s="2" t="s">
        <v>11347</v>
      </c>
      <c r="L2701" s="2"/>
      <c r="M2701" s="2" t="s">
        <v>468</v>
      </c>
      <c r="N2701" s="2" t="s">
        <v>406</v>
      </c>
      <c r="O2701" s="3">
        <v>0.5</v>
      </c>
      <c r="Q2701" s="3">
        <v>0.0</v>
      </c>
      <c r="U2701" s="141"/>
      <c r="X2701" s="172">
        <v>46072.984271168985</v>
      </c>
      <c r="Y2701" s="172"/>
      <c r="Z2701" s="3">
        <v>46072.0</v>
      </c>
      <c r="AA2701" s="3"/>
    </row>
    <row r="2702">
      <c r="A2702" s="3">
        <v>6.918441697539E12</v>
      </c>
      <c r="B2702" s="2" t="s">
        <v>11348</v>
      </c>
      <c r="C2702" s="2" t="s">
        <v>11349</v>
      </c>
      <c r="D2702" s="169">
        <v>46072.0</v>
      </c>
      <c r="E2702" s="2">
        <v>3.39643555E9</v>
      </c>
      <c r="F2702" s="2" t="s">
        <v>11350</v>
      </c>
      <c r="G2702" s="2" t="s">
        <v>368</v>
      </c>
      <c r="H2702" s="2">
        <v>3348.0</v>
      </c>
      <c r="I2702" s="2">
        <v>2.2120050021963E13</v>
      </c>
      <c r="J2702" s="3">
        <v>2.0</v>
      </c>
      <c r="K2702" s="2" t="s">
        <v>11203</v>
      </c>
      <c r="L2702" s="2" t="s">
        <v>228</v>
      </c>
      <c r="M2702" s="2" t="s">
        <v>409</v>
      </c>
      <c r="N2702" s="2" t="s">
        <v>462</v>
      </c>
      <c r="O2702" s="3">
        <v>0.5</v>
      </c>
      <c r="P2702" s="2" t="s">
        <v>73</v>
      </c>
      <c r="Q2702" s="3">
        <v>920.0</v>
      </c>
      <c r="T2702" s="2" t="s">
        <v>10233</v>
      </c>
      <c r="U2702" s="171">
        <v>3348.0</v>
      </c>
      <c r="W2702" s="3">
        <v>241.0</v>
      </c>
      <c r="X2702" s="172">
        <v>46073.54099516204</v>
      </c>
      <c r="Y2702" s="172"/>
      <c r="Z2702" s="3">
        <v>46072.0</v>
      </c>
      <c r="AA2702" s="3"/>
    </row>
    <row r="2703">
      <c r="A2703" s="3">
        <v>6.918471876867E12</v>
      </c>
      <c r="B2703" s="2" t="s">
        <v>11351</v>
      </c>
      <c r="C2703" s="2" t="s">
        <v>11352</v>
      </c>
      <c r="D2703" s="169">
        <v>46072.0</v>
      </c>
      <c r="E2703" s="2">
        <v>3.339548104E9</v>
      </c>
      <c r="F2703" s="2" t="s">
        <v>11353</v>
      </c>
      <c r="G2703" s="2" t="s">
        <v>506</v>
      </c>
      <c r="H2703" s="2">
        <v>3348.0</v>
      </c>
      <c r="I2703" s="2">
        <v>2.2120050021979E13</v>
      </c>
      <c r="J2703" s="3">
        <v>2.0</v>
      </c>
      <c r="K2703" s="2" t="s">
        <v>11136</v>
      </c>
      <c r="L2703" s="2" t="s">
        <v>2219</v>
      </c>
      <c r="M2703" s="2" t="s">
        <v>409</v>
      </c>
      <c r="N2703" s="2" t="s">
        <v>462</v>
      </c>
      <c r="O2703" s="3">
        <v>0.5</v>
      </c>
      <c r="P2703" s="2" t="s">
        <v>73</v>
      </c>
      <c r="Q2703" s="3">
        <v>960.0</v>
      </c>
      <c r="T2703" s="2" t="s">
        <v>10233</v>
      </c>
      <c r="U2703" s="171">
        <v>3348.0</v>
      </c>
      <c r="W2703" s="3">
        <v>334.0</v>
      </c>
      <c r="X2703" s="172">
        <v>46074.624342696756</v>
      </c>
      <c r="Y2703" s="172"/>
      <c r="Z2703" s="3">
        <v>46072.0</v>
      </c>
      <c r="AA2703" s="3"/>
    </row>
    <row r="2704">
      <c r="A2704" s="3">
        <v>6.918505431299E12</v>
      </c>
      <c r="B2704" s="2" t="s">
        <v>11354</v>
      </c>
      <c r="C2704" s="2" t="s">
        <v>11355</v>
      </c>
      <c r="D2704" s="169">
        <v>46072.0</v>
      </c>
      <c r="E2704" s="2">
        <v>3.048069119E9</v>
      </c>
      <c r="F2704" s="2" t="s">
        <v>11356</v>
      </c>
      <c r="G2704" s="2" t="s">
        <v>11357</v>
      </c>
      <c r="H2704" s="2">
        <v>2849.0</v>
      </c>
      <c r="I2704" s="2">
        <v>2.4120050021978E13</v>
      </c>
      <c r="J2704" s="3">
        <v>2.0</v>
      </c>
      <c r="K2704" s="2" t="s">
        <v>11358</v>
      </c>
      <c r="L2704" s="2" t="s">
        <v>4209</v>
      </c>
      <c r="M2704" s="2" t="s">
        <v>409</v>
      </c>
      <c r="N2704" s="2" t="s">
        <v>462</v>
      </c>
      <c r="O2704" s="3">
        <v>0.5</v>
      </c>
      <c r="P2704" s="2" t="s">
        <v>73</v>
      </c>
      <c r="Q2704" s="3">
        <v>720.0</v>
      </c>
      <c r="T2704" s="2" t="s">
        <v>11287</v>
      </c>
      <c r="U2704" s="171">
        <v>2849.0</v>
      </c>
      <c r="V2704" s="172">
        <v>46084.0</v>
      </c>
      <c r="W2704" s="3">
        <v>314.0</v>
      </c>
      <c r="X2704" s="172">
        <v>46080.624358402776</v>
      </c>
      <c r="Y2704" s="172"/>
      <c r="Z2704" s="3">
        <v>46072.0</v>
      </c>
      <c r="AA2704" s="3"/>
    </row>
    <row r="2705">
      <c r="A2705" s="3">
        <v>6.918510870787E12</v>
      </c>
      <c r="B2705" s="2" t="s">
        <v>11359</v>
      </c>
      <c r="C2705" s="2" t="s">
        <v>11360</v>
      </c>
      <c r="D2705" s="169">
        <v>46072.0</v>
      </c>
      <c r="E2705" s="2">
        <v>3.202233837E9</v>
      </c>
      <c r="F2705" s="2" t="s">
        <v>11361</v>
      </c>
      <c r="G2705" s="2" t="s">
        <v>493</v>
      </c>
      <c r="H2705" s="2">
        <v>8796.0</v>
      </c>
      <c r="I2705" s="2">
        <v>2.7120050021977E13</v>
      </c>
      <c r="J2705" s="3">
        <v>5.0</v>
      </c>
      <c r="K2705" s="2" t="s">
        <v>11362</v>
      </c>
      <c r="L2705" s="2" t="s">
        <v>11363</v>
      </c>
      <c r="M2705" s="2" t="s">
        <v>409</v>
      </c>
      <c r="N2705" s="2" t="s">
        <v>462</v>
      </c>
      <c r="O2705" s="3">
        <v>0.5</v>
      </c>
      <c r="P2705" s="2" t="s">
        <v>73</v>
      </c>
      <c r="Q2705" s="3">
        <v>2720.0</v>
      </c>
      <c r="T2705" s="2" t="s">
        <v>10233</v>
      </c>
      <c r="U2705" s="171">
        <v>8796.0</v>
      </c>
      <c r="W2705" s="3">
        <v>672.0</v>
      </c>
      <c r="X2705" s="172">
        <v>46075.70765769676</v>
      </c>
      <c r="Y2705" s="172"/>
      <c r="Z2705" s="3">
        <v>46072.0</v>
      </c>
      <c r="AA2705" s="3"/>
    </row>
    <row r="2706">
      <c r="A2706" s="3">
        <v>6.918517227779E12</v>
      </c>
      <c r="B2706" s="2" t="s">
        <v>11364</v>
      </c>
      <c r="C2706" s="2" t="s">
        <v>11365</v>
      </c>
      <c r="D2706" s="169">
        <v>46072.0</v>
      </c>
      <c r="E2706" s="2">
        <v>3.125156047E9</v>
      </c>
      <c r="F2706" s="2" t="s">
        <v>11366</v>
      </c>
      <c r="G2706" s="2" t="s">
        <v>366</v>
      </c>
      <c r="H2706" s="2">
        <v>3348.0</v>
      </c>
      <c r="I2706" s="2">
        <v>2.0120050021973E13</v>
      </c>
      <c r="J2706" s="3">
        <v>2.0</v>
      </c>
      <c r="K2706" s="2" t="s">
        <v>11203</v>
      </c>
      <c r="L2706" s="2" t="s">
        <v>27</v>
      </c>
      <c r="M2706" s="2" t="s">
        <v>409</v>
      </c>
      <c r="N2706" s="2" t="s">
        <v>462</v>
      </c>
      <c r="O2706" s="3">
        <v>0.5</v>
      </c>
      <c r="P2706" s="2" t="s">
        <v>73</v>
      </c>
      <c r="Q2706" s="3">
        <v>720.0</v>
      </c>
      <c r="T2706" s="2" t="s">
        <v>10233</v>
      </c>
      <c r="U2706" s="171">
        <v>3348.0</v>
      </c>
      <c r="W2706" s="3">
        <v>334.0</v>
      </c>
      <c r="X2706" s="172">
        <v>46074.83271229167</v>
      </c>
      <c r="Y2706" s="172"/>
      <c r="Z2706" s="3">
        <v>46072.0</v>
      </c>
      <c r="AA2706" s="3"/>
    </row>
    <row r="2707">
      <c r="A2707" s="3">
        <v>6.918529679619E12</v>
      </c>
      <c r="B2707" s="2" t="s">
        <v>11367</v>
      </c>
      <c r="C2707" s="2" t="s">
        <v>11368</v>
      </c>
      <c r="D2707" s="169">
        <v>46072.0</v>
      </c>
      <c r="E2707" s="2">
        <v>3.016607052E9</v>
      </c>
      <c r="F2707" s="2" t="s">
        <v>11369</v>
      </c>
      <c r="G2707" s="2" t="s">
        <v>11370</v>
      </c>
      <c r="H2707" s="2">
        <v>249.0</v>
      </c>
      <c r="I2707" s="2">
        <v>2.6120050021976E13</v>
      </c>
      <c r="J2707" s="3">
        <v>0.0</v>
      </c>
      <c r="K2707" s="2" t="s">
        <v>11371</v>
      </c>
      <c r="L2707" s="2"/>
      <c r="M2707" s="170" t="s">
        <v>455</v>
      </c>
      <c r="N2707" s="2" t="s">
        <v>406</v>
      </c>
      <c r="O2707" s="3">
        <v>0.5</v>
      </c>
      <c r="P2707" s="2" t="s">
        <v>73</v>
      </c>
      <c r="Q2707" s="3">
        <v>0.0</v>
      </c>
      <c r="U2707" s="141"/>
      <c r="W2707" s="3">
        <v>200.0</v>
      </c>
      <c r="X2707" s="172">
        <v>46078.91600239583</v>
      </c>
      <c r="Y2707" s="172"/>
      <c r="Z2707" s="3">
        <v>46072.0</v>
      </c>
      <c r="AA2707" s="3"/>
    </row>
    <row r="2708">
      <c r="A2708" s="3">
        <v>6.918540198147E12</v>
      </c>
      <c r="B2708" s="2" t="s">
        <v>11372</v>
      </c>
      <c r="C2708" s="2" t="s">
        <v>11373</v>
      </c>
      <c r="D2708" s="169">
        <v>46072.0</v>
      </c>
      <c r="E2708" s="173" t="s">
        <v>11374</v>
      </c>
      <c r="F2708" s="2" t="s">
        <v>11375</v>
      </c>
      <c r="G2708" s="2" t="s">
        <v>817</v>
      </c>
      <c r="H2708" s="2">
        <v>3099.0</v>
      </c>
      <c r="I2708" s="2">
        <v>2.6120050021975E13</v>
      </c>
      <c r="J2708" s="3">
        <v>2.0</v>
      </c>
      <c r="K2708" s="2" t="s">
        <v>11376</v>
      </c>
      <c r="L2708" s="2" t="s">
        <v>9448</v>
      </c>
      <c r="M2708" s="2" t="s">
        <v>409</v>
      </c>
      <c r="N2708" s="2" t="s">
        <v>462</v>
      </c>
      <c r="O2708" s="3">
        <v>0.5</v>
      </c>
      <c r="P2708" s="2" t="s">
        <v>73</v>
      </c>
      <c r="Q2708" s="3">
        <v>940.0</v>
      </c>
      <c r="T2708" s="2" t="s">
        <v>10233</v>
      </c>
      <c r="U2708" s="171">
        <v>3099.0</v>
      </c>
      <c r="W2708" s="3">
        <v>337.0</v>
      </c>
      <c r="X2708" s="172">
        <v>46076.77095255787</v>
      </c>
      <c r="Y2708" s="172"/>
      <c r="Z2708" s="3">
        <v>46072.0</v>
      </c>
      <c r="AA2708" s="3"/>
    </row>
    <row r="2709">
      <c r="A2709" s="3">
        <v>6.918581846275E12</v>
      </c>
      <c r="B2709" s="2" t="s">
        <v>11377</v>
      </c>
      <c r="C2709" s="2" t="s">
        <v>11378</v>
      </c>
      <c r="D2709" s="169">
        <v>46072.0</v>
      </c>
      <c r="E2709" s="2">
        <v>3.027510047E9</v>
      </c>
      <c r="F2709" s="2" t="s">
        <v>11379</v>
      </c>
      <c r="G2709" s="2" t="s">
        <v>5313</v>
      </c>
      <c r="H2709" s="2">
        <v>3348.0</v>
      </c>
      <c r="I2709" s="2">
        <v>2.9120050022006E13</v>
      </c>
      <c r="J2709" s="3">
        <v>2.0</v>
      </c>
      <c r="K2709" s="2" t="s">
        <v>11203</v>
      </c>
      <c r="L2709" s="2" t="s">
        <v>22</v>
      </c>
      <c r="M2709" s="2" t="s">
        <v>409</v>
      </c>
      <c r="N2709" s="2" t="s">
        <v>462</v>
      </c>
      <c r="O2709" s="3">
        <v>0.5</v>
      </c>
      <c r="P2709" s="2" t="s">
        <v>73</v>
      </c>
      <c r="Q2709" s="3">
        <v>800.0</v>
      </c>
      <c r="T2709" s="2" t="s">
        <v>10233</v>
      </c>
      <c r="U2709" s="171">
        <v>3348.0</v>
      </c>
      <c r="W2709" s="3">
        <v>334.0</v>
      </c>
      <c r="X2709" s="172">
        <v>46076.70770886574</v>
      </c>
      <c r="Y2709" s="172"/>
      <c r="Z2709" s="3">
        <v>46072.0</v>
      </c>
      <c r="AA2709" s="3"/>
    </row>
    <row r="2710">
      <c r="A2710" s="3">
        <v>6.918630342915E12</v>
      </c>
      <c r="B2710" s="2" t="s">
        <v>11380</v>
      </c>
      <c r="C2710" s="2" t="s">
        <v>10464</v>
      </c>
      <c r="D2710" s="169">
        <v>46072.0</v>
      </c>
      <c r="E2710" s="173" t="s">
        <v>10465</v>
      </c>
      <c r="F2710" s="2" t="s">
        <v>10466</v>
      </c>
      <c r="G2710" s="2" t="s">
        <v>10467</v>
      </c>
      <c r="H2710" s="2">
        <v>3150.0</v>
      </c>
      <c r="I2710" s="2">
        <v>2.1120050021993E13</v>
      </c>
      <c r="J2710" s="3">
        <v>2.0</v>
      </c>
      <c r="K2710" s="2" t="s">
        <v>11381</v>
      </c>
      <c r="L2710" s="2" t="s">
        <v>11382</v>
      </c>
      <c r="M2710" s="2" t="s">
        <v>409</v>
      </c>
      <c r="N2710" s="2" t="s">
        <v>462</v>
      </c>
      <c r="O2710" s="3">
        <v>0.5</v>
      </c>
      <c r="P2710" s="2" t="s">
        <v>73</v>
      </c>
      <c r="Q2710" s="3">
        <v>1100.0</v>
      </c>
      <c r="T2710" s="2" t="s">
        <v>10905</v>
      </c>
      <c r="U2710" s="171">
        <v>3150.0</v>
      </c>
      <c r="V2710" s="172">
        <v>46080.0</v>
      </c>
      <c r="W2710" s="3">
        <v>237.0</v>
      </c>
      <c r="X2710" s="172">
        <v>46077.66604581018</v>
      </c>
      <c r="Y2710" s="172"/>
      <c r="Z2710" s="3">
        <v>46072.0</v>
      </c>
      <c r="AA2710" s="3"/>
    </row>
    <row r="2711">
      <c r="A2711" s="3">
        <v>6.918650233091E12</v>
      </c>
      <c r="B2711" s="2" t="s">
        <v>11383</v>
      </c>
      <c r="C2711" s="2" t="s">
        <v>11384</v>
      </c>
      <c r="D2711" s="169">
        <v>46072.0</v>
      </c>
      <c r="E2711" s="2">
        <v>3.13060698E9</v>
      </c>
      <c r="F2711" s="2" t="s">
        <v>11385</v>
      </c>
      <c r="G2711" s="2" t="s">
        <v>368</v>
      </c>
      <c r="H2711" s="2">
        <v>3348.0</v>
      </c>
      <c r="I2711" s="2">
        <v>2.7120050022021E13</v>
      </c>
      <c r="J2711" s="3">
        <v>2.0</v>
      </c>
      <c r="K2711" s="2" t="s">
        <v>11136</v>
      </c>
      <c r="L2711" s="2" t="s">
        <v>40</v>
      </c>
      <c r="M2711" s="2" t="s">
        <v>409</v>
      </c>
      <c r="N2711" s="2" t="s">
        <v>462</v>
      </c>
      <c r="O2711" s="3">
        <v>0.5</v>
      </c>
      <c r="P2711" s="2" t="s">
        <v>73</v>
      </c>
      <c r="Q2711" s="3">
        <v>920.0</v>
      </c>
      <c r="T2711" s="2" t="s">
        <v>10233</v>
      </c>
      <c r="U2711" s="171">
        <v>3348.0</v>
      </c>
      <c r="W2711" s="3">
        <v>241.0</v>
      </c>
      <c r="X2711" s="172">
        <v>46076.74934181713</v>
      </c>
      <c r="Y2711" s="172"/>
      <c r="Z2711" s="3">
        <v>46072.0</v>
      </c>
      <c r="AA2711" s="3"/>
    </row>
    <row r="2712">
      <c r="A2712" s="3">
        <v>6.918710624515E12</v>
      </c>
      <c r="B2712" s="2" t="s">
        <v>11386</v>
      </c>
      <c r="C2712" s="2" t="s">
        <v>11387</v>
      </c>
      <c r="D2712" s="169">
        <v>46072.0</v>
      </c>
      <c r="E2712" s="2">
        <v>3.451657591E9</v>
      </c>
      <c r="F2712" s="2" t="s">
        <v>11388</v>
      </c>
      <c r="G2712" s="2" t="s">
        <v>993</v>
      </c>
      <c r="H2712" s="2">
        <v>249.0</v>
      </c>
      <c r="I2712" s="2">
        <v>2.0120050022011E13</v>
      </c>
      <c r="J2712" s="3">
        <v>0.0</v>
      </c>
      <c r="K2712" s="2" t="s">
        <v>11389</v>
      </c>
      <c r="L2712" s="2"/>
      <c r="M2712" s="170" t="s">
        <v>455</v>
      </c>
      <c r="N2712" s="2" t="s">
        <v>406</v>
      </c>
      <c r="O2712" s="3">
        <v>0.5</v>
      </c>
      <c r="P2712" s="2" t="s">
        <v>73</v>
      </c>
      <c r="Q2712" s="3">
        <v>0.0</v>
      </c>
      <c r="U2712" s="141"/>
      <c r="W2712" s="3">
        <v>220.0</v>
      </c>
      <c r="X2712" s="172">
        <v>46083.83286776621</v>
      </c>
      <c r="Y2712" s="172"/>
      <c r="Z2712" s="3">
        <v>46072.0</v>
      </c>
      <c r="AA2712" s="3"/>
    </row>
    <row r="2713">
      <c r="A2713" s="3">
        <v>6.918712295683E12</v>
      </c>
      <c r="B2713" s="2" t="s">
        <v>11390</v>
      </c>
      <c r="C2713" s="2" t="s">
        <v>11387</v>
      </c>
      <c r="D2713" s="169">
        <v>46072.0</v>
      </c>
      <c r="E2713" s="2">
        <v>3.451657591E9</v>
      </c>
      <c r="F2713" s="2" t="s">
        <v>11391</v>
      </c>
      <c r="G2713" s="2" t="s">
        <v>11392</v>
      </c>
      <c r="H2713" s="2">
        <v>0.0</v>
      </c>
      <c r="J2713" s="3">
        <v>0.0</v>
      </c>
      <c r="K2713" s="2" t="s">
        <v>11393</v>
      </c>
      <c r="L2713" s="2"/>
      <c r="M2713" s="2" t="s">
        <v>468</v>
      </c>
      <c r="N2713" s="2" t="s">
        <v>406</v>
      </c>
      <c r="O2713" s="3">
        <v>0.5</v>
      </c>
      <c r="Q2713" s="3">
        <v>0.0</v>
      </c>
      <c r="U2713" s="141"/>
      <c r="X2713" s="172">
        <v>46072.984271168985</v>
      </c>
      <c r="Y2713" s="172"/>
      <c r="Z2713" s="3">
        <v>46072.0</v>
      </c>
      <c r="AA2713" s="3"/>
    </row>
    <row r="2714">
      <c r="A2714" s="3">
        <v>6.918722584835E12</v>
      </c>
      <c r="B2714" s="2" t="s">
        <v>11394</v>
      </c>
      <c r="C2714" s="2" t="s">
        <v>11395</v>
      </c>
      <c r="D2714" s="169">
        <v>46072.0</v>
      </c>
      <c r="E2714" s="2">
        <v>3.008444452E9</v>
      </c>
      <c r="F2714" s="2" t="s">
        <v>11396</v>
      </c>
      <c r="G2714" s="2" t="s">
        <v>368</v>
      </c>
      <c r="H2714" s="2">
        <v>1899.0</v>
      </c>
      <c r="I2714" s="2">
        <v>2.9120050022005E13</v>
      </c>
      <c r="J2714" s="3">
        <v>1.0</v>
      </c>
      <c r="K2714" s="2" t="s">
        <v>11116</v>
      </c>
      <c r="L2714" s="2" t="s">
        <v>11397</v>
      </c>
      <c r="M2714" s="2" t="s">
        <v>409</v>
      </c>
      <c r="N2714" s="2" t="s">
        <v>462</v>
      </c>
      <c r="O2714" s="3">
        <v>0.5</v>
      </c>
      <c r="P2714" s="2" t="s">
        <v>73</v>
      </c>
      <c r="Q2714" s="3">
        <v>550.0</v>
      </c>
      <c r="T2714" s="2" t="s">
        <v>10233</v>
      </c>
      <c r="U2714" s="171">
        <v>1899.0</v>
      </c>
      <c r="W2714" s="3">
        <v>183.0</v>
      </c>
      <c r="X2714" s="172">
        <v>46074.66599987268</v>
      </c>
      <c r="Y2714" s="172"/>
      <c r="Z2714" s="3">
        <v>46072.0</v>
      </c>
      <c r="AA2714" s="3"/>
    </row>
    <row r="2715">
      <c r="A2715" s="3">
        <v>6.918746079491E12</v>
      </c>
      <c r="B2715" s="2" t="s">
        <v>11398</v>
      </c>
      <c r="C2715" s="2" t="s">
        <v>11399</v>
      </c>
      <c r="D2715" s="169">
        <v>46072.0</v>
      </c>
      <c r="E2715" s="173" t="s">
        <v>11400</v>
      </c>
      <c r="F2715" s="2" t="s">
        <v>11401</v>
      </c>
      <c r="G2715" s="2" t="s">
        <v>11402</v>
      </c>
      <c r="H2715" s="2">
        <v>0.0</v>
      </c>
      <c r="J2715" s="3">
        <v>0.0</v>
      </c>
      <c r="K2715" s="2" t="s">
        <v>11403</v>
      </c>
      <c r="L2715" s="2"/>
      <c r="M2715" s="2" t="s">
        <v>468</v>
      </c>
      <c r="N2715" s="2" t="s">
        <v>406</v>
      </c>
      <c r="O2715" s="3">
        <v>0.5</v>
      </c>
      <c r="Q2715" s="3">
        <v>0.0</v>
      </c>
      <c r="U2715" s="141"/>
      <c r="X2715" s="172">
        <v>46072.984271168985</v>
      </c>
      <c r="Y2715" s="172"/>
      <c r="Z2715" s="3">
        <v>46072.0</v>
      </c>
      <c r="AA2715" s="3"/>
    </row>
    <row r="2716">
      <c r="A2716" s="3">
        <v>6.918790709507E12</v>
      </c>
      <c r="B2716" s="2" t="s">
        <v>11404</v>
      </c>
      <c r="C2716" s="2" t="s">
        <v>11405</v>
      </c>
      <c r="D2716" s="169">
        <v>46072.0</v>
      </c>
      <c r="E2716" s="2">
        <v>3.274310008E9</v>
      </c>
      <c r="F2716" s="2" t="s">
        <v>11406</v>
      </c>
      <c r="G2716" s="2" t="s">
        <v>368</v>
      </c>
      <c r="H2716" s="2">
        <v>3549.0</v>
      </c>
      <c r="I2716" s="2">
        <v>2.3120050022004E13</v>
      </c>
      <c r="J2716" s="3">
        <v>2.0</v>
      </c>
      <c r="K2716" s="2" t="s">
        <v>10926</v>
      </c>
      <c r="L2716" s="2" t="s">
        <v>11407</v>
      </c>
      <c r="M2716" s="2" t="s">
        <v>409</v>
      </c>
      <c r="N2716" s="2" t="s">
        <v>462</v>
      </c>
      <c r="O2716" s="3">
        <v>0.5</v>
      </c>
      <c r="P2716" s="2" t="s">
        <v>73</v>
      </c>
      <c r="Q2716" s="3">
        <v>1100.0</v>
      </c>
      <c r="T2716" s="2" t="s">
        <v>10233</v>
      </c>
      <c r="U2716" s="171">
        <v>3549.0</v>
      </c>
      <c r="W2716" s="3">
        <v>262.0</v>
      </c>
      <c r="X2716" s="172">
        <v>46074.45766155093</v>
      </c>
      <c r="Y2716" s="172"/>
      <c r="Z2716" s="3">
        <v>46072.0</v>
      </c>
      <c r="AA2716" s="3"/>
    </row>
    <row r="2717">
      <c r="A2717" s="3">
        <v>6.918815482115E12</v>
      </c>
      <c r="B2717" s="2" t="s">
        <v>11408</v>
      </c>
      <c r="C2717" s="2" t="s">
        <v>11409</v>
      </c>
      <c r="D2717" s="169">
        <v>46072.0</v>
      </c>
      <c r="E2717" s="2">
        <v>3.218413758E9</v>
      </c>
      <c r="F2717" s="2" t="s">
        <v>11410</v>
      </c>
      <c r="G2717" s="2" t="s">
        <v>368</v>
      </c>
      <c r="H2717" s="2">
        <v>249.0</v>
      </c>
      <c r="I2717" s="2">
        <v>2.3120050022286E13</v>
      </c>
      <c r="J2717" s="3">
        <v>0.0</v>
      </c>
      <c r="K2717" s="2" t="s">
        <v>11411</v>
      </c>
      <c r="L2717" s="2"/>
      <c r="M2717" s="170" t="s">
        <v>455</v>
      </c>
      <c r="N2717" s="2" t="s">
        <v>406</v>
      </c>
      <c r="O2717" s="3">
        <v>0.5</v>
      </c>
      <c r="P2717" s="2" t="s">
        <v>73</v>
      </c>
      <c r="Q2717" s="3">
        <v>0.0</v>
      </c>
      <c r="U2717" s="141"/>
      <c r="W2717" s="3">
        <v>107.0</v>
      </c>
      <c r="X2717" s="172">
        <v>46095.77089151621</v>
      </c>
      <c r="Y2717" s="172"/>
      <c r="Z2717" s="3">
        <v>46072.0</v>
      </c>
      <c r="AA2717" s="3"/>
    </row>
    <row r="2718">
      <c r="A2718" s="3">
        <v>6.918842351875E12</v>
      </c>
      <c r="B2718" s="2" t="s">
        <v>11412</v>
      </c>
      <c r="C2718" s="2" t="s">
        <v>11413</v>
      </c>
      <c r="D2718" s="169">
        <v>46072.0</v>
      </c>
      <c r="E2718" s="2">
        <v>3.344067226E9</v>
      </c>
      <c r="F2718" s="2" t="s">
        <v>11414</v>
      </c>
      <c r="G2718" s="2" t="s">
        <v>368</v>
      </c>
      <c r="H2718" s="2">
        <v>3348.0</v>
      </c>
      <c r="I2718" s="2">
        <v>2.2120050022003E13</v>
      </c>
      <c r="J2718" s="3">
        <v>2.0</v>
      </c>
      <c r="K2718" s="2" t="s">
        <v>11136</v>
      </c>
      <c r="L2718" s="2" t="s">
        <v>228</v>
      </c>
      <c r="M2718" s="2" t="s">
        <v>409</v>
      </c>
      <c r="N2718" s="2" t="s">
        <v>462</v>
      </c>
      <c r="O2718" s="3">
        <v>0.5</v>
      </c>
      <c r="P2718" s="2" t="s">
        <v>73</v>
      </c>
      <c r="Q2718" s="3">
        <v>920.0</v>
      </c>
      <c r="T2718" s="2" t="s">
        <v>10233</v>
      </c>
      <c r="U2718" s="171">
        <v>3348.0</v>
      </c>
      <c r="W2718" s="3">
        <v>241.0</v>
      </c>
      <c r="X2718" s="172">
        <v>46074.45766158565</v>
      </c>
      <c r="Y2718" s="172"/>
      <c r="Z2718" s="3">
        <v>46072.0</v>
      </c>
      <c r="AA2718" s="3"/>
    </row>
    <row r="2719">
      <c r="A2719" s="3">
        <v>6.918846480643E12</v>
      </c>
      <c r="B2719" s="2" t="s">
        <v>11415</v>
      </c>
      <c r="C2719" s="2" t="s">
        <v>11416</v>
      </c>
      <c r="D2719" s="169">
        <v>46072.0</v>
      </c>
      <c r="E2719" s="2">
        <v>3.222586786E9</v>
      </c>
      <c r="F2719" s="2" t="s">
        <v>11417</v>
      </c>
      <c r="G2719" s="2" t="s">
        <v>493</v>
      </c>
      <c r="H2719" s="2">
        <v>2199.0</v>
      </c>
      <c r="I2719" s="2">
        <v>2.1120050022002E13</v>
      </c>
      <c r="J2719" s="3">
        <v>1.0</v>
      </c>
      <c r="K2719" s="2" t="s">
        <v>11418</v>
      </c>
      <c r="L2719" s="2" t="s">
        <v>4309</v>
      </c>
      <c r="M2719" s="2" t="s">
        <v>409</v>
      </c>
      <c r="N2719" s="2" t="s">
        <v>462</v>
      </c>
      <c r="O2719" s="3">
        <v>0.5</v>
      </c>
      <c r="P2719" s="2" t="s">
        <v>73</v>
      </c>
      <c r="Q2719" s="3">
        <v>650.0</v>
      </c>
      <c r="T2719" s="2" t="s">
        <v>10905</v>
      </c>
      <c r="U2719" s="171">
        <v>2199.0</v>
      </c>
      <c r="V2719" s="172">
        <v>46080.0</v>
      </c>
      <c r="W2719" s="3">
        <v>301.0</v>
      </c>
      <c r="X2719" s="172">
        <v>46077.77085060185</v>
      </c>
      <c r="Y2719" s="172"/>
      <c r="Z2719" s="3">
        <v>46072.0</v>
      </c>
      <c r="AA2719" s="3"/>
    </row>
    <row r="2720">
      <c r="A2720" s="3">
        <v>6.919028474115E12</v>
      </c>
      <c r="B2720" s="2" t="s">
        <v>11419</v>
      </c>
      <c r="C2720" s="2" t="s">
        <v>11420</v>
      </c>
      <c r="D2720" s="169">
        <v>46072.0</v>
      </c>
      <c r="E2720" s="2">
        <v>3.005416808E9</v>
      </c>
      <c r="F2720" s="2" t="s">
        <v>11421</v>
      </c>
      <c r="G2720" s="2" t="s">
        <v>368</v>
      </c>
      <c r="H2720" s="2">
        <v>3348.0</v>
      </c>
      <c r="I2720" s="2">
        <v>2.4120050022001E13</v>
      </c>
      <c r="J2720" s="3">
        <v>2.0</v>
      </c>
      <c r="K2720" s="2" t="s">
        <v>11136</v>
      </c>
      <c r="L2720" s="2" t="s">
        <v>275</v>
      </c>
      <c r="M2720" s="2" t="s">
        <v>409</v>
      </c>
      <c r="N2720" s="2" t="s">
        <v>462</v>
      </c>
      <c r="O2720" s="3">
        <v>0.5</v>
      </c>
      <c r="P2720" s="2" t="s">
        <v>73</v>
      </c>
      <c r="Q2720" s="3">
        <v>960.0</v>
      </c>
      <c r="T2720" s="2" t="s">
        <v>10233</v>
      </c>
      <c r="U2720" s="171">
        <v>3348.0</v>
      </c>
      <c r="W2720" s="3">
        <v>241.0</v>
      </c>
      <c r="X2720" s="172">
        <v>46074.66599988426</v>
      </c>
      <c r="Y2720" s="172"/>
      <c r="Z2720" s="3">
        <v>46072.0</v>
      </c>
      <c r="AA2720" s="3"/>
    </row>
    <row r="2721">
      <c r="A2721" s="3">
        <v>6.919113081091E12</v>
      </c>
      <c r="B2721" s="2" t="s">
        <v>11422</v>
      </c>
      <c r="C2721" s="2" t="s">
        <v>11423</v>
      </c>
      <c r="D2721" s="169">
        <v>46072.0</v>
      </c>
      <c r="E2721" s="2">
        <v>3.442122939E9</v>
      </c>
      <c r="F2721" s="2" t="s">
        <v>11424</v>
      </c>
      <c r="G2721" s="2" t="s">
        <v>493</v>
      </c>
      <c r="H2721" s="2">
        <v>3549.0</v>
      </c>
      <c r="I2721" s="2">
        <v>2.5120050022E13</v>
      </c>
      <c r="J2721" s="3">
        <v>2.0</v>
      </c>
      <c r="K2721" s="2" t="s">
        <v>11425</v>
      </c>
      <c r="L2721" s="2" t="s">
        <v>11426</v>
      </c>
      <c r="M2721" s="2" t="s">
        <v>409</v>
      </c>
      <c r="N2721" s="2" t="s">
        <v>462</v>
      </c>
      <c r="O2721" s="3">
        <v>0.5</v>
      </c>
      <c r="P2721" s="2" t="s">
        <v>73</v>
      </c>
      <c r="Q2721" s="3">
        <v>1100.0</v>
      </c>
      <c r="T2721" s="2" t="s">
        <v>10233</v>
      </c>
      <c r="U2721" s="171">
        <v>3549.0</v>
      </c>
      <c r="W2721" s="3">
        <v>369.0</v>
      </c>
      <c r="X2721" s="172">
        <v>46076.66603486111</v>
      </c>
      <c r="Y2721" s="172"/>
      <c r="Z2721" s="3">
        <v>46072.0</v>
      </c>
      <c r="AA2721" s="3"/>
    </row>
    <row r="2722">
      <c r="A2722" s="3">
        <v>6.919258505475E12</v>
      </c>
      <c r="B2722" s="2" t="s">
        <v>11427</v>
      </c>
      <c r="C2722" s="2" t="s">
        <v>11428</v>
      </c>
      <c r="D2722" s="169">
        <v>46073.0</v>
      </c>
      <c r="E2722" s="2">
        <v>3.214807121E9</v>
      </c>
      <c r="F2722" s="2" t="s">
        <v>11429</v>
      </c>
      <c r="G2722" s="2" t="s">
        <v>368</v>
      </c>
      <c r="H2722" s="2">
        <v>3348.0</v>
      </c>
      <c r="I2722" s="2">
        <v>2.6120050022032E13</v>
      </c>
      <c r="J2722" s="3">
        <v>2.0</v>
      </c>
      <c r="K2722" s="2" t="s">
        <v>11258</v>
      </c>
      <c r="L2722" s="2" t="s">
        <v>40</v>
      </c>
      <c r="M2722" s="2" t="s">
        <v>409</v>
      </c>
      <c r="N2722" s="2" t="s">
        <v>462</v>
      </c>
      <c r="O2722" s="3">
        <v>0.5</v>
      </c>
      <c r="P2722" s="2" t="s">
        <v>73</v>
      </c>
      <c r="Q2722" s="3">
        <v>920.0</v>
      </c>
      <c r="T2722" s="2" t="s">
        <v>10233</v>
      </c>
      <c r="U2722" s="171">
        <v>3348.0</v>
      </c>
      <c r="W2722" s="3">
        <v>241.0</v>
      </c>
      <c r="X2722" s="172">
        <v>46076.70770895833</v>
      </c>
      <c r="Y2722" s="172"/>
      <c r="Z2722" s="3">
        <v>46073.0</v>
      </c>
      <c r="AA2722" s="3"/>
    </row>
    <row r="2723">
      <c r="A2723" s="3">
        <v>6.919271121155E12</v>
      </c>
      <c r="B2723" s="2" t="s">
        <v>11430</v>
      </c>
      <c r="C2723" s="2" t="s">
        <v>2197</v>
      </c>
      <c r="D2723" s="169">
        <v>46073.0</v>
      </c>
      <c r="E2723" s="2">
        <v>3.214546718E9</v>
      </c>
      <c r="F2723" s="2" t="s">
        <v>11431</v>
      </c>
      <c r="G2723" s="2" t="s">
        <v>368</v>
      </c>
      <c r="H2723" s="2">
        <v>3348.0</v>
      </c>
      <c r="I2723" s="2">
        <v>2.5120050021999E13</v>
      </c>
      <c r="J2723" s="3">
        <v>2.0</v>
      </c>
      <c r="K2723" s="2" t="s">
        <v>11136</v>
      </c>
      <c r="L2723" s="2" t="s">
        <v>296</v>
      </c>
      <c r="M2723" s="2" t="s">
        <v>409</v>
      </c>
      <c r="N2723" s="2" t="s">
        <v>462</v>
      </c>
      <c r="O2723" s="3">
        <v>0.5</v>
      </c>
      <c r="P2723" s="2" t="s">
        <v>73</v>
      </c>
      <c r="Q2723" s="3">
        <v>920.0</v>
      </c>
      <c r="T2723" s="2" t="s">
        <v>10233</v>
      </c>
      <c r="U2723" s="171">
        <v>3348.0</v>
      </c>
      <c r="W2723" s="3">
        <v>241.0</v>
      </c>
      <c r="X2723" s="172">
        <v>46074.52092759259</v>
      </c>
      <c r="Y2723" s="172"/>
      <c r="Z2723" s="3">
        <v>46073.0</v>
      </c>
      <c r="AA2723" s="3"/>
    </row>
    <row r="2724">
      <c r="A2724" s="3">
        <v>6.919279575299E12</v>
      </c>
      <c r="B2724" s="2" t="s">
        <v>11432</v>
      </c>
      <c r="C2724" s="2" t="s">
        <v>11433</v>
      </c>
      <c r="D2724" s="169">
        <v>46073.0</v>
      </c>
      <c r="E2724" s="2">
        <v>3.079269676E9</v>
      </c>
      <c r="F2724" s="2" t="s">
        <v>11434</v>
      </c>
      <c r="G2724" s="2" t="s">
        <v>781</v>
      </c>
      <c r="H2724" s="2">
        <v>0.0</v>
      </c>
      <c r="J2724" s="3">
        <v>0.0</v>
      </c>
      <c r="K2724" s="2" t="s">
        <v>8645</v>
      </c>
      <c r="L2724" s="2"/>
      <c r="M2724" s="2" t="s">
        <v>468</v>
      </c>
      <c r="N2724" s="2" t="s">
        <v>406</v>
      </c>
      <c r="O2724" s="3">
        <v>0.5</v>
      </c>
      <c r="Q2724" s="3">
        <v>0.0</v>
      </c>
      <c r="U2724" s="141"/>
      <c r="X2724" s="172">
        <v>46073.06424694444</v>
      </c>
      <c r="Y2724" s="172"/>
      <c r="Z2724" s="3">
        <v>46073.0</v>
      </c>
      <c r="AA2724" s="3"/>
    </row>
    <row r="2725">
      <c r="A2725" s="3">
        <v>6.919322763523E12</v>
      </c>
      <c r="B2725" s="2"/>
      <c r="C2725" s="2" t="s">
        <v>11435</v>
      </c>
      <c r="D2725" s="169">
        <v>46073.0</v>
      </c>
      <c r="E2725" s="2">
        <v>3.212851301E9</v>
      </c>
      <c r="F2725" s="2" t="s">
        <v>11436</v>
      </c>
      <c r="G2725" s="2" t="s">
        <v>366</v>
      </c>
      <c r="H2725" s="2">
        <v>249.0</v>
      </c>
      <c r="I2725" s="2">
        <v>2.6120050021992E13</v>
      </c>
      <c r="J2725" s="3">
        <v>0.0</v>
      </c>
      <c r="K2725" s="2" t="s">
        <v>11437</v>
      </c>
      <c r="L2725" s="2"/>
      <c r="M2725" s="170" t="s">
        <v>455</v>
      </c>
      <c r="N2725" s="2" t="s">
        <v>406</v>
      </c>
      <c r="O2725" s="3"/>
      <c r="P2725" s="2" t="s">
        <v>73</v>
      </c>
      <c r="Q2725" s="3">
        <v>0.0</v>
      </c>
      <c r="R2725" s="3">
        <v>0.5</v>
      </c>
      <c r="U2725" s="141"/>
      <c r="W2725" s="3">
        <v>200.0</v>
      </c>
      <c r="X2725" s="172">
        <v>46086.770873622685</v>
      </c>
      <c r="Y2725" s="172"/>
      <c r="Z2725" s="3">
        <v>46073.0</v>
      </c>
      <c r="AA2725" s="3"/>
    </row>
    <row r="2726">
      <c r="A2726" s="3">
        <v>6.919341932803E12</v>
      </c>
      <c r="B2726" s="2"/>
      <c r="C2726" s="2" t="s">
        <v>11438</v>
      </c>
      <c r="D2726" s="169">
        <v>46073.0</v>
      </c>
      <c r="E2726" s="2">
        <v>3.212659835E9</v>
      </c>
      <c r="F2726" s="2" t="s">
        <v>11439</v>
      </c>
      <c r="G2726" s="2" t="s">
        <v>493</v>
      </c>
      <c r="H2726" s="2">
        <v>3348.0</v>
      </c>
      <c r="I2726" s="2">
        <v>2.4120050021998E13</v>
      </c>
      <c r="J2726" s="3">
        <v>2.0</v>
      </c>
      <c r="K2726" s="2" t="s">
        <v>11258</v>
      </c>
      <c r="L2726" s="2" t="s">
        <v>50</v>
      </c>
      <c r="M2726" s="2" t="s">
        <v>409</v>
      </c>
      <c r="N2726" s="2" t="s">
        <v>462</v>
      </c>
      <c r="O2726" s="3"/>
      <c r="P2726" s="2" t="s">
        <v>73</v>
      </c>
      <c r="Q2726" s="3">
        <v>720.0</v>
      </c>
      <c r="R2726" s="3">
        <v>0.5</v>
      </c>
      <c r="T2726" s="2" t="s">
        <v>10233</v>
      </c>
      <c r="U2726" s="171">
        <v>3348.0</v>
      </c>
      <c r="W2726" s="3">
        <v>347.0</v>
      </c>
      <c r="X2726" s="172">
        <v>46076.74934188658</v>
      </c>
      <c r="Y2726" s="172"/>
      <c r="Z2726" s="3">
        <v>46073.0</v>
      </c>
      <c r="AA2726" s="3"/>
    </row>
    <row r="2727">
      <c r="A2727" s="3">
        <v>6.919357137155E12</v>
      </c>
      <c r="B2727" s="2"/>
      <c r="C2727" s="2" t="s">
        <v>1876</v>
      </c>
      <c r="D2727" s="169">
        <v>46073.0</v>
      </c>
      <c r="E2727" s="2">
        <v>3.219957126E9</v>
      </c>
      <c r="F2727" s="2" t="s">
        <v>11440</v>
      </c>
      <c r="G2727" s="2" t="s">
        <v>366</v>
      </c>
      <c r="H2727" s="2">
        <v>3348.0</v>
      </c>
      <c r="I2727" s="2">
        <v>2.5120050021997E13</v>
      </c>
      <c r="J2727" s="3">
        <v>2.0</v>
      </c>
      <c r="K2727" s="2" t="s">
        <v>11203</v>
      </c>
      <c r="L2727" s="2" t="s">
        <v>275</v>
      </c>
      <c r="M2727" s="2" t="s">
        <v>409</v>
      </c>
      <c r="N2727" s="2" t="s">
        <v>462</v>
      </c>
      <c r="O2727" s="3"/>
      <c r="P2727" s="2" t="s">
        <v>73</v>
      </c>
      <c r="Q2727" s="3">
        <v>960.0</v>
      </c>
      <c r="R2727" s="3">
        <v>0.5</v>
      </c>
      <c r="T2727" s="2" t="s">
        <v>10233</v>
      </c>
      <c r="U2727" s="171">
        <v>3348.0</v>
      </c>
      <c r="W2727" s="3">
        <v>334.0</v>
      </c>
      <c r="X2727" s="172">
        <v>46076.520895775466</v>
      </c>
      <c r="Y2727" s="172"/>
      <c r="Z2727" s="3">
        <v>46073.0</v>
      </c>
      <c r="AA2727" s="3"/>
    </row>
    <row r="2728">
      <c r="A2728" s="3">
        <v>6.919378796803E12</v>
      </c>
      <c r="B2728" s="2"/>
      <c r="C2728" s="2" t="s">
        <v>11441</v>
      </c>
      <c r="D2728" s="169">
        <v>46073.0</v>
      </c>
      <c r="E2728" s="2">
        <v>3.215647E9</v>
      </c>
      <c r="F2728" s="2" t="s">
        <v>11442</v>
      </c>
      <c r="G2728" s="2" t="s">
        <v>374</v>
      </c>
      <c r="H2728" s="2">
        <v>1449.0</v>
      </c>
      <c r="I2728" s="2">
        <v>2.8120050021996E13</v>
      </c>
      <c r="J2728" s="3">
        <v>1.0</v>
      </c>
      <c r="K2728" s="2" t="s">
        <v>11320</v>
      </c>
      <c r="L2728" s="2" t="s">
        <v>741</v>
      </c>
      <c r="M2728" s="2" t="s">
        <v>409</v>
      </c>
      <c r="N2728" s="2" t="s">
        <v>462</v>
      </c>
      <c r="O2728" s="3"/>
      <c r="P2728" s="2" t="s">
        <v>73</v>
      </c>
      <c r="Q2728" s="3">
        <v>550.0</v>
      </c>
      <c r="R2728" s="3">
        <v>0.5</v>
      </c>
      <c r="T2728" s="2" t="s">
        <v>10233</v>
      </c>
      <c r="U2728" s="171">
        <v>1449.0</v>
      </c>
      <c r="W2728" s="3">
        <v>258.0</v>
      </c>
      <c r="X2728" s="172">
        <v>46074.74932996528</v>
      </c>
      <c r="Y2728" s="172"/>
      <c r="Z2728" s="3">
        <v>46073.0</v>
      </c>
      <c r="AA2728" s="3"/>
    </row>
    <row r="2729">
      <c r="A2729" s="3">
        <v>6.919528481027E12</v>
      </c>
      <c r="B2729" s="2"/>
      <c r="C2729" s="2" t="s">
        <v>11443</v>
      </c>
      <c r="D2729" s="169">
        <v>46073.0</v>
      </c>
      <c r="E2729" s="2">
        <v>3.159343295E9</v>
      </c>
      <c r="F2729" s="2" t="s">
        <v>11444</v>
      </c>
      <c r="G2729" s="2" t="s">
        <v>933</v>
      </c>
      <c r="H2729" s="2">
        <v>0.0</v>
      </c>
      <c r="J2729" s="3">
        <v>0.0</v>
      </c>
      <c r="K2729" s="2" t="s">
        <v>11445</v>
      </c>
      <c r="L2729" s="2"/>
      <c r="M2729" s="2" t="s">
        <v>468</v>
      </c>
      <c r="N2729" s="2" t="s">
        <v>406</v>
      </c>
      <c r="O2729" s="3"/>
      <c r="Q2729" s="3">
        <v>0.0</v>
      </c>
      <c r="R2729" s="3">
        <v>0.5</v>
      </c>
      <c r="U2729" s="141"/>
      <c r="X2729" s="172"/>
      <c r="Y2729" s="172"/>
      <c r="Z2729" s="3">
        <v>46073.0</v>
      </c>
      <c r="AA2729" s="3"/>
    </row>
    <row r="2730">
      <c r="A2730" s="3">
        <v>6.919613448451E12</v>
      </c>
      <c r="B2730" s="2"/>
      <c r="C2730" s="2" t="s">
        <v>11446</v>
      </c>
      <c r="D2730" s="169">
        <v>46073.0</v>
      </c>
      <c r="E2730" s="2">
        <v>3.076459837E9</v>
      </c>
      <c r="F2730" s="2" t="s">
        <v>11447</v>
      </c>
      <c r="G2730" s="2" t="s">
        <v>855</v>
      </c>
      <c r="H2730" s="2">
        <v>3348.0</v>
      </c>
      <c r="I2730" s="2">
        <v>2.9120050021995E13</v>
      </c>
      <c r="J2730" s="3">
        <v>2.0</v>
      </c>
      <c r="K2730" s="2" t="s">
        <v>11136</v>
      </c>
      <c r="L2730" s="2" t="s">
        <v>40</v>
      </c>
      <c r="M2730" s="2" t="s">
        <v>409</v>
      </c>
      <c r="N2730" s="2" t="s">
        <v>462</v>
      </c>
      <c r="O2730" s="3"/>
      <c r="P2730" s="2" t="s">
        <v>73</v>
      </c>
      <c r="Q2730" s="3">
        <v>920.0</v>
      </c>
      <c r="R2730" s="3">
        <v>0.5</v>
      </c>
      <c r="T2730" s="2" t="s">
        <v>10233</v>
      </c>
      <c r="U2730" s="171">
        <v>3348.0</v>
      </c>
      <c r="W2730" s="3">
        <v>334.0</v>
      </c>
      <c r="X2730" s="172">
        <v>46076.582826087964</v>
      </c>
      <c r="Y2730" s="172"/>
      <c r="Z2730" s="3">
        <v>46073.0</v>
      </c>
      <c r="AA2730" s="3"/>
    </row>
    <row r="2731">
      <c r="A2731" s="3">
        <v>6.919696515331E12</v>
      </c>
      <c r="B2731" s="2"/>
      <c r="C2731" s="2" t="s">
        <v>11448</v>
      </c>
      <c r="D2731" s="169">
        <v>46073.0</v>
      </c>
      <c r="E2731" s="2">
        <v>3.177529191E9</v>
      </c>
      <c r="F2731" s="2" t="s">
        <v>11449</v>
      </c>
      <c r="G2731" s="2" t="s">
        <v>1630</v>
      </c>
      <c r="H2731" s="2">
        <v>249.0</v>
      </c>
      <c r="I2731" s="2">
        <v>2.5120050022031E13</v>
      </c>
      <c r="J2731" s="3">
        <v>0.0</v>
      </c>
      <c r="K2731" s="2" t="s">
        <v>11450</v>
      </c>
      <c r="L2731" s="2"/>
      <c r="M2731" s="170" t="s">
        <v>455</v>
      </c>
      <c r="N2731" s="2" t="s">
        <v>406</v>
      </c>
      <c r="O2731" s="3"/>
      <c r="P2731" s="2" t="s">
        <v>73</v>
      </c>
      <c r="Q2731" s="3">
        <v>0.0</v>
      </c>
      <c r="R2731" s="3">
        <v>0.5</v>
      </c>
      <c r="U2731" s="141"/>
      <c r="W2731" s="3">
        <v>200.0</v>
      </c>
      <c r="X2731" s="172">
        <v>46084.832652638885</v>
      </c>
      <c r="Y2731" s="172"/>
      <c r="Z2731" s="3">
        <v>46073.0</v>
      </c>
      <c r="AA2731" s="3"/>
    </row>
    <row r="2732">
      <c r="A2732" s="3">
        <v>6.919815233795E12</v>
      </c>
      <c r="B2732" s="2"/>
      <c r="C2732" s="2" t="s">
        <v>11451</v>
      </c>
      <c r="D2732" s="169">
        <v>46073.0</v>
      </c>
      <c r="E2732" s="2">
        <v>3.17606316E9</v>
      </c>
      <c r="F2732" s="2" t="s">
        <v>11452</v>
      </c>
      <c r="G2732" s="2" t="s">
        <v>546</v>
      </c>
      <c r="H2732" s="2">
        <v>249.0</v>
      </c>
      <c r="I2732" s="2">
        <v>2.6120050021991E13</v>
      </c>
      <c r="J2732" s="3">
        <v>0.0</v>
      </c>
      <c r="K2732" s="2" t="s">
        <v>11453</v>
      </c>
      <c r="L2732" s="2"/>
      <c r="M2732" s="2" t="s">
        <v>409</v>
      </c>
      <c r="N2732" s="2" t="s">
        <v>406</v>
      </c>
      <c r="O2732" s="3"/>
      <c r="P2732" s="2" t="s">
        <v>73</v>
      </c>
      <c r="Q2732" s="3">
        <v>0.0</v>
      </c>
      <c r="R2732" s="3">
        <v>0.5</v>
      </c>
      <c r="T2732" s="2" t="s">
        <v>10233</v>
      </c>
      <c r="U2732" s="171">
        <v>249.0</v>
      </c>
      <c r="W2732" s="3">
        <v>286.0</v>
      </c>
      <c r="X2732" s="172">
        <v>46074.665999942124</v>
      </c>
      <c r="Y2732" s="172"/>
      <c r="Z2732" s="3">
        <v>46073.0</v>
      </c>
      <c r="AA2732" s="3"/>
    </row>
    <row r="2733">
      <c r="A2733" s="3">
        <v>6.919832600835E12</v>
      </c>
      <c r="B2733" s="2"/>
      <c r="C2733" s="2" t="s">
        <v>11454</v>
      </c>
      <c r="D2733" s="169">
        <v>46073.0</v>
      </c>
      <c r="E2733" s="2">
        <v>3.009794622E9</v>
      </c>
      <c r="F2733" s="2" t="s">
        <v>11455</v>
      </c>
      <c r="G2733" s="2" t="s">
        <v>781</v>
      </c>
      <c r="H2733" s="2">
        <v>249.0</v>
      </c>
      <c r="I2733" s="2">
        <v>2.312005002202E13</v>
      </c>
      <c r="J2733" s="3">
        <v>0.0</v>
      </c>
      <c r="K2733" s="2" t="s">
        <v>11456</v>
      </c>
      <c r="L2733" s="2"/>
      <c r="M2733" s="170" t="s">
        <v>455</v>
      </c>
      <c r="N2733" s="2" t="s">
        <v>406</v>
      </c>
      <c r="O2733" s="3"/>
      <c r="P2733" s="2" t="s">
        <v>73</v>
      </c>
      <c r="Q2733" s="3">
        <v>0.0</v>
      </c>
      <c r="R2733" s="3">
        <v>0.5</v>
      </c>
      <c r="U2733" s="141"/>
      <c r="W2733" s="3">
        <v>213.0</v>
      </c>
      <c r="X2733" s="172">
        <v>46084.83265269676</v>
      </c>
      <c r="Y2733" s="172"/>
      <c r="Z2733" s="3">
        <v>46073.0</v>
      </c>
      <c r="AA2733" s="3"/>
    </row>
    <row r="2734">
      <c r="A2734" s="3">
        <v>6.919846494467E12</v>
      </c>
      <c r="B2734" s="2"/>
      <c r="C2734" s="2" t="s">
        <v>11457</v>
      </c>
      <c r="D2734" s="169">
        <v>46073.0</v>
      </c>
      <c r="E2734" s="2">
        <v>3.312541366E9</v>
      </c>
      <c r="F2734" s="2" t="s">
        <v>11458</v>
      </c>
      <c r="G2734" s="2" t="s">
        <v>11459</v>
      </c>
      <c r="H2734" s="2">
        <v>0.0</v>
      </c>
      <c r="J2734" s="3">
        <v>0.0</v>
      </c>
      <c r="K2734" s="2" t="s">
        <v>11460</v>
      </c>
      <c r="L2734" s="2"/>
      <c r="M2734" s="2" t="s">
        <v>468</v>
      </c>
      <c r="N2734" s="2" t="s">
        <v>406</v>
      </c>
      <c r="O2734" s="3"/>
      <c r="Q2734" s="3">
        <v>0.0</v>
      </c>
      <c r="R2734" s="3">
        <v>0.5</v>
      </c>
      <c r="U2734" s="141"/>
      <c r="X2734" s="172"/>
      <c r="Y2734" s="172"/>
      <c r="Z2734" s="3">
        <v>46073.0</v>
      </c>
      <c r="AA2734" s="3"/>
    </row>
    <row r="2735">
      <c r="A2735" s="3">
        <v>6.919932346627E12</v>
      </c>
      <c r="B2735" s="2"/>
      <c r="C2735" s="2" t="s">
        <v>11461</v>
      </c>
      <c r="D2735" s="169">
        <v>46073.0</v>
      </c>
      <c r="E2735" s="2">
        <v>3.058550085E9</v>
      </c>
      <c r="F2735" s="2" t="s">
        <v>11462</v>
      </c>
      <c r="G2735" s="2" t="s">
        <v>374</v>
      </c>
      <c r="H2735" s="2">
        <v>249.0</v>
      </c>
      <c r="I2735" s="2">
        <v>2.712005002201E13</v>
      </c>
      <c r="J2735" s="3">
        <v>0.0</v>
      </c>
      <c r="K2735" s="2" t="s">
        <v>11463</v>
      </c>
      <c r="L2735" s="2"/>
      <c r="M2735" s="170" t="s">
        <v>455</v>
      </c>
      <c r="N2735" s="2" t="s">
        <v>406</v>
      </c>
      <c r="O2735" s="3"/>
      <c r="P2735" s="2" t="s">
        <v>73</v>
      </c>
      <c r="Q2735" s="3">
        <v>0.0</v>
      </c>
      <c r="R2735" s="3">
        <v>0.5</v>
      </c>
      <c r="U2735" s="141"/>
      <c r="W2735" s="3">
        <v>200.0</v>
      </c>
      <c r="X2735" s="172">
        <v>46084.83265271991</v>
      </c>
      <c r="Y2735" s="172"/>
      <c r="Z2735" s="3">
        <v>46073.0</v>
      </c>
      <c r="AA2735" s="3"/>
    </row>
    <row r="2736">
      <c r="A2736" s="3">
        <v>6.919947256067E12</v>
      </c>
      <c r="B2736" s="2"/>
      <c r="C2736" s="2" t="s">
        <v>11464</v>
      </c>
      <c r="D2736" s="169">
        <v>46073.0</v>
      </c>
      <c r="E2736" s="2">
        <v>3.192455565E9</v>
      </c>
      <c r="F2736" s="2" t="s">
        <v>11465</v>
      </c>
      <c r="G2736" s="2" t="s">
        <v>1361</v>
      </c>
      <c r="H2736" s="2">
        <v>3348.0</v>
      </c>
      <c r="I2736" s="2">
        <v>2.4120050022008E13</v>
      </c>
      <c r="J2736" s="3">
        <v>2.0</v>
      </c>
      <c r="K2736" s="2" t="s">
        <v>11466</v>
      </c>
      <c r="L2736" s="2" t="s">
        <v>296</v>
      </c>
      <c r="M2736" s="2" t="s">
        <v>409</v>
      </c>
      <c r="N2736" s="2" t="s">
        <v>462</v>
      </c>
      <c r="O2736" s="3"/>
      <c r="P2736" s="2" t="s">
        <v>73</v>
      </c>
      <c r="Q2736" s="3">
        <v>720.0</v>
      </c>
      <c r="R2736" s="3">
        <v>0.5</v>
      </c>
      <c r="T2736" s="2" t="s">
        <v>10905</v>
      </c>
      <c r="U2736" s="171">
        <v>3348.0</v>
      </c>
      <c r="V2736" s="172">
        <v>46080.0</v>
      </c>
      <c r="W2736" s="3">
        <v>347.0</v>
      </c>
      <c r="X2736" s="172">
        <v>46077.75073090278</v>
      </c>
      <c r="Y2736" s="172"/>
      <c r="Z2736" s="3">
        <v>46073.0</v>
      </c>
      <c r="AA2736" s="3"/>
    </row>
    <row r="2737">
      <c r="A2737" s="3">
        <v>6.919953907971E12</v>
      </c>
      <c r="B2737" s="2"/>
      <c r="C2737" s="2" t="s">
        <v>10172</v>
      </c>
      <c r="D2737" s="169">
        <v>46073.0</v>
      </c>
      <c r="E2737" s="2">
        <v>3.001181551E9</v>
      </c>
      <c r="F2737" s="2" t="s">
        <v>10173</v>
      </c>
      <c r="G2737" s="2" t="s">
        <v>493</v>
      </c>
      <c r="H2737" s="2">
        <v>3100.0</v>
      </c>
      <c r="I2737" s="2">
        <v>2.1120050021994E13</v>
      </c>
      <c r="J2737" s="3">
        <v>2.0</v>
      </c>
      <c r="K2737" s="2" t="s">
        <v>11467</v>
      </c>
      <c r="L2737" s="2" t="s">
        <v>906</v>
      </c>
      <c r="M2737" s="2" t="s">
        <v>409</v>
      </c>
      <c r="N2737" s="2" t="s">
        <v>462</v>
      </c>
      <c r="O2737" s="3"/>
      <c r="P2737" s="2" t="s">
        <v>73</v>
      </c>
      <c r="Q2737" s="3">
        <v>720.0</v>
      </c>
      <c r="R2737" s="3">
        <v>0.5</v>
      </c>
      <c r="T2737" s="2" t="s">
        <v>10233</v>
      </c>
      <c r="U2737" s="171">
        <v>3100.0</v>
      </c>
      <c r="W2737" s="3">
        <v>223.0</v>
      </c>
      <c r="X2737" s="172">
        <v>46076.54101134259</v>
      </c>
      <c r="Y2737" s="172"/>
      <c r="Z2737" s="3">
        <v>46073.0</v>
      </c>
      <c r="AA2737" s="3"/>
    </row>
    <row r="2738">
      <c r="A2738" s="3">
        <v>6.919971471619E12</v>
      </c>
      <c r="B2738" s="2"/>
      <c r="C2738" s="2" t="s">
        <v>11468</v>
      </c>
      <c r="D2738" s="169">
        <v>46073.0</v>
      </c>
      <c r="E2738" s="173" t="s">
        <v>11469</v>
      </c>
      <c r="F2738" s="2" t="s">
        <v>11470</v>
      </c>
      <c r="G2738" s="2" t="s">
        <v>368</v>
      </c>
      <c r="H2738" s="2">
        <v>2849.0</v>
      </c>
      <c r="I2738" s="2">
        <v>2.4120050022007E13</v>
      </c>
      <c r="J2738" s="3">
        <v>2.0</v>
      </c>
      <c r="K2738" s="2" t="s">
        <v>11471</v>
      </c>
      <c r="L2738" s="2" t="s">
        <v>5839</v>
      </c>
      <c r="M2738" s="2" t="s">
        <v>409</v>
      </c>
      <c r="N2738" s="2" t="s">
        <v>462</v>
      </c>
      <c r="O2738" s="3"/>
      <c r="P2738" s="2" t="s">
        <v>73</v>
      </c>
      <c r="Q2738" s="3">
        <v>1050.0</v>
      </c>
      <c r="R2738" s="3">
        <v>0.5</v>
      </c>
      <c r="T2738" s="2" t="s">
        <v>10233</v>
      </c>
      <c r="U2738" s="171">
        <v>2849.0</v>
      </c>
      <c r="W2738" s="3">
        <v>221.0</v>
      </c>
      <c r="X2738" s="172">
        <v>46076.66603633102</v>
      </c>
      <c r="Y2738" s="172"/>
      <c r="Z2738" s="3">
        <v>46073.0</v>
      </c>
      <c r="AA2738" s="3"/>
    </row>
    <row r="2739">
      <c r="A2739" s="3">
        <v>6.920002044163E12</v>
      </c>
      <c r="B2739" s="2"/>
      <c r="C2739" s="2" t="s">
        <v>11472</v>
      </c>
      <c r="D2739" s="169">
        <v>46073.0</v>
      </c>
      <c r="E2739" s="2">
        <v>3.011202371E9</v>
      </c>
      <c r="F2739" s="2" t="s">
        <v>11473</v>
      </c>
      <c r="G2739" s="2" t="s">
        <v>4186</v>
      </c>
      <c r="H2739" s="2">
        <v>249.0</v>
      </c>
      <c r="I2739" s="2">
        <v>2.112005002203E13</v>
      </c>
      <c r="J2739" s="3">
        <v>0.0</v>
      </c>
      <c r="K2739" s="2" t="s">
        <v>11474</v>
      </c>
      <c r="L2739" s="2"/>
      <c r="M2739" s="170" t="s">
        <v>455</v>
      </c>
      <c r="N2739" s="2" t="s">
        <v>406</v>
      </c>
      <c r="O2739" s="3"/>
      <c r="P2739" s="2" t="s">
        <v>73</v>
      </c>
      <c r="Q2739" s="3">
        <v>0.0</v>
      </c>
      <c r="R2739" s="3">
        <v>0.5</v>
      </c>
      <c r="U2739" s="141"/>
      <c r="W2739" s="3">
        <v>220.0</v>
      </c>
      <c r="X2739" s="172">
        <v>46081.79095115741</v>
      </c>
      <c r="Y2739" s="172"/>
      <c r="Z2739" s="3">
        <v>46073.0</v>
      </c>
      <c r="AA2739" s="3"/>
    </row>
    <row r="2740">
      <c r="A2740" s="3">
        <v>6.920067744003E12</v>
      </c>
      <c r="B2740" s="2"/>
      <c r="C2740" s="2" t="s">
        <v>11475</v>
      </c>
      <c r="D2740" s="169">
        <v>46073.0</v>
      </c>
      <c r="E2740" s="2">
        <v>3.218666373E9</v>
      </c>
      <c r="F2740" s="2" t="s">
        <v>11476</v>
      </c>
      <c r="G2740" s="2" t="s">
        <v>374</v>
      </c>
      <c r="H2740" s="2">
        <v>249.0</v>
      </c>
      <c r="I2740" s="2">
        <v>333565.0</v>
      </c>
      <c r="J2740" s="3">
        <v>0.0</v>
      </c>
      <c r="K2740" s="2" t="s">
        <v>11477</v>
      </c>
      <c r="L2740" s="2"/>
      <c r="M2740" s="170" t="s">
        <v>455</v>
      </c>
      <c r="N2740" s="2" t="s">
        <v>406</v>
      </c>
      <c r="O2740" s="3"/>
      <c r="P2740" s="2" t="s">
        <v>11478</v>
      </c>
      <c r="Q2740" s="3">
        <v>0.0</v>
      </c>
      <c r="R2740" s="3">
        <v>0.5</v>
      </c>
      <c r="U2740" s="141"/>
      <c r="X2740" s="172">
        <v>46093.66814234953</v>
      </c>
      <c r="Y2740" s="172"/>
      <c r="Z2740" s="3">
        <v>46073.0</v>
      </c>
      <c r="AA2740" s="3"/>
    </row>
    <row r="2741">
      <c r="A2741" s="3">
        <v>6.920100774147E12</v>
      </c>
      <c r="B2741" s="2"/>
      <c r="C2741" s="2" t="s">
        <v>11479</v>
      </c>
      <c r="D2741" s="169">
        <v>46073.0</v>
      </c>
      <c r="E2741" s="173" t="s">
        <v>11480</v>
      </c>
      <c r="F2741" s="2" t="s">
        <v>7764</v>
      </c>
      <c r="G2741" s="2" t="s">
        <v>368</v>
      </c>
      <c r="H2741" s="2">
        <v>249.0</v>
      </c>
      <c r="I2741" s="2">
        <v>2.5120050022029E13</v>
      </c>
      <c r="J2741" s="3">
        <v>0.0</v>
      </c>
      <c r="K2741" s="2" t="s">
        <v>11481</v>
      </c>
      <c r="L2741" s="2"/>
      <c r="M2741" s="170" t="s">
        <v>455</v>
      </c>
      <c r="N2741" s="2" t="s">
        <v>406</v>
      </c>
      <c r="O2741" s="3"/>
      <c r="P2741" s="2" t="s">
        <v>73</v>
      </c>
      <c r="Q2741" s="3">
        <v>0.0</v>
      </c>
      <c r="R2741" s="3">
        <v>0.5</v>
      </c>
      <c r="U2741" s="141"/>
      <c r="W2741" s="3">
        <v>120.0</v>
      </c>
      <c r="X2741" s="172">
        <v>46083.83286890046</v>
      </c>
      <c r="Y2741" s="172"/>
      <c r="Z2741" s="3">
        <v>46073.0</v>
      </c>
      <c r="AA2741" s="3"/>
    </row>
    <row r="2742">
      <c r="A2742" s="3">
        <v>6.920185118979E12</v>
      </c>
      <c r="B2742" s="2"/>
      <c r="C2742" s="2" t="s">
        <v>11482</v>
      </c>
      <c r="D2742" s="169">
        <v>46073.0</v>
      </c>
      <c r="E2742" s="173" t="s">
        <v>11483</v>
      </c>
      <c r="F2742" s="2" t="s">
        <v>11484</v>
      </c>
      <c r="G2742" s="2" t="s">
        <v>374</v>
      </c>
      <c r="H2742" s="2">
        <v>3549.0</v>
      </c>
      <c r="I2742" s="2">
        <v>2.2120050022028E13</v>
      </c>
      <c r="J2742" s="3">
        <v>2.0</v>
      </c>
      <c r="K2742" s="2" t="s">
        <v>11485</v>
      </c>
      <c r="L2742" s="2" t="s">
        <v>11486</v>
      </c>
      <c r="M2742" s="2" t="s">
        <v>409</v>
      </c>
      <c r="N2742" s="2" t="s">
        <v>462</v>
      </c>
      <c r="O2742" s="3"/>
      <c r="P2742" s="2" t="s">
        <v>73</v>
      </c>
      <c r="Q2742" s="3">
        <v>1100.0</v>
      </c>
      <c r="R2742" s="3">
        <v>0.5</v>
      </c>
      <c r="T2742" s="2" t="s">
        <v>10905</v>
      </c>
      <c r="U2742" s="171">
        <v>3549.0</v>
      </c>
      <c r="V2742" s="172">
        <v>46080.0</v>
      </c>
      <c r="W2742" s="3">
        <v>362.0</v>
      </c>
      <c r="X2742" s="172">
        <v>46078.73733945602</v>
      </c>
      <c r="Y2742" s="172"/>
      <c r="Z2742" s="3">
        <v>46073.0</v>
      </c>
      <c r="AA2742" s="3"/>
    </row>
    <row r="2743">
      <c r="A2743" s="3">
        <v>6.920257831171E12</v>
      </c>
      <c r="B2743" s="2"/>
      <c r="C2743" s="2" t="s">
        <v>11487</v>
      </c>
      <c r="D2743" s="169">
        <v>46073.0</v>
      </c>
      <c r="E2743" s="2">
        <v>3.202188114E9</v>
      </c>
      <c r="F2743" s="2" t="s">
        <v>11488</v>
      </c>
      <c r="G2743" s="2" t="s">
        <v>374</v>
      </c>
      <c r="H2743" s="2">
        <v>3849.0</v>
      </c>
      <c r="I2743" s="2">
        <v>2.3120050022057E13</v>
      </c>
      <c r="J2743" s="3">
        <v>2.0</v>
      </c>
      <c r="K2743" s="2" t="s">
        <v>11489</v>
      </c>
      <c r="L2743" s="2" t="s">
        <v>11490</v>
      </c>
      <c r="M2743" s="2" t="s">
        <v>409</v>
      </c>
      <c r="N2743" s="2" t="s">
        <v>462</v>
      </c>
      <c r="O2743" s="3"/>
      <c r="P2743" s="2" t="s">
        <v>73</v>
      </c>
      <c r="Q2743" s="3">
        <v>800.0</v>
      </c>
      <c r="R2743" s="3">
        <v>0.5</v>
      </c>
      <c r="T2743" s="2" t="s">
        <v>10905</v>
      </c>
      <c r="U2743" s="171">
        <v>3849.0</v>
      </c>
      <c r="V2743" s="172">
        <v>46080.0</v>
      </c>
      <c r="W2743" s="3">
        <v>354.0</v>
      </c>
      <c r="X2743" s="172">
        <v>46077.6661220949</v>
      </c>
      <c r="Y2743" s="172"/>
      <c r="Z2743" s="3">
        <v>46073.0</v>
      </c>
      <c r="AA2743" s="3"/>
    </row>
    <row r="2744">
      <c r="A2744" s="3">
        <v>6.920278638851E12</v>
      </c>
      <c r="B2744" s="2"/>
      <c r="C2744" s="2" t="s">
        <v>11092</v>
      </c>
      <c r="D2744" s="169">
        <v>46073.0</v>
      </c>
      <c r="E2744" s="2">
        <v>3.008114341E9</v>
      </c>
      <c r="F2744" s="2" t="s">
        <v>11093</v>
      </c>
      <c r="G2744" s="2" t="s">
        <v>2725</v>
      </c>
      <c r="H2744" s="2">
        <v>2049.0</v>
      </c>
      <c r="I2744" s="2">
        <v>2.4120050022027E13</v>
      </c>
      <c r="J2744" s="3">
        <v>1.0</v>
      </c>
      <c r="K2744" s="2" t="s">
        <v>11112</v>
      </c>
      <c r="L2744" s="2" t="s">
        <v>11491</v>
      </c>
      <c r="M2744" s="2" t="s">
        <v>409</v>
      </c>
      <c r="N2744" s="2" t="s">
        <v>462</v>
      </c>
      <c r="O2744" s="3"/>
      <c r="P2744" s="2" t="s">
        <v>73</v>
      </c>
      <c r="Q2744" s="3">
        <v>480.0</v>
      </c>
      <c r="R2744" s="3">
        <v>0.5</v>
      </c>
      <c r="T2744" s="2" t="s">
        <v>10233</v>
      </c>
      <c r="U2744" s="171">
        <v>2049.0</v>
      </c>
      <c r="W2744" s="3">
        <v>282.0</v>
      </c>
      <c r="X2744" s="172">
        <v>46076.58282928241</v>
      </c>
      <c r="Y2744" s="172"/>
      <c r="Z2744" s="3">
        <v>46073.0</v>
      </c>
      <c r="AA2744" s="3"/>
    </row>
    <row r="2745">
      <c r="A2745" s="3">
        <v>6.920519909635E12</v>
      </c>
      <c r="B2745" s="2"/>
      <c r="C2745" s="2" t="s">
        <v>11492</v>
      </c>
      <c r="D2745" s="169">
        <v>46073.0</v>
      </c>
      <c r="E2745" s="2">
        <v>3.100774999E9</v>
      </c>
      <c r="F2745" s="2" t="s">
        <v>11493</v>
      </c>
      <c r="G2745" s="2" t="s">
        <v>368</v>
      </c>
      <c r="H2745" s="2">
        <v>0.0</v>
      </c>
      <c r="J2745" s="3">
        <v>0.0</v>
      </c>
      <c r="K2745" s="2" t="s">
        <v>11494</v>
      </c>
      <c r="L2745" s="2"/>
      <c r="M2745" s="2" t="s">
        <v>468</v>
      </c>
      <c r="N2745" s="2" t="s">
        <v>406</v>
      </c>
      <c r="O2745" s="3"/>
      <c r="Q2745" s="3">
        <v>0.0</v>
      </c>
      <c r="R2745" s="3">
        <v>0.5</v>
      </c>
      <c r="U2745" s="141"/>
      <c r="X2745" s="172"/>
      <c r="Y2745" s="172"/>
      <c r="Z2745" s="3">
        <v>46073.0</v>
      </c>
      <c r="AA2745" s="3"/>
    </row>
    <row r="2746">
      <c r="A2746" s="3">
        <v>6.920636006659E12</v>
      </c>
      <c r="B2746" s="2"/>
      <c r="C2746" s="2" t="s">
        <v>11495</v>
      </c>
      <c r="D2746" s="169">
        <v>46074.0</v>
      </c>
      <c r="E2746" s="2">
        <v>3.138067267E9</v>
      </c>
      <c r="F2746" s="2" t="s">
        <v>11496</v>
      </c>
      <c r="G2746" s="2" t="s">
        <v>493</v>
      </c>
      <c r="H2746" s="2">
        <v>0.0</v>
      </c>
      <c r="J2746" s="3">
        <v>0.0</v>
      </c>
      <c r="K2746" s="2" t="s">
        <v>11497</v>
      </c>
      <c r="L2746" s="2"/>
      <c r="M2746" s="2" t="s">
        <v>468</v>
      </c>
      <c r="N2746" s="2" t="s">
        <v>406</v>
      </c>
      <c r="O2746" s="3"/>
      <c r="Q2746" s="3">
        <v>0.0</v>
      </c>
      <c r="R2746" s="3">
        <v>0.5</v>
      </c>
      <c r="U2746" s="141"/>
      <c r="X2746" s="172"/>
      <c r="Y2746" s="172"/>
      <c r="Z2746" s="3">
        <v>46074.0</v>
      </c>
      <c r="AA2746" s="3"/>
    </row>
    <row r="2747">
      <c r="A2747" s="3">
        <v>6.920672149763E12</v>
      </c>
      <c r="B2747" s="2"/>
      <c r="C2747" s="2" t="s">
        <v>11498</v>
      </c>
      <c r="D2747" s="169">
        <v>46074.0</v>
      </c>
      <c r="E2747" s="2">
        <v>3.213333913E9</v>
      </c>
      <c r="F2747" s="2" t="s">
        <v>11499</v>
      </c>
      <c r="G2747" s="2" t="s">
        <v>724</v>
      </c>
      <c r="H2747" s="2">
        <v>3348.0</v>
      </c>
      <c r="I2747" s="2">
        <v>2.2120050022026E13</v>
      </c>
      <c r="J2747" s="3">
        <v>2.0</v>
      </c>
      <c r="K2747" s="2" t="s">
        <v>10904</v>
      </c>
      <c r="L2747" s="2" t="s">
        <v>22</v>
      </c>
      <c r="M2747" s="2" t="s">
        <v>409</v>
      </c>
      <c r="N2747" s="2" t="s">
        <v>462</v>
      </c>
      <c r="O2747" s="3"/>
      <c r="P2747" s="2" t="s">
        <v>73</v>
      </c>
      <c r="Q2747" s="3">
        <v>800.0</v>
      </c>
      <c r="R2747" s="3">
        <v>0.5</v>
      </c>
      <c r="T2747" s="2" t="s">
        <v>10905</v>
      </c>
      <c r="U2747" s="171">
        <v>3348.0</v>
      </c>
      <c r="V2747" s="172">
        <v>46080.0</v>
      </c>
      <c r="W2747" s="3">
        <v>354.0</v>
      </c>
      <c r="X2747" s="172">
        <v>46077.62446432871</v>
      </c>
      <c r="Y2747" s="172"/>
      <c r="Z2747" s="3">
        <v>46074.0</v>
      </c>
      <c r="AA2747" s="3"/>
    </row>
    <row r="2748">
      <c r="A2748" s="3">
        <v>6.920744304899E12</v>
      </c>
      <c r="B2748" s="2"/>
      <c r="C2748" s="2" t="s">
        <v>11500</v>
      </c>
      <c r="D2748" s="169">
        <v>46074.0</v>
      </c>
      <c r="E2748" s="2">
        <v>3.336313007E9</v>
      </c>
      <c r="F2748" s="2" t="s">
        <v>11501</v>
      </c>
      <c r="G2748" s="2" t="s">
        <v>11502</v>
      </c>
      <c r="H2748" s="2">
        <v>249.0</v>
      </c>
      <c r="I2748" s="2">
        <v>2.4120050022009E13</v>
      </c>
      <c r="J2748" s="3">
        <v>0.0</v>
      </c>
      <c r="K2748" s="2" t="s">
        <v>11503</v>
      </c>
      <c r="L2748" s="2"/>
      <c r="M2748" s="170" t="s">
        <v>455</v>
      </c>
      <c r="N2748" s="2" t="s">
        <v>406</v>
      </c>
      <c r="O2748" s="3"/>
      <c r="P2748" s="2" t="s">
        <v>73</v>
      </c>
      <c r="Q2748" s="3">
        <v>0.0</v>
      </c>
      <c r="R2748" s="3">
        <v>0.5</v>
      </c>
      <c r="U2748" s="141"/>
      <c r="W2748" s="3">
        <v>200.0</v>
      </c>
      <c r="X2748" s="172">
        <v>46084.83265305556</v>
      </c>
      <c r="Y2748" s="172"/>
      <c r="Z2748" s="3">
        <v>46074.0</v>
      </c>
      <c r="AA2748" s="3"/>
    </row>
    <row r="2749">
      <c r="A2749" s="3">
        <v>6.920766587139E12</v>
      </c>
      <c r="B2749" s="2"/>
      <c r="C2749" s="2" t="s">
        <v>11504</v>
      </c>
      <c r="D2749" s="169">
        <v>46074.0</v>
      </c>
      <c r="E2749" s="2">
        <v>3.08323599E9</v>
      </c>
      <c r="F2749" s="2" t="s">
        <v>11505</v>
      </c>
      <c r="G2749" s="2" t="s">
        <v>945</v>
      </c>
      <c r="H2749" s="2">
        <v>3798.0</v>
      </c>
      <c r="I2749" s="2">
        <v>2.0120050022025E13</v>
      </c>
      <c r="J2749" s="3">
        <v>2.0</v>
      </c>
      <c r="K2749" s="2" t="s">
        <v>11506</v>
      </c>
      <c r="L2749" s="2" t="s">
        <v>11507</v>
      </c>
      <c r="M2749" s="2" t="s">
        <v>409</v>
      </c>
      <c r="N2749" s="2" t="s">
        <v>462</v>
      </c>
      <c r="O2749" s="3"/>
      <c r="P2749" s="2" t="s">
        <v>73</v>
      </c>
      <c r="Q2749" s="3">
        <v>1280.0</v>
      </c>
      <c r="R2749" s="3">
        <v>0.5</v>
      </c>
      <c r="T2749" s="2" t="s">
        <v>10233</v>
      </c>
      <c r="U2749" s="171">
        <v>3798.0</v>
      </c>
      <c r="W2749" s="3">
        <v>379.0</v>
      </c>
      <c r="X2749" s="172">
        <v>46076.77095712963</v>
      </c>
      <c r="Y2749" s="172"/>
      <c r="Z2749" s="3">
        <v>46074.0</v>
      </c>
      <c r="AA2749" s="3"/>
    </row>
    <row r="2750">
      <c r="A2750" s="3">
        <v>6.920866365699E12</v>
      </c>
      <c r="B2750" s="2"/>
      <c r="C2750" s="2" t="s">
        <v>11508</v>
      </c>
      <c r="D2750" s="169">
        <v>46074.0</v>
      </c>
      <c r="E2750" s="2">
        <v>3.006179061E9</v>
      </c>
      <c r="F2750" s="2" t="s">
        <v>11509</v>
      </c>
      <c r="G2750" s="2" t="s">
        <v>11330</v>
      </c>
      <c r="H2750" s="2">
        <v>0.0</v>
      </c>
      <c r="J2750" s="3">
        <v>0.0</v>
      </c>
      <c r="K2750" s="2" t="s">
        <v>11510</v>
      </c>
      <c r="L2750" s="2"/>
      <c r="M2750" s="2" t="s">
        <v>468</v>
      </c>
      <c r="N2750" s="2" t="s">
        <v>406</v>
      </c>
      <c r="O2750" s="3"/>
      <c r="Q2750" s="3">
        <v>0.0</v>
      </c>
      <c r="R2750" s="3">
        <v>0.5</v>
      </c>
      <c r="U2750" s="141"/>
      <c r="X2750" s="172"/>
      <c r="Y2750" s="172"/>
      <c r="Z2750" s="3">
        <v>46074.0</v>
      </c>
      <c r="AA2750" s="3"/>
    </row>
    <row r="2751">
      <c r="A2751" s="3">
        <v>6.920899887363E12</v>
      </c>
      <c r="B2751" s="2"/>
      <c r="C2751" s="2" t="s">
        <v>11511</v>
      </c>
      <c r="D2751" s="169">
        <v>46074.0</v>
      </c>
      <c r="E2751" s="2">
        <v>3.218942595E9</v>
      </c>
      <c r="F2751" s="2" t="s">
        <v>11512</v>
      </c>
      <c r="G2751" s="2" t="s">
        <v>493</v>
      </c>
      <c r="H2751" s="2">
        <v>3099.0</v>
      </c>
      <c r="I2751" s="2">
        <v>2.4120050022056E13</v>
      </c>
      <c r="J2751" s="3">
        <v>2.0</v>
      </c>
      <c r="K2751" s="2" t="s">
        <v>11513</v>
      </c>
      <c r="L2751" s="2" t="s">
        <v>1129</v>
      </c>
      <c r="M2751" s="2" t="s">
        <v>409</v>
      </c>
      <c r="N2751" s="2" t="s">
        <v>462</v>
      </c>
      <c r="O2751" s="3"/>
      <c r="P2751" s="2" t="s">
        <v>73</v>
      </c>
      <c r="Q2751" s="3">
        <v>960.0</v>
      </c>
      <c r="R2751" s="3">
        <v>0.5</v>
      </c>
      <c r="T2751" s="2" t="s">
        <v>10905</v>
      </c>
      <c r="U2751" s="171">
        <v>3099.0</v>
      </c>
      <c r="V2751" s="172">
        <v>46080.0</v>
      </c>
      <c r="W2751" s="3">
        <v>337.0</v>
      </c>
      <c r="X2751" s="172">
        <v>46078.665974814816</v>
      </c>
      <c r="Y2751" s="172"/>
      <c r="Z2751" s="3">
        <v>46074.0</v>
      </c>
      <c r="AA2751" s="3"/>
    </row>
    <row r="2752">
      <c r="A2752" s="3">
        <v>6.920930820355E12</v>
      </c>
      <c r="B2752" s="2"/>
      <c r="C2752" s="2" t="s">
        <v>11514</v>
      </c>
      <c r="D2752" s="169">
        <v>46074.0</v>
      </c>
      <c r="E2752" s="2">
        <v>3.480092291E9</v>
      </c>
      <c r="F2752" s="2" t="s">
        <v>11515</v>
      </c>
      <c r="G2752" s="2" t="s">
        <v>368</v>
      </c>
      <c r="H2752" s="2">
        <v>249.0</v>
      </c>
      <c r="I2752" s="2">
        <v>2.2120050022277E13</v>
      </c>
      <c r="J2752" s="3">
        <v>0.0</v>
      </c>
      <c r="K2752" s="2" t="s">
        <v>11516</v>
      </c>
      <c r="L2752" s="2"/>
      <c r="M2752" s="170" t="s">
        <v>455</v>
      </c>
      <c r="N2752" s="2" t="s">
        <v>406</v>
      </c>
      <c r="O2752" s="3"/>
      <c r="P2752" s="2" t="s">
        <v>73</v>
      </c>
      <c r="Q2752" s="3">
        <v>0.0</v>
      </c>
      <c r="R2752" s="3">
        <v>0.5</v>
      </c>
      <c r="U2752" s="141"/>
      <c r="W2752" s="3">
        <v>107.0</v>
      </c>
      <c r="X2752" s="172">
        <v>46092.665973668976</v>
      </c>
      <c r="Y2752" s="172"/>
      <c r="Z2752" s="3">
        <v>46074.0</v>
      </c>
      <c r="AA2752" s="3"/>
    </row>
    <row r="2753">
      <c r="A2753" s="3">
        <v>6.920963391747E12</v>
      </c>
      <c r="B2753" s="2"/>
      <c r="C2753" s="2" t="s">
        <v>11517</v>
      </c>
      <c r="D2753" s="169">
        <v>46074.0</v>
      </c>
      <c r="E2753" s="2">
        <v>3.322161414E9</v>
      </c>
      <c r="F2753" s="2" t="s">
        <v>11518</v>
      </c>
      <c r="G2753" s="2" t="s">
        <v>366</v>
      </c>
      <c r="H2753" s="2">
        <v>3348.0</v>
      </c>
      <c r="I2753" s="2">
        <v>2.0120050022024E13</v>
      </c>
      <c r="J2753" s="3">
        <v>2.0</v>
      </c>
      <c r="K2753" s="2" t="s">
        <v>11136</v>
      </c>
      <c r="L2753" s="2" t="s">
        <v>22</v>
      </c>
      <c r="M2753" s="2" t="s">
        <v>409</v>
      </c>
      <c r="N2753" s="2" t="s">
        <v>462</v>
      </c>
      <c r="O2753" s="3"/>
      <c r="P2753" s="2" t="s">
        <v>73</v>
      </c>
      <c r="Q2753" s="3">
        <v>800.0</v>
      </c>
      <c r="R2753" s="3">
        <v>0.5</v>
      </c>
      <c r="T2753" s="2" t="s">
        <v>10233</v>
      </c>
      <c r="U2753" s="171">
        <v>3348.0</v>
      </c>
      <c r="W2753" s="3">
        <v>334.0</v>
      </c>
      <c r="X2753" s="172">
        <v>46076.83273018518</v>
      </c>
      <c r="Y2753" s="172"/>
      <c r="Z2753" s="3">
        <v>46074.0</v>
      </c>
      <c r="AA2753" s="3"/>
    </row>
    <row r="2754">
      <c r="A2754" s="3">
        <v>6.921000517891E12</v>
      </c>
      <c r="B2754" s="2"/>
      <c r="C2754" s="2" t="s">
        <v>11519</v>
      </c>
      <c r="D2754" s="169">
        <v>46074.0</v>
      </c>
      <c r="E2754" s="2">
        <v>3.456507676E9</v>
      </c>
      <c r="F2754" s="2" t="s">
        <v>11520</v>
      </c>
      <c r="G2754" s="2" t="s">
        <v>3305</v>
      </c>
      <c r="H2754" s="2">
        <v>3348.0</v>
      </c>
      <c r="I2754" s="2">
        <v>2.5120050022023E13</v>
      </c>
      <c r="J2754" s="3">
        <v>2.0</v>
      </c>
      <c r="K2754" s="2" t="s">
        <v>11258</v>
      </c>
      <c r="L2754" s="2" t="s">
        <v>1258</v>
      </c>
      <c r="M2754" s="2" t="s">
        <v>409</v>
      </c>
      <c r="N2754" s="2" t="s">
        <v>462</v>
      </c>
      <c r="O2754" s="3"/>
      <c r="P2754" s="2" t="s">
        <v>73</v>
      </c>
      <c r="Q2754" s="3">
        <v>960.0</v>
      </c>
      <c r="R2754" s="3">
        <v>0.5</v>
      </c>
      <c r="T2754" s="2" t="s">
        <v>10233</v>
      </c>
      <c r="U2754" s="171">
        <v>3348.0</v>
      </c>
      <c r="W2754" s="3">
        <v>334.0</v>
      </c>
      <c r="X2754" s="172">
        <v>46076.624329108796</v>
      </c>
      <c r="Y2754" s="172"/>
      <c r="Z2754" s="3">
        <v>46074.0</v>
      </c>
      <c r="AA2754" s="3"/>
    </row>
    <row r="2755">
      <c r="A2755" s="3">
        <v>6.921082831107E12</v>
      </c>
      <c r="B2755" s="2"/>
      <c r="C2755" s="2" t="s">
        <v>11521</v>
      </c>
      <c r="D2755" s="169">
        <v>46074.0</v>
      </c>
      <c r="E2755" s="2">
        <v>3.15381146E9</v>
      </c>
      <c r="F2755" s="2" t="s">
        <v>11522</v>
      </c>
      <c r="G2755" s="2" t="s">
        <v>11523</v>
      </c>
      <c r="H2755" s="2">
        <v>0.0</v>
      </c>
      <c r="J2755" s="3">
        <v>0.0</v>
      </c>
      <c r="K2755" s="2" t="s">
        <v>8446</v>
      </c>
      <c r="L2755" s="2"/>
      <c r="M2755" s="2" t="s">
        <v>468</v>
      </c>
      <c r="N2755" s="2" t="s">
        <v>406</v>
      </c>
      <c r="O2755" s="3"/>
      <c r="Q2755" s="3">
        <v>0.0</v>
      </c>
      <c r="R2755" s="3">
        <v>0.5</v>
      </c>
      <c r="U2755" s="141"/>
      <c r="X2755" s="172"/>
      <c r="Y2755" s="172"/>
      <c r="Z2755" s="3">
        <v>46074.0</v>
      </c>
      <c r="AA2755" s="3"/>
    </row>
    <row r="2756">
      <c r="A2756" s="3">
        <v>6.921116713219E12</v>
      </c>
      <c r="B2756" s="2"/>
      <c r="C2756" s="2" t="s">
        <v>11521</v>
      </c>
      <c r="D2756" s="169">
        <v>46074.0</v>
      </c>
      <c r="E2756" s="173" t="s">
        <v>11524</v>
      </c>
      <c r="F2756" s="2" t="s">
        <v>11522</v>
      </c>
      <c r="G2756" s="2" t="s">
        <v>11523</v>
      </c>
      <c r="H2756" s="2">
        <v>249.0</v>
      </c>
      <c r="I2756" s="2">
        <v>2.9120050022022E13</v>
      </c>
      <c r="J2756" s="3">
        <v>0.0</v>
      </c>
      <c r="K2756" s="2" t="s">
        <v>11525</v>
      </c>
      <c r="L2756" s="2"/>
      <c r="M2756" s="170" t="s">
        <v>455</v>
      </c>
      <c r="N2756" s="2" t="s">
        <v>406</v>
      </c>
      <c r="O2756" s="3"/>
      <c r="P2756" s="2" t="s">
        <v>73</v>
      </c>
      <c r="Q2756" s="3">
        <v>0.0</v>
      </c>
      <c r="R2756" s="3">
        <v>0.5</v>
      </c>
      <c r="U2756" s="141"/>
      <c r="W2756" s="3">
        <v>213.0</v>
      </c>
      <c r="X2756" s="172">
        <v>46084.83265429398</v>
      </c>
      <c r="Y2756" s="172"/>
      <c r="Z2756" s="3">
        <v>46074.0</v>
      </c>
      <c r="AA2756" s="3"/>
    </row>
    <row r="2757">
      <c r="A2757" s="3">
        <v>6.921123070211E12</v>
      </c>
      <c r="B2757" s="2"/>
      <c r="C2757" s="2" t="s">
        <v>11526</v>
      </c>
      <c r="D2757" s="169">
        <v>46074.0</v>
      </c>
      <c r="E2757" s="2">
        <v>3.004753932E9</v>
      </c>
      <c r="F2757" s="2" t="s">
        <v>11527</v>
      </c>
      <c r="G2757" s="2" t="s">
        <v>368</v>
      </c>
      <c r="H2757" s="2">
        <v>3347.0</v>
      </c>
      <c r="I2757" s="2">
        <v>2.1120050022019E13</v>
      </c>
      <c r="J2757" s="3">
        <v>2.0</v>
      </c>
      <c r="K2757" s="2" t="s">
        <v>11528</v>
      </c>
      <c r="L2757" s="2" t="s">
        <v>11529</v>
      </c>
      <c r="M2757" s="2" t="s">
        <v>409</v>
      </c>
      <c r="N2757" s="2" t="s">
        <v>462</v>
      </c>
      <c r="O2757" s="3"/>
      <c r="P2757" s="2" t="s">
        <v>73</v>
      </c>
      <c r="Q2757" s="3">
        <v>800.0</v>
      </c>
      <c r="R2757" s="3">
        <v>0.5</v>
      </c>
      <c r="T2757" s="2" t="s">
        <v>10233</v>
      </c>
      <c r="U2757" s="171">
        <v>3347.0</v>
      </c>
      <c r="W2757" s="3">
        <v>241.0</v>
      </c>
      <c r="X2757" s="172">
        <v>46076.624329143524</v>
      </c>
      <c r="Y2757" s="172"/>
      <c r="Z2757" s="3">
        <v>46074.0</v>
      </c>
      <c r="AA2757" s="3"/>
    </row>
    <row r="2758">
      <c r="A2758" s="3">
        <v>6.921169764611E12</v>
      </c>
      <c r="B2758" s="2"/>
      <c r="C2758" s="2" t="s">
        <v>11530</v>
      </c>
      <c r="D2758" s="169">
        <v>46074.0</v>
      </c>
      <c r="E2758" s="173" t="s">
        <v>11531</v>
      </c>
      <c r="F2758" s="2" t="s">
        <v>11532</v>
      </c>
      <c r="G2758" s="2" t="s">
        <v>368</v>
      </c>
      <c r="H2758" s="2">
        <v>3348.0</v>
      </c>
      <c r="I2758" s="2">
        <v>2.0120050022503E13</v>
      </c>
      <c r="J2758" s="3">
        <v>2.0</v>
      </c>
      <c r="K2758" s="2" t="s">
        <v>11533</v>
      </c>
      <c r="L2758" s="2" t="s">
        <v>40</v>
      </c>
      <c r="M2758" s="2" t="s">
        <v>409</v>
      </c>
      <c r="N2758" s="2" t="s">
        <v>462</v>
      </c>
      <c r="O2758" s="3"/>
      <c r="P2758" s="2" t="s">
        <v>73</v>
      </c>
      <c r="Q2758" s="3">
        <v>720.0</v>
      </c>
      <c r="R2758" s="3">
        <v>0.5</v>
      </c>
      <c r="T2758" s="2" t="s">
        <v>11534</v>
      </c>
      <c r="U2758" s="171">
        <v>3348.0</v>
      </c>
      <c r="V2758" s="172">
        <v>46097.0</v>
      </c>
      <c r="W2758" s="3">
        <v>241.0</v>
      </c>
      <c r="X2758" s="172">
        <v>46096.70765267361</v>
      </c>
      <c r="Y2758" s="172"/>
      <c r="Z2758" s="3">
        <v>46074.0</v>
      </c>
      <c r="AA2758" s="3"/>
    </row>
    <row r="2759">
      <c r="A2759" s="3">
        <v>6.921175761155E12</v>
      </c>
      <c r="B2759" s="2"/>
      <c r="C2759" s="2" t="s">
        <v>11535</v>
      </c>
      <c r="D2759" s="169">
        <v>46074.0</v>
      </c>
      <c r="E2759" s="173" t="s">
        <v>11536</v>
      </c>
      <c r="F2759" s="2" t="s">
        <v>11537</v>
      </c>
      <c r="G2759" s="2" t="s">
        <v>11538</v>
      </c>
      <c r="H2759" s="2">
        <v>3348.0</v>
      </c>
      <c r="I2759" s="2" t="s">
        <v>11539</v>
      </c>
      <c r="J2759" s="3">
        <v>2.0</v>
      </c>
      <c r="K2759" s="2" t="s">
        <v>11540</v>
      </c>
      <c r="L2759" s="2" t="s">
        <v>1116</v>
      </c>
      <c r="M2759" s="2" t="s">
        <v>409</v>
      </c>
      <c r="N2759" s="2" t="s">
        <v>406</v>
      </c>
      <c r="O2759" s="3"/>
      <c r="P2759" s="2" t="s">
        <v>640</v>
      </c>
      <c r="Q2759" s="3">
        <v>800.0</v>
      </c>
      <c r="R2759" s="3">
        <v>0.5</v>
      </c>
      <c r="U2759" s="141"/>
      <c r="X2759" s="172">
        <v>46081.77209215278</v>
      </c>
      <c r="Y2759" s="172"/>
      <c r="Z2759" s="3">
        <v>46074.0</v>
      </c>
      <c r="AA2759" s="3"/>
    </row>
    <row r="2760">
      <c r="A2760" s="3">
        <v>6.921185231107E12</v>
      </c>
      <c r="B2760" s="2"/>
      <c r="C2760" s="2" t="s">
        <v>11541</v>
      </c>
      <c r="D2760" s="169">
        <v>46074.0</v>
      </c>
      <c r="E2760" s="2">
        <v>3.345726938E9</v>
      </c>
      <c r="F2760" s="2" t="s">
        <v>11542</v>
      </c>
      <c r="G2760" s="2" t="s">
        <v>506</v>
      </c>
      <c r="H2760" s="2">
        <v>3347.0</v>
      </c>
      <c r="I2760" s="2">
        <v>2.9120050022018E13</v>
      </c>
      <c r="J2760" s="3">
        <v>2.0</v>
      </c>
      <c r="K2760" s="2" t="s">
        <v>11543</v>
      </c>
      <c r="L2760" s="2" t="s">
        <v>1285</v>
      </c>
      <c r="M2760" s="2" t="s">
        <v>409</v>
      </c>
      <c r="N2760" s="2" t="s">
        <v>462</v>
      </c>
      <c r="O2760" s="3"/>
      <c r="P2760" s="2" t="s">
        <v>73</v>
      </c>
      <c r="Q2760" s="3">
        <v>920.0</v>
      </c>
      <c r="R2760" s="3">
        <v>0.5</v>
      </c>
      <c r="T2760" s="2" t="s">
        <v>10233</v>
      </c>
      <c r="U2760" s="171">
        <v>3347.0</v>
      </c>
      <c r="W2760" s="3">
        <v>334.0</v>
      </c>
      <c r="X2760" s="172">
        <v>46076.74934217593</v>
      </c>
      <c r="Y2760" s="172"/>
      <c r="Z2760" s="3">
        <v>46074.0</v>
      </c>
      <c r="AA2760" s="3"/>
    </row>
    <row r="2761">
      <c r="A2761" s="3">
        <v>6.921188737283E12</v>
      </c>
      <c r="B2761" s="2"/>
      <c r="C2761" s="2" t="s">
        <v>11544</v>
      </c>
      <c r="D2761" s="169">
        <v>46074.0</v>
      </c>
      <c r="E2761" s="2">
        <v>3.152233953E9</v>
      </c>
      <c r="F2761" s="2" t="s">
        <v>11545</v>
      </c>
      <c r="G2761" s="2" t="s">
        <v>493</v>
      </c>
      <c r="H2761" s="2">
        <v>3348.0</v>
      </c>
      <c r="I2761" s="2">
        <v>2.5120050022017E13</v>
      </c>
      <c r="J2761" s="3">
        <v>2.0</v>
      </c>
      <c r="K2761" s="2" t="s">
        <v>10904</v>
      </c>
      <c r="L2761" s="2" t="s">
        <v>50</v>
      </c>
      <c r="M2761" s="2" t="s">
        <v>409</v>
      </c>
      <c r="N2761" s="2" t="s">
        <v>462</v>
      </c>
      <c r="O2761" s="3"/>
      <c r="P2761" s="2" t="s">
        <v>73</v>
      </c>
      <c r="Q2761" s="3">
        <v>720.0</v>
      </c>
      <c r="R2761" s="3">
        <v>0.5</v>
      </c>
      <c r="T2761" s="2" t="s">
        <v>10905</v>
      </c>
      <c r="U2761" s="171">
        <v>3348.0</v>
      </c>
      <c r="V2761" s="172">
        <v>46080.0</v>
      </c>
      <c r="W2761" s="3">
        <v>347.0</v>
      </c>
      <c r="X2761" s="172">
        <v>46077.457780937504</v>
      </c>
      <c r="Y2761" s="172"/>
      <c r="Z2761" s="3">
        <v>46074.0</v>
      </c>
      <c r="AA2761" s="3"/>
    </row>
    <row r="2762">
      <c r="A2762" s="3">
        <v>6.921250406659E12</v>
      </c>
      <c r="B2762" s="2"/>
      <c r="C2762" s="2" t="s">
        <v>11546</v>
      </c>
      <c r="D2762" s="169">
        <v>46074.0</v>
      </c>
      <c r="E2762" s="2">
        <v>3.214744169E9</v>
      </c>
      <c r="F2762" s="2" t="s">
        <v>11547</v>
      </c>
      <c r="G2762" s="2" t="s">
        <v>368</v>
      </c>
      <c r="H2762" s="2">
        <v>249.0</v>
      </c>
      <c r="I2762" s="2">
        <v>2.2120050022016E13</v>
      </c>
      <c r="J2762" s="3">
        <v>0.0</v>
      </c>
      <c r="K2762" s="2" t="s">
        <v>11548</v>
      </c>
      <c r="L2762" s="2"/>
      <c r="M2762" s="170" t="s">
        <v>455</v>
      </c>
      <c r="N2762" s="2" t="s">
        <v>406</v>
      </c>
      <c r="O2762" s="3"/>
      <c r="P2762" s="2" t="s">
        <v>73</v>
      </c>
      <c r="Q2762" s="3">
        <v>0.0</v>
      </c>
      <c r="R2762" s="3">
        <v>0.5</v>
      </c>
      <c r="U2762" s="141"/>
      <c r="W2762" s="3">
        <v>107.0</v>
      </c>
      <c r="X2762" s="172">
        <v>46083.83286980324</v>
      </c>
      <c r="Y2762" s="172"/>
      <c r="Z2762" s="3">
        <v>46074.0</v>
      </c>
      <c r="AA2762" s="3"/>
    </row>
    <row r="2763">
      <c r="A2763" s="3">
        <v>6.921274065155E12</v>
      </c>
      <c r="B2763" s="2"/>
      <c r="C2763" s="2" t="s">
        <v>11549</v>
      </c>
      <c r="D2763" s="169">
        <v>46074.0</v>
      </c>
      <c r="E2763" s="2">
        <v>3.230049349E9</v>
      </c>
      <c r="F2763" s="2" t="s">
        <v>11550</v>
      </c>
      <c r="G2763" s="2" t="s">
        <v>368</v>
      </c>
      <c r="H2763" s="2">
        <v>3348.0</v>
      </c>
      <c r="I2763" s="2">
        <v>2.0120050022015E13</v>
      </c>
      <c r="J2763" s="3">
        <v>2.0</v>
      </c>
      <c r="K2763" s="2" t="s">
        <v>11136</v>
      </c>
      <c r="L2763" s="2" t="s">
        <v>906</v>
      </c>
      <c r="M2763" s="2" t="s">
        <v>409</v>
      </c>
      <c r="N2763" s="2" t="s">
        <v>462</v>
      </c>
      <c r="O2763" s="3"/>
      <c r="P2763" s="2" t="s">
        <v>73</v>
      </c>
      <c r="Q2763" s="3">
        <v>720.0</v>
      </c>
      <c r="R2763" s="3">
        <v>0.5</v>
      </c>
      <c r="T2763" s="2" t="s">
        <v>10233</v>
      </c>
      <c r="U2763" s="171">
        <v>3348.0</v>
      </c>
      <c r="W2763" s="3">
        <v>241.0</v>
      </c>
      <c r="X2763" s="172">
        <v>46076.58283053241</v>
      </c>
      <c r="Y2763" s="172"/>
      <c r="Z2763" s="3">
        <v>46074.0</v>
      </c>
      <c r="AA2763" s="3"/>
    </row>
    <row r="2764">
      <c r="A2764" s="3">
        <v>6.921308537091E12</v>
      </c>
      <c r="B2764" s="2"/>
      <c r="C2764" s="2" t="s">
        <v>11551</v>
      </c>
      <c r="D2764" s="169">
        <v>46074.0</v>
      </c>
      <c r="E2764" s="173" t="s">
        <v>11552</v>
      </c>
      <c r="F2764" s="2" t="s">
        <v>11553</v>
      </c>
      <c r="G2764" s="2" t="s">
        <v>366</v>
      </c>
      <c r="H2764" s="2">
        <v>3099.0</v>
      </c>
      <c r="I2764" s="2">
        <v>2.5120050022014E13</v>
      </c>
      <c r="J2764" s="3">
        <v>2.0</v>
      </c>
      <c r="K2764" s="2" t="s">
        <v>11376</v>
      </c>
      <c r="L2764" s="2" t="s">
        <v>27</v>
      </c>
      <c r="M2764" s="2" t="s">
        <v>409</v>
      </c>
      <c r="N2764" s="2" t="s">
        <v>462</v>
      </c>
      <c r="O2764" s="3"/>
      <c r="P2764" s="2" t="s">
        <v>73</v>
      </c>
      <c r="Q2764" s="3">
        <v>720.0</v>
      </c>
      <c r="R2764" s="3">
        <v>0.5</v>
      </c>
      <c r="T2764" s="2" t="s">
        <v>10233</v>
      </c>
      <c r="U2764" s="171">
        <v>3099.0</v>
      </c>
      <c r="W2764" s="3">
        <v>324.0</v>
      </c>
      <c r="X2764" s="172">
        <v>46076.7910491088</v>
      </c>
      <c r="Y2764" s="172"/>
      <c r="Z2764" s="3">
        <v>46074.0</v>
      </c>
      <c r="AA2764" s="3"/>
    </row>
    <row r="2765">
      <c r="A2765" s="3">
        <v>6.921366831363E12</v>
      </c>
      <c r="B2765" s="2"/>
      <c r="C2765" s="2" t="s">
        <v>11451</v>
      </c>
      <c r="D2765" s="169">
        <v>46074.0</v>
      </c>
      <c r="E2765" s="2">
        <v>3.17606316E9</v>
      </c>
      <c r="F2765" s="2" t="s">
        <v>11452</v>
      </c>
      <c r="G2765" s="2" t="s">
        <v>546</v>
      </c>
      <c r="H2765" s="2">
        <v>3099.0</v>
      </c>
      <c r="I2765" s="2">
        <v>2.1120050022135E13</v>
      </c>
      <c r="J2765" s="3">
        <v>1.0</v>
      </c>
      <c r="K2765" s="2" t="s">
        <v>11554</v>
      </c>
      <c r="L2765" s="2" t="s">
        <v>5794</v>
      </c>
      <c r="M2765" s="2" t="s">
        <v>409</v>
      </c>
      <c r="N2765" s="2" t="s">
        <v>462</v>
      </c>
      <c r="O2765" s="3"/>
      <c r="P2765" s="2" t="s">
        <v>73</v>
      </c>
      <c r="Q2765" s="3">
        <v>1300.0</v>
      </c>
      <c r="R2765" s="3">
        <v>0.5</v>
      </c>
      <c r="T2765" s="2" t="s">
        <v>11287</v>
      </c>
      <c r="U2765" s="171">
        <v>3099.0</v>
      </c>
      <c r="V2765" s="172">
        <v>46084.0</v>
      </c>
      <c r="W2765" s="3">
        <v>268.0</v>
      </c>
      <c r="X2765" s="172">
        <v>46080.66594947917</v>
      </c>
      <c r="Y2765" s="172"/>
      <c r="Z2765" s="3">
        <v>46074.0</v>
      </c>
      <c r="AA2765" s="3"/>
    </row>
    <row r="2766">
      <c r="A2766" s="3">
        <v>6.921415098627E12</v>
      </c>
      <c r="B2766" s="2"/>
      <c r="C2766" s="2" t="s">
        <v>11555</v>
      </c>
      <c r="D2766" s="169">
        <v>46074.0</v>
      </c>
      <c r="E2766" s="2">
        <v>3.080007771E9</v>
      </c>
      <c r="F2766" s="2" t="s">
        <v>11556</v>
      </c>
      <c r="G2766" s="2" t="s">
        <v>368</v>
      </c>
      <c r="H2766" s="2">
        <v>0.0</v>
      </c>
      <c r="J2766" s="3">
        <v>0.0</v>
      </c>
      <c r="K2766" s="2" t="s">
        <v>11557</v>
      </c>
      <c r="L2766" s="2"/>
      <c r="M2766" s="2" t="s">
        <v>468</v>
      </c>
      <c r="N2766" s="2" t="s">
        <v>406</v>
      </c>
      <c r="O2766" s="3"/>
      <c r="Q2766" s="3">
        <v>0.0</v>
      </c>
      <c r="R2766" s="3">
        <v>0.5</v>
      </c>
      <c r="U2766" s="141"/>
      <c r="X2766" s="172"/>
      <c r="Y2766" s="172"/>
      <c r="Z2766" s="3">
        <v>46074.0</v>
      </c>
      <c r="AA2766" s="3"/>
    </row>
    <row r="2767">
      <c r="A2767" s="3">
        <v>6.921451176195E12</v>
      </c>
      <c r="B2767" s="2"/>
      <c r="C2767" s="2" t="s">
        <v>11558</v>
      </c>
      <c r="D2767" s="169">
        <v>46074.0</v>
      </c>
      <c r="E2767" s="2">
        <v>3.335450777E9</v>
      </c>
      <c r="F2767" s="2" t="s">
        <v>11559</v>
      </c>
      <c r="G2767" s="2" t="s">
        <v>3148</v>
      </c>
      <c r="H2767" s="2">
        <v>3348.0</v>
      </c>
      <c r="I2767" s="2">
        <v>2.4120050022055E13</v>
      </c>
      <c r="J2767" s="3">
        <v>2.0</v>
      </c>
      <c r="K2767" s="2" t="s">
        <v>11560</v>
      </c>
      <c r="L2767" s="2" t="s">
        <v>1116</v>
      </c>
      <c r="M2767" s="2" t="s">
        <v>409</v>
      </c>
      <c r="N2767" s="2" t="s">
        <v>462</v>
      </c>
      <c r="O2767" s="3"/>
      <c r="P2767" s="2" t="s">
        <v>73</v>
      </c>
      <c r="Q2767" s="3">
        <v>800.0</v>
      </c>
      <c r="R2767" s="3">
        <v>0.5</v>
      </c>
      <c r="T2767" s="2" t="s">
        <v>10905</v>
      </c>
      <c r="U2767" s="171">
        <v>3348.0</v>
      </c>
      <c r="V2767" s="172">
        <v>46080.0</v>
      </c>
      <c r="W2767" s="3">
        <v>334.0</v>
      </c>
      <c r="X2767" s="172">
        <v>46078.624417430554</v>
      </c>
      <c r="Y2767" s="172"/>
      <c r="Z2767" s="3">
        <v>46074.0</v>
      </c>
      <c r="AA2767" s="3"/>
    </row>
    <row r="2768">
      <c r="A2768" s="3">
        <v>6.921497870595E12</v>
      </c>
      <c r="B2768" s="2"/>
      <c r="C2768" s="2" t="s">
        <v>11561</v>
      </c>
      <c r="D2768" s="169">
        <v>46074.0</v>
      </c>
      <c r="E2768" s="2">
        <v>3.040460971E9</v>
      </c>
      <c r="F2768" s="2" t="s">
        <v>11562</v>
      </c>
      <c r="G2768" s="2" t="s">
        <v>1016</v>
      </c>
      <c r="H2768" s="2">
        <v>5049.0</v>
      </c>
      <c r="I2768" s="2">
        <v>2.3120050022182E13</v>
      </c>
      <c r="J2768" s="3">
        <v>3.0</v>
      </c>
      <c r="K2768" s="2" t="s">
        <v>11563</v>
      </c>
      <c r="L2768" s="2" t="s">
        <v>11564</v>
      </c>
      <c r="M2768" s="2" t="s">
        <v>409</v>
      </c>
      <c r="N2768" s="2" t="s">
        <v>462</v>
      </c>
      <c r="O2768" s="3"/>
      <c r="P2768" s="2" t="s">
        <v>73</v>
      </c>
      <c r="Q2768" s="3">
        <v>1200.0</v>
      </c>
      <c r="R2768" s="3">
        <v>0.5</v>
      </c>
      <c r="T2768" s="2" t="s">
        <v>11565</v>
      </c>
      <c r="U2768" s="171">
        <v>5049.0</v>
      </c>
      <c r="V2768" s="172">
        <v>46087.0</v>
      </c>
      <c r="W2768" s="3">
        <v>422.0</v>
      </c>
      <c r="X2768" s="172">
        <v>46084.70770005787</v>
      </c>
      <c r="Y2768" s="172"/>
      <c r="Z2768" s="3">
        <v>46074.0</v>
      </c>
      <c r="AA2768" s="3"/>
    </row>
    <row r="2769">
      <c r="A2769" s="3">
        <v>6.921502556419E12</v>
      </c>
      <c r="B2769" s="2"/>
      <c r="C2769" s="2" t="s">
        <v>11566</v>
      </c>
      <c r="D2769" s="169">
        <v>46074.0</v>
      </c>
      <c r="E2769" s="2">
        <v>3.554759448E9</v>
      </c>
      <c r="F2769" s="2" t="s">
        <v>11567</v>
      </c>
      <c r="G2769" s="2" t="s">
        <v>11568</v>
      </c>
      <c r="H2769" s="2">
        <v>0.0</v>
      </c>
      <c r="J2769" s="3">
        <v>0.0</v>
      </c>
      <c r="K2769" s="2" t="s">
        <v>11569</v>
      </c>
      <c r="L2769" s="2"/>
      <c r="M2769" s="2" t="s">
        <v>468</v>
      </c>
      <c r="N2769" s="2" t="s">
        <v>406</v>
      </c>
      <c r="O2769" s="3"/>
      <c r="Q2769" s="3">
        <v>0.0</v>
      </c>
      <c r="R2769" s="3">
        <v>0.5</v>
      </c>
      <c r="U2769" s="141"/>
      <c r="X2769" s="172"/>
      <c r="Y2769" s="172"/>
      <c r="Z2769" s="3">
        <v>46074.0</v>
      </c>
      <c r="AA2769" s="3"/>
    </row>
    <row r="2770">
      <c r="A2770" s="3">
        <v>6.921567338755E12</v>
      </c>
      <c r="B2770" s="2"/>
      <c r="C2770" s="2" t="s">
        <v>6218</v>
      </c>
      <c r="D2770" s="169">
        <v>46074.0</v>
      </c>
      <c r="E2770" s="2">
        <v>3.328245846E9</v>
      </c>
      <c r="F2770" s="2" t="s">
        <v>11570</v>
      </c>
      <c r="G2770" s="2" t="s">
        <v>493</v>
      </c>
      <c r="H2770" s="2">
        <v>1899.0</v>
      </c>
      <c r="I2770" s="2">
        <v>2.9120050022067E13</v>
      </c>
      <c r="J2770" s="3">
        <v>1.0</v>
      </c>
      <c r="K2770" s="2" t="s">
        <v>11571</v>
      </c>
      <c r="L2770" s="2" t="s">
        <v>6317</v>
      </c>
      <c r="M2770" s="2" t="s">
        <v>409</v>
      </c>
      <c r="N2770" s="2" t="s">
        <v>462</v>
      </c>
      <c r="O2770" s="3"/>
      <c r="P2770" s="2" t="s">
        <v>73</v>
      </c>
      <c r="Q2770" s="3">
        <v>550.0</v>
      </c>
      <c r="R2770" s="3">
        <v>0.5</v>
      </c>
      <c r="T2770" s="2" t="s">
        <v>10905</v>
      </c>
      <c r="U2770" s="171">
        <v>1899.0</v>
      </c>
      <c r="V2770" s="172">
        <v>46080.0</v>
      </c>
      <c r="W2770" s="3">
        <v>289.0</v>
      </c>
      <c r="X2770" s="172">
        <v>46078.87432836805</v>
      </c>
      <c r="Y2770" s="172"/>
      <c r="Z2770" s="3">
        <v>46074.0</v>
      </c>
      <c r="AA2770" s="3"/>
    </row>
    <row r="2771">
      <c r="A2771" s="3">
        <v>6.921847472387E12</v>
      </c>
      <c r="B2771" s="2"/>
      <c r="C2771" s="2" t="s">
        <v>11572</v>
      </c>
      <c r="D2771" s="169">
        <v>46074.0</v>
      </c>
      <c r="E2771" s="2">
        <v>3.215720189E9</v>
      </c>
      <c r="F2771" s="2" t="s">
        <v>11573</v>
      </c>
      <c r="G2771" s="2" t="s">
        <v>506</v>
      </c>
      <c r="H2771" s="2">
        <v>2599.0</v>
      </c>
      <c r="I2771" s="2">
        <v>2.5120050022054E13</v>
      </c>
      <c r="J2771" s="3">
        <v>1.0</v>
      </c>
      <c r="K2771" s="2" t="s">
        <v>11574</v>
      </c>
      <c r="L2771" s="2" t="s">
        <v>11575</v>
      </c>
      <c r="M2771" s="2" t="s">
        <v>409</v>
      </c>
      <c r="N2771" s="2" t="s">
        <v>462</v>
      </c>
      <c r="O2771" s="3"/>
      <c r="P2771" s="2" t="s">
        <v>73</v>
      </c>
      <c r="Q2771" s="3">
        <v>1100.0</v>
      </c>
      <c r="R2771" s="3">
        <v>0.5</v>
      </c>
      <c r="T2771" s="2" t="s">
        <v>10905</v>
      </c>
      <c r="U2771" s="171">
        <v>2599.0</v>
      </c>
      <c r="V2771" s="172">
        <v>46080.0</v>
      </c>
      <c r="W2771" s="3">
        <v>304.0</v>
      </c>
      <c r="X2771" s="172">
        <v>46078.6244175</v>
      </c>
      <c r="Y2771" s="172"/>
      <c r="Z2771" s="3">
        <v>46074.0</v>
      </c>
      <c r="AA2771" s="3"/>
    </row>
    <row r="2772">
      <c r="A2772" s="3">
        <v>6.921939157251E12</v>
      </c>
      <c r="B2772" s="2"/>
      <c r="C2772" s="2" t="s">
        <v>11576</v>
      </c>
      <c r="D2772" s="169">
        <v>46074.0</v>
      </c>
      <c r="E2772" s="2">
        <v>3.33591212E9</v>
      </c>
      <c r="F2772" s="2" t="s">
        <v>11577</v>
      </c>
      <c r="G2772" s="2" t="s">
        <v>506</v>
      </c>
      <c r="H2772" s="2">
        <v>3348.0</v>
      </c>
      <c r="I2772" s="2">
        <v>2.8120050022134E13</v>
      </c>
      <c r="J2772" s="3">
        <v>2.0</v>
      </c>
      <c r="K2772" s="2" t="s">
        <v>11578</v>
      </c>
      <c r="L2772" s="2" t="s">
        <v>1258</v>
      </c>
      <c r="M2772" s="2" t="s">
        <v>409</v>
      </c>
      <c r="N2772" s="2" t="s">
        <v>462</v>
      </c>
      <c r="O2772" s="3"/>
      <c r="P2772" s="2" t="s">
        <v>73</v>
      </c>
      <c r="Q2772" s="3">
        <v>800.0</v>
      </c>
      <c r="R2772" s="3">
        <v>0.5</v>
      </c>
      <c r="T2772" s="2" t="s">
        <v>11287</v>
      </c>
      <c r="U2772" s="171">
        <v>3348.0</v>
      </c>
      <c r="V2772" s="172">
        <v>46084.0</v>
      </c>
      <c r="W2772" s="3">
        <v>334.0</v>
      </c>
      <c r="X2772" s="172">
        <v>46081.77084329861</v>
      </c>
      <c r="Y2772" s="172"/>
      <c r="Z2772" s="3">
        <v>46074.0</v>
      </c>
      <c r="AA2772" s="3"/>
    </row>
    <row r="2773">
      <c r="A2773" s="3">
        <v>6.921964912899E12</v>
      </c>
      <c r="B2773" s="2"/>
      <c r="C2773" s="2" t="s">
        <v>11579</v>
      </c>
      <c r="D2773" s="169">
        <v>46075.0</v>
      </c>
      <c r="E2773" s="2">
        <v>3.216760321E9</v>
      </c>
      <c r="F2773" s="2" t="s">
        <v>11580</v>
      </c>
      <c r="G2773" s="2" t="s">
        <v>958</v>
      </c>
      <c r="H2773" s="2">
        <v>3849.0</v>
      </c>
      <c r="I2773" s="2">
        <v>2.1120050022053E13</v>
      </c>
      <c r="J2773" s="3">
        <v>2.0</v>
      </c>
      <c r="K2773" s="2" t="s">
        <v>11581</v>
      </c>
      <c r="L2773" s="2" t="s">
        <v>11582</v>
      </c>
      <c r="M2773" s="2" t="s">
        <v>409</v>
      </c>
      <c r="N2773" s="2" t="s">
        <v>462</v>
      </c>
      <c r="O2773" s="3"/>
      <c r="P2773" s="2" t="s">
        <v>73</v>
      </c>
      <c r="Q2773" s="3">
        <v>800.0</v>
      </c>
      <c r="R2773" s="3">
        <v>0.5</v>
      </c>
      <c r="T2773" s="2" t="s">
        <v>10905</v>
      </c>
      <c r="U2773" s="171">
        <v>3849.0</v>
      </c>
      <c r="V2773" s="172">
        <v>46080.0</v>
      </c>
      <c r="W2773" s="3">
        <v>354.0</v>
      </c>
      <c r="X2773" s="172">
        <v>46078.54122403935</v>
      </c>
      <c r="Y2773" s="172"/>
      <c r="Z2773" s="3">
        <v>46075.0</v>
      </c>
      <c r="AA2773" s="3"/>
    </row>
    <row r="2774">
      <c r="A2774" s="3">
        <v>6.922016227587E12</v>
      </c>
      <c r="B2774" s="2"/>
      <c r="C2774" s="2" t="s">
        <v>11583</v>
      </c>
      <c r="D2774" s="169">
        <v>46075.0</v>
      </c>
      <c r="E2774" s="2">
        <v>3.00427292E9</v>
      </c>
      <c r="F2774" s="2" t="s">
        <v>11584</v>
      </c>
      <c r="G2774" s="2" t="s">
        <v>678</v>
      </c>
      <c r="H2774" s="2">
        <v>249.0</v>
      </c>
      <c r="I2774" s="2">
        <v>2.6120050022052E13</v>
      </c>
      <c r="J2774" s="3">
        <v>0.0</v>
      </c>
      <c r="K2774" s="2" t="s">
        <v>11585</v>
      </c>
      <c r="L2774" s="2"/>
      <c r="M2774" s="170" t="s">
        <v>455</v>
      </c>
      <c r="N2774" s="2" t="s">
        <v>406</v>
      </c>
      <c r="O2774" s="3"/>
      <c r="P2774" s="2" t="s">
        <v>73</v>
      </c>
      <c r="Q2774" s="3">
        <v>0.0</v>
      </c>
      <c r="R2774" s="3">
        <v>0.5</v>
      </c>
      <c r="U2774" s="141"/>
      <c r="W2774" s="3">
        <v>107.0</v>
      </c>
      <c r="X2774" s="172">
        <v>46083.832869907405</v>
      </c>
      <c r="Y2774" s="172"/>
      <c r="Z2774" s="3">
        <v>46075.0</v>
      </c>
      <c r="AA2774" s="3"/>
    </row>
    <row r="2775">
      <c r="A2775" s="3">
        <v>6.922102472963E12</v>
      </c>
      <c r="B2775" s="2"/>
      <c r="C2775" s="2" t="s">
        <v>11586</v>
      </c>
      <c r="D2775" s="169">
        <v>46075.0</v>
      </c>
      <c r="E2775" s="2">
        <v>3.200427099E9</v>
      </c>
      <c r="F2775" s="2" t="s">
        <v>11587</v>
      </c>
      <c r="G2775" s="2" t="s">
        <v>368</v>
      </c>
      <c r="H2775" s="2">
        <v>3348.0</v>
      </c>
      <c r="I2775" s="2">
        <v>2.7120050022051E13</v>
      </c>
      <c r="J2775" s="3">
        <v>2.0</v>
      </c>
      <c r="K2775" s="2" t="s">
        <v>11560</v>
      </c>
      <c r="L2775" s="2" t="s">
        <v>22</v>
      </c>
      <c r="M2775" s="2" t="s">
        <v>409</v>
      </c>
      <c r="N2775" s="2" t="s">
        <v>462</v>
      </c>
      <c r="O2775" s="3"/>
      <c r="P2775" s="2" t="s">
        <v>73</v>
      </c>
      <c r="Q2775" s="3">
        <v>800.0</v>
      </c>
      <c r="R2775" s="3">
        <v>0.5</v>
      </c>
      <c r="T2775" s="2" t="s">
        <v>10905</v>
      </c>
      <c r="U2775" s="171">
        <v>3348.0</v>
      </c>
      <c r="V2775" s="172">
        <v>46080.0</v>
      </c>
      <c r="W2775" s="3">
        <v>241.0</v>
      </c>
      <c r="X2775" s="172">
        <v>46077.54116616899</v>
      </c>
      <c r="Y2775" s="172"/>
      <c r="Z2775" s="3">
        <v>46075.0</v>
      </c>
      <c r="AA2775" s="3"/>
    </row>
    <row r="2776">
      <c r="A2776" s="3">
        <v>6.922136125699E12</v>
      </c>
      <c r="B2776" s="2"/>
      <c r="C2776" s="2" t="s">
        <v>11588</v>
      </c>
      <c r="D2776" s="169">
        <v>46075.0</v>
      </c>
      <c r="E2776" s="2">
        <v>3.009550389E9</v>
      </c>
      <c r="F2776" s="2" t="s">
        <v>11589</v>
      </c>
      <c r="G2776" s="2" t="s">
        <v>11590</v>
      </c>
      <c r="H2776" s="2">
        <v>2849.0</v>
      </c>
      <c r="I2776" s="2" t="s">
        <v>11591</v>
      </c>
      <c r="J2776" s="3">
        <v>2.0</v>
      </c>
      <c r="K2776" s="2" t="s">
        <v>11592</v>
      </c>
      <c r="L2776" s="2" t="s">
        <v>5839</v>
      </c>
      <c r="M2776" s="2" t="s">
        <v>409</v>
      </c>
      <c r="N2776" s="2" t="s">
        <v>406</v>
      </c>
      <c r="O2776" s="3"/>
      <c r="P2776" s="2" t="s">
        <v>640</v>
      </c>
      <c r="Q2776" s="3">
        <v>1050.0</v>
      </c>
      <c r="R2776" s="3">
        <v>0.5</v>
      </c>
      <c r="U2776" s="141"/>
      <c r="X2776" s="172">
        <v>46081.667443576385</v>
      </c>
      <c r="Y2776" s="172"/>
      <c r="Z2776" s="3">
        <v>46075.0</v>
      </c>
      <c r="AA2776" s="3"/>
    </row>
    <row r="2777">
      <c r="A2777" s="3">
        <v>6.922247176451E12</v>
      </c>
      <c r="B2777" s="2"/>
      <c r="C2777" s="2" t="s">
        <v>11593</v>
      </c>
      <c r="D2777" s="169">
        <v>46075.0</v>
      </c>
      <c r="E2777" s="2">
        <v>3.192340165E9</v>
      </c>
      <c r="F2777" s="2" t="s">
        <v>11594</v>
      </c>
      <c r="G2777" s="2" t="s">
        <v>672</v>
      </c>
      <c r="H2777" s="2">
        <v>0.0</v>
      </c>
      <c r="J2777" s="3">
        <v>0.0</v>
      </c>
      <c r="K2777" s="2" t="s">
        <v>11595</v>
      </c>
      <c r="L2777" s="2"/>
      <c r="M2777" s="2" t="s">
        <v>468</v>
      </c>
      <c r="N2777" s="2" t="s">
        <v>406</v>
      </c>
      <c r="O2777" s="3"/>
      <c r="Q2777" s="3">
        <v>0.0</v>
      </c>
      <c r="R2777" s="3">
        <v>0.5</v>
      </c>
      <c r="U2777" s="141"/>
      <c r="X2777" s="172"/>
      <c r="Y2777" s="172"/>
      <c r="Z2777" s="3">
        <v>46075.0</v>
      </c>
      <c r="AA2777" s="3"/>
    </row>
    <row r="2778">
      <c r="A2778" s="3">
        <v>6.922253205763E12</v>
      </c>
      <c r="B2778" s="2"/>
      <c r="C2778" s="2" t="s">
        <v>11596</v>
      </c>
      <c r="D2778" s="169">
        <v>46075.0</v>
      </c>
      <c r="E2778" s="2">
        <v>3.335690567E9</v>
      </c>
      <c r="F2778" s="2" t="s">
        <v>11597</v>
      </c>
      <c r="G2778" s="2" t="s">
        <v>506</v>
      </c>
      <c r="H2778" s="2">
        <v>3549.0</v>
      </c>
      <c r="I2778" s="2">
        <v>2.5120050022133E13</v>
      </c>
      <c r="J2778" s="3">
        <v>2.0</v>
      </c>
      <c r="K2778" s="2" t="s">
        <v>11598</v>
      </c>
      <c r="L2778" s="2" t="s">
        <v>11599</v>
      </c>
      <c r="M2778" s="2" t="s">
        <v>409</v>
      </c>
      <c r="N2778" s="2" t="s">
        <v>462</v>
      </c>
      <c r="O2778" s="3"/>
      <c r="P2778" s="2" t="s">
        <v>73</v>
      </c>
      <c r="Q2778" s="3">
        <v>1100.0</v>
      </c>
      <c r="R2778" s="3">
        <v>0.5</v>
      </c>
      <c r="T2778" s="2" t="s">
        <v>11287</v>
      </c>
      <c r="U2778" s="171">
        <v>3549.0</v>
      </c>
      <c r="V2778" s="172">
        <v>46084.0</v>
      </c>
      <c r="W2778" s="3">
        <v>362.0</v>
      </c>
      <c r="X2778" s="172">
        <v>46081.499270138884</v>
      </c>
      <c r="Y2778" s="172"/>
      <c r="Z2778" s="3">
        <v>46075.0</v>
      </c>
      <c r="AA2778" s="3"/>
    </row>
    <row r="2779">
      <c r="A2779" s="3">
        <v>6.922262184195E12</v>
      </c>
      <c r="B2779" s="2"/>
      <c r="C2779" s="2" t="s">
        <v>11600</v>
      </c>
      <c r="D2779" s="169">
        <v>46075.0</v>
      </c>
      <c r="E2779" s="2">
        <v>3.29241E9</v>
      </c>
      <c r="F2779" s="2" t="s">
        <v>11601</v>
      </c>
      <c r="G2779" s="2" t="s">
        <v>368</v>
      </c>
      <c r="H2779" s="2">
        <v>2849.0</v>
      </c>
      <c r="I2779" s="2">
        <v>2.612005002205E13</v>
      </c>
      <c r="J2779" s="3">
        <v>2.0</v>
      </c>
      <c r="K2779" s="2" t="s">
        <v>11602</v>
      </c>
      <c r="L2779" s="2" t="s">
        <v>2324</v>
      </c>
      <c r="M2779" s="2" t="s">
        <v>409</v>
      </c>
      <c r="N2779" s="2" t="s">
        <v>462</v>
      </c>
      <c r="O2779" s="3"/>
      <c r="P2779" s="2" t="s">
        <v>73</v>
      </c>
      <c r="Q2779" s="3">
        <v>720.0</v>
      </c>
      <c r="R2779" s="3">
        <v>0.5</v>
      </c>
      <c r="T2779" s="2" t="s">
        <v>10905</v>
      </c>
      <c r="U2779" s="171">
        <v>2849.0</v>
      </c>
      <c r="V2779" s="172">
        <v>46080.0</v>
      </c>
      <c r="W2779" s="3">
        <v>221.0</v>
      </c>
      <c r="X2779" s="172">
        <v>46077.770897002316</v>
      </c>
      <c r="Y2779" s="172"/>
      <c r="Z2779" s="3">
        <v>46075.0</v>
      </c>
      <c r="AA2779" s="3"/>
    </row>
    <row r="2780">
      <c r="A2780" s="3">
        <v>6.922273194243E12</v>
      </c>
      <c r="B2780" s="2"/>
      <c r="C2780" s="2" t="s">
        <v>11603</v>
      </c>
      <c r="D2780" s="169">
        <v>46075.0</v>
      </c>
      <c r="E2780" s="173" t="s">
        <v>11604</v>
      </c>
      <c r="F2780" s="2" t="s">
        <v>11605</v>
      </c>
      <c r="G2780" s="2" t="s">
        <v>2725</v>
      </c>
      <c r="H2780" s="2">
        <v>3348.0</v>
      </c>
      <c r="I2780" s="2">
        <v>2.8120050022167E13</v>
      </c>
      <c r="J2780" s="3">
        <v>2.0</v>
      </c>
      <c r="K2780" s="2" t="s">
        <v>11606</v>
      </c>
      <c r="L2780" s="2" t="s">
        <v>296</v>
      </c>
      <c r="M2780" s="2" t="s">
        <v>409</v>
      </c>
      <c r="N2780" s="2" t="s">
        <v>462</v>
      </c>
      <c r="O2780" s="3"/>
      <c r="P2780" s="2" t="s">
        <v>73</v>
      </c>
      <c r="Q2780" s="3">
        <v>720.0</v>
      </c>
      <c r="R2780" s="3">
        <v>0.5</v>
      </c>
      <c r="T2780" s="2" t="s">
        <v>11287</v>
      </c>
      <c r="U2780" s="171">
        <v>3348.0</v>
      </c>
      <c r="V2780" s="172">
        <v>46084.0</v>
      </c>
      <c r="W2780" s="3">
        <v>334.0</v>
      </c>
      <c r="X2780" s="172">
        <v>46081.707637685184</v>
      </c>
      <c r="Y2780" s="172"/>
      <c r="Z2780" s="3">
        <v>46075.0</v>
      </c>
      <c r="AA2780" s="3"/>
    </row>
    <row r="2781">
      <c r="A2781" s="3">
        <v>6.922359734531E12</v>
      </c>
      <c r="B2781" s="2"/>
      <c r="C2781" s="2" t="s">
        <v>11607</v>
      </c>
      <c r="D2781" s="169">
        <v>46075.0</v>
      </c>
      <c r="E2781" s="2">
        <v>3.008044199E9</v>
      </c>
      <c r="F2781" s="2" t="s">
        <v>11608</v>
      </c>
      <c r="G2781" s="2" t="s">
        <v>1257</v>
      </c>
      <c r="H2781" s="2">
        <v>249.0</v>
      </c>
      <c r="I2781" s="2">
        <v>2.6120050022502E13</v>
      </c>
      <c r="J2781" s="3">
        <v>0.0</v>
      </c>
      <c r="K2781" s="2" t="s">
        <v>204</v>
      </c>
      <c r="L2781" s="2"/>
      <c r="M2781" s="170" t="s">
        <v>455</v>
      </c>
      <c r="N2781" s="2" t="s">
        <v>406</v>
      </c>
      <c r="O2781" s="3"/>
      <c r="P2781" s="2" t="s">
        <v>73</v>
      </c>
      <c r="Q2781" s="3">
        <v>0.0</v>
      </c>
      <c r="R2781" s="3">
        <v>0.5</v>
      </c>
      <c r="U2781" s="141"/>
      <c r="X2781" s="172">
        <v>46107.874369178244</v>
      </c>
      <c r="Y2781" s="172"/>
      <c r="Z2781" s="3">
        <v>46075.0</v>
      </c>
      <c r="AA2781" s="3"/>
    </row>
    <row r="2782">
      <c r="A2782" s="3">
        <v>6.922371531011E12</v>
      </c>
      <c r="B2782" s="2"/>
      <c r="C2782" s="2" t="s">
        <v>11609</v>
      </c>
      <c r="D2782" s="169">
        <v>46075.0</v>
      </c>
      <c r="E2782" s="173" t="s">
        <v>11610</v>
      </c>
      <c r="F2782" s="2" t="s">
        <v>11611</v>
      </c>
      <c r="G2782" s="2" t="s">
        <v>4186</v>
      </c>
      <c r="H2782" s="2">
        <v>2199.0</v>
      </c>
      <c r="I2782" s="2">
        <v>2.5120050022132E13</v>
      </c>
      <c r="J2782" s="3">
        <v>1.0</v>
      </c>
      <c r="K2782" s="2" t="s">
        <v>11612</v>
      </c>
      <c r="L2782" s="2" t="s">
        <v>11613</v>
      </c>
      <c r="M2782" s="2" t="s">
        <v>409</v>
      </c>
      <c r="N2782" s="2" t="s">
        <v>462</v>
      </c>
      <c r="O2782" s="3"/>
      <c r="P2782" s="2" t="s">
        <v>73</v>
      </c>
      <c r="Q2782" s="3">
        <v>650.0</v>
      </c>
      <c r="R2782" s="3">
        <v>0.5</v>
      </c>
      <c r="T2782" s="2" t="s">
        <v>11287</v>
      </c>
      <c r="U2782" s="171">
        <v>2199.0</v>
      </c>
      <c r="V2782" s="172">
        <v>46084.0</v>
      </c>
      <c r="W2782" s="3">
        <v>288.0</v>
      </c>
      <c r="X2782" s="172">
        <v>46081.6243712037</v>
      </c>
      <c r="Y2782" s="172"/>
      <c r="Z2782" s="3">
        <v>46075.0</v>
      </c>
      <c r="AA2782" s="3"/>
    </row>
    <row r="2783">
      <c r="A2783" s="3">
        <v>6.922389750019E12</v>
      </c>
      <c r="B2783" s="2"/>
      <c r="C2783" s="2" t="s">
        <v>11614</v>
      </c>
      <c r="D2783" s="169">
        <v>46075.0</v>
      </c>
      <c r="E2783" s="2">
        <v>3.405470661E9</v>
      </c>
      <c r="F2783" s="2" t="s">
        <v>11615</v>
      </c>
      <c r="G2783" s="2" t="s">
        <v>366</v>
      </c>
      <c r="H2783" s="2">
        <v>3099.0</v>
      </c>
      <c r="I2783" s="2">
        <v>2.5120050022066E13</v>
      </c>
      <c r="J2783" s="3">
        <v>2.0</v>
      </c>
      <c r="K2783" s="2" t="s">
        <v>11513</v>
      </c>
      <c r="L2783" s="2" t="s">
        <v>2562</v>
      </c>
      <c r="M2783" s="2" t="s">
        <v>409</v>
      </c>
      <c r="N2783" s="2" t="s">
        <v>462</v>
      </c>
      <c r="O2783" s="3"/>
      <c r="P2783" s="2" t="s">
        <v>73</v>
      </c>
      <c r="Q2783" s="3">
        <v>1000.0</v>
      </c>
      <c r="R2783" s="3">
        <v>0.5</v>
      </c>
      <c r="T2783" s="2" t="s">
        <v>10905</v>
      </c>
      <c r="U2783" s="171">
        <v>3099.0</v>
      </c>
      <c r="V2783" s="172">
        <v>46080.0</v>
      </c>
      <c r="W2783" s="3">
        <v>324.0</v>
      </c>
      <c r="X2783" s="172">
        <v>46079.52093753472</v>
      </c>
      <c r="Y2783" s="172"/>
      <c r="Z2783" s="3">
        <v>46075.0</v>
      </c>
      <c r="AA2783" s="3"/>
    </row>
    <row r="2784">
      <c r="A2784" s="3">
        <v>6.922391585027E12</v>
      </c>
      <c r="B2784" s="2"/>
      <c r="C2784" s="2" t="s">
        <v>11616</v>
      </c>
      <c r="D2784" s="169">
        <v>46075.0</v>
      </c>
      <c r="E2784" s="2">
        <v>3.049161776E9</v>
      </c>
      <c r="F2784" s="2" t="s">
        <v>11617</v>
      </c>
      <c r="G2784" s="2" t="s">
        <v>541</v>
      </c>
      <c r="H2784" s="2">
        <v>2399.0</v>
      </c>
      <c r="I2784" s="2">
        <v>2.7120050022049E13</v>
      </c>
      <c r="J2784" s="3">
        <v>1.0</v>
      </c>
      <c r="K2784" s="2" t="s">
        <v>11618</v>
      </c>
      <c r="L2784" s="2" t="s">
        <v>11619</v>
      </c>
      <c r="M2784" s="2" t="s">
        <v>409</v>
      </c>
      <c r="N2784" s="2" t="s">
        <v>462</v>
      </c>
      <c r="O2784" s="3"/>
      <c r="P2784" s="2" t="s">
        <v>73</v>
      </c>
      <c r="Q2784" s="3">
        <v>1000.0</v>
      </c>
      <c r="R2784" s="3">
        <v>0.5</v>
      </c>
      <c r="T2784" s="2" t="s">
        <v>10905</v>
      </c>
      <c r="U2784" s="171">
        <v>2399.0</v>
      </c>
      <c r="V2784" s="172">
        <v>46080.0</v>
      </c>
      <c r="W2784" s="3">
        <v>296.0</v>
      </c>
      <c r="X2784" s="172">
        <v>46079.6243162037</v>
      </c>
      <c r="Y2784" s="172"/>
      <c r="Z2784" s="3">
        <v>46075.0</v>
      </c>
      <c r="AA2784" s="3"/>
    </row>
    <row r="2785">
      <c r="A2785" s="3">
        <v>6.922448503043E12</v>
      </c>
      <c r="B2785" s="2"/>
      <c r="C2785" s="2" t="s">
        <v>11620</v>
      </c>
      <c r="D2785" s="169">
        <v>46075.0</v>
      </c>
      <c r="E2785" s="2">
        <v>3.00181086E9</v>
      </c>
      <c r="F2785" s="2" t="s">
        <v>11621</v>
      </c>
      <c r="G2785" s="2" t="s">
        <v>855</v>
      </c>
      <c r="H2785" s="2">
        <v>249.0</v>
      </c>
      <c r="I2785" s="2">
        <v>2.3120050022139E13</v>
      </c>
      <c r="J2785" s="3">
        <v>0.0</v>
      </c>
      <c r="K2785" s="2" t="s">
        <v>11622</v>
      </c>
      <c r="L2785" s="2"/>
      <c r="M2785" s="170" t="s">
        <v>455</v>
      </c>
      <c r="N2785" s="2" t="s">
        <v>406</v>
      </c>
      <c r="O2785" s="3"/>
      <c r="P2785" s="2" t="s">
        <v>73</v>
      </c>
      <c r="Q2785" s="3">
        <v>0.0</v>
      </c>
      <c r="R2785" s="3">
        <v>0.5</v>
      </c>
      <c r="U2785" s="141"/>
      <c r="W2785" s="3">
        <v>200.0</v>
      </c>
      <c r="X2785" s="172">
        <v>46091.9159553125</v>
      </c>
      <c r="Y2785" s="172"/>
      <c r="Z2785" s="3">
        <v>46075.0</v>
      </c>
      <c r="AA2785" s="3"/>
    </row>
    <row r="2786">
      <c r="A2786" s="3">
        <v>6.922530095363E12</v>
      </c>
      <c r="B2786" s="2"/>
      <c r="C2786" s="2" t="s">
        <v>11623</v>
      </c>
      <c r="D2786" s="169">
        <v>46075.0</v>
      </c>
      <c r="E2786" s="2">
        <v>3.343331206E9</v>
      </c>
      <c r="F2786" s="2" t="s">
        <v>11624</v>
      </c>
      <c r="G2786" s="2" t="s">
        <v>855</v>
      </c>
      <c r="H2786" s="2">
        <v>2849.0</v>
      </c>
      <c r="I2786" s="2">
        <v>2.9120050022048E13</v>
      </c>
      <c r="J2786" s="3">
        <v>2.0</v>
      </c>
      <c r="K2786" s="2" t="s">
        <v>11602</v>
      </c>
      <c r="L2786" s="2" t="s">
        <v>1920</v>
      </c>
      <c r="M2786" s="2" t="s">
        <v>409</v>
      </c>
      <c r="N2786" s="2" t="s">
        <v>462</v>
      </c>
      <c r="O2786" s="3"/>
      <c r="P2786" s="2" t="s">
        <v>73</v>
      </c>
      <c r="Q2786" s="3">
        <v>1050.0</v>
      </c>
      <c r="R2786" s="3">
        <v>0.5</v>
      </c>
      <c r="T2786" s="2" t="s">
        <v>10905</v>
      </c>
      <c r="U2786" s="171">
        <v>2849.0</v>
      </c>
      <c r="V2786" s="172">
        <v>46080.0</v>
      </c>
      <c r="W2786" s="3">
        <v>314.0</v>
      </c>
      <c r="X2786" s="172">
        <v>46077.58265361111</v>
      </c>
      <c r="Y2786" s="172"/>
      <c r="Z2786" s="3">
        <v>46075.0</v>
      </c>
      <c r="AA2786" s="3"/>
    </row>
    <row r="2787">
      <c r="A2787" s="3">
        <v>6.922558112003E12</v>
      </c>
      <c r="B2787" s="2"/>
      <c r="C2787" s="2" t="s">
        <v>11625</v>
      </c>
      <c r="D2787" s="169">
        <v>46075.0</v>
      </c>
      <c r="E2787" s="2">
        <v>3.204886759E9</v>
      </c>
      <c r="F2787" s="2" t="s">
        <v>11626</v>
      </c>
      <c r="G2787" s="2" t="s">
        <v>368</v>
      </c>
      <c r="H2787" s="2">
        <v>5000.0</v>
      </c>
      <c r="I2787" s="2">
        <v>2.2120050022047E13</v>
      </c>
      <c r="J2787" s="3">
        <v>4.0</v>
      </c>
      <c r="K2787" s="2" t="s">
        <v>11627</v>
      </c>
      <c r="L2787" s="2" t="s">
        <v>11628</v>
      </c>
      <c r="M2787" s="2" t="s">
        <v>409</v>
      </c>
      <c r="N2787" s="2" t="s">
        <v>462</v>
      </c>
      <c r="O2787" s="3"/>
      <c r="P2787" s="2" t="s">
        <v>73</v>
      </c>
      <c r="Q2787" s="3">
        <v>1820.0</v>
      </c>
      <c r="R2787" s="3">
        <v>0.5</v>
      </c>
      <c r="T2787" s="2" t="s">
        <v>10905</v>
      </c>
      <c r="U2787" s="171">
        <v>5000.0</v>
      </c>
      <c r="V2787" s="172">
        <v>46080.0</v>
      </c>
      <c r="W2787" s="3">
        <v>420.0</v>
      </c>
      <c r="X2787" s="172">
        <v>46077.58265362268</v>
      </c>
      <c r="Y2787" s="172"/>
      <c r="Z2787" s="3">
        <v>46075.0</v>
      </c>
      <c r="AA2787" s="3"/>
    </row>
    <row r="2788">
      <c r="A2788" s="3">
        <v>6.922560372995E12</v>
      </c>
      <c r="B2788" s="2"/>
      <c r="C2788" s="2" t="s">
        <v>9972</v>
      </c>
      <c r="D2788" s="169">
        <v>46075.0</v>
      </c>
      <c r="E2788" s="2">
        <v>3.160955768E9</v>
      </c>
      <c r="F2788" s="2" t="s">
        <v>9973</v>
      </c>
      <c r="G2788" s="2" t="s">
        <v>368</v>
      </c>
      <c r="H2788" s="2">
        <v>0.0</v>
      </c>
      <c r="J2788" s="3">
        <v>0.0</v>
      </c>
      <c r="K2788" s="2" t="s">
        <v>11629</v>
      </c>
      <c r="L2788" s="2"/>
      <c r="M2788" s="2" t="s">
        <v>468</v>
      </c>
      <c r="N2788" s="2" t="s">
        <v>406</v>
      </c>
      <c r="O2788" s="3"/>
      <c r="Q2788" s="3">
        <v>0.0</v>
      </c>
      <c r="R2788" s="3">
        <v>0.5</v>
      </c>
      <c r="U2788" s="141"/>
      <c r="X2788" s="172"/>
      <c r="Y2788" s="172"/>
      <c r="Z2788" s="3">
        <v>46075.0</v>
      </c>
      <c r="AA2788" s="3"/>
    </row>
    <row r="2789">
      <c r="A2789" s="3">
        <v>6.922598154499E12</v>
      </c>
      <c r="B2789" s="2"/>
      <c r="C2789" s="2" t="s">
        <v>11630</v>
      </c>
      <c r="D2789" s="169">
        <v>46075.0</v>
      </c>
      <c r="E2789" s="173" t="s">
        <v>11631</v>
      </c>
      <c r="F2789" s="2" t="s">
        <v>11632</v>
      </c>
      <c r="G2789" s="2" t="s">
        <v>855</v>
      </c>
      <c r="H2789" s="2">
        <v>2749.0</v>
      </c>
      <c r="I2789" s="2">
        <v>2.6120050022107E13</v>
      </c>
      <c r="J2789" s="3">
        <v>2.0</v>
      </c>
      <c r="K2789" s="2" t="s">
        <v>11633</v>
      </c>
      <c r="L2789" s="2" t="s">
        <v>926</v>
      </c>
      <c r="M2789" s="2" t="s">
        <v>409</v>
      </c>
      <c r="N2789" s="2" t="s">
        <v>462</v>
      </c>
      <c r="O2789" s="3"/>
      <c r="P2789" s="2" t="s">
        <v>73</v>
      </c>
      <c r="Q2789" s="3">
        <v>980.0</v>
      </c>
      <c r="R2789" s="3">
        <v>0.5</v>
      </c>
      <c r="T2789" s="2" t="s">
        <v>10905</v>
      </c>
      <c r="U2789" s="171">
        <v>2749.0</v>
      </c>
      <c r="V2789" s="172">
        <v>46080.0</v>
      </c>
      <c r="W2789" s="3">
        <v>330.0</v>
      </c>
      <c r="X2789" s="172">
        <v>46079.58287643519</v>
      </c>
      <c r="Y2789" s="172"/>
      <c r="Z2789" s="3">
        <v>46075.0</v>
      </c>
      <c r="AA2789" s="3"/>
    </row>
    <row r="2790">
      <c r="A2790" s="3">
        <v>6.922654908675E12</v>
      </c>
      <c r="B2790" s="2"/>
      <c r="C2790" s="2" t="s">
        <v>11634</v>
      </c>
      <c r="D2790" s="169">
        <v>46075.0</v>
      </c>
      <c r="E2790" s="2">
        <v>3.248730806E9</v>
      </c>
      <c r="F2790" s="2" t="s">
        <v>11635</v>
      </c>
      <c r="G2790" s="2" t="s">
        <v>368</v>
      </c>
      <c r="H2790" s="2">
        <v>3099.0</v>
      </c>
      <c r="I2790" s="2">
        <v>2.8120050022046E13</v>
      </c>
      <c r="J2790" s="3">
        <v>2.0</v>
      </c>
      <c r="K2790" s="2" t="s">
        <v>11513</v>
      </c>
      <c r="L2790" s="2" t="s">
        <v>1143</v>
      </c>
      <c r="M2790" s="2" t="s">
        <v>409</v>
      </c>
      <c r="N2790" s="2" t="s">
        <v>462</v>
      </c>
      <c r="O2790" s="3"/>
      <c r="P2790" s="2" t="s">
        <v>73</v>
      </c>
      <c r="Q2790" s="3">
        <v>960.0</v>
      </c>
      <c r="R2790" s="3">
        <v>0.5</v>
      </c>
      <c r="T2790" s="2" t="s">
        <v>10905</v>
      </c>
      <c r="U2790" s="171">
        <v>3099.0</v>
      </c>
      <c r="V2790" s="172">
        <v>46080.0</v>
      </c>
      <c r="W2790" s="3">
        <v>231.0</v>
      </c>
      <c r="X2790" s="172">
        <v>46079.582876458335</v>
      </c>
      <c r="Y2790" s="172"/>
      <c r="Z2790" s="3">
        <v>46075.0</v>
      </c>
      <c r="AA2790" s="3"/>
    </row>
    <row r="2791">
      <c r="A2791" s="3">
        <v>6.922678796547E12</v>
      </c>
      <c r="B2791" s="2"/>
      <c r="C2791" s="2" t="s">
        <v>11636</v>
      </c>
      <c r="D2791" s="169">
        <v>46075.0</v>
      </c>
      <c r="E2791" s="2">
        <v>3.493849652E9</v>
      </c>
      <c r="F2791" s="2" t="s">
        <v>11637</v>
      </c>
      <c r="G2791" s="2" t="s">
        <v>493</v>
      </c>
      <c r="H2791" s="2">
        <v>249.0</v>
      </c>
      <c r="I2791" s="2">
        <v>2.6120050022045E13</v>
      </c>
      <c r="J2791" s="3">
        <v>0.0</v>
      </c>
      <c r="K2791" s="2" t="s">
        <v>11638</v>
      </c>
      <c r="L2791" s="2"/>
      <c r="M2791" s="2" t="s">
        <v>409</v>
      </c>
      <c r="N2791" s="2" t="s">
        <v>406</v>
      </c>
      <c r="O2791" s="3"/>
      <c r="P2791" s="2" t="s">
        <v>73</v>
      </c>
      <c r="Q2791" s="3">
        <v>0.0</v>
      </c>
      <c r="R2791" s="3">
        <v>0.5</v>
      </c>
      <c r="T2791" s="2" t="s">
        <v>11287</v>
      </c>
      <c r="U2791" s="171">
        <v>249.0</v>
      </c>
      <c r="V2791" s="172">
        <v>46084.0</v>
      </c>
      <c r="W2791" s="3">
        <v>347.0</v>
      </c>
      <c r="X2791" s="172">
        <v>46080.7493358912</v>
      </c>
      <c r="Y2791" s="172"/>
      <c r="Z2791" s="3">
        <v>46075.0</v>
      </c>
      <c r="AA2791" s="3"/>
    </row>
    <row r="2792">
      <c r="A2792" s="3">
        <v>6.922714087683E12</v>
      </c>
      <c r="B2792" s="2"/>
      <c r="C2792" s="2" t="s">
        <v>11639</v>
      </c>
      <c r="D2792" s="169">
        <v>46075.0</v>
      </c>
      <c r="E2792" s="2">
        <v>3.049322444E9</v>
      </c>
      <c r="F2792" s="2" t="s">
        <v>11640</v>
      </c>
      <c r="G2792" s="2" t="s">
        <v>1323</v>
      </c>
      <c r="H2792" s="2">
        <v>3348.0</v>
      </c>
      <c r="I2792" s="2">
        <v>2.2120050022131E13</v>
      </c>
      <c r="J2792" s="3">
        <v>2.0</v>
      </c>
      <c r="K2792" s="2" t="s">
        <v>11641</v>
      </c>
      <c r="L2792" s="2" t="s">
        <v>27</v>
      </c>
      <c r="M2792" s="2" t="s">
        <v>409</v>
      </c>
      <c r="N2792" s="2" t="s">
        <v>462</v>
      </c>
      <c r="O2792" s="3"/>
      <c r="P2792" s="2" t="s">
        <v>73</v>
      </c>
      <c r="Q2792" s="3">
        <v>720.0</v>
      </c>
      <c r="R2792" s="3">
        <v>0.5</v>
      </c>
      <c r="T2792" s="2" t="s">
        <v>11287</v>
      </c>
      <c r="U2792" s="171">
        <v>3348.0</v>
      </c>
      <c r="V2792" s="172">
        <v>46084.0</v>
      </c>
      <c r="W2792" s="3">
        <v>334.0</v>
      </c>
      <c r="X2792" s="172">
        <v>46080.624390578705</v>
      </c>
      <c r="Y2792" s="172"/>
      <c r="Z2792" s="3">
        <v>46075.0</v>
      </c>
      <c r="AA2792" s="3"/>
    </row>
    <row r="2793">
      <c r="A2793" s="3">
        <v>6.922780442883E12</v>
      </c>
      <c r="B2793" s="2"/>
      <c r="C2793" s="2" t="s">
        <v>7026</v>
      </c>
      <c r="D2793" s="169">
        <v>46075.0</v>
      </c>
      <c r="E2793" s="2">
        <v>3.217995095E9</v>
      </c>
      <c r="F2793" s="2" t="s">
        <v>11642</v>
      </c>
      <c r="G2793" s="2" t="s">
        <v>368</v>
      </c>
      <c r="H2793" s="2">
        <v>1800.0</v>
      </c>
      <c r="I2793" s="2">
        <v>2.1120050022138E13</v>
      </c>
      <c r="J2793" s="3">
        <v>1.0</v>
      </c>
      <c r="K2793" s="2" t="s">
        <v>11643</v>
      </c>
      <c r="L2793" s="2" t="s">
        <v>10576</v>
      </c>
      <c r="M2793" s="2" t="s">
        <v>409</v>
      </c>
      <c r="N2793" s="2" t="s">
        <v>462</v>
      </c>
      <c r="O2793" s="3"/>
      <c r="P2793" s="2" t="s">
        <v>73</v>
      </c>
      <c r="Q2793" s="3">
        <v>360.0</v>
      </c>
      <c r="R2793" s="3">
        <v>0.5</v>
      </c>
      <c r="T2793" s="2" t="s">
        <v>11287</v>
      </c>
      <c r="U2793" s="171">
        <v>1800.0</v>
      </c>
      <c r="V2793" s="172">
        <v>46084.0</v>
      </c>
      <c r="W2793" s="3">
        <v>179.0</v>
      </c>
      <c r="X2793" s="172">
        <v>46081.457648344905</v>
      </c>
      <c r="Y2793" s="172"/>
      <c r="Z2793" s="3">
        <v>46075.0</v>
      </c>
      <c r="AA2793" s="3"/>
    </row>
    <row r="2794">
      <c r="A2794" s="3">
        <v>6.922842505475E12</v>
      </c>
      <c r="B2794" s="2"/>
      <c r="C2794" s="2" t="s">
        <v>6431</v>
      </c>
      <c r="D2794" s="169">
        <v>46075.0</v>
      </c>
      <c r="E2794" s="173" t="s">
        <v>11644</v>
      </c>
      <c r="F2794" s="2" t="s">
        <v>11645</v>
      </c>
      <c r="G2794" s="2" t="s">
        <v>493</v>
      </c>
      <c r="H2794" s="2">
        <v>3099.0</v>
      </c>
      <c r="I2794" s="2">
        <v>2.3120050022044E13</v>
      </c>
      <c r="J2794" s="3">
        <v>2.0</v>
      </c>
      <c r="K2794" s="2" t="s">
        <v>11646</v>
      </c>
      <c r="L2794" s="2" t="s">
        <v>5839</v>
      </c>
      <c r="M2794" s="2" t="s">
        <v>409</v>
      </c>
      <c r="N2794" s="2" t="s">
        <v>462</v>
      </c>
      <c r="O2794" s="3"/>
      <c r="P2794" s="2" t="s">
        <v>73</v>
      </c>
      <c r="Q2794" s="3">
        <v>1050.0</v>
      </c>
      <c r="R2794" s="3">
        <v>0.5</v>
      </c>
      <c r="T2794" s="2" t="s">
        <v>11287</v>
      </c>
      <c r="U2794" s="171">
        <v>3099.0</v>
      </c>
      <c r="V2794" s="172">
        <v>46084.0</v>
      </c>
      <c r="W2794" s="3">
        <v>337.0</v>
      </c>
      <c r="X2794" s="172">
        <v>46083.666023680555</v>
      </c>
      <c r="Y2794" s="172"/>
      <c r="Z2794" s="3">
        <v>46075.0</v>
      </c>
      <c r="AA2794" s="3"/>
    </row>
    <row r="2795">
      <c r="A2795" s="3">
        <v>6.922859839747E12</v>
      </c>
      <c r="B2795" s="2"/>
      <c r="C2795" s="2" t="s">
        <v>11647</v>
      </c>
      <c r="D2795" s="169">
        <v>46075.0</v>
      </c>
      <c r="E2795" s="2">
        <v>3.227065716E9</v>
      </c>
      <c r="F2795" s="2" t="s">
        <v>11648</v>
      </c>
      <c r="G2795" s="2" t="s">
        <v>541</v>
      </c>
      <c r="H2795" s="2">
        <v>2849.0</v>
      </c>
      <c r="I2795" s="2">
        <v>2.8120050022043E13</v>
      </c>
      <c r="J2795" s="3">
        <v>2.0</v>
      </c>
      <c r="K2795" s="2" t="s">
        <v>11602</v>
      </c>
      <c r="L2795" s="2" t="s">
        <v>2324</v>
      </c>
      <c r="M2795" s="2" t="s">
        <v>409</v>
      </c>
      <c r="N2795" s="2" t="s">
        <v>462</v>
      </c>
      <c r="O2795" s="3"/>
      <c r="P2795" s="2" t="s">
        <v>73</v>
      </c>
      <c r="Q2795" s="3">
        <v>720.0</v>
      </c>
      <c r="R2795" s="3">
        <v>0.5</v>
      </c>
      <c r="T2795" s="2" t="s">
        <v>10905</v>
      </c>
      <c r="U2795" s="171">
        <v>2849.0</v>
      </c>
      <c r="V2795" s="172">
        <v>46080.0</v>
      </c>
      <c r="W2795" s="3">
        <v>314.0</v>
      </c>
      <c r="X2795" s="172">
        <v>46078.6659749074</v>
      </c>
      <c r="Y2795" s="172"/>
      <c r="Z2795" s="3">
        <v>46075.0</v>
      </c>
      <c r="AA2795" s="3"/>
    </row>
    <row r="2796">
      <c r="A2796" s="3">
        <v>6.922934878467E12</v>
      </c>
      <c r="B2796" s="2"/>
      <c r="C2796" s="2" t="s">
        <v>11649</v>
      </c>
      <c r="D2796" s="169">
        <v>46075.0</v>
      </c>
      <c r="E2796" s="2">
        <v>3.365617478E9</v>
      </c>
      <c r="F2796" s="2" t="s">
        <v>11650</v>
      </c>
      <c r="G2796" s="2" t="s">
        <v>506</v>
      </c>
      <c r="H2796" s="2">
        <v>249.0</v>
      </c>
      <c r="I2796" s="2">
        <v>2.2120050022042E13</v>
      </c>
      <c r="J2796" s="3">
        <v>0.0</v>
      </c>
      <c r="K2796" s="2" t="s">
        <v>11651</v>
      </c>
      <c r="L2796" s="2"/>
      <c r="M2796" s="170" t="s">
        <v>455</v>
      </c>
      <c r="N2796" s="2" t="s">
        <v>406</v>
      </c>
      <c r="O2796" s="3"/>
      <c r="P2796" s="2" t="s">
        <v>73</v>
      </c>
      <c r="Q2796" s="3">
        <v>0.0</v>
      </c>
      <c r="R2796" s="3">
        <v>0.5</v>
      </c>
      <c r="U2796" s="141"/>
      <c r="W2796" s="3">
        <v>200.0</v>
      </c>
      <c r="X2796" s="172">
        <v>46084.83265487268</v>
      </c>
      <c r="Y2796" s="172"/>
      <c r="Z2796" s="3">
        <v>46075.0</v>
      </c>
      <c r="AA2796" s="3"/>
    </row>
    <row r="2797">
      <c r="A2797" s="3">
        <v>6.923355193603E12</v>
      </c>
      <c r="B2797" s="2"/>
      <c r="C2797" s="2" t="s">
        <v>11652</v>
      </c>
      <c r="D2797" s="169">
        <v>46076.0</v>
      </c>
      <c r="E2797" s="2">
        <v>3.00784036E9</v>
      </c>
      <c r="F2797" s="2" t="s">
        <v>11653</v>
      </c>
      <c r="G2797" s="2" t="s">
        <v>1323</v>
      </c>
      <c r="H2797" s="2">
        <v>2749.0</v>
      </c>
      <c r="I2797" s="2">
        <v>2.3120050022106E13</v>
      </c>
      <c r="J2797" s="3">
        <v>2.0</v>
      </c>
      <c r="K2797" s="2" t="s">
        <v>11654</v>
      </c>
      <c r="L2797" s="2" t="s">
        <v>35</v>
      </c>
      <c r="M2797" s="2" t="s">
        <v>409</v>
      </c>
      <c r="N2797" s="2" t="s">
        <v>462</v>
      </c>
      <c r="O2797" s="3"/>
      <c r="P2797" s="2" t="s">
        <v>73</v>
      </c>
      <c r="Q2797" s="3">
        <v>980.0</v>
      </c>
      <c r="R2797" s="3">
        <v>0.5</v>
      </c>
      <c r="T2797" s="2" t="s">
        <v>10905</v>
      </c>
      <c r="U2797" s="171">
        <v>2749.0</v>
      </c>
      <c r="V2797" s="172">
        <v>46080.0</v>
      </c>
      <c r="W2797" s="3">
        <v>310.0</v>
      </c>
      <c r="X2797" s="172">
        <v>46079.624316354166</v>
      </c>
      <c r="Y2797" s="172"/>
      <c r="Z2797" s="3">
        <v>46076.0</v>
      </c>
      <c r="AA2797" s="3"/>
    </row>
    <row r="2798">
      <c r="A2798" s="3">
        <v>6.923355881731E12</v>
      </c>
      <c r="B2798" s="2"/>
      <c r="C2798" s="2" t="s">
        <v>11655</v>
      </c>
      <c r="D2798" s="169">
        <v>46076.0</v>
      </c>
      <c r="E2798" s="173" t="s">
        <v>11656</v>
      </c>
      <c r="F2798" s="2" t="s">
        <v>11657</v>
      </c>
      <c r="G2798" s="2" t="s">
        <v>366</v>
      </c>
      <c r="H2798" s="2">
        <v>3348.0</v>
      </c>
      <c r="I2798" s="2">
        <v>2.6120050022065E13</v>
      </c>
      <c r="J2798" s="3">
        <v>2.0</v>
      </c>
      <c r="K2798" s="2" t="s">
        <v>11658</v>
      </c>
      <c r="L2798" s="2" t="s">
        <v>50</v>
      </c>
      <c r="M2798" s="2" t="s">
        <v>409</v>
      </c>
      <c r="N2798" s="2" t="s">
        <v>462</v>
      </c>
      <c r="O2798" s="3"/>
      <c r="P2798" s="2" t="s">
        <v>73</v>
      </c>
      <c r="Q2798" s="3">
        <v>720.0</v>
      </c>
      <c r="R2798" s="3">
        <v>0.5</v>
      </c>
      <c r="T2798" s="2" t="s">
        <v>10905</v>
      </c>
      <c r="U2798" s="171">
        <v>3348.0</v>
      </c>
      <c r="V2798" s="172">
        <v>46080.0</v>
      </c>
      <c r="W2798" s="3">
        <v>334.0</v>
      </c>
      <c r="X2798" s="172">
        <v>46079.54101756944</v>
      </c>
      <c r="Y2798" s="172"/>
      <c r="Z2798" s="3">
        <v>46076.0</v>
      </c>
      <c r="AA2798" s="3"/>
    </row>
    <row r="2799">
      <c r="A2799" s="3">
        <v>6.923388715267E12</v>
      </c>
      <c r="B2799" s="2"/>
      <c r="C2799" s="2" t="s">
        <v>11659</v>
      </c>
      <c r="D2799" s="169">
        <v>46076.0</v>
      </c>
      <c r="E2799" s="2">
        <v>3.086679988E9</v>
      </c>
      <c r="F2799" s="2" t="s">
        <v>11660</v>
      </c>
      <c r="G2799" s="2" t="s">
        <v>2725</v>
      </c>
      <c r="H2799" s="2">
        <v>249.0</v>
      </c>
      <c r="I2799" s="2">
        <v>2.0120050022064E13</v>
      </c>
      <c r="J2799" s="3">
        <v>0.0</v>
      </c>
      <c r="K2799" s="2" t="s">
        <v>11661</v>
      </c>
      <c r="L2799" s="2"/>
      <c r="M2799" s="170" t="s">
        <v>455</v>
      </c>
      <c r="N2799" s="2" t="s">
        <v>406</v>
      </c>
      <c r="O2799" s="3"/>
      <c r="P2799" s="2" t="s">
        <v>73</v>
      </c>
      <c r="Q2799" s="3">
        <v>0.0</v>
      </c>
      <c r="R2799" s="3">
        <v>0.5</v>
      </c>
      <c r="U2799" s="141"/>
      <c r="W2799" s="3">
        <v>200.0</v>
      </c>
      <c r="X2799" s="172">
        <v>46083.83286998843</v>
      </c>
      <c r="Y2799" s="172"/>
      <c r="Z2799" s="3">
        <v>46076.0</v>
      </c>
      <c r="AA2799" s="3"/>
    </row>
    <row r="2800">
      <c r="A2800" s="3">
        <v>6.923411521795E12</v>
      </c>
      <c r="B2800" s="2"/>
      <c r="C2800" s="2" t="s">
        <v>11662</v>
      </c>
      <c r="D2800" s="169">
        <v>46076.0</v>
      </c>
      <c r="E2800" s="2">
        <v>3.06585555E9</v>
      </c>
      <c r="F2800" s="2" t="s">
        <v>11663</v>
      </c>
      <c r="G2800" s="2" t="s">
        <v>3295</v>
      </c>
      <c r="H2800" s="2">
        <v>3348.0</v>
      </c>
      <c r="I2800" s="2">
        <v>2.3120050022063E13</v>
      </c>
      <c r="J2800" s="3">
        <v>2.0</v>
      </c>
      <c r="K2800" s="2" t="s">
        <v>11560</v>
      </c>
      <c r="L2800" s="2" t="s">
        <v>906</v>
      </c>
      <c r="M2800" s="2" t="s">
        <v>409</v>
      </c>
      <c r="N2800" s="2" t="s">
        <v>462</v>
      </c>
      <c r="O2800" s="3"/>
      <c r="P2800" s="2" t="s">
        <v>73</v>
      </c>
      <c r="Q2800" s="3">
        <v>720.0</v>
      </c>
      <c r="R2800" s="3">
        <v>0.5</v>
      </c>
      <c r="T2800" s="2" t="s">
        <v>10905</v>
      </c>
      <c r="U2800" s="171">
        <v>3348.0</v>
      </c>
      <c r="V2800" s="172">
        <v>46080.0</v>
      </c>
      <c r="W2800" s="3">
        <v>347.0</v>
      </c>
      <c r="X2800" s="172">
        <v>46079.457666793984</v>
      </c>
      <c r="Y2800" s="172"/>
      <c r="Z2800" s="3">
        <v>46076.0</v>
      </c>
      <c r="AA2800" s="3"/>
    </row>
    <row r="2801">
      <c r="A2801" s="3">
        <v>6.923414831363E12</v>
      </c>
      <c r="B2801" s="2"/>
      <c r="C2801" s="2" t="s">
        <v>11664</v>
      </c>
      <c r="D2801" s="169">
        <v>46076.0</v>
      </c>
      <c r="E2801" s="2">
        <v>3.157283545E9</v>
      </c>
      <c r="F2801" s="2" t="s">
        <v>11665</v>
      </c>
      <c r="G2801" s="2" t="s">
        <v>374</v>
      </c>
      <c r="H2801" s="2">
        <v>3099.0</v>
      </c>
      <c r="I2801" s="2">
        <v>2.112005002208E13</v>
      </c>
      <c r="J2801" s="3">
        <v>2.0</v>
      </c>
      <c r="K2801" s="2" t="s">
        <v>11666</v>
      </c>
      <c r="L2801" s="2" t="s">
        <v>1920</v>
      </c>
      <c r="M2801" s="2" t="s">
        <v>409</v>
      </c>
      <c r="N2801" s="2" t="s">
        <v>462</v>
      </c>
      <c r="O2801" s="3"/>
      <c r="P2801" s="2" t="s">
        <v>73</v>
      </c>
      <c r="Q2801" s="3">
        <v>1050.0</v>
      </c>
      <c r="R2801" s="3">
        <v>0.5</v>
      </c>
      <c r="T2801" s="2" t="s">
        <v>10905</v>
      </c>
      <c r="U2801" s="171">
        <v>3099.0</v>
      </c>
      <c r="V2801" s="172">
        <v>46080.0</v>
      </c>
      <c r="W2801" s="3">
        <v>324.0</v>
      </c>
      <c r="X2801" s="172">
        <v>46078.58266002315</v>
      </c>
      <c r="Y2801" s="172"/>
      <c r="Z2801" s="3">
        <v>46076.0</v>
      </c>
      <c r="AA2801" s="3"/>
    </row>
    <row r="2802">
      <c r="A2802" s="3">
        <v>6.923429609731E12</v>
      </c>
      <c r="B2802" s="2"/>
      <c r="C2802" s="2" t="s">
        <v>11667</v>
      </c>
      <c r="D2802" s="169">
        <v>46076.0</v>
      </c>
      <c r="E2802" s="2">
        <v>3.072585122E9</v>
      </c>
      <c r="F2802" s="2" t="s">
        <v>11668</v>
      </c>
      <c r="G2802" s="2" t="s">
        <v>493</v>
      </c>
      <c r="H2802" s="2">
        <v>3348.0</v>
      </c>
      <c r="I2802" s="2">
        <v>2.6120050022062E13</v>
      </c>
      <c r="J2802" s="3">
        <v>2.0</v>
      </c>
      <c r="K2802" s="2" t="s">
        <v>11669</v>
      </c>
      <c r="L2802" s="2" t="s">
        <v>50</v>
      </c>
      <c r="M2802" s="2" t="s">
        <v>409</v>
      </c>
      <c r="N2802" s="2" t="s">
        <v>462</v>
      </c>
      <c r="O2802" s="3"/>
      <c r="P2802" s="2" t="s">
        <v>73</v>
      </c>
      <c r="Q2802" s="3">
        <v>720.0</v>
      </c>
      <c r="R2802" s="3">
        <v>0.5</v>
      </c>
      <c r="T2802" s="2" t="s">
        <v>10905</v>
      </c>
      <c r="U2802" s="171">
        <v>3348.0</v>
      </c>
      <c r="V2802" s="172">
        <v>46080.0</v>
      </c>
      <c r="W2802" s="3">
        <v>347.0</v>
      </c>
      <c r="X2802" s="172">
        <v>46078.79116704861</v>
      </c>
      <c r="Y2802" s="172"/>
      <c r="Z2802" s="3">
        <v>46076.0</v>
      </c>
      <c r="AA2802" s="3"/>
    </row>
    <row r="2803">
      <c r="A2803" s="3">
        <v>6.923429740803E12</v>
      </c>
      <c r="B2803" s="2"/>
      <c r="C2803" s="2" t="s">
        <v>11670</v>
      </c>
      <c r="D2803" s="169">
        <v>46076.0</v>
      </c>
      <c r="E2803" s="2">
        <v>3.491698808E9</v>
      </c>
      <c r="F2803" s="2" t="s">
        <v>11671</v>
      </c>
      <c r="G2803" s="2" t="s">
        <v>11672</v>
      </c>
      <c r="H2803" s="2">
        <v>2749.0</v>
      </c>
      <c r="I2803" s="2">
        <v>2.6120050022041E13</v>
      </c>
      <c r="J2803" s="3">
        <v>2.0</v>
      </c>
      <c r="K2803" s="2" t="s">
        <v>11673</v>
      </c>
      <c r="L2803" s="2" t="s">
        <v>926</v>
      </c>
      <c r="M2803" s="2" t="s">
        <v>409</v>
      </c>
      <c r="N2803" s="2" t="s">
        <v>462</v>
      </c>
      <c r="O2803" s="3"/>
      <c r="P2803" s="2" t="s">
        <v>73</v>
      </c>
      <c r="Q2803" s="3">
        <v>980.0</v>
      </c>
      <c r="R2803" s="3">
        <v>0.5</v>
      </c>
      <c r="T2803" s="2" t="s">
        <v>10905</v>
      </c>
      <c r="U2803" s="171">
        <v>2749.0</v>
      </c>
      <c r="V2803" s="172">
        <v>46080.0</v>
      </c>
      <c r="W2803" s="3">
        <v>330.0</v>
      </c>
      <c r="X2803" s="172">
        <v>46078.62441892361</v>
      </c>
      <c r="Y2803" s="172"/>
      <c r="Z2803" s="3">
        <v>46076.0</v>
      </c>
      <c r="AA2803" s="3"/>
    </row>
    <row r="2804">
      <c r="A2804" s="3">
        <v>6.923476271363E12</v>
      </c>
      <c r="B2804" s="2"/>
      <c r="C2804" s="2" t="s">
        <v>11674</v>
      </c>
      <c r="D2804" s="169">
        <v>46076.0</v>
      </c>
      <c r="E2804" s="2">
        <v>3.3189209E9</v>
      </c>
      <c r="F2804" s="2" t="s">
        <v>11675</v>
      </c>
      <c r="G2804" s="2" t="s">
        <v>506</v>
      </c>
      <c r="H2804" s="2">
        <v>3099.0</v>
      </c>
      <c r="I2804" s="2">
        <v>2.912005002204E13</v>
      </c>
      <c r="J2804" s="3">
        <v>2.0</v>
      </c>
      <c r="K2804" s="2" t="s">
        <v>11513</v>
      </c>
      <c r="L2804" s="2" t="s">
        <v>593</v>
      </c>
      <c r="M2804" s="2" t="s">
        <v>409</v>
      </c>
      <c r="N2804" s="2" t="s">
        <v>462</v>
      </c>
      <c r="O2804" s="3"/>
      <c r="P2804" s="2" t="s">
        <v>73</v>
      </c>
      <c r="Q2804" s="3">
        <v>1050.0</v>
      </c>
      <c r="R2804" s="3">
        <v>0.5</v>
      </c>
      <c r="T2804" s="2" t="s">
        <v>10905</v>
      </c>
      <c r="U2804" s="171">
        <v>3099.0</v>
      </c>
      <c r="V2804" s="172">
        <v>46080.0</v>
      </c>
      <c r="W2804" s="3">
        <v>324.0</v>
      </c>
      <c r="X2804" s="172">
        <v>46078.73739837963</v>
      </c>
      <c r="Y2804" s="172"/>
      <c r="Z2804" s="3">
        <v>46076.0</v>
      </c>
      <c r="AA2804" s="3"/>
    </row>
    <row r="2805">
      <c r="A2805" s="3">
        <v>6.923639062787E12</v>
      </c>
      <c r="B2805" s="2"/>
      <c r="C2805" s="2" t="s">
        <v>11676</v>
      </c>
      <c r="D2805" s="169">
        <v>46076.0</v>
      </c>
      <c r="E2805" s="2">
        <v>3.424191536E9</v>
      </c>
      <c r="F2805" s="2" t="s">
        <v>11677</v>
      </c>
      <c r="G2805" s="2" t="s">
        <v>688</v>
      </c>
      <c r="H2805" s="2">
        <v>1899.0</v>
      </c>
      <c r="I2805" s="2">
        <v>2.4120050022061E13</v>
      </c>
      <c r="J2805" s="3">
        <v>1.0</v>
      </c>
      <c r="K2805" s="2" t="s">
        <v>11678</v>
      </c>
      <c r="L2805" s="2" t="s">
        <v>3440</v>
      </c>
      <c r="M2805" s="2" t="s">
        <v>409</v>
      </c>
      <c r="N2805" s="2" t="s">
        <v>462</v>
      </c>
      <c r="O2805" s="3"/>
      <c r="P2805" s="2" t="s">
        <v>73</v>
      </c>
      <c r="Q2805" s="3">
        <v>550.0</v>
      </c>
      <c r="R2805" s="3">
        <v>0.5</v>
      </c>
      <c r="T2805" s="2" t="s">
        <v>10905</v>
      </c>
      <c r="U2805" s="171">
        <v>1899.0</v>
      </c>
      <c r="V2805" s="172">
        <v>46080.0</v>
      </c>
      <c r="W2805" s="3">
        <v>276.0</v>
      </c>
      <c r="X2805" s="172">
        <v>46079.875183449076</v>
      </c>
      <c r="Y2805" s="172"/>
      <c r="Z2805" s="3">
        <v>46076.0</v>
      </c>
      <c r="AA2805" s="3"/>
    </row>
    <row r="2806">
      <c r="A2806" s="3">
        <v>6.923663900931E12</v>
      </c>
      <c r="B2806" s="2"/>
      <c r="C2806" s="2" t="s">
        <v>11679</v>
      </c>
      <c r="D2806" s="169">
        <v>46076.0</v>
      </c>
      <c r="E2806" s="2">
        <v>3.468202119E9</v>
      </c>
      <c r="F2806" s="2" t="s">
        <v>11680</v>
      </c>
      <c r="G2806" s="2" t="s">
        <v>493</v>
      </c>
      <c r="H2806" s="2">
        <v>3348.0</v>
      </c>
      <c r="I2806" s="2">
        <v>2.612005002206E13</v>
      </c>
      <c r="J2806" s="3">
        <v>2.0</v>
      </c>
      <c r="K2806" s="2" t="s">
        <v>11681</v>
      </c>
      <c r="L2806" s="2" t="s">
        <v>275</v>
      </c>
      <c r="M2806" s="2" t="s">
        <v>409</v>
      </c>
      <c r="N2806" s="2" t="s">
        <v>462</v>
      </c>
      <c r="O2806" s="3"/>
      <c r="P2806" s="2" t="s">
        <v>73</v>
      </c>
      <c r="Q2806" s="3">
        <v>800.0</v>
      </c>
      <c r="R2806" s="3">
        <v>0.5</v>
      </c>
      <c r="T2806" s="2" t="s">
        <v>10905</v>
      </c>
      <c r="U2806" s="171">
        <v>3348.0</v>
      </c>
      <c r="V2806" s="172">
        <v>46080.0</v>
      </c>
      <c r="W2806" s="3">
        <v>347.0</v>
      </c>
      <c r="X2806" s="172">
        <v>46078.499492939816</v>
      </c>
      <c r="Y2806" s="172"/>
      <c r="Z2806" s="3">
        <v>46076.0</v>
      </c>
      <c r="AA2806" s="3"/>
    </row>
    <row r="2807">
      <c r="A2807" s="3">
        <v>6.923672813827E12</v>
      </c>
      <c r="B2807" s="2"/>
      <c r="C2807" s="2" t="s">
        <v>11682</v>
      </c>
      <c r="D2807" s="169">
        <v>46076.0</v>
      </c>
      <c r="E2807" s="2">
        <v>3.139252676E9</v>
      </c>
      <c r="F2807" s="2" t="s">
        <v>11683</v>
      </c>
      <c r="G2807" s="2" t="s">
        <v>781</v>
      </c>
      <c r="H2807" s="2">
        <v>249.0</v>
      </c>
      <c r="I2807" s="2">
        <v>2.1120050022039E13</v>
      </c>
      <c r="J2807" s="3">
        <v>0.0</v>
      </c>
      <c r="K2807" s="2" t="s">
        <v>11684</v>
      </c>
      <c r="L2807" s="2"/>
      <c r="M2807" s="170" t="s">
        <v>455</v>
      </c>
      <c r="N2807" s="2" t="s">
        <v>406</v>
      </c>
      <c r="O2807" s="3"/>
      <c r="P2807" s="2" t="s">
        <v>73</v>
      </c>
      <c r="Q2807" s="3">
        <v>0.0</v>
      </c>
      <c r="R2807" s="3">
        <v>0.5</v>
      </c>
      <c r="U2807" s="141"/>
      <c r="W2807" s="3">
        <v>213.0</v>
      </c>
      <c r="X2807" s="172">
        <v>46087.74928650463</v>
      </c>
      <c r="Y2807" s="172"/>
      <c r="Z2807" s="3">
        <v>46076.0</v>
      </c>
      <c r="AA2807" s="3"/>
    </row>
    <row r="2808">
      <c r="A2808" s="3">
        <v>6.923692343555E12</v>
      </c>
      <c r="B2808" s="2"/>
      <c r="C2808" s="2" t="s">
        <v>11685</v>
      </c>
      <c r="D2808" s="169">
        <v>46076.0</v>
      </c>
      <c r="E2808" s="2">
        <v>3.33531449E9</v>
      </c>
      <c r="F2808" s="2" t="s">
        <v>11686</v>
      </c>
      <c r="G2808" s="2" t="s">
        <v>506</v>
      </c>
      <c r="H2808" s="2">
        <v>4649.0</v>
      </c>
      <c r="I2808" s="2">
        <v>2.1120050022038E13</v>
      </c>
      <c r="J2808" s="3">
        <v>3.0</v>
      </c>
      <c r="K2808" s="2" t="s">
        <v>11687</v>
      </c>
      <c r="L2808" s="2" t="s">
        <v>11688</v>
      </c>
      <c r="M2808" s="2" t="s">
        <v>409</v>
      </c>
      <c r="N2808" s="2" t="s">
        <v>462</v>
      </c>
      <c r="O2808" s="3"/>
      <c r="P2808" s="2" t="s">
        <v>73</v>
      </c>
      <c r="Q2808" s="3">
        <v>1590.0</v>
      </c>
      <c r="R2808" s="3">
        <v>0.5</v>
      </c>
      <c r="T2808" s="2" t="s">
        <v>10905</v>
      </c>
      <c r="U2808" s="171">
        <v>4649.0</v>
      </c>
      <c r="V2808" s="172">
        <v>46080.0</v>
      </c>
      <c r="W2808" s="3">
        <v>406.0</v>
      </c>
      <c r="X2808" s="172">
        <v>46078.52098940972</v>
      </c>
      <c r="Y2808" s="172"/>
      <c r="Z2808" s="3">
        <v>46076.0</v>
      </c>
      <c r="AA2808" s="3"/>
    </row>
    <row r="2809">
      <c r="A2809" s="3">
        <v>6.923697389827E12</v>
      </c>
      <c r="B2809" s="2"/>
      <c r="C2809" s="2" t="s">
        <v>2468</v>
      </c>
      <c r="D2809" s="169">
        <v>46076.0</v>
      </c>
      <c r="E2809" s="2">
        <v>3.187809346E9</v>
      </c>
      <c r="F2809" s="2" t="s">
        <v>2469</v>
      </c>
      <c r="G2809" s="2" t="s">
        <v>2470</v>
      </c>
      <c r="H2809" s="2">
        <v>1999.0</v>
      </c>
      <c r="I2809" s="2">
        <v>2.6120050022037E13</v>
      </c>
      <c r="J2809" s="3">
        <v>1.0</v>
      </c>
      <c r="K2809" s="2" t="s">
        <v>11689</v>
      </c>
      <c r="L2809" s="2" t="s">
        <v>11690</v>
      </c>
      <c r="M2809" s="2" t="s">
        <v>409</v>
      </c>
      <c r="N2809" s="2" t="s">
        <v>462</v>
      </c>
      <c r="O2809" s="3"/>
      <c r="P2809" s="2" t="s">
        <v>73</v>
      </c>
      <c r="Q2809" s="3">
        <v>1095.0</v>
      </c>
      <c r="R2809" s="3">
        <v>0.5</v>
      </c>
      <c r="T2809" s="2" t="s">
        <v>10905</v>
      </c>
      <c r="U2809" s="171">
        <v>1999.0</v>
      </c>
      <c r="V2809" s="172">
        <v>46080.0</v>
      </c>
      <c r="W2809" s="3">
        <v>293.0</v>
      </c>
      <c r="X2809" s="172">
        <v>46079.770841770835</v>
      </c>
      <c r="Y2809" s="172"/>
      <c r="Z2809" s="3">
        <v>46076.0</v>
      </c>
      <c r="AA2809" s="3"/>
    </row>
    <row r="2810">
      <c r="A2810" s="3">
        <v>6.923811193091E12</v>
      </c>
      <c r="B2810" s="2"/>
      <c r="C2810" s="2" t="s">
        <v>11691</v>
      </c>
      <c r="D2810" s="169">
        <v>46076.0</v>
      </c>
      <c r="E2810" s="2">
        <v>3.404555323E9</v>
      </c>
      <c r="F2810" s="2" t="s">
        <v>11692</v>
      </c>
      <c r="G2810" s="2" t="s">
        <v>749</v>
      </c>
      <c r="H2810" s="2">
        <v>249.0</v>
      </c>
      <c r="I2810" s="2">
        <v>2.7120050022036E13</v>
      </c>
      <c r="J2810" s="3">
        <v>0.0</v>
      </c>
      <c r="K2810" s="2" t="s">
        <v>11693</v>
      </c>
      <c r="L2810" s="2"/>
      <c r="M2810" s="170" t="s">
        <v>455</v>
      </c>
      <c r="N2810" s="2" t="s">
        <v>406</v>
      </c>
      <c r="O2810" s="3"/>
      <c r="P2810" s="2" t="s">
        <v>73</v>
      </c>
      <c r="Q2810" s="3">
        <v>0.0</v>
      </c>
      <c r="R2810" s="3">
        <v>0.5</v>
      </c>
      <c r="U2810" s="141"/>
      <c r="W2810" s="3">
        <v>200.0</v>
      </c>
      <c r="X2810" s="172">
        <v>46083.832870150465</v>
      </c>
      <c r="Y2810" s="172"/>
      <c r="Z2810" s="3">
        <v>46076.0</v>
      </c>
      <c r="AA2810" s="3"/>
    </row>
    <row r="2811">
      <c r="A2811" s="3">
        <v>6.923887935747E12</v>
      </c>
      <c r="B2811" s="2"/>
      <c r="C2811" s="2" t="s">
        <v>11694</v>
      </c>
      <c r="D2811" s="169">
        <v>46076.0</v>
      </c>
      <c r="E2811" s="2">
        <v>3.335461874E9</v>
      </c>
      <c r="F2811" s="2" t="s">
        <v>11695</v>
      </c>
      <c r="G2811" s="2" t="s">
        <v>366</v>
      </c>
      <c r="H2811" s="2">
        <v>3348.0</v>
      </c>
      <c r="I2811" s="2">
        <v>2.6120050022035E13</v>
      </c>
      <c r="J2811" s="3">
        <v>2.0</v>
      </c>
      <c r="K2811" s="2" t="s">
        <v>11638</v>
      </c>
      <c r="L2811" s="2" t="s">
        <v>296</v>
      </c>
      <c r="M2811" s="2" t="s">
        <v>409</v>
      </c>
      <c r="N2811" s="2" t="s">
        <v>462</v>
      </c>
      <c r="O2811" s="3"/>
      <c r="P2811" s="2" t="s">
        <v>73</v>
      </c>
      <c r="Q2811" s="3">
        <v>720.0</v>
      </c>
      <c r="R2811" s="3">
        <v>0.5</v>
      </c>
      <c r="T2811" s="2" t="s">
        <v>11287</v>
      </c>
      <c r="U2811" s="171">
        <v>3348.0</v>
      </c>
      <c r="V2811" s="172">
        <v>46084.0</v>
      </c>
      <c r="W2811" s="3">
        <v>334.0</v>
      </c>
      <c r="X2811" s="172">
        <v>46080.499459074075</v>
      </c>
      <c r="Y2811" s="172"/>
      <c r="Z2811" s="3">
        <v>46076.0</v>
      </c>
      <c r="AA2811" s="3"/>
    </row>
    <row r="2812">
      <c r="A2812" s="3">
        <v>6.923906220291E12</v>
      </c>
      <c r="B2812" s="2"/>
      <c r="C2812" s="2" t="s">
        <v>11696</v>
      </c>
      <c r="D2812" s="169">
        <v>46076.0</v>
      </c>
      <c r="E2812" s="2">
        <v>3.343900963E9</v>
      </c>
      <c r="F2812" s="2" t="s">
        <v>11697</v>
      </c>
      <c r="G2812" s="2" t="s">
        <v>11698</v>
      </c>
      <c r="H2812" s="2">
        <v>0.0</v>
      </c>
      <c r="J2812" s="3">
        <v>0.0</v>
      </c>
      <c r="K2812" s="2" t="s">
        <v>11699</v>
      </c>
      <c r="L2812" s="2"/>
      <c r="M2812" s="2" t="s">
        <v>468</v>
      </c>
      <c r="N2812" s="2" t="s">
        <v>406</v>
      </c>
      <c r="O2812" s="3"/>
      <c r="Q2812" s="3">
        <v>0.0</v>
      </c>
      <c r="R2812" s="3">
        <v>0.5</v>
      </c>
      <c r="U2812" s="141"/>
      <c r="X2812" s="172"/>
      <c r="Y2812" s="172"/>
      <c r="Z2812" s="3">
        <v>46076.0</v>
      </c>
      <c r="AA2812" s="3"/>
    </row>
    <row r="2813">
      <c r="A2813" s="3">
        <v>6.923933942019E12</v>
      </c>
      <c r="B2813" s="2"/>
      <c r="C2813" s="2" t="s">
        <v>11700</v>
      </c>
      <c r="D2813" s="169">
        <v>46076.0</v>
      </c>
      <c r="E2813" s="2">
        <v>3.046228486E9</v>
      </c>
      <c r="F2813" s="2" t="s">
        <v>11701</v>
      </c>
      <c r="G2813" s="2" t="s">
        <v>11702</v>
      </c>
      <c r="H2813" s="2">
        <v>2049.0</v>
      </c>
      <c r="I2813" s="2">
        <v>2.2120050022034E13</v>
      </c>
      <c r="J2813" s="3">
        <v>1.0</v>
      </c>
      <c r="K2813" s="2" t="s">
        <v>11703</v>
      </c>
      <c r="L2813" s="2" t="s">
        <v>11704</v>
      </c>
      <c r="M2813" s="2" t="s">
        <v>409</v>
      </c>
      <c r="N2813" s="2" t="s">
        <v>462</v>
      </c>
      <c r="O2813" s="3"/>
      <c r="P2813" s="2" t="s">
        <v>73</v>
      </c>
      <c r="Q2813" s="3">
        <v>360.0</v>
      </c>
      <c r="R2813" s="3">
        <v>0.5</v>
      </c>
      <c r="T2813" s="2" t="s">
        <v>10905</v>
      </c>
      <c r="U2813" s="171">
        <v>2049.0</v>
      </c>
      <c r="V2813" s="172">
        <v>46080.0</v>
      </c>
      <c r="W2813" s="3">
        <v>282.0</v>
      </c>
      <c r="X2813" s="172">
        <v>46079.72191795139</v>
      </c>
      <c r="Y2813" s="172"/>
      <c r="Z2813" s="3">
        <v>46076.0</v>
      </c>
      <c r="AA2813" s="3"/>
    </row>
    <row r="2814">
      <c r="A2814" s="3">
        <v>6.923961958659E12</v>
      </c>
      <c r="B2814" s="2"/>
      <c r="C2814" s="2" t="s">
        <v>11705</v>
      </c>
      <c r="D2814" s="169">
        <v>46076.0</v>
      </c>
      <c r="E2814" s="2">
        <v>3.33270958E9</v>
      </c>
      <c r="F2814" s="2" t="s">
        <v>11706</v>
      </c>
      <c r="G2814" s="2" t="s">
        <v>693</v>
      </c>
      <c r="H2814" s="2">
        <v>249.0</v>
      </c>
      <c r="I2814" s="2">
        <v>2.1120050022059E13</v>
      </c>
      <c r="J2814" s="3">
        <v>0.0</v>
      </c>
      <c r="K2814" s="2" t="s">
        <v>11707</v>
      </c>
      <c r="L2814" s="2"/>
      <c r="M2814" s="170" t="s">
        <v>455</v>
      </c>
      <c r="N2814" s="2" t="s">
        <v>406</v>
      </c>
      <c r="O2814" s="3"/>
      <c r="P2814" s="2" t="s">
        <v>73</v>
      </c>
      <c r="Q2814" s="3">
        <v>0.0</v>
      </c>
      <c r="R2814" s="3">
        <v>0.5</v>
      </c>
      <c r="U2814" s="141"/>
      <c r="W2814" s="3">
        <v>213.0</v>
      </c>
      <c r="X2814" s="172">
        <v>46085.77090209491</v>
      </c>
      <c r="Y2814" s="172"/>
      <c r="Z2814" s="3">
        <v>46076.0</v>
      </c>
      <c r="AA2814" s="3"/>
    </row>
    <row r="2815">
      <c r="A2815" s="3">
        <v>6.923966546179E12</v>
      </c>
      <c r="B2815" s="2"/>
      <c r="C2815" s="2" t="s">
        <v>11708</v>
      </c>
      <c r="D2815" s="169">
        <v>46076.0</v>
      </c>
      <c r="E2815" s="173" t="s">
        <v>11709</v>
      </c>
      <c r="F2815" s="2" t="s">
        <v>11710</v>
      </c>
      <c r="G2815" s="2" t="s">
        <v>368</v>
      </c>
      <c r="H2815" s="2">
        <v>0.0</v>
      </c>
      <c r="J2815" s="3">
        <v>0.0</v>
      </c>
      <c r="K2815" s="2" t="s">
        <v>8446</v>
      </c>
      <c r="L2815" s="2"/>
      <c r="M2815" s="2" t="s">
        <v>468</v>
      </c>
      <c r="N2815" s="2" t="s">
        <v>406</v>
      </c>
      <c r="O2815" s="3"/>
      <c r="Q2815" s="3">
        <v>0.0</v>
      </c>
      <c r="R2815" s="3">
        <v>0.5</v>
      </c>
      <c r="U2815" s="141"/>
      <c r="X2815" s="172"/>
      <c r="Y2815" s="172"/>
      <c r="Z2815" s="3">
        <v>46076.0</v>
      </c>
      <c r="AA2815" s="3"/>
    </row>
    <row r="2816">
      <c r="A2816" s="3">
        <v>6.923974443267E12</v>
      </c>
      <c r="B2816" s="2"/>
      <c r="C2816" s="2" t="s">
        <v>11711</v>
      </c>
      <c r="D2816" s="169">
        <v>46076.0</v>
      </c>
      <c r="E2816" s="2">
        <v>3.33228865E9</v>
      </c>
      <c r="F2816" s="2" t="s">
        <v>11712</v>
      </c>
      <c r="G2816" s="2" t="s">
        <v>493</v>
      </c>
      <c r="H2816" s="2">
        <v>3348.0</v>
      </c>
      <c r="I2816" s="2">
        <v>2.3120050022033E13</v>
      </c>
      <c r="J2816" s="3">
        <v>2.0</v>
      </c>
      <c r="K2816" s="2" t="s">
        <v>11560</v>
      </c>
      <c r="L2816" s="2" t="s">
        <v>228</v>
      </c>
      <c r="M2816" s="2" t="s">
        <v>409</v>
      </c>
      <c r="N2816" s="2" t="s">
        <v>462</v>
      </c>
      <c r="O2816" s="3"/>
      <c r="P2816" s="2" t="s">
        <v>73</v>
      </c>
      <c r="Q2816" s="3">
        <v>720.0</v>
      </c>
      <c r="R2816" s="3">
        <v>0.5</v>
      </c>
      <c r="T2816" s="2" t="s">
        <v>10905</v>
      </c>
      <c r="U2816" s="171">
        <v>3348.0</v>
      </c>
      <c r="V2816" s="172">
        <v>46080.0</v>
      </c>
      <c r="W2816" s="3">
        <v>347.0</v>
      </c>
      <c r="X2816" s="172">
        <v>46078.77235384259</v>
      </c>
      <c r="Y2816" s="172"/>
      <c r="Z2816" s="3">
        <v>46076.0</v>
      </c>
      <c r="AA2816" s="3"/>
    </row>
    <row r="2817">
      <c r="A2817" s="3">
        <v>6.924044304643E12</v>
      </c>
      <c r="B2817" s="2"/>
      <c r="C2817" s="2" t="s">
        <v>11713</v>
      </c>
      <c r="D2817" s="169">
        <v>46076.0</v>
      </c>
      <c r="E2817" s="2">
        <v>3.219021118E9</v>
      </c>
      <c r="F2817" s="2" t="s">
        <v>11714</v>
      </c>
      <c r="G2817" s="2" t="s">
        <v>4788</v>
      </c>
      <c r="H2817" s="2">
        <v>3099.0</v>
      </c>
      <c r="I2817" s="2">
        <v>2.8120050022058E13</v>
      </c>
      <c r="J2817" s="3">
        <v>2.0</v>
      </c>
      <c r="K2817" s="2" t="s">
        <v>11715</v>
      </c>
      <c r="L2817" s="2" t="s">
        <v>1242</v>
      </c>
      <c r="M2817" s="2" t="s">
        <v>409</v>
      </c>
      <c r="N2817" s="2" t="s">
        <v>462</v>
      </c>
      <c r="O2817" s="3"/>
      <c r="P2817" s="2" t="s">
        <v>73</v>
      </c>
      <c r="Q2817" s="3">
        <v>1000.0</v>
      </c>
      <c r="R2817" s="3">
        <v>0.5</v>
      </c>
      <c r="T2817" s="2" t="s">
        <v>10905</v>
      </c>
      <c r="U2817" s="171">
        <v>3099.0</v>
      </c>
      <c r="V2817" s="172">
        <v>46080.0</v>
      </c>
      <c r="W2817" s="3">
        <v>337.0</v>
      </c>
      <c r="X2817" s="172">
        <v>46079.66600952546</v>
      </c>
      <c r="Y2817" s="172"/>
      <c r="Z2817" s="3">
        <v>46076.0</v>
      </c>
      <c r="AA2817" s="3"/>
    </row>
    <row r="2818">
      <c r="A2818" s="3">
        <v>6.924185960707E12</v>
      </c>
      <c r="B2818" s="2"/>
      <c r="C2818" s="2" t="s">
        <v>11716</v>
      </c>
      <c r="D2818" s="169">
        <v>46076.0</v>
      </c>
      <c r="E2818" s="2">
        <v>3.373112352E9</v>
      </c>
      <c r="F2818" s="2" t="s">
        <v>11717</v>
      </c>
      <c r="G2818" s="2" t="s">
        <v>493</v>
      </c>
      <c r="H2818" s="2">
        <v>3398.0</v>
      </c>
      <c r="I2818" s="2">
        <v>2.7120050022079E13</v>
      </c>
      <c r="J2818" s="3">
        <v>2.0</v>
      </c>
      <c r="K2818" s="2" t="s">
        <v>11718</v>
      </c>
      <c r="L2818" s="2" t="s">
        <v>11719</v>
      </c>
      <c r="M2818" s="2" t="s">
        <v>409</v>
      </c>
      <c r="N2818" s="2" t="s">
        <v>462</v>
      </c>
      <c r="O2818" s="3"/>
      <c r="P2818" s="2" t="s">
        <v>73</v>
      </c>
      <c r="Q2818" s="3">
        <v>1480.0</v>
      </c>
      <c r="R2818" s="3">
        <v>0.5</v>
      </c>
      <c r="T2818" s="2" t="s">
        <v>11287</v>
      </c>
      <c r="U2818" s="171">
        <v>3398.0</v>
      </c>
      <c r="V2818" s="172">
        <v>46084.0</v>
      </c>
      <c r="W2818" s="3">
        <v>363.0</v>
      </c>
      <c r="X2818" s="172">
        <v>46082.6659478125</v>
      </c>
      <c r="Y2818" s="172"/>
      <c r="Z2818" s="3">
        <v>46076.0</v>
      </c>
      <c r="AA2818" s="3"/>
    </row>
    <row r="2819">
      <c r="A2819" s="3">
        <v>6.924247007491E12</v>
      </c>
      <c r="B2819" s="2"/>
      <c r="C2819" s="2" t="s">
        <v>11720</v>
      </c>
      <c r="D2819" s="169">
        <v>46076.0</v>
      </c>
      <c r="E2819" s="2">
        <v>3.458274443E9</v>
      </c>
      <c r="F2819" s="2" t="s">
        <v>11721</v>
      </c>
      <c r="G2819" s="2" t="s">
        <v>11722</v>
      </c>
      <c r="H2819" s="2">
        <v>3348.0</v>
      </c>
      <c r="I2819" s="2">
        <v>2.1120050022078E13</v>
      </c>
      <c r="J2819" s="3">
        <v>2.0</v>
      </c>
      <c r="K2819" s="2" t="s">
        <v>11638</v>
      </c>
      <c r="L2819" s="2" t="s">
        <v>296</v>
      </c>
      <c r="M2819" s="2" t="s">
        <v>409</v>
      </c>
      <c r="N2819" s="2" t="s">
        <v>462</v>
      </c>
      <c r="O2819" s="3"/>
      <c r="P2819" s="2" t="s">
        <v>73</v>
      </c>
      <c r="Q2819" s="3">
        <v>720.0</v>
      </c>
      <c r="R2819" s="3">
        <v>0.5</v>
      </c>
      <c r="T2819" s="2" t="s">
        <v>11287</v>
      </c>
      <c r="U2819" s="171">
        <v>3348.0</v>
      </c>
      <c r="V2819" s="172">
        <v>46084.0</v>
      </c>
      <c r="W2819" s="3">
        <v>334.0</v>
      </c>
      <c r="X2819" s="172">
        <v>46080.54113146991</v>
      </c>
      <c r="Y2819" s="172"/>
      <c r="Z2819" s="3">
        <v>46076.0</v>
      </c>
      <c r="AA2819" s="3"/>
    </row>
    <row r="2820">
      <c r="A2820" s="3">
        <v>6.924261654787E12</v>
      </c>
      <c r="B2820" s="2"/>
      <c r="C2820" s="2" t="s">
        <v>11723</v>
      </c>
      <c r="D2820" s="169">
        <v>46076.0</v>
      </c>
      <c r="E2820" s="173" t="s">
        <v>11724</v>
      </c>
      <c r="F2820" s="2" t="s">
        <v>11725</v>
      </c>
      <c r="G2820" s="2" t="s">
        <v>506</v>
      </c>
      <c r="H2820" s="2">
        <v>3348.0</v>
      </c>
      <c r="I2820" s="2">
        <v>2.0120050022501E13</v>
      </c>
      <c r="J2820" s="3">
        <v>2.0</v>
      </c>
      <c r="K2820" s="2" t="s">
        <v>11726</v>
      </c>
      <c r="L2820" s="2" t="s">
        <v>40</v>
      </c>
      <c r="M2820" s="2" t="s">
        <v>409</v>
      </c>
      <c r="N2820" s="2" t="s">
        <v>462</v>
      </c>
      <c r="O2820" s="3"/>
      <c r="P2820" s="2" t="s">
        <v>73</v>
      </c>
      <c r="Q2820" s="3">
        <v>720.0</v>
      </c>
      <c r="R2820" s="3">
        <v>0.5</v>
      </c>
      <c r="T2820" s="2" t="s">
        <v>11534</v>
      </c>
      <c r="U2820" s="171">
        <v>3348.0</v>
      </c>
      <c r="V2820" s="172">
        <v>46097.0</v>
      </c>
      <c r="W2820" s="3">
        <v>334.0</v>
      </c>
      <c r="X2820" s="172">
        <v>46096.83260517361</v>
      </c>
      <c r="Y2820" s="172"/>
      <c r="Z2820" s="3">
        <v>46076.0</v>
      </c>
      <c r="AA2820" s="3"/>
    </row>
    <row r="2821">
      <c r="A2821" s="3">
        <v>6.924274893059E12</v>
      </c>
      <c r="B2821" s="2"/>
      <c r="C2821" s="2" t="s">
        <v>11727</v>
      </c>
      <c r="D2821" s="169">
        <v>46076.0</v>
      </c>
      <c r="E2821" s="2">
        <v>3.067577726E9</v>
      </c>
      <c r="F2821" s="2" t="s">
        <v>11728</v>
      </c>
      <c r="G2821" s="2" t="s">
        <v>368</v>
      </c>
      <c r="H2821" s="2">
        <v>249.0</v>
      </c>
      <c r="I2821" s="2">
        <v>2.1120050022084E13</v>
      </c>
      <c r="J2821" s="3">
        <v>0.0</v>
      </c>
      <c r="K2821" s="2" t="s">
        <v>11729</v>
      </c>
      <c r="L2821" s="2"/>
      <c r="M2821" s="170" t="s">
        <v>455</v>
      </c>
      <c r="N2821" s="2" t="s">
        <v>406</v>
      </c>
      <c r="O2821" s="3"/>
      <c r="P2821" s="2" t="s">
        <v>73</v>
      </c>
      <c r="Q2821" s="3">
        <v>0.0</v>
      </c>
      <c r="R2821" s="3">
        <v>0.5</v>
      </c>
      <c r="U2821" s="141"/>
      <c r="W2821" s="3">
        <v>107.0</v>
      </c>
      <c r="X2821" s="172">
        <v>46084.83265538195</v>
      </c>
      <c r="Y2821" s="172"/>
      <c r="Z2821" s="3">
        <v>46076.0</v>
      </c>
      <c r="AA2821" s="3"/>
    </row>
    <row r="2822">
      <c r="A2822" s="3">
        <v>6.924390727939E12</v>
      </c>
      <c r="B2822" s="2"/>
      <c r="C2822" s="2" t="s">
        <v>11730</v>
      </c>
      <c r="D2822" s="169">
        <v>46076.0</v>
      </c>
      <c r="E2822" s="2">
        <v>3.356030549E9</v>
      </c>
      <c r="F2822" s="2" t="s">
        <v>11731</v>
      </c>
      <c r="G2822" s="2" t="s">
        <v>368</v>
      </c>
      <c r="H2822" s="2">
        <v>2049.0</v>
      </c>
      <c r="I2822" s="2">
        <v>2.6120050022077E13</v>
      </c>
      <c r="J2822" s="3">
        <v>1.0</v>
      </c>
      <c r="K2822" s="2" t="s">
        <v>11703</v>
      </c>
      <c r="L2822" s="2" t="s">
        <v>10652</v>
      </c>
      <c r="M2822" s="2" t="s">
        <v>409</v>
      </c>
      <c r="N2822" s="2" t="s">
        <v>462</v>
      </c>
      <c r="O2822" s="3"/>
      <c r="P2822" s="2" t="s">
        <v>73</v>
      </c>
      <c r="Q2822" s="3">
        <v>400.0</v>
      </c>
      <c r="R2822" s="3">
        <v>0.5</v>
      </c>
      <c r="T2822" s="2" t="s">
        <v>10905</v>
      </c>
      <c r="U2822" s="171">
        <v>2049.0</v>
      </c>
      <c r="V2822" s="172">
        <v>46080.0</v>
      </c>
      <c r="W2822" s="3">
        <v>189.0</v>
      </c>
      <c r="X2822" s="172">
        <v>46078.62442039352</v>
      </c>
      <c r="Y2822" s="172"/>
      <c r="Z2822" s="3">
        <v>46076.0</v>
      </c>
      <c r="AA2822" s="3"/>
    </row>
    <row r="2823">
      <c r="A2823" s="3">
        <v>6.924433391875E12</v>
      </c>
      <c r="B2823" s="2"/>
      <c r="C2823" s="2" t="s">
        <v>11732</v>
      </c>
      <c r="D2823" s="169">
        <v>46076.0</v>
      </c>
      <c r="E2823" s="2">
        <v>3.21567891E9</v>
      </c>
      <c r="F2823" s="2" t="s">
        <v>11733</v>
      </c>
      <c r="G2823" s="2" t="s">
        <v>368</v>
      </c>
      <c r="H2823" s="2">
        <v>3099.0</v>
      </c>
      <c r="I2823" s="2">
        <v>2.9120050022076E13</v>
      </c>
      <c r="J2823" s="3">
        <v>2.0</v>
      </c>
      <c r="K2823" s="2" t="s">
        <v>11513</v>
      </c>
      <c r="L2823" s="2" t="s">
        <v>2562</v>
      </c>
      <c r="M2823" s="2" t="s">
        <v>409</v>
      </c>
      <c r="N2823" s="2" t="s">
        <v>462</v>
      </c>
      <c r="O2823" s="3"/>
      <c r="P2823" s="2" t="s">
        <v>73</v>
      </c>
      <c r="Q2823" s="3">
        <v>1000.0</v>
      </c>
      <c r="R2823" s="3">
        <v>0.5</v>
      </c>
      <c r="T2823" s="2" t="s">
        <v>10905</v>
      </c>
      <c r="U2823" s="171">
        <v>3099.0</v>
      </c>
      <c r="V2823" s="172">
        <v>46080.0</v>
      </c>
      <c r="W2823" s="3">
        <v>231.0</v>
      </c>
      <c r="X2823" s="172">
        <v>46078.457742025465</v>
      </c>
      <c r="Y2823" s="172"/>
      <c r="Z2823" s="3">
        <v>46076.0</v>
      </c>
      <c r="AA2823" s="3"/>
    </row>
    <row r="2824">
      <c r="A2824" s="3">
        <v>6.924494831875E12</v>
      </c>
      <c r="B2824" s="2"/>
      <c r="C2824" s="2" t="s">
        <v>11734</v>
      </c>
      <c r="D2824" s="169">
        <v>46076.0</v>
      </c>
      <c r="E2824" s="2">
        <v>3.20857269E9</v>
      </c>
      <c r="F2824" s="2" t="s">
        <v>11735</v>
      </c>
      <c r="G2824" s="2" t="s">
        <v>1257</v>
      </c>
      <c r="H2824" s="2">
        <v>249.0</v>
      </c>
      <c r="I2824" s="2">
        <v>2.2120050022083E13</v>
      </c>
      <c r="J2824" s="3">
        <v>0.0</v>
      </c>
      <c r="K2824" s="2" t="s">
        <v>11736</v>
      </c>
      <c r="L2824" s="2"/>
      <c r="M2824" s="2" t="s">
        <v>409</v>
      </c>
      <c r="N2824" s="2" t="s">
        <v>406</v>
      </c>
      <c r="O2824" s="3"/>
      <c r="P2824" s="2" t="s">
        <v>73</v>
      </c>
      <c r="Q2824" s="3">
        <v>0.0</v>
      </c>
      <c r="R2824" s="3">
        <v>0.5</v>
      </c>
      <c r="T2824" s="2" t="s">
        <v>11287</v>
      </c>
      <c r="U2824" s="171">
        <v>249.0</v>
      </c>
      <c r="V2824" s="172">
        <v>46084.0</v>
      </c>
      <c r="W2824" s="3">
        <v>314.0</v>
      </c>
      <c r="X2824" s="172">
        <v>46081.49927024306</v>
      </c>
      <c r="Y2824" s="172"/>
      <c r="Z2824" s="3">
        <v>46076.0</v>
      </c>
      <c r="AA2824" s="3"/>
    </row>
    <row r="2825">
      <c r="A2825" s="3">
        <v>6.924525863171E12</v>
      </c>
      <c r="B2825" s="2"/>
      <c r="C2825" s="2" t="s">
        <v>11737</v>
      </c>
      <c r="D2825" s="169">
        <v>46076.0</v>
      </c>
      <c r="E2825" s="2">
        <v>3.043235104E9</v>
      </c>
      <c r="F2825" s="2" t="s">
        <v>11738</v>
      </c>
      <c r="G2825" s="2" t="s">
        <v>11739</v>
      </c>
      <c r="H2825" s="2">
        <v>249.0</v>
      </c>
      <c r="I2825" s="2">
        <v>2.3120050022129E13</v>
      </c>
      <c r="J2825" s="3">
        <v>0.0</v>
      </c>
      <c r="K2825" s="2" t="s">
        <v>11740</v>
      </c>
      <c r="L2825" s="2"/>
      <c r="M2825" s="170" t="s">
        <v>455</v>
      </c>
      <c r="N2825" s="2" t="s">
        <v>406</v>
      </c>
      <c r="O2825" s="3"/>
      <c r="P2825" s="2" t="s">
        <v>73</v>
      </c>
      <c r="Q2825" s="3">
        <v>0.0</v>
      </c>
      <c r="R2825" s="3">
        <v>0.5</v>
      </c>
      <c r="U2825" s="141"/>
      <c r="W2825" s="3">
        <v>213.0</v>
      </c>
      <c r="X2825" s="172">
        <v>46088.79104376158</v>
      </c>
      <c r="Y2825" s="172"/>
      <c r="Z2825" s="3">
        <v>46076.0</v>
      </c>
      <c r="AA2825" s="3"/>
    </row>
    <row r="2826">
      <c r="A2826" s="3">
        <v>6.924602016003E12</v>
      </c>
      <c r="B2826" s="2"/>
      <c r="C2826" s="2" t="s">
        <v>11741</v>
      </c>
      <c r="D2826" s="169">
        <v>46077.0</v>
      </c>
      <c r="E2826" s="2">
        <v>3.056125085E9</v>
      </c>
      <c r="F2826" s="2" t="s">
        <v>11742</v>
      </c>
      <c r="G2826" s="2" t="s">
        <v>2725</v>
      </c>
      <c r="H2826" s="2">
        <v>249.0</v>
      </c>
      <c r="I2826" s="2">
        <v>2.3120050022082E13</v>
      </c>
      <c r="J2826" s="3">
        <v>0.0</v>
      </c>
      <c r="K2826" s="2" t="s">
        <v>11743</v>
      </c>
      <c r="L2826" s="2"/>
      <c r="M2826" s="170" t="s">
        <v>455</v>
      </c>
      <c r="N2826" s="2" t="s">
        <v>406</v>
      </c>
      <c r="O2826" s="3"/>
      <c r="P2826" s="2" t="s">
        <v>73</v>
      </c>
      <c r="Q2826" s="3">
        <v>0.0</v>
      </c>
      <c r="R2826" s="3">
        <v>0.5</v>
      </c>
      <c r="U2826" s="141"/>
      <c r="W2826" s="3">
        <v>200.0</v>
      </c>
      <c r="X2826" s="172">
        <v>46084.83265556713</v>
      </c>
      <c r="Y2826" s="172"/>
      <c r="Z2826" s="3">
        <v>46077.0</v>
      </c>
      <c r="AA2826" s="3"/>
    </row>
    <row r="2827">
      <c r="A2827" s="3">
        <v>6.924603195651E12</v>
      </c>
      <c r="B2827" s="2"/>
      <c r="C2827" s="2" t="s">
        <v>11741</v>
      </c>
      <c r="D2827" s="169">
        <v>46077.0</v>
      </c>
      <c r="E2827" s="2">
        <v>3.056125085E9</v>
      </c>
      <c r="F2827" s="2" t="s">
        <v>11742</v>
      </c>
      <c r="G2827" s="2" t="s">
        <v>2725</v>
      </c>
      <c r="H2827" s="2">
        <v>0.0</v>
      </c>
      <c r="J2827" s="3">
        <v>0.0</v>
      </c>
      <c r="K2827" s="2" t="s">
        <v>11744</v>
      </c>
      <c r="L2827" s="2"/>
      <c r="M2827" s="2" t="s">
        <v>468</v>
      </c>
      <c r="N2827" s="2" t="s">
        <v>406</v>
      </c>
      <c r="O2827" s="3"/>
      <c r="Q2827" s="3">
        <v>0.0</v>
      </c>
      <c r="R2827" s="3">
        <v>0.5</v>
      </c>
      <c r="U2827" s="141"/>
      <c r="X2827" s="172"/>
      <c r="Y2827" s="172"/>
      <c r="Z2827" s="3">
        <v>46077.0</v>
      </c>
      <c r="AA2827" s="3"/>
    </row>
    <row r="2828">
      <c r="A2828" s="3">
        <v>6.924622790915E12</v>
      </c>
      <c r="B2828" s="2"/>
      <c r="C2828" s="2" t="s">
        <v>11745</v>
      </c>
      <c r="D2828" s="169">
        <v>46077.0</v>
      </c>
      <c r="E2828" s="2">
        <v>3.054830015E9</v>
      </c>
      <c r="F2828" s="2" t="s">
        <v>11746</v>
      </c>
      <c r="G2828" s="2" t="s">
        <v>368</v>
      </c>
      <c r="H2828" s="2">
        <v>1799.0</v>
      </c>
      <c r="I2828" s="2">
        <v>2.7120050022075E13</v>
      </c>
      <c r="J2828" s="3">
        <v>1.0</v>
      </c>
      <c r="K2828" s="2" t="s">
        <v>11747</v>
      </c>
      <c r="L2828" s="2" t="s">
        <v>1185</v>
      </c>
      <c r="M2828" s="2" t="s">
        <v>409</v>
      </c>
      <c r="N2828" s="2" t="s">
        <v>462</v>
      </c>
      <c r="O2828" s="3"/>
      <c r="P2828" s="2" t="s">
        <v>73</v>
      </c>
      <c r="Q2828" s="3">
        <v>490.0</v>
      </c>
      <c r="R2828" s="3">
        <v>0.5</v>
      </c>
      <c r="T2828" s="2" t="s">
        <v>10905</v>
      </c>
      <c r="U2828" s="171">
        <v>1799.0</v>
      </c>
      <c r="V2828" s="172">
        <v>46080.0</v>
      </c>
      <c r="W2828" s="3">
        <v>179.0</v>
      </c>
      <c r="X2828" s="172">
        <v>46078.62442046296</v>
      </c>
      <c r="Y2828" s="172"/>
      <c r="Z2828" s="3">
        <v>46077.0</v>
      </c>
      <c r="AA2828" s="3"/>
    </row>
    <row r="2829">
      <c r="A2829" s="3">
        <v>6.924623839491E12</v>
      </c>
      <c r="B2829" s="2"/>
      <c r="C2829" s="2" t="s">
        <v>11748</v>
      </c>
      <c r="D2829" s="169">
        <v>46077.0</v>
      </c>
      <c r="E2829" s="2">
        <v>3.008846682E9</v>
      </c>
      <c r="F2829" s="2" t="s">
        <v>11749</v>
      </c>
      <c r="G2829" s="2" t="s">
        <v>368</v>
      </c>
      <c r="H2829" s="2">
        <v>0.0</v>
      </c>
      <c r="J2829" s="3">
        <v>0.0</v>
      </c>
      <c r="K2829" s="2" t="s">
        <v>11750</v>
      </c>
      <c r="L2829" s="2"/>
      <c r="M2829" s="2" t="s">
        <v>468</v>
      </c>
      <c r="N2829" s="2" t="s">
        <v>406</v>
      </c>
      <c r="O2829" s="3"/>
      <c r="Q2829" s="3">
        <v>0.0</v>
      </c>
      <c r="R2829" s="3">
        <v>0.5</v>
      </c>
      <c r="U2829" s="141"/>
      <c r="X2829" s="172"/>
      <c r="Y2829" s="172"/>
      <c r="Z2829" s="3">
        <v>46077.0</v>
      </c>
      <c r="AA2829" s="3"/>
    </row>
    <row r="2830">
      <c r="A2830" s="3">
        <v>6.924630655235E12</v>
      </c>
      <c r="B2830" s="2"/>
      <c r="C2830" s="2" t="s">
        <v>11748</v>
      </c>
      <c r="D2830" s="169">
        <v>46077.0</v>
      </c>
      <c r="E2830" s="173" t="s">
        <v>11751</v>
      </c>
      <c r="F2830" s="2" t="s">
        <v>11749</v>
      </c>
      <c r="G2830" s="2" t="s">
        <v>368</v>
      </c>
      <c r="H2830" s="2">
        <v>249.0</v>
      </c>
      <c r="I2830" s="2">
        <v>2.4120050022074E13</v>
      </c>
      <c r="J2830" s="3">
        <v>0.0</v>
      </c>
      <c r="K2830" s="2" t="s">
        <v>11752</v>
      </c>
      <c r="L2830" s="2"/>
      <c r="M2830" s="170" t="s">
        <v>455</v>
      </c>
      <c r="N2830" s="2" t="s">
        <v>406</v>
      </c>
      <c r="O2830" s="3"/>
      <c r="P2830" s="2" t="s">
        <v>73</v>
      </c>
      <c r="Q2830" s="3">
        <v>0.0</v>
      </c>
      <c r="R2830" s="3">
        <v>0.5</v>
      </c>
      <c r="U2830" s="141"/>
      <c r="W2830" s="3">
        <v>120.0</v>
      </c>
      <c r="X2830" s="172">
        <v>46085.77090267361</v>
      </c>
      <c r="Y2830" s="172"/>
      <c r="Z2830" s="3">
        <v>46077.0</v>
      </c>
      <c r="AA2830" s="3"/>
    </row>
    <row r="2831">
      <c r="A2831" s="3">
        <v>6.924632654083E12</v>
      </c>
      <c r="B2831" s="2"/>
      <c r="C2831" s="2" t="s">
        <v>11753</v>
      </c>
      <c r="D2831" s="169">
        <v>46077.0</v>
      </c>
      <c r="E2831" s="2">
        <v>3.013124123E9</v>
      </c>
      <c r="F2831" s="2" t="s">
        <v>11754</v>
      </c>
      <c r="G2831" s="2" t="s">
        <v>366</v>
      </c>
      <c r="H2831" s="2">
        <v>3348.0</v>
      </c>
      <c r="I2831" s="2">
        <v>2.0120050022073E13</v>
      </c>
      <c r="J2831" s="3">
        <v>2.0</v>
      </c>
      <c r="K2831" s="2" t="s">
        <v>11560</v>
      </c>
      <c r="L2831" s="2" t="s">
        <v>275</v>
      </c>
      <c r="M2831" s="2" t="s">
        <v>409</v>
      </c>
      <c r="N2831" s="2" t="s">
        <v>462</v>
      </c>
      <c r="O2831" s="3"/>
      <c r="P2831" s="2" t="s">
        <v>73</v>
      </c>
      <c r="Q2831" s="3">
        <v>800.0</v>
      </c>
      <c r="R2831" s="3">
        <v>0.5</v>
      </c>
      <c r="T2831" s="2" t="s">
        <v>10905</v>
      </c>
      <c r="U2831" s="171">
        <v>3348.0</v>
      </c>
      <c r="V2831" s="172">
        <v>46080.0</v>
      </c>
      <c r="W2831" s="3">
        <v>334.0</v>
      </c>
      <c r="X2831" s="172">
        <v>46079.83278483796</v>
      </c>
      <c r="Y2831" s="172"/>
      <c r="Z2831" s="3">
        <v>46077.0</v>
      </c>
      <c r="AA2831" s="3"/>
    </row>
    <row r="2832">
      <c r="A2832" s="3">
        <v>6.924638290179E12</v>
      </c>
      <c r="B2832" s="2"/>
      <c r="C2832" s="2" t="s">
        <v>11755</v>
      </c>
      <c r="D2832" s="169">
        <v>46077.0</v>
      </c>
      <c r="E2832" s="2">
        <v>3.054444445E9</v>
      </c>
      <c r="F2832" s="2" t="s">
        <v>11756</v>
      </c>
      <c r="G2832" s="2" t="s">
        <v>11757</v>
      </c>
      <c r="H2832" s="2">
        <v>2749.0</v>
      </c>
      <c r="I2832" s="2">
        <v>2.4120050022072E13</v>
      </c>
      <c r="J2832" s="3">
        <v>2.0</v>
      </c>
      <c r="K2832" s="2" t="s">
        <v>11758</v>
      </c>
      <c r="L2832" s="2" t="s">
        <v>16</v>
      </c>
      <c r="M2832" s="2" t="s">
        <v>409</v>
      </c>
      <c r="N2832" s="2" t="s">
        <v>462</v>
      </c>
      <c r="O2832" s="3"/>
      <c r="P2832" s="2" t="s">
        <v>73</v>
      </c>
      <c r="Q2832" s="3">
        <v>980.0</v>
      </c>
      <c r="R2832" s="3">
        <v>0.5</v>
      </c>
      <c r="T2832" s="2" t="s">
        <v>11565</v>
      </c>
      <c r="U2832" s="171">
        <v>2749.0</v>
      </c>
      <c r="V2832" s="172">
        <v>46087.0</v>
      </c>
      <c r="W2832" s="3">
        <v>330.0</v>
      </c>
      <c r="X2832" s="172">
        <v>46084.58271216435</v>
      </c>
      <c r="Y2832" s="172"/>
      <c r="Z2832" s="3">
        <v>46077.0</v>
      </c>
      <c r="AA2832" s="3"/>
    </row>
    <row r="2833">
      <c r="A2833" s="3">
        <v>6.924752355587E12</v>
      </c>
      <c r="B2833" s="2"/>
      <c r="C2833" s="2" t="s">
        <v>10087</v>
      </c>
      <c r="D2833" s="169">
        <v>46077.0</v>
      </c>
      <c r="E2833" s="2">
        <v>3.226000171E9</v>
      </c>
      <c r="F2833" s="2" t="s">
        <v>11759</v>
      </c>
      <c r="G2833" s="2" t="s">
        <v>855</v>
      </c>
      <c r="H2833" s="2">
        <v>0.0</v>
      </c>
      <c r="I2833" s="2">
        <v>2.9120050022105E13</v>
      </c>
      <c r="J2833" s="3">
        <v>0.0</v>
      </c>
      <c r="K2833" s="2" t="s">
        <v>11760</v>
      </c>
      <c r="L2833" s="2"/>
      <c r="M2833" s="2" t="s">
        <v>468</v>
      </c>
      <c r="N2833" s="2" t="s">
        <v>406</v>
      </c>
      <c r="O2833" s="3"/>
      <c r="P2833" s="2" t="s">
        <v>73</v>
      </c>
      <c r="Q2833" s="3">
        <v>0.0</v>
      </c>
      <c r="R2833" s="3">
        <v>0.5</v>
      </c>
      <c r="U2833" s="141"/>
      <c r="X2833" s="172">
        <v>46091.66596275463</v>
      </c>
      <c r="Y2833" s="172"/>
      <c r="Z2833" s="3">
        <v>46077.0</v>
      </c>
      <c r="AA2833" s="3"/>
    </row>
    <row r="2834">
      <c r="A2834" s="3">
        <v>6.924758810883E12</v>
      </c>
      <c r="B2834" s="2"/>
      <c r="C2834" s="2" t="s">
        <v>11761</v>
      </c>
      <c r="D2834" s="169">
        <v>46077.0</v>
      </c>
      <c r="E2834" s="173" t="s">
        <v>11762</v>
      </c>
      <c r="F2834" s="2" t="s">
        <v>11763</v>
      </c>
      <c r="G2834" s="2" t="s">
        <v>3356</v>
      </c>
      <c r="H2834" s="2">
        <v>0.0</v>
      </c>
      <c r="J2834" s="3">
        <v>0.0</v>
      </c>
      <c r="K2834" s="2" t="s">
        <v>11764</v>
      </c>
      <c r="L2834" s="2"/>
      <c r="M2834" s="2" t="s">
        <v>468</v>
      </c>
      <c r="N2834" s="2" t="s">
        <v>406</v>
      </c>
      <c r="O2834" s="3"/>
      <c r="Q2834" s="3">
        <v>0.0</v>
      </c>
      <c r="R2834" s="3">
        <v>0.5</v>
      </c>
      <c r="U2834" s="141"/>
      <c r="X2834" s="172"/>
      <c r="Y2834" s="172"/>
      <c r="Z2834" s="3">
        <v>46077.0</v>
      </c>
      <c r="AA2834" s="3"/>
    </row>
    <row r="2835">
      <c r="A2835" s="3">
        <v>6.924810944771E12</v>
      </c>
      <c r="B2835" s="2"/>
      <c r="C2835" s="2" t="s">
        <v>11765</v>
      </c>
      <c r="D2835" s="169">
        <v>46077.0</v>
      </c>
      <c r="E2835" s="2">
        <v>3.087858708E9</v>
      </c>
      <c r="F2835" s="2" t="s">
        <v>11766</v>
      </c>
      <c r="G2835" s="2" t="s">
        <v>374</v>
      </c>
      <c r="H2835" s="2">
        <v>2749.0</v>
      </c>
      <c r="I2835" s="2">
        <v>2.7120050022071E13</v>
      </c>
      <c r="J2835" s="3">
        <v>2.0</v>
      </c>
      <c r="K2835" s="2" t="s">
        <v>11673</v>
      </c>
      <c r="L2835" s="2" t="s">
        <v>926</v>
      </c>
      <c r="M2835" s="2" t="s">
        <v>409</v>
      </c>
      <c r="N2835" s="2" t="s">
        <v>462</v>
      </c>
      <c r="O2835" s="3"/>
      <c r="P2835" s="2" t="s">
        <v>73</v>
      </c>
      <c r="Q2835" s="3">
        <v>980.0</v>
      </c>
      <c r="R2835" s="3">
        <v>0.5</v>
      </c>
      <c r="T2835" s="2" t="s">
        <v>10905</v>
      </c>
      <c r="U2835" s="171">
        <v>2749.0</v>
      </c>
      <c r="V2835" s="172">
        <v>46080.0</v>
      </c>
      <c r="W2835" s="3">
        <v>330.0</v>
      </c>
      <c r="X2835" s="172">
        <v>46078.66597508102</v>
      </c>
      <c r="Y2835" s="172"/>
      <c r="Z2835" s="3">
        <v>46077.0</v>
      </c>
      <c r="AA2835" s="3"/>
    </row>
    <row r="2836">
      <c r="A2836" s="3">
        <v>6.924912066819E12</v>
      </c>
      <c r="B2836" s="2"/>
      <c r="C2836" s="2" t="s">
        <v>11767</v>
      </c>
      <c r="D2836" s="169">
        <v>46077.0</v>
      </c>
      <c r="E2836" s="2">
        <v>3.09760606E9</v>
      </c>
      <c r="F2836" s="2" t="s">
        <v>11768</v>
      </c>
      <c r="G2836" s="2" t="s">
        <v>527</v>
      </c>
      <c r="H2836" s="2">
        <v>249.0</v>
      </c>
      <c r="I2836" s="2">
        <v>2.7120050022128E13</v>
      </c>
      <c r="J2836" s="3">
        <v>0.0</v>
      </c>
      <c r="K2836" s="2" t="s">
        <v>11769</v>
      </c>
      <c r="L2836" s="2"/>
      <c r="M2836" s="170" t="s">
        <v>455</v>
      </c>
      <c r="N2836" s="2" t="s">
        <v>406</v>
      </c>
      <c r="O2836" s="3"/>
      <c r="P2836" s="2" t="s">
        <v>73</v>
      </c>
      <c r="Q2836" s="3">
        <v>0.0</v>
      </c>
      <c r="R2836" s="3">
        <v>0.5</v>
      </c>
      <c r="U2836" s="141"/>
      <c r="W2836" s="3">
        <v>200.0</v>
      </c>
      <c r="X2836" s="172">
        <v>46088.79104737268</v>
      </c>
      <c r="Y2836" s="172"/>
      <c r="Z2836" s="3">
        <v>46077.0</v>
      </c>
      <c r="AA2836" s="3"/>
    </row>
    <row r="2837">
      <c r="A2837" s="3">
        <v>6.924930154755E12</v>
      </c>
      <c r="B2837" s="2"/>
      <c r="C2837" s="2" t="s">
        <v>11770</v>
      </c>
      <c r="D2837" s="169">
        <v>46077.0</v>
      </c>
      <c r="E2837" s="2">
        <v>3.000184649E9</v>
      </c>
      <c r="F2837" s="2" t="s">
        <v>11771</v>
      </c>
      <c r="G2837" s="2" t="s">
        <v>1630</v>
      </c>
      <c r="H2837" s="2">
        <v>12738.0</v>
      </c>
      <c r="I2837" s="2">
        <v>2.8120050022127E13</v>
      </c>
      <c r="J2837" s="3">
        <v>7.0</v>
      </c>
      <c r="K2837" s="2" t="s">
        <v>11772</v>
      </c>
      <c r="L2837" s="2" t="s">
        <v>11773</v>
      </c>
      <c r="M2837" s="2" t="s">
        <v>409</v>
      </c>
      <c r="N2837" s="2" t="s">
        <v>462</v>
      </c>
      <c r="O2837" s="3"/>
      <c r="P2837" s="2" t="s">
        <v>73</v>
      </c>
      <c r="Q2837" s="3">
        <v>5080.0</v>
      </c>
      <c r="R2837" s="3">
        <v>0.5</v>
      </c>
      <c r="T2837" s="2" t="s">
        <v>11565</v>
      </c>
      <c r="U2837" s="171">
        <v>12738.0</v>
      </c>
      <c r="V2837" s="172">
        <v>46087.0</v>
      </c>
      <c r="W2837" s="3">
        <v>1103.0</v>
      </c>
      <c r="X2837" s="172">
        <v>46086.832640347224</v>
      </c>
      <c r="Y2837" s="172"/>
      <c r="Z2837" s="3">
        <v>46077.0</v>
      </c>
      <c r="AA2837" s="3"/>
    </row>
    <row r="2838">
      <c r="A2838" s="3">
        <v>6.924941033731E12</v>
      </c>
      <c r="B2838" s="2"/>
      <c r="C2838" s="2" t="s">
        <v>279</v>
      </c>
      <c r="D2838" s="169">
        <v>46077.0</v>
      </c>
      <c r="E2838" s="2">
        <v>3.195972476E9</v>
      </c>
      <c r="F2838" s="2" t="s">
        <v>11774</v>
      </c>
      <c r="G2838" s="2" t="s">
        <v>506</v>
      </c>
      <c r="H2838" s="2">
        <v>3348.0</v>
      </c>
      <c r="I2838" s="2">
        <v>2.5120050022089E13</v>
      </c>
      <c r="J2838" s="3">
        <v>2.0</v>
      </c>
      <c r="K2838" s="2" t="s">
        <v>11638</v>
      </c>
      <c r="L2838" s="2" t="s">
        <v>228</v>
      </c>
      <c r="M2838" s="2" t="s">
        <v>409</v>
      </c>
      <c r="N2838" s="2" t="s">
        <v>462</v>
      </c>
      <c r="O2838" s="3"/>
      <c r="P2838" s="2" t="s">
        <v>73</v>
      </c>
      <c r="Q2838" s="3">
        <v>720.0</v>
      </c>
      <c r="R2838" s="3">
        <v>0.5</v>
      </c>
      <c r="T2838" s="2" t="s">
        <v>11287</v>
      </c>
      <c r="U2838" s="171">
        <v>3348.0</v>
      </c>
      <c r="V2838" s="172">
        <v>46084.0</v>
      </c>
      <c r="W2838" s="3">
        <v>334.0</v>
      </c>
      <c r="X2838" s="172">
        <v>46080.74941881944</v>
      </c>
      <c r="Y2838" s="172"/>
      <c r="Z2838" s="3">
        <v>46077.0</v>
      </c>
      <c r="AA2838" s="3"/>
    </row>
    <row r="2839">
      <c r="A2839" s="3">
        <v>6.924954435843E12</v>
      </c>
      <c r="B2839" s="2"/>
      <c r="C2839" s="2" t="s">
        <v>11775</v>
      </c>
      <c r="D2839" s="169">
        <v>46077.0</v>
      </c>
      <c r="E2839" s="2">
        <v>3.052187629E9</v>
      </c>
      <c r="F2839" s="2" t="s">
        <v>11776</v>
      </c>
      <c r="G2839" s="2" t="s">
        <v>493</v>
      </c>
      <c r="H2839" s="2">
        <v>1799.0</v>
      </c>
      <c r="I2839" s="2">
        <v>2.812005002207E13</v>
      </c>
      <c r="J2839" s="3">
        <v>1.0</v>
      </c>
      <c r="K2839" s="2" t="s">
        <v>11777</v>
      </c>
      <c r="L2839" s="2" t="s">
        <v>1185</v>
      </c>
      <c r="M2839" s="2" t="s">
        <v>409</v>
      </c>
      <c r="N2839" s="2" t="s">
        <v>462</v>
      </c>
      <c r="O2839" s="3"/>
      <c r="P2839" s="2" t="s">
        <v>73</v>
      </c>
      <c r="Q2839" s="3">
        <v>490.0</v>
      </c>
      <c r="R2839" s="3">
        <v>0.5</v>
      </c>
      <c r="T2839" s="2" t="s">
        <v>11287</v>
      </c>
      <c r="U2839" s="171">
        <v>1799.0</v>
      </c>
      <c r="V2839" s="172">
        <v>46084.0</v>
      </c>
      <c r="W2839" s="3">
        <v>285.0</v>
      </c>
      <c r="X2839" s="172">
        <v>46080.54113252315</v>
      </c>
      <c r="Y2839" s="172"/>
      <c r="Z2839" s="3">
        <v>46077.0</v>
      </c>
      <c r="AA2839" s="3"/>
    </row>
    <row r="2840">
      <c r="A2840" s="3">
        <v>6.924968755459E12</v>
      </c>
      <c r="B2840" s="2"/>
      <c r="C2840" s="2" t="s">
        <v>11778</v>
      </c>
      <c r="D2840" s="169">
        <v>46077.0</v>
      </c>
      <c r="E2840" s="173" t="s">
        <v>11779</v>
      </c>
      <c r="F2840" s="2" t="s">
        <v>11780</v>
      </c>
      <c r="G2840" s="2" t="s">
        <v>506</v>
      </c>
      <c r="H2840" s="2">
        <v>3099.0</v>
      </c>
      <c r="I2840" s="2">
        <v>2.7120050022069E13</v>
      </c>
      <c r="J2840" s="3">
        <v>2.0</v>
      </c>
      <c r="K2840" s="2" t="s">
        <v>11513</v>
      </c>
      <c r="L2840" s="2" t="s">
        <v>2562</v>
      </c>
      <c r="M2840" s="2" t="s">
        <v>409</v>
      </c>
      <c r="N2840" s="2" t="s">
        <v>462</v>
      </c>
      <c r="O2840" s="3"/>
      <c r="P2840" s="2" t="s">
        <v>73</v>
      </c>
      <c r="Q2840" s="3">
        <v>1000.0</v>
      </c>
      <c r="R2840" s="3">
        <v>0.5</v>
      </c>
      <c r="T2840" s="2" t="s">
        <v>10905</v>
      </c>
      <c r="U2840" s="171">
        <v>3099.0</v>
      </c>
      <c r="V2840" s="172">
        <v>46080.0</v>
      </c>
      <c r="W2840" s="3">
        <v>324.0</v>
      </c>
      <c r="X2840" s="172">
        <v>46079.58287780093</v>
      </c>
      <c r="Y2840" s="172"/>
      <c r="Z2840" s="3">
        <v>46077.0</v>
      </c>
      <c r="AA2840" s="3"/>
    </row>
    <row r="2841">
      <c r="A2841" s="3">
        <v>6.924990021891E12</v>
      </c>
      <c r="B2841" s="2"/>
      <c r="C2841" s="2" t="s">
        <v>11781</v>
      </c>
      <c r="D2841" s="169">
        <v>46077.0</v>
      </c>
      <c r="E2841" s="2">
        <v>3.111609001E9</v>
      </c>
      <c r="F2841" s="2" t="s">
        <v>11782</v>
      </c>
      <c r="G2841" s="2" t="s">
        <v>11783</v>
      </c>
      <c r="H2841" s="2">
        <v>3348.0</v>
      </c>
      <c r="I2841" s="2">
        <v>2.4120050022088E13</v>
      </c>
      <c r="J2841" s="3">
        <v>2.0</v>
      </c>
      <c r="K2841" s="2" t="s">
        <v>11638</v>
      </c>
      <c r="L2841" s="2" t="s">
        <v>275</v>
      </c>
      <c r="M2841" s="2" t="s">
        <v>409</v>
      </c>
      <c r="N2841" s="2" t="s">
        <v>462</v>
      </c>
      <c r="O2841" s="3"/>
      <c r="P2841" s="2" t="s">
        <v>73</v>
      </c>
      <c r="Q2841" s="3">
        <v>800.0</v>
      </c>
      <c r="R2841" s="3">
        <v>0.5</v>
      </c>
      <c r="T2841" s="2" t="s">
        <v>11287</v>
      </c>
      <c r="U2841" s="171">
        <v>3348.0</v>
      </c>
      <c r="V2841" s="172">
        <v>46084.0</v>
      </c>
      <c r="W2841" s="3">
        <v>334.0</v>
      </c>
      <c r="X2841" s="172">
        <v>46080.665994282404</v>
      </c>
      <c r="Y2841" s="172"/>
      <c r="Z2841" s="3">
        <v>46077.0</v>
      </c>
      <c r="AA2841" s="3"/>
    </row>
    <row r="2842">
      <c r="A2842" s="3">
        <v>6.925176602883E12</v>
      </c>
      <c r="B2842" s="2"/>
      <c r="C2842" s="2" t="s">
        <v>11784</v>
      </c>
      <c r="D2842" s="169">
        <v>46077.0</v>
      </c>
      <c r="E2842" s="2">
        <v>3.336577372E9</v>
      </c>
      <c r="F2842" s="2" t="s">
        <v>11785</v>
      </c>
      <c r="G2842" s="2" t="s">
        <v>374</v>
      </c>
      <c r="H2842" s="2">
        <v>2699.0</v>
      </c>
      <c r="I2842" s="2">
        <v>2.3120050022137E13</v>
      </c>
      <c r="J2842" s="3">
        <v>1.0</v>
      </c>
      <c r="K2842" s="2" t="s">
        <v>11786</v>
      </c>
      <c r="L2842" s="2" t="s">
        <v>11787</v>
      </c>
      <c r="M2842" s="2" t="s">
        <v>409</v>
      </c>
      <c r="N2842" s="2" t="s">
        <v>462</v>
      </c>
      <c r="O2842" s="3"/>
      <c r="P2842" s="2" t="s">
        <v>73</v>
      </c>
      <c r="Q2842" s="3">
        <v>1075.0</v>
      </c>
      <c r="R2842" s="3">
        <v>0.5</v>
      </c>
      <c r="T2842" s="2" t="s">
        <v>11565</v>
      </c>
      <c r="U2842" s="171">
        <v>2699.0</v>
      </c>
      <c r="V2842" s="172">
        <v>46087.0</v>
      </c>
      <c r="W2842" s="3">
        <v>328.0</v>
      </c>
      <c r="X2842" s="172">
        <v>46086.540972002316</v>
      </c>
      <c r="Y2842" s="172"/>
      <c r="Z2842" s="3">
        <v>46077.0</v>
      </c>
      <c r="AA2842" s="3"/>
    </row>
    <row r="2843">
      <c r="A2843" s="3">
        <v>6.925239746819E12</v>
      </c>
      <c r="B2843" s="2"/>
      <c r="C2843" s="2" t="s">
        <v>11788</v>
      </c>
      <c r="D2843" s="169">
        <v>46077.0</v>
      </c>
      <c r="E2843" s="2">
        <v>3.008479046E9</v>
      </c>
      <c r="F2843" s="2" t="s">
        <v>11789</v>
      </c>
      <c r="G2843" s="2" t="s">
        <v>368</v>
      </c>
      <c r="H2843" s="2">
        <v>3348.0</v>
      </c>
      <c r="I2843" s="2">
        <v>2.9120050022068E13</v>
      </c>
      <c r="J2843" s="3">
        <v>2.0</v>
      </c>
      <c r="K2843" s="2" t="s">
        <v>11560</v>
      </c>
      <c r="L2843" s="2" t="s">
        <v>27</v>
      </c>
      <c r="M2843" s="2" t="s">
        <v>409</v>
      </c>
      <c r="N2843" s="2" t="s">
        <v>462</v>
      </c>
      <c r="O2843" s="3"/>
      <c r="P2843" s="2" t="s">
        <v>73</v>
      </c>
      <c r="Q2843" s="3">
        <v>720.0</v>
      </c>
      <c r="R2843" s="3">
        <v>0.5</v>
      </c>
      <c r="T2843" s="2" t="s">
        <v>10905</v>
      </c>
      <c r="U2843" s="171">
        <v>3348.0</v>
      </c>
      <c r="V2843" s="172">
        <v>46080.0</v>
      </c>
      <c r="W2843" s="3">
        <v>241.0</v>
      </c>
      <c r="X2843" s="172">
        <v>46078.62442140046</v>
      </c>
      <c r="Y2843" s="172"/>
      <c r="Z2843" s="3">
        <v>46077.0</v>
      </c>
      <c r="AA2843" s="3"/>
    </row>
    <row r="2844">
      <c r="A2844" s="3">
        <v>6.925260554499E12</v>
      </c>
      <c r="B2844" s="2"/>
      <c r="C2844" s="2" t="s">
        <v>4249</v>
      </c>
      <c r="D2844" s="169">
        <v>46077.0</v>
      </c>
      <c r="E2844" s="173" t="s">
        <v>11790</v>
      </c>
      <c r="F2844" s="2" t="s">
        <v>4250</v>
      </c>
      <c r="G2844" s="2" t="s">
        <v>678</v>
      </c>
      <c r="H2844" s="2">
        <v>2749.0</v>
      </c>
      <c r="I2844" s="2">
        <v>2.0120050022104E13</v>
      </c>
      <c r="J2844" s="3">
        <v>2.0</v>
      </c>
      <c r="K2844" s="2" t="s">
        <v>11791</v>
      </c>
      <c r="L2844" s="2" t="s">
        <v>926</v>
      </c>
      <c r="M2844" s="2" t="s">
        <v>409</v>
      </c>
      <c r="N2844" s="2" t="s">
        <v>462</v>
      </c>
      <c r="O2844" s="3"/>
      <c r="P2844" s="2" t="s">
        <v>73</v>
      </c>
      <c r="Q2844" s="3">
        <v>980.0</v>
      </c>
      <c r="R2844" s="3">
        <v>0.5</v>
      </c>
      <c r="T2844" s="2" t="s">
        <v>10905</v>
      </c>
      <c r="U2844" s="171">
        <v>2749.0</v>
      </c>
      <c r="V2844" s="172">
        <v>46080.0</v>
      </c>
      <c r="W2844" s="3">
        <v>230.0</v>
      </c>
      <c r="X2844" s="172">
        <v>46079.58287784722</v>
      </c>
      <c r="Y2844" s="172"/>
      <c r="Z2844" s="3">
        <v>46077.0</v>
      </c>
      <c r="AA2844" s="3"/>
    </row>
    <row r="2845">
      <c r="A2845" s="3">
        <v>6.925262291203E12</v>
      </c>
      <c r="B2845" s="2"/>
      <c r="C2845" s="2" t="s">
        <v>11792</v>
      </c>
      <c r="D2845" s="169">
        <v>46077.0</v>
      </c>
      <c r="E2845" s="2">
        <v>3.218565666E9</v>
      </c>
      <c r="F2845" s="2" t="s">
        <v>11793</v>
      </c>
      <c r="G2845" s="2" t="s">
        <v>366</v>
      </c>
      <c r="H2845" s="2">
        <v>249.0</v>
      </c>
      <c r="I2845" s="2">
        <v>2.9120050022087E13</v>
      </c>
      <c r="J2845" s="3">
        <v>0.0</v>
      </c>
      <c r="K2845" s="2" t="s">
        <v>11638</v>
      </c>
      <c r="L2845" s="2"/>
      <c r="M2845" s="2" t="s">
        <v>409</v>
      </c>
      <c r="N2845" s="2" t="s">
        <v>406</v>
      </c>
      <c r="O2845" s="3"/>
      <c r="P2845" s="2" t="s">
        <v>73</v>
      </c>
      <c r="Q2845" s="3">
        <v>0.0</v>
      </c>
      <c r="R2845" s="3">
        <v>0.5</v>
      </c>
      <c r="T2845" s="2" t="s">
        <v>11287</v>
      </c>
      <c r="U2845" s="171">
        <v>249.0</v>
      </c>
      <c r="V2845" s="172">
        <v>46084.0</v>
      </c>
      <c r="W2845" s="3">
        <v>334.0</v>
      </c>
      <c r="X2845" s="172">
        <v>46080.45766410879</v>
      </c>
      <c r="Y2845" s="172"/>
      <c r="Z2845" s="3">
        <v>46077.0</v>
      </c>
      <c r="AA2845" s="3"/>
    </row>
    <row r="2846">
      <c r="A2846" s="3">
        <v>6.925306233091E12</v>
      </c>
      <c r="B2846" s="2"/>
      <c r="C2846" s="2" t="s">
        <v>11794</v>
      </c>
      <c r="D2846" s="169">
        <v>46077.0</v>
      </c>
      <c r="E2846" s="2">
        <v>3.332125546E9</v>
      </c>
      <c r="F2846" s="2" t="s">
        <v>11795</v>
      </c>
      <c r="G2846" s="2" t="s">
        <v>493</v>
      </c>
      <c r="H2846" s="2">
        <v>3348.0</v>
      </c>
      <c r="I2846" s="2">
        <v>2.4120050022081E13</v>
      </c>
      <c r="J2846" s="3">
        <v>2.0</v>
      </c>
      <c r="K2846" s="2" t="s">
        <v>11638</v>
      </c>
      <c r="L2846" s="2" t="s">
        <v>40</v>
      </c>
      <c r="M2846" s="2" t="s">
        <v>409</v>
      </c>
      <c r="N2846" s="2" t="s">
        <v>462</v>
      </c>
      <c r="O2846" s="3"/>
      <c r="P2846" s="2" t="s">
        <v>73</v>
      </c>
      <c r="Q2846" s="3">
        <v>720.0</v>
      </c>
      <c r="R2846" s="3">
        <v>0.5</v>
      </c>
      <c r="T2846" s="2" t="s">
        <v>11287</v>
      </c>
      <c r="U2846" s="171">
        <v>3348.0</v>
      </c>
      <c r="V2846" s="172">
        <v>46084.0</v>
      </c>
      <c r="W2846" s="3">
        <v>347.0</v>
      </c>
      <c r="X2846" s="172">
        <v>46082.91594597222</v>
      </c>
      <c r="Y2846" s="172"/>
      <c r="Z2846" s="3">
        <v>46077.0</v>
      </c>
      <c r="AA2846" s="3"/>
    </row>
    <row r="2847">
      <c r="A2847" s="3">
        <v>6.925343195395E12</v>
      </c>
      <c r="B2847" s="2"/>
      <c r="C2847" s="2" t="s">
        <v>11796</v>
      </c>
      <c r="D2847" s="169">
        <v>46077.0</v>
      </c>
      <c r="E2847" s="173" t="s">
        <v>11797</v>
      </c>
      <c r="F2847" s="2" t="s">
        <v>11798</v>
      </c>
      <c r="G2847" s="2" t="s">
        <v>368</v>
      </c>
      <c r="H2847" s="2">
        <v>2749.0</v>
      </c>
      <c r="I2847" s="2">
        <v>2.6120050022126E13</v>
      </c>
      <c r="J2847" s="3">
        <v>2.0</v>
      </c>
      <c r="K2847" s="2" t="s">
        <v>11799</v>
      </c>
      <c r="L2847" s="2" t="s">
        <v>16</v>
      </c>
      <c r="M2847" s="2" t="s">
        <v>409</v>
      </c>
      <c r="N2847" s="2" t="s">
        <v>462</v>
      </c>
      <c r="O2847" s="3"/>
      <c r="P2847" s="2" t="s">
        <v>73</v>
      </c>
      <c r="Q2847" s="3">
        <v>980.0</v>
      </c>
      <c r="R2847" s="3">
        <v>0.5</v>
      </c>
      <c r="T2847" s="2" t="s">
        <v>11287</v>
      </c>
      <c r="U2847" s="171">
        <v>2749.0</v>
      </c>
      <c r="V2847" s="172">
        <v>46084.0</v>
      </c>
      <c r="W2847" s="3">
        <v>230.0</v>
      </c>
      <c r="X2847" s="172">
        <v>46080.66599430556</v>
      </c>
      <c r="Y2847" s="172"/>
      <c r="Z2847" s="3">
        <v>46077.0</v>
      </c>
      <c r="AA2847" s="3"/>
    </row>
    <row r="2848">
      <c r="A2848" s="3">
        <v>6.925372195075E12</v>
      </c>
      <c r="B2848" s="2"/>
      <c r="C2848" s="2" t="s">
        <v>11800</v>
      </c>
      <c r="D2848" s="169">
        <v>46077.0</v>
      </c>
      <c r="E2848" s="2">
        <v>3.062201751E9</v>
      </c>
      <c r="F2848" s="2" t="s">
        <v>11801</v>
      </c>
      <c r="G2848" s="2" t="s">
        <v>493</v>
      </c>
      <c r="H2848" s="2">
        <v>3348.0</v>
      </c>
      <c r="I2848" s="2">
        <v>2.4120050022086E13</v>
      </c>
      <c r="J2848" s="3">
        <v>2.0</v>
      </c>
      <c r="K2848" s="2" t="s">
        <v>11638</v>
      </c>
      <c r="L2848" s="2" t="s">
        <v>40</v>
      </c>
      <c r="M2848" s="2" t="s">
        <v>409</v>
      </c>
      <c r="N2848" s="2" t="s">
        <v>462</v>
      </c>
      <c r="O2848" s="3"/>
      <c r="P2848" s="2" t="s">
        <v>73</v>
      </c>
      <c r="Q2848" s="3">
        <v>720.0</v>
      </c>
      <c r="R2848" s="3">
        <v>0.5</v>
      </c>
      <c r="T2848" s="2" t="s">
        <v>11287</v>
      </c>
      <c r="U2848" s="171">
        <v>3348.0</v>
      </c>
      <c r="V2848" s="172">
        <v>46084.0</v>
      </c>
      <c r="W2848" s="3">
        <v>347.0</v>
      </c>
      <c r="X2848" s="172">
        <v>46083.707714398144</v>
      </c>
      <c r="Y2848" s="172"/>
      <c r="Z2848" s="3">
        <v>46077.0</v>
      </c>
      <c r="AA2848" s="3"/>
    </row>
    <row r="2849">
      <c r="A2849" s="3">
        <v>6.925400539395E12</v>
      </c>
      <c r="B2849" s="2"/>
      <c r="C2849" s="2" t="s">
        <v>10250</v>
      </c>
      <c r="D2849" s="169">
        <v>46077.0</v>
      </c>
      <c r="E2849" s="2">
        <v>3.31816675E9</v>
      </c>
      <c r="F2849" s="2" t="s">
        <v>10251</v>
      </c>
      <c r="G2849" s="2" t="s">
        <v>10252</v>
      </c>
      <c r="H2849" s="2">
        <v>249.0</v>
      </c>
      <c r="I2849" s="2">
        <v>2.6120050022085E13</v>
      </c>
      <c r="J2849" s="3">
        <v>0.0</v>
      </c>
      <c r="K2849" s="2" t="s">
        <v>11802</v>
      </c>
      <c r="L2849" s="2"/>
      <c r="M2849" s="170" t="s">
        <v>455</v>
      </c>
      <c r="N2849" s="2" t="s">
        <v>406</v>
      </c>
      <c r="O2849" s="3"/>
      <c r="P2849" s="2" t="s">
        <v>73</v>
      </c>
      <c r="Q2849" s="3">
        <v>0.0</v>
      </c>
      <c r="R2849" s="3">
        <v>0.5</v>
      </c>
      <c r="U2849" s="141"/>
      <c r="X2849" s="172">
        <v>46106.91602846065</v>
      </c>
      <c r="Y2849" s="172"/>
      <c r="Z2849" s="3">
        <v>46077.0</v>
      </c>
      <c r="AA2849" s="3"/>
    </row>
    <row r="2850">
      <c r="A2850" s="3">
        <v>6.925413449987E12</v>
      </c>
      <c r="B2850" s="2"/>
      <c r="C2850" s="2" t="s">
        <v>11803</v>
      </c>
      <c r="D2850" s="169">
        <v>46077.0</v>
      </c>
      <c r="E2850" s="2">
        <v>3.250535422E9</v>
      </c>
      <c r="F2850" s="2" t="s">
        <v>11804</v>
      </c>
      <c r="G2850" s="2" t="s">
        <v>817</v>
      </c>
      <c r="H2850" s="2">
        <v>249.0</v>
      </c>
      <c r="I2850" s="2">
        <v>2.6120050022101E13</v>
      </c>
      <c r="J2850" s="3">
        <v>0.0</v>
      </c>
      <c r="K2850" s="2" t="s">
        <v>11805</v>
      </c>
      <c r="L2850" s="2"/>
      <c r="M2850" s="170" t="s">
        <v>455</v>
      </c>
      <c r="N2850" s="2" t="s">
        <v>406</v>
      </c>
      <c r="O2850" s="3"/>
      <c r="P2850" s="2" t="s">
        <v>73</v>
      </c>
      <c r="Q2850" s="3">
        <v>0.0</v>
      </c>
      <c r="R2850" s="3">
        <v>0.5</v>
      </c>
      <c r="U2850" s="141"/>
      <c r="W2850" s="3">
        <v>213.0</v>
      </c>
      <c r="X2850" s="172">
        <v>46090.95764234954</v>
      </c>
      <c r="Y2850" s="172"/>
      <c r="Z2850" s="3">
        <v>46077.0</v>
      </c>
      <c r="AA2850" s="3"/>
    </row>
    <row r="2851">
      <c r="A2851" s="3">
        <v>6.925437567235E12</v>
      </c>
      <c r="B2851" s="2"/>
      <c r="C2851" s="2" t="s">
        <v>11806</v>
      </c>
      <c r="D2851" s="169">
        <v>46077.0</v>
      </c>
      <c r="E2851" s="2">
        <v>3.01434535E9</v>
      </c>
      <c r="F2851" s="2" t="s">
        <v>11807</v>
      </c>
      <c r="G2851" s="2" t="s">
        <v>898</v>
      </c>
      <c r="H2851" s="2">
        <v>3348.0</v>
      </c>
      <c r="I2851" s="2">
        <v>2.5120050022119E13</v>
      </c>
      <c r="J2851" s="3">
        <v>2.0</v>
      </c>
      <c r="K2851" s="2" t="s">
        <v>11466</v>
      </c>
      <c r="L2851" s="2" t="s">
        <v>906</v>
      </c>
      <c r="M2851" s="2" t="s">
        <v>409</v>
      </c>
      <c r="N2851" s="2" t="s">
        <v>462</v>
      </c>
      <c r="O2851" s="3"/>
      <c r="P2851" s="2" t="s">
        <v>73</v>
      </c>
      <c r="Q2851" s="3">
        <v>720.0</v>
      </c>
      <c r="R2851" s="3">
        <v>0.5</v>
      </c>
      <c r="T2851" s="2" t="s">
        <v>10905</v>
      </c>
      <c r="U2851" s="171">
        <v>3348.0</v>
      </c>
      <c r="V2851" s="172">
        <v>46080.0</v>
      </c>
      <c r="W2851" s="3">
        <v>334.0</v>
      </c>
      <c r="X2851" s="172">
        <v>46079.66600997685</v>
      </c>
      <c r="Y2851" s="172"/>
      <c r="Z2851" s="3">
        <v>46077.0</v>
      </c>
      <c r="AA2851" s="3"/>
    </row>
    <row r="2852">
      <c r="A2852" s="3">
        <v>6.925438583043E12</v>
      </c>
      <c r="B2852" s="2"/>
      <c r="C2852" s="2" t="s">
        <v>247</v>
      </c>
      <c r="D2852" s="169">
        <v>46077.0</v>
      </c>
      <c r="E2852" s="173" t="s">
        <v>11808</v>
      </c>
      <c r="F2852" s="2" t="s">
        <v>11809</v>
      </c>
      <c r="G2852" s="2" t="s">
        <v>506</v>
      </c>
      <c r="H2852" s="2">
        <v>3348.0</v>
      </c>
      <c r="I2852" s="2">
        <v>2.9120050022125E13</v>
      </c>
      <c r="J2852" s="3">
        <v>2.0</v>
      </c>
      <c r="K2852" s="2" t="s">
        <v>11810</v>
      </c>
      <c r="L2852" s="2" t="s">
        <v>50</v>
      </c>
      <c r="M2852" s="2" t="s">
        <v>409</v>
      </c>
      <c r="N2852" s="2" t="s">
        <v>462</v>
      </c>
      <c r="O2852" s="3"/>
      <c r="P2852" s="2" t="s">
        <v>73</v>
      </c>
      <c r="Q2852" s="3">
        <v>720.0</v>
      </c>
      <c r="R2852" s="3">
        <v>0.5</v>
      </c>
      <c r="T2852" s="2" t="s">
        <v>11287</v>
      </c>
      <c r="U2852" s="171">
        <v>3348.0</v>
      </c>
      <c r="V2852" s="172">
        <v>46084.0</v>
      </c>
      <c r="W2852" s="3">
        <v>334.0</v>
      </c>
      <c r="X2852" s="172">
        <v>46081.457698252314</v>
      </c>
      <c r="Y2852" s="172"/>
      <c r="Z2852" s="3">
        <v>46077.0</v>
      </c>
      <c r="AA2852" s="3"/>
    </row>
    <row r="2853">
      <c r="A2853" s="3">
        <v>6.925441696003E12</v>
      </c>
      <c r="B2853" s="2"/>
      <c r="C2853" s="2" t="s">
        <v>11811</v>
      </c>
      <c r="D2853" s="169">
        <v>46077.0</v>
      </c>
      <c r="E2853" s="173" t="s">
        <v>11812</v>
      </c>
      <c r="F2853" s="2" t="s">
        <v>11813</v>
      </c>
      <c r="G2853" s="2" t="s">
        <v>11814</v>
      </c>
      <c r="H2853" s="2">
        <v>3348.0</v>
      </c>
      <c r="I2853" s="2">
        <v>2.11200500221E13</v>
      </c>
      <c r="J2853" s="3">
        <v>2.0</v>
      </c>
      <c r="K2853" s="2" t="s">
        <v>11638</v>
      </c>
      <c r="L2853" s="2" t="s">
        <v>1258</v>
      </c>
      <c r="M2853" s="2" t="s">
        <v>409</v>
      </c>
      <c r="N2853" s="2" t="s">
        <v>462</v>
      </c>
      <c r="O2853" s="3"/>
      <c r="P2853" s="2" t="s">
        <v>73</v>
      </c>
      <c r="Q2853" s="3">
        <v>800.0</v>
      </c>
      <c r="R2853" s="3">
        <v>0.5</v>
      </c>
      <c r="T2853" s="2" t="s">
        <v>11287</v>
      </c>
      <c r="U2853" s="171">
        <v>3348.0</v>
      </c>
      <c r="V2853" s="172">
        <v>46084.0</v>
      </c>
      <c r="W2853" s="3">
        <v>334.0</v>
      </c>
      <c r="X2853" s="172">
        <v>46081.77090210648</v>
      </c>
      <c r="Y2853" s="172"/>
      <c r="Z2853" s="3">
        <v>46077.0</v>
      </c>
      <c r="AA2853" s="3"/>
    </row>
    <row r="2854">
      <c r="A2854" s="3">
        <v>6.925454868739E12</v>
      </c>
      <c r="B2854" s="2"/>
      <c r="C2854" s="2" t="s">
        <v>11815</v>
      </c>
      <c r="D2854" s="169">
        <v>46077.0</v>
      </c>
      <c r="E2854" s="173" t="s">
        <v>11816</v>
      </c>
      <c r="F2854" s="2" t="s">
        <v>11817</v>
      </c>
      <c r="G2854" s="2" t="s">
        <v>368</v>
      </c>
      <c r="H2854" s="2">
        <v>0.0</v>
      </c>
      <c r="J2854" s="3">
        <v>0.0</v>
      </c>
      <c r="K2854" s="2" t="s">
        <v>11818</v>
      </c>
      <c r="L2854" s="2"/>
      <c r="M2854" s="2" t="s">
        <v>468</v>
      </c>
      <c r="N2854" s="2" t="s">
        <v>406</v>
      </c>
      <c r="O2854" s="3"/>
      <c r="Q2854" s="3">
        <v>0.0</v>
      </c>
      <c r="R2854" s="3">
        <v>0.5</v>
      </c>
      <c r="U2854" s="141"/>
      <c r="X2854" s="172"/>
      <c r="Y2854" s="172"/>
      <c r="Z2854" s="3">
        <v>46077.0</v>
      </c>
      <c r="AA2854" s="3"/>
    </row>
    <row r="2855">
      <c r="A2855" s="3">
        <v>6.925466501379E12</v>
      </c>
      <c r="B2855" s="2"/>
      <c r="C2855" s="2" t="s">
        <v>11819</v>
      </c>
      <c r="D2855" s="169">
        <v>46077.0</v>
      </c>
      <c r="E2855" s="2">
        <v>3.098329027E9</v>
      </c>
      <c r="F2855" s="2" t="s">
        <v>11820</v>
      </c>
      <c r="G2855" s="2" t="s">
        <v>1016</v>
      </c>
      <c r="H2855" s="2">
        <v>3347.0</v>
      </c>
      <c r="I2855" s="2">
        <v>2.0120050022099E13</v>
      </c>
      <c r="J2855" s="3">
        <v>2.0</v>
      </c>
      <c r="K2855" s="2" t="s">
        <v>11821</v>
      </c>
      <c r="L2855" s="2" t="s">
        <v>11822</v>
      </c>
      <c r="M2855" s="2" t="s">
        <v>409</v>
      </c>
      <c r="N2855" s="2" t="s">
        <v>462</v>
      </c>
      <c r="O2855" s="3"/>
      <c r="P2855" s="2" t="s">
        <v>73</v>
      </c>
      <c r="Q2855" s="3">
        <v>720.0</v>
      </c>
      <c r="R2855" s="3">
        <v>0.5</v>
      </c>
      <c r="T2855" s="2" t="s">
        <v>11287</v>
      </c>
      <c r="U2855" s="171">
        <v>3347.0</v>
      </c>
      <c r="V2855" s="172">
        <v>46084.0</v>
      </c>
      <c r="W2855" s="3">
        <v>334.0</v>
      </c>
      <c r="X2855" s="172">
        <v>46081.70768795139</v>
      </c>
      <c r="Y2855" s="172"/>
      <c r="Z2855" s="3">
        <v>46077.0</v>
      </c>
      <c r="AA2855" s="3"/>
    </row>
    <row r="2856">
      <c r="A2856" s="3">
        <v>6.925467549955E12</v>
      </c>
      <c r="B2856" s="2"/>
      <c r="C2856" s="2" t="s">
        <v>11823</v>
      </c>
      <c r="D2856" s="169">
        <v>46077.0</v>
      </c>
      <c r="E2856" s="2">
        <v>3.007850066E9</v>
      </c>
      <c r="F2856" s="2" t="s">
        <v>11824</v>
      </c>
      <c r="G2856" s="2" t="s">
        <v>9768</v>
      </c>
      <c r="H2856" s="2">
        <v>3099.0</v>
      </c>
      <c r="I2856" s="2">
        <v>2.1120050022118E13</v>
      </c>
      <c r="J2856" s="3">
        <v>2.0</v>
      </c>
      <c r="K2856" s="2" t="s">
        <v>11825</v>
      </c>
      <c r="L2856" s="2" t="s">
        <v>906</v>
      </c>
      <c r="M2856" s="2" t="s">
        <v>409</v>
      </c>
      <c r="N2856" s="2" t="s">
        <v>406</v>
      </c>
      <c r="O2856" s="3"/>
      <c r="P2856" s="2" t="s">
        <v>73</v>
      </c>
      <c r="Q2856" s="3">
        <v>720.0</v>
      </c>
      <c r="R2856" s="3">
        <v>0.5</v>
      </c>
      <c r="T2856" s="2" t="s">
        <v>11287</v>
      </c>
      <c r="U2856" s="171">
        <v>3099.0</v>
      </c>
      <c r="V2856" s="172">
        <v>46084.0</v>
      </c>
      <c r="W2856" s="3">
        <v>458.0</v>
      </c>
      <c r="X2856" s="172">
        <v>46081.70768797454</v>
      </c>
      <c r="Y2856" s="172"/>
      <c r="Z2856" s="3">
        <v>46077.0</v>
      </c>
      <c r="AA2856" s="3"/>
    </row>
    <row r="2857">
      <c r="A2857" s="3">
        <v>6.925469679875E12</v>
      </c>
      <c r="B2857" s="2"/>
      <c r="C2857" s="2" t="s">
        <v>11826</v>
      </c>
      <c r="D2857" s="169">
        <v>46077.0</v>
      </c>
      <c r="E2857" s="2">
        <v>3.473002075E9</v>
      </c>
      <c r="F2857" s="2" t="s">
        <v>11827</v>
      </c>
      <c r="G2857" s="2" t="s">
        <v>493</v>
      </c>
      <c r="H2857" s="2">
        <v>3348.0</v>
      </c>
      <c r="I2857" s="2">
        <v>2.3120050022124E13</v>
      </c>
      <c r="J2857" s="3">
        <v>2.0</v>
      </c>
      <c r="K2857" s="2" t="s">
        <v>11828</v>
      </c>
      <c r="L2857" s="2" t="s">
        <v>27</v>
      </c>
      <c r="M2857" s="2" t="s">
        <v>409</v>
      </c>
      <c r="N2857" s="2" t="s">
        <v>462</v>
      </c>
      <c r="O2857" s="3"/>
      <c r="P2857" s="2" t="s">
        <v>73</v>
      </c>
      <c r="Q2857" s="3">
        <v>720.0</v>
      </c>
      <c r="R2857" s="3">
        <v>0.5</v>
      </c>
      <c r="T2857" s="2" t="s">
        <v>11565</v>
      </c>
      <c r="U2857" s="171">
        <v>3348.0</v>
      </c>
      <c r="V2857" s="172">
        <v>46087.0</v>
      </c>
      <c r="W2857" s="3">
        <v>347.0</v>
      </c>
      <c r="X2857" s="172">
        <v>46085.79108203704</v>
      </c>
      <c r="Y2857" s="172"/>
      <c r="Z2857" s="3">
        <v>46077.0</v>
      </c>
      <c r="AA2857" s="3"/>
    </row>
    <row r="2858">
      <c r="A2858" s="3">
        <v>6.925476888835E12</v>
      </c>
      <c r="B2858" s="2"/>
      <c r="C2858" s="2" t="s">
        <v>11829</v>
      </c>
      <c r="D2858" s="169">
        <v>46077.0</v>
      </c>
      <c r="E2858" s="2">
        <v>3.234180877E9</v>
      </c>
      <c r="F2858" s="2" t="s">
        <v>11830</v>
      </c>
      <c r="G2858" s="2" t="s">
        <v>368</v>
      </c>
      <c r="H2858" s="2">
        <v>2049.0</v>
      </c>
      <c r="I2858" s="2">
        <v>2.0120050022098E13</v>
      </c>
      <c r="J2858" s="3">
        <v>1.0</v>
      </c>
      <c r="K2858" s="2" t="s">
        <v>11703</v>
      </c>
      <c r="L2858" s="2" t="s">
        <v>3965</v>
      </c>
      <c r="M2858" s="2" t="s">
        <v>409</v>
      </c>
      <c r="N2858" s="2" t="s">
        <v>462</v>
      </c>
      <c r="O2858" s="3"/>
      <c r="P2858" s="2" t="s">
        <v>73</v>
      </c>
      <c r="Q2858" s="3">
        <v>400.0</v>
      </c>
      <c r="R2858" s="3">
        <v>0.5</v>
      </c>
      <c r="T2858" s="2" t="s">
        <v>10905</v>
      </c>
      <c r="U2858" s="171">
        <v>2049.0</v>
      </c>
      <c r="V2858" s="172">
        <v>46080.0</v>
      </c>
      <c r="W2858" s="3">
        <v>189.0</v>
      </c>
      <c r="X2858" s="172">
        <v>46079.521056770835</v>
      </c>
      <c r="Y2858" s="172"/>
      <c r="Z2858" s="3">
        <v>46077.0</v>
      </c>
      <c r="AA2858" s="3"/>
    </row>
    <row r="2859">
      <c r="A2859" s="3">
        <v>6.925490716931E12</v>
      </c>
      <c r="B2859" s="2"/>
      <c r="C2859" s="2" t="s">
        <v>11831</v>
      </c>
      <c r="D2859" s="169">
        <v>46077.0</v>
      </c>
      <c r="E2859" s="2">
        <v>3.219278953E9</v>
      </c>
      <c r="F2859" s="2" t="s">
        <v>11832</v>
      </c>
      <c r="G2859" s="2" t="s">
        <v>493</v>
      </c>
      <c r="H2859" s="2">
        <v>249.0</v>
      </c>
      <c r="I2859" s="2">
        <v>2.6120050022123E13</v>
      </c>
      <c r="J2859" s="3">
        <v>0.0</v>
      </c>
      <c r="K2859" s="2" t="s">
        <v>11833</v>
      </c>
      <c r="L2859" s="2"/>
      <c r="M2859" s="170" t="s">
        <v>455</v>
      </c>
      <c r="N2859" s="2" t="s">
        <v>406</v>
      </c>
      <c r="O2859" s="3"/>
      <c r="P2859" s="2" t="s">
        <v>73</v>
      </c>
      <c r="Q2859" s="3">
        <v>0.0</v>
      </c>
      <c r="R2859" s="3">
        <v>0.5</v>
      </c>
      <c r="U2859" s="141"/>
      <c r="W2859" s="3">
        <v>213.0</v>
      </c>
      <c r="X2859" s="172">
        <v>46090.957642361114</v>
      </c>
      <c r="Y2859" s="172"/>
      <c r="Z2859" s="3">
        <v>46077.0</v>
      </c>
      <c r="AA2859" s="3"/>
    </row>
    <row r="2860">
      <c r="A2860" s="3">
        <v>6.925494321411E12</v>
      </c>
      <c r="B2860" s="2"/>
      <c r="C2860" s="2" t="s">
        <v>11834</v>
      </c>
      <c r="D2860" s="169">
        <v>46077.0</v>
      </c>
      <c r="E2860" s="2">
        <v>3.349646769E9</v>
      </c>
      <c r="F2860" s="2" t="s">
        <v>11835</v>
      </c>
      <c r="G2860" s="2" t="s">
        <v>4949</v>
      </c>
      <c r="H2860" s="2">
        <v>249.0</v>
      </c>
      <c r="I2860" s="2">
        <v>2.3120050022097E13</v>
      </c>
      <c r="J2860" s="3">
        <v>0.0</v>
      </c>
      <c r="K2860" s="2" t="s">
        <v>11836</v>
      </c>
      <c r="L2860" s="2"/>
      <c r="M2860" s="2" t="s">
        <v>409</v>
      </c>
      <c r="N2860" s="2" t="s">
        <v>462</v>
      </c>
      <c r="O2860" s="3"/>
      <c r="P2860" s="2" t="s">
        <v>73</v>
      </c>
      <c r="Q2860" s="3">
        <v>0.0</v>
      </c>
      <c r="R2860" s="3">
        <v>0.5</v>
      </c>
      <c r="T2860" s="2" t="s">
        <v>11287</v>
      </c>
      <c r="U2860" s="171">
        <v>249.0</v>
      </c>
      <c r="V2860" s="172">
        <v>46084.0</v>
      </c>
      <c r="W2860" s="3">
        <v>362.0</v>
      </c>
      <c r="X2860" s="172">
        <v>46080.45766418982</v>
      </c>
      <c r="Y2860" s="172"/>
      <c r="Z2860" s="3">
        <v>46077.0</v>
      </c>
      <c r="AA2860" s="3"/>
    </row>
    <row r="2861">
      <c r="A2861" s="3">
        <v>6.925495435523E12</v>
      </c>
      <c r="B2861" s="2"/>
      <c r="C2861" s="2" t="s">
        <v>11837</v>
      </c>
      <c r="D2861" s="169">
        <v>46077.0</v>
      </c>
      <c r="E2861" s="2">
        <v>3.423507131E9</v>
      </c>
      <c r="F2861" s="2" t="s">
        <v>11838</v>
      </c>
      <c r="G2861" s="2" t="s">
        <v>693</v>
      </c>
      <c r="H2861" s="2">
        <v>0.0</v>
      </c>
      <c r="J2861" s="3">
        <v>0.0</v>
      </c>
      <c r="K2861" s="2" t="s">
        <v>11839</v>
      </c>
      <c r="L2861" s="2"/>
      <c r="M2861" s="2" t="s">
        <v>468</v>
      </c>
      <c r="N2861" s="2" t="s">
        <v>406</v>
      </c>
      <c r="O2861" s="3"/>
      <c r="Q2861" s="3">
        <v>0.0</v>
      </c>
      <c r="R2861" s="3">
        <v>0.5</v>
      </c>
      <c r="U2861" s="141"/>
      <c r="X2861" s="172"/>
      <c r="Y2861" s="172"/>
      <c r="Z2861" s="3">
        <v>46077.0</v>
      </c>
      <c r="AA2861" s="3"/>
    </row>
    <row r="2862">
      <c r="A2862" s="3">
        <v>6.925500678403E12</v>
      </c>
      <c r="B2862" s="2"/>
      <c r="C2862" s="2" t="s">
        <v>11840</v>
      </c>
      <c r="D2862" s="169">
        <v>46077.0</v>
      </c>
      <c r="E2862" s="2">
        <v>3.408464798E9</v>
      </c>
      <c r="F2862" s="2" t="s">
        <v>11841</v>
      </c>
      <c r="G2862" s="2" t="s">
        <v>484</v>
      </c>
      <c r="H2862" s="2">
        <v>2749.0</v>
      </c>
      <c r="I2862" s="2">
        <v>2.9120050022117E13</v>
      </c>
      <c r="J2862" s="3">
        <v>2.0</v>
      </c>
      <c r="K2862" s="2" t="s">
        <v>11842</v>
      </c>
      <c r="L2862" s="2" t="s">
        <v>16</v>
      </c>
      <c r="M2862" s="2" t="s">
        <v>409</v>
      </c>
      <c r="N2862" s="2" t="s">
        <v>462</v>
      </c>
      <c r="O2862" s="3"/>
      <c r="P2862" s="2" t="s">
        <v>73</v>
      </c>
      <c r="Q2862" s="3">
        <v>980.0</v>
      </c>
      <c r="R2862" s="3">
        <v>0.5</v>
      </c>
      <c r="T2862" s="2" t="s">
        <v>11287</v>
      </c>
      <c r="U2862" s="171">
        <v>2749.0</v>
      </c>
      <c r="V2862" s="172">
        <v>46084.0</v>
      </c>
      <c r="W2862" s="3">
        <v>323.0</v>
      </c>
      <c r="X2862" s="172">
        <v>46082.58273684028</v>
      </c>
      <c r="Y2862" s="172"/>
      <c r="Z2862" s="3">
        <v>46077.0</v>
      </c>
      <c r="AA2862" s="3"/>
    </row>
    <row r="2863">
      <c r="A2863" s="3">
        <v>6.925528957187E12</v>
      </c>
      <c r="B2863" s="2"/>
      <c r="C2863" s="2" t="s">
        <v>4162</v>
      </c>
      <c r="D2863" s="169">
        <v>46077.0</v>
      </c>
      <c r="E2863" s="2">
        <v>3.0019114E9</v>
      </c>
      <c r="F2863" s="2" t="s">
        <v>11843</v>
      </c>
      <c r="G2863" s="2" t="s">
        <v>11844</v>
      </c>
      <c r="H2863" s="2">
        <v>2849.0</v>
      </c>
      <c r="I2863" s="2" t="s">
        <v>11845</v>
      </c>
      <c r="J2863" s="3">
        <v>2.0</v>
      </c>
      <c r="K2863" s="2" t="s">
        <v>11846</v>
      </c>
      <c r="L2863" s="2" t="s">
        <v>4209</v>
      </c>
      <c r="M2863" s="2" t="s">
        <v>409</v>
      </c>
      <c r="N2863" s="2" t="s">
        <v>406</v>
      </c>
      <c r="O2863" s="3"/>
      <c r="P2863" s="2" t="s">
        <v>640</v>
      </c>
      <c r="Q2863" s="3">
        <v>720.0</v>
      </c>
      <c r="R2863" s="3">
        <v>0.5</v>
      </c>
      <c r="U2863" s="141"/>
      <c r="X2863" s="172">
        <v>46088.54196582176</v>
      </c>
      <c r="Y2863" s="172"/>
      <c r="Z2863" s="3">
        <v>46077.0</v>
      </c>
      <c r="AA2863" s="3"/>
    </row>
    <row r="2864">
      <c r="A2864" s="3">
        <v>6.925542293763E12</v>
      </c>
      <c r="B2864" s="2"/>
      <c r="C2864" s="2" t="s">
        <v>11847</v>
      </c>
      <c r="D2864" s="169">
        <v>46077.0</v>
      </c>
      <c r="E2864" s="2">
        <v>3.4525961E9</v>
      </c>
      <c r="F2864" s="2" t="s">
        <v>11848</v>
      </c>
      <c r="G2864" s="2" t="s">
        <v>493</v>
      </c>
      <c r="H2864" s="2">
        <v>249.0</v>
      </c>
      <c r="I2864" s="2">
        <v>2.9120050022116E13</v>
      </c>
      <c r="J2864" s="3">
        <v>0.0</v>
      </c>
      <c r="K2864" s="2" t="s">
        <v>11849</v>
      </c>
      <c r="L2864" s="2"/>
      <c r="M2864" s="170" t="s">
        <v>455</v>
      </c>
      <c r="N2864" s="2" t="s">
        <v>406</v>
      </c>
      <c r="O2864" s="3"/>
      <c r="P2864" s="2" t="s">
        <v>73</v>
      </c>
      <c r="Q2864" s="3">
        <v>0.0</v>
      </c>
      <c r="R2864" s="3">
        <v>0.5</v>
      </c>
      <c r="U2864" s="141"/>
      <c r="W2864" s="3">
        <v>213.0</v>
      </c>
      <c r="X2864" s="172">
        <v>46109.582655289356</v>
      </c>
      <c r="Y2864" s="172"/>
      <c r="Z2864" s="3">
        <v>46077.0</v>
      </c>
      <c r="AA2864" s="3"/>
    </row>
    <row r="2865">
      <c r="A2865" s="3">
        <v>6.925559234819E12</v>
      </c>
      <c r="B2865" s="2"/>
      <c r="C2865" s="2" t="s">
        <v>2104</v>
      </c>
      <c r="D2865" s="169">
        <v>46077.0</v>
      </c>
      <c r="E2865" s="2">
        <v>3.159573786E9</v>
      </c>
      <c r="F2865" s="2" t="s">
        <v>2105</v>
      </c>
      <c r="G2865" s="2" t="s">
        <v>2106</v>
      </c>
      <c r="H2865" s="2">
        <v>0.0</v>
      </c>
      <c r="J2865" s="3">
        <v>0.0</v>
      </c>
      <c r="K2865" s="2" t="s">
        <v>8446</v>
      </c>
      <c r="L2865" s="2"/>
      <c r="M2865" s="2" t="s">
        <v>468</v>
      </c>
      <c r="N2865" s="2" t="s">
        <v>406</v>
      </c>
      <c r="O2865" s="3"/>
      <c r="Q2865" s="3">
        <v>0.0</v>
      </c>
      <c r="R2865" s="3">
        <v>0.5</v>
      </c>
      <c r="U2865" s="141"/>
      <c r="X2865" s="172"/>
      <c r="Y2865" s="172"/>
      <c r="Z2865" s="3">
        <v>46077.0</v>
      </c>
      <c r="AA2865" s="3"/>
    </row>
    <row r="2866">
      <c r="A2866" s="3">
        <v>6.925612351747E12</v>
      </c>
      <c r="B2866" s="2"/>
      <c r="C2866" s="2" t="s">
        <v>11850</v>
      </c>
      <c r="D2866" s="169">
        <v>46077.0</v>
      </c>
      <c r="E2866" s="2">
        <v>3.335370305E9</v>
      </c>
      <c r="F2866" s="2" t="s">
        <v>11851</v>
      </c>
      <c r="G2866" s="2" t="s">
        <v>506</v>
      </c>
      <c r="H2866" s="2">
        <v>0.0</v>
      </c>
      <c r="J2866" s="3">
        <v>0.0</v>
      </c>
      <c r="K2866" s="2" t="s">
        <v>11852</v>
      </c>
      <c r="L2866" s="2"/>
      <c r="M2866" s="2" t="s">
        <v>468</v>
      </c>
      <c r="N2866" s="2" t="s">
        <v>406</v>
      </c>
      <c r="O2866" s="3"/>
      <c r="Q2866" s="3">
        <v>0.0</v>
      </c>
      <c r="R2866" s="3">
        <v>0.5</v>
      </c>
      <c r="U2866" s="141"/>
      <c r="X2866" s="172"/>
      <c r="Y2866" s="172"/>
      <c r="Z2866" s="3">
        <v>46077.0</v>
      </c>
      <c r="AA2866" s="3"/>
    </row>
    <row r="2867">
      <c r="A2867" s="3">
        <v>6.925687095555E12</v>
      </c>
      <c r="B2867" s="2"/>
      <c r="C2867" s="2" t="s">
        <v>11853</v>
      </c>
      <c r="D2867" s="169">
        <v>46077.0</v>
      </c>
      <c r="E2867" s="2">
        <v>3.18865407E9</v>
      </c>
      <c r="F2867" s="2" t="s">
        <v>11854</v>
      </c>
      <c r="G2867" s="2" t="s">
        <v>493</v>
      </c>
      <c r="H2867" s="2">
        <v>1499.0</v>
      </c>
      <c r="I2867" s="2">
        <v>2.9120050022115E13</v>
      </c>
      <c r="J2867" s="3">
        <v>1.0</v>
      </c>
      <c r="K2867" s="2" t="s">
        <v>11855</v>
      </c>
      <c r="L2867" s="2" t="s">
        <v>11856</v>
      </c>
      <c r="M2867" s="2" t="s">
        <v>409</v>
      </c>
      <c r="N2867" s="2" t="s">
        <v>462</v>
      </c>
      <c r="O2867" s="3"/>
      <c r="P2867" s="2" t="s">
        <v>73</v>
      </c>
      <c r="Q2867" s="3">
        <v>750.0</v>
      </c>
      <c r="R2867" s="3">
        <v>0.5</v>
      </c>
      <c r="T2867" s="2" t="s">
        <v>11287</v>
      </c>
      <c r="U2867" s="171">
        <v>1499.0</v>
      </c>
      <c r="V2867" s="172">
        <v>46084.0</v>
      </c>
      <c r="W2867" s="3">
        <v>273.0</v>
      </c>
      <c r="X2867" s="172">
        <v>46081.54099141204</v>
      </c>
      <c r="Y2867" s="172"/>
      <c r="Z2867" s="3">
        <v>46077.0</v>
      </c>
      <c r="AA2867" s="3"/>
    </row>
    <row r="2868">
      <c r="A2868" s="3">
        <v>6.925696893187E12</v>
      </c>
      <c r="B2868" s="2"/>
      <c r="C2868" s="2" t="s">
        <v>11857</v>
      </c>
      <c r="D2868" s="169">
        <v>46077.0</v>
      </c>
      <c r="E2868" s="2">
        <v>3.009229018E9</v>
      </c>
      <c r="F2868" s="2" t="s">
        <v>11858</v>
      </c>
      <c r="G2868" s="2" t="s">
        <v>493</v>
      </c>
      <c r="H2868" s="2">
        <v>3348.0</v>
      </c>
      <c r="I2868" s="2">
        <v>2.1120050022096E13</v>
      </c>
      <c r="J2868" s="3">
        <v>2.0</v>
      </c>
      <c r="K2868" s="2" t="s">
        <v>11638</v>
      </c>
      <c r="L2868" s="2" t="s">
        <v>228</v>
      </c>
      <c r="M2868" s="2" t="s">
        <v>409</v>
      </c>
      <c r="N2868" s="2" t="s">
        <v>462</v>
      </c>
      <c r="O2868" s="3"/>
      <c r="P2868" s="2" t="s">
        <v>73</v>
      </c>
      <c r="Q2868" s="3">
        <v>720.0</v>
      </c>
      <c r="R2868" s="3">
        <v>0.5</v>
      </c>
      <c r="T2868" s="2" t="s">
        <v>11287</v>
      </c>
      <c r="U2868" s="171">
        <v>3348.0</v>
      </c>
      <c r="V2868" s="172">
        <v>46084.0</v>
      </c>
      <c r="W2868" s="3">
        <v>347.0</v>
      </c>
      <c r="X2868" s="172">
        <v>46081.79099523148</v>
      </c>
      <c r="Y2868" s="172"/>
      <c r="Z2868" s="3">
        <v>46077.0</v>
      </c>
      <c r="AA2868" s="3"/>
    </row>
    <row r="2869">
      <c r="A2869" s="3">
        <v>6.925742145795E12</v>
      </c>
      <c r="B2869" s="2"/>
      <c r="C2869" s="2" t="s">
        <v>11859</v>
      </c>
      <c r="D2869" s="169">
        <v>46077.0</v>
      </c>
      <c r="E2869" s="2">
        <v>3.000065761E9</v>
      </c>
      <c r="F2869" s="2" t="s">
        <v>11860</v>
      </c>
      <c r="G2869" s="2" t="s">
        <v>461</v>
      </c>
      <c r="H2869" s="2">
        <v>0.0</v>
      </c>
      <c r="J2869" s="3">
        <v>0.0</v>
      </c>
      <c r="K2869" s="2" t="s">
        <v>11861</v>
      </c>
      <c r="L2869" s="2"/>
      <c r="M2869" s="2" t="s">
        <v>468</v>
      </c>
      <c r="N2869" s="2" t="s">
        <v>406</v>
      </c>
      <c r="O2869" s="3"/>
      <c r="Q2869" s="3">
        <v>0.0</v>
      </c>
      <c r="R2869" s="3">
        <v>0.5</v>
      </c>
      <c r="U2869" s="141"/>
      <c r="X2869" s="172"/>
      <c r="Y2869" s="172"/>
      <c r="Z2869" s="3">
        <v>46077.0</v>
      </c>
      <c r="AA2869" s="3"/>
    </row>
    <row r="2870">
      <c r="A2870" s="3">
        <v>6.925808894211E12</v>
      </c>
      <c r="B2870" s="2"/>
      <c r="C2870" s="2" t="s">
        <v>11862</v>
      </c>
      <c r="D2870" s="169">
        <v>46077.0</v>
      </c>
      <c r="E2870" s="2">
        <v>3.337383601E9</v>
      </c>
      <c r="F2870" s="2" t="s">
        <v>11863</v>
      </c>
      <c r="G2870" s="2" t="s">
        <v>672</v>
      </c>
      <c r="H2870" s="2">
        <v>3348.0</v>
      </c>
      <c r="I2870" s="2">
        <v>2.2120050022095E13</v>
      </c>
      <c r="J2870" s="3">
        <v>2.0</v>
      </c>
      <c r="K2870" s="2" t="s">
        <v>11638</v>
      </c>
      <c r="L2870" s="2" t="s">
        <v>275</v>
      </c>
      <c r="M2870" s="2" t="s">
        <v>409</v>
      </c>
      <c r="N2870" s="2" t="s">
        <v>462</v>
      </c>
      <c r="O2870" s="3"/>
      <c r="P2870" s="2" t="s">
        <v>73</v>
      </c>
      <c r="Q2870" s="3">
        <v>800.0</v>
      </c>
      <c r="R2870" s="3">
        <v>0.5</v>
      </c>
      <c r="T2870" s="2" t="s">
        <v>11287</v>
      </c>
      <c r="U2870" s="171">
        <v>3348.0</v>
      </c>
      <c r="V2870" s="172">
        <v>46084.0</v>
      </c>
      <c r="W2870" s="3">
        <v>347.0</v>
      </c>
      <c r="X2870" s="172">
        <v>46083.74940755787</v>
      </c>
      <c r="Y2870" s="172"/>
      <c r="Z2870" s="3">
        <v>46077.0</v>
      </c>
      <c r="AA2870" s="3"/>
    </row>
    <row r="2871">
      <c r="A2871" s="3">
        <v>6.925824753923E12</v>
      </c>
      <c r="B2871" s="2"/>
      <c r="C2871" s="2" t="s">
        <v>11864</v>
      </c>
      <c r="D2871" s="169">
        <v>46077.0</v>
      </c>
      <c r="E2871" s="2">
        <v>3.02108E9</v>
      </c>
      <c r="F2871" s="2" t="s">
        <v>11865</v>
      </c>
      <c r="G2871" s="2" t="s">
        <v>11866</v>
      </c>
      <c r="H2871" s="2">
        <v>2749.0</v>
      </c>
      <c r="I2871" s="2">
        <v>2.0120050022094E13</v>
      </c>
      <c r="J2871" s="3">
        <v>2.0</v>
      </c>
      <c r="K2871" s="2" t="s">
        <v>11867</v>
      </c>
      <c r="L2871" s="2" t="s">
        <v>11868</v>
      </c>
      <c r="M2871" s="2" t="s">
        <v>409</v>
      </c>
      <c r="N2871" s="2" t="s">
        <v>462</v>
      </c>
      <c r="O2871" s="3"/>
      <c r="P2871" s="2" t="s">
        <v>73</v>
      </c>
      <c r="Q2871" s="3">
        <v>1500.0</v>
      </c>
      <c r="R2871" s="3">
        <v>0.5</v>
      </c>
      <c r="T2871" s="2" t="s">
        <v>11287</v>
      </c>
      <c r="U2871" s="171">
        <v>2749.0</v>
      </c>
      <c r="V2871" s="172">
        <v>46084.0</v>
      </c>
      <c r="W2871" s="3">
        <v>310.0</v>
      </c>
      <c r="X2871" s="172">
        <v>46080.70770082176</v>
      </c>
      <c r="Y2871" s="172"/>
      <c r="Z2871" s="3">
        <v>46077.0</v>
      </c>
      <c r="AA2871" s="3"/>
    </row>
    <row r="2872">
      <c r="A2872" s="3">
        <v>6.925902053635E12</v>
      </c>
      <c r="B2872" s="2"/>
      <c r="C2872" s="2" t="s">
        <v>11869</v>
      </c>
      <c r="D2872" s="169">
        <v>46077.0</v>
      </c>
      <c r="E2872" s="2">
        <v>3.260237405E9</v>
      </c>
      <c r="F2872" s="2" t="s">
        <v>11870</v>
      </c>
      <c r="G2872" s="2" t="s">
        <v>11871</v>
      </c>
      <c r="H2872" s="2">
        <v>1899.0</v>
      </c>
      <c r="I2872" s="2">
        <v>2.2120050022114E13</v>
      </c>
      <c r="J2872" s="3">
        <v>1.0</v>
      </c>
      <c r="K2872" s="2" t="s">
        <v>11872</v>
      </c>
      <c r="L2872" s="2" t="s">
        <v>10932</v>
      </c>
      <c r="M2872" s="2" t="s">
        <v>409</v>
      </c>
      <c r="N2872" s="2" t="s">
        <v>462</v>
      </c>
      <c r="O2872" s="3"/>
      <c r="P2872" s="2" t="s">
        <v>73</v>
      </c>
      <c r="Q2872" s="3">
        <v>550.0</v>
      </c>
      <c r="R2872" s="3">
        <v>0.5</v>
      </c>
      <c r="T2872" s="2" t="s">
        <v>10905</v>
      </c>
      <c r="U2872" s="171">
        <v>1899.0</v>
      </c>
      <c r="V2872" s="172">
        <v>46080.0</v>
      </c>
      <c r="W2872" s="3">
        <v>276.0</v>
      </c>
      <c r="X2872" s="172">
        <v>46079.68935052083</v>
      </c>
      <c r="Y2872" s="172"/>
      <c r="Z2872" s="3">
        <v>46077.0</v>
      </c>
      <c r="AA2872" s="3"/>
    </row>
    <row r="2873">
      <c r="A2873" s="3">
        <v>6.925961756931E12</v>
      </c>
      <c r="B2873" s="2"/>
      <c r="C2873" s="2" t="s">
        <v>11873</v>
      </c>
      <c r="D2873" s="169">
        <v>46078.0</v>
      </c>
      <c r="E2873" s="2">
        <v>3.250756661E9</v>
      </c>
      <c r="F2873" s="2" t="s">
        <v>11874</v>
      </c>
      <c r="G2873" s="2" t="s">
        <v>688</v>
      </c>
      <c r="H2873" s="2">
        <v>249.0</v>
      </c>
      <c r="I2873" s="2">
        <v>2.0120050022113E13</v>
      </c>
      <c r="J2873" s="3">
        <v>0.0</v>
      </c>
      <c r="K2873" s="2" t="s">
        <v>11875</v>
      </c>
      <c r="L2873" s="2"/>
      <c r="M2873" s="170" t="s">
        <v>455</v>
      </c>
      <c r="N2873" s="2" t="s">
        <v>406</v>
      </c>
      <c r="O2873" s="3"/>
      <c r="P2873" s="2" t="s">
        <v>73</v>
      </c>
      <c r="Q2873" s="3">
        <v>0.0</v>
      </c>
      <c r="R2873" s="3">
        <v>0.5</v>
      </c>
      <c r="U2873" s="141"/>
      <c r="W2873" s="3">
        <v>200.0</v>
      </c>
      <c r="X2873" s="172">
        <v>46086.77087384259</v>
      </c>
      <c r="Y2873" s="172"/>
      <c r="Z2873" s="3">
        <v>46078.0</v>
      </c>
      <c r="AA2873" s="3"/>
    </row>
    <row r="2874">
      <c r="A2874" s="3">
        <v>6.925964476675E12</v>
      </c>
      <c r="B2874" s="2"/>
      <c r="C2874" s="2" t="s">
        <v>11876</v>
      </c>
      <c r="D2874" s="169">
        <v>46078.0</v>
      </c>
      <c r="E2874" s="2">
        <v>3.400425679E9</v>
      </c>
      <c r="F2874" s="2" t="s">
        <v>11877</v>
      </c>
      <c r="G2874" s="2" t="s">
        <v>368</v>
      </c>
      <c r="H2874" s="2">
        <v>249.0</v>
      </c>
      <c r="I2874" s="2">
        <v>2.2120050022112E13</v>
      </c>
      <c r="J2874" s="3">
        <v>0.0</v>
      </c>
      <c r="K2874" s="2" t="s">
        <v>11878</v>
      </c>
      <c r="L2874" s="2"/>
      <c r="M2874" s="170" t="s">
        <v>455</v>
      </c>
      <c r="N2874" s="2" t="s">
        <v>406</v>
      </c>
      <c r="O2874" s="3"/>
      <c r="P2874" s="2" t="s">
        <v>73</v>
      </c>
      <c r="Q2874" s="3">
        <v>0.0</v>
      </c>
      <c r="R2874" s="3">
        <v>0.5</v>
      </c>
      <c r="U2874" s="141"/>
      <c r="W2874" s="3">
        <v>107.0</v>
      </c>
      <c r="X2874" s="172">
        <v>46088.79105409722</v>
      </c>
      <c r="Y2874" s="172"/>
      <c r="Z2874" s="3">
        <v>46078.0</v>
      </c>
      <c r="AA2874" s="3"/>
    </row>
    <row r="2875">
      <c r="A2875" s="3">
        <v>6.925966737667E12</v>
      </c>
      <c r="B2875" s="2"/>
      <c r="C2875" s="2" t="s">
        <v>11876</v>
      </c>
      <c r="D2875" s="169">
        <v>46078.0</v>
      </c>
      <c r="E2875" s="2">
        <v>3.400425679E9</v>
      </c>
      <c r="F2875" s="2" t="s">
        <v>11877</v>
      </c>
      <c r="G2875" s="2" t="s">
        <v>368</v>
      </c>
      <c r="H2875" s="2">
        <v>0.0</v>
      </c>
      <c r="J2875" s="3">
        <v>0.0</v>
      </c>
      <c r="K2875" s="2" t="s">
        <v>7954</v>
      </c>
      <c r="L2875" s="2"/>
      <c r="M2875" s="2" t="s">
        <v>468</v>
      </c>
      <c r="N2875" s="2" t="s">
        <v>406</v>
      </c>
      <c r="O2875" s="3"/>
      <c r="Q2875" s="3">
        <v>0.0</v>
      </c>
      <c r="R2875" s="3">
        <v>0.5</v>
      </c>
      <c r="U2875" s="141"/>
      <c r="X2875" s="172"/>
      <c r="Y2875" s="172"/>
      <c r="Z2875" s="3">
        <v>46078.0</v>
      </c>
      <c r="AA2875" s="3"/>
    </row>
    <row r="2876">
      <c r="A2876" s="3">
        <v>6.926034731267E12</v>
      </c>
      <c r="B2876" s="2"/>
      <c r="C2876" s="2" t="s">
        <v>11879</v>
      </c>
      <c r="D2876" s="169">
        <v>46078.0</v>
      </c>
      <c r="E2876" s="173" t="s">
        <v>11880</v>
      </c>
      <c r="F2876" s="2" t="s">
        <v>11881</v>
      </c>
      <c r="G2876" s="2" t="s">
        <v>822</v>
      </c>
      <c r="H2876" s="2">
        <v>0.0</v>
      </c>
      <c r="J2876" s="3">
        <v>0.0</v>
      </c>
      <c r="K2876" s="2" t="s">
        <v>11882</v>
      </c>
      <c r="L2876" s="2"/>
      <c r="M2876" s="2" t="s">
        <v>468</v>
      </c>
      <c r="N2876" s="2" t="s">
        <v>406</v>
      </c>
      <c r="O2876" s="3"/>
      <c r="Q2876" s="3">
        <v>0.0</v>
      </c>
      <c r="R2876" s="3">
        <v>0.5</v>
      </c>
      <c r="U2876" s="141"/>
      <c r="X2876" s="172"/>
      <c r="Y2876" s="172"/>
      <c r="Z2876" s="3">
        <v>46078.0</v>
      </c>
      <c r="AA2876" s="3"/>
    </row>
    <row r="2877">
      <c r="A2877" s="3">
        <v>6.926097318147E12</v>
      </c>
      <c r="B2877" s="2"/>
      <c r="C2877" s="2" t="s">
        <v>11883</v>
      </c>
      <c r="D2877" s="169">
        <v>46078.0</v>
      </c>
      <c r="E2877" s="2">
        <v>3.496623733E9</v>
      </c>
      <c r="F2877" s="2" t="s">
        <v>11884</v>
      </c>
      <c r="G2877" s="2" t="s">
        <v>368</v>
      </c>
      <c r="H2877" s="2">
        <v>249.0</v>
      </c>
      <c r="I2877" s="2">
        <v>2.3120050022202E13</v>
      </c>
      <c r="J2877" s="3">
        <v>0.0</v>
      </c>
      <c r="K2877" s="2" t="s">
        <v>11885</v>
      </c>
      <c r="L2877" s="2"/>
      <c r="M2877" s="170" t="s">
        <v>455</v>
      </c>
      <c r="N2877" s="2" t="s">
        <v>406</v>
      </c>
      <c r="O2877" s="3"/>
      <c r="P2877" s="2" t="s">
        <v>73</v>
      </c>
      <c r="Q2877" s="3">
        <v>0.0</v>
      </c>
      <c r="R2877" s="3">
        <v>0.5</v>
      </c>
      <c r="U2877" s="141"/>
      <c r="W2877" s="3">
        <v>107.0</v>
      </c>
      <c r="X2877" s="172">
        <v>46086.77087385417</v>
      </c>
      <c r="Y2877" s="172"/>
      <c r="Z2877" s="3">
        <v>46078.0</v>
      </c>
      <c r="AA2877" s="3"/>
    </row>
    <row r="2878">
      <c r="A2878" s="3">
        <v>6.926100136195E12</v>
      </c>
      <c r="B2878" s="2"/>
      <c r="C2878" s="2" t="s">
        <v>11886</v>
      </c>
      <c r="D2878" s="169">
        <v>46078.0</v>
      </c>
      <c r="E2878" s="173" t="s">
        <v>11887</v>
      </c>
      <c r="F2878" s="2" t="s">
        <v>11888</v>
      </c>
      <c r="G2878" s="2" t="s">
        <v>368</v>
      </c>
      <c r="H2878" s="2">
        <v>249.0</v>
      </c>
      <c r="I2878" s="2">
        <v>2.9120050022111E13</v>
      </c>
      <c r="J2878" s="3">
        <v>0.0</v>
      </c>
      <c r="K2878" s="2" t="s">
        <v>11889</v>
      </c>
      <c r="L2878" s="2"/>
      <c r="M2878" s="170" t="s">
        <v>455</v>
      </c>
      <c r="N2878" s="2" t="s">
        <v>406</v>
      </c>
      <c r="O2878" s="3"/>
      <c r="P2878" s="2" t="s">
        <v>73</v>
      </c>
      <c r="Q2878" s="3">
        <v>0.0</v>
      </c>
      <c r="R2878" s="3">
        <v>0.5</v>
      </c>
      <c r="U2878" s="141"/>
      <c r="W2878" s="3">
        <v>107.0</v>
      </c>
      <c r="X2878" s="172">
        <v>46084.832659120366</v>
      </c>
      <c r="Y2878" s="172"/>
      <c r="Z2878" s="3">
        <v>46078.0</v>
      </c>
      <c r="AA2878" s="3"/>
    </row>
    <row r="2879">
      <c r="A2879" s="3">
        <v>6.926139425027E12</v>
      </c>
      <c r="B2879" s="2"/>
      <c r="C2879" s="2" t="s">
        <v>11890</v>
      </c>
      <c r="D2879" s="169">
        <v>46078.0</v>
      </c>
      <c r="E2879" s="2">
        <v>3.278713781E9</v>
      </c>
      <c r="F2879" s="2" t="s">
        <v>11891</v>
      </c>
      <c r="G2879" s="2" t="s">
        <v>855</v>
      </c>
      <c r="H2879" s="2">
        <v>249.0</v>
      </c>
      <c r="I2879" s="2">
        <v>2.5120050022093E13</v>
      </c>
      <c r="J2879" s="3">
        <v>0.0</v>
      </c>
      <c r="K2879" s="2" t="s">
        <v>11892</v>
      </c>
      <c r="L2879" s="2"/>
      <c r="M2879" s="170" t="s">
        <v>455</v>
      </c>
      <c r="N2879" s="2" t="s">
        <v>406</v>
      </c>
      <c r="O2879" s="3"/>
      <c r="P2879" s="2" t="s">
        <v>73</v>
      </c>
      <c r="Q2879" s="3">
        <v>0.0</v>
      </c>
      <c r="R2879" s="3">
        <v>0.5</v>
      </c>
      <c r="U2879" s="141"/>
      <c r="W2879" s="3">
        <v>200.0</v>
      </c>
      <c r="X2879" s="172">
        <v>46084.83265939815</v>
      </c>
      <c r="Y2879" s="172"/>
      <c r="Z2879" s="3">
        <v>46078.0</v>
      </c>
      <c r="AA2879" s="3"/>
    </row>
    <row r="2880">
      <c r="A2880" s="3">
        <v>6.926141161731E12</v>
      </c>
      <c r="B2880" s="2"/>
      <c r="C2880" s="2" t="s">
        <v>11893</v>
      </c>
      <c r="D2880" s="169">
        <v>46078.0</v>
      </c>
      <c r="E2880" s="2">
        <v>3.351339983E9</v>
      </c>
      <c r="F2880" s="2" t="s">
        <v>11894</v>
      </c>
      <c r="G2880" s="2" t="s">
        <v>493</v>
      </c>
      <c r="H2880" s="2">
        <v>249.0</v>
      </c>
      <c r="I2880" s="2">
        <v>2.9120050022092E13</v>
      </c>
      <c r="J2880" s="3">
        <v>0.0</v>
      </c>
      <c r="K2880" s="2" t="s">
        <v>11895</v>
      </c>
      <c r="L2880" s="2"/>
      <c r="M2880" s="170" t="s">
        <v>455</v>
      </c>
      <c r="N2880" s="2" t="s">
        <v>406</v>
      </c>
      <c r="O2880" s="3"/>
      <c r="P2880" s="2" t="s">
        <v>73</v>
      </c>
      <c r="Q2880" s="3">
        <v>0.0</v>
      </c>
      <c r="R2880" s="3">
        <v>0.5</v>
      </c>
      <c r="U2880" s="141"/>
      <c r="W2880" s="3">
        <v>213.0</v>
      </c>
      <c r="X2880" s="172">
        <v>46090.957642442125</v>
      </c>
      <c r="Y2880" s="172"/>
      <c r="Z2880" s="3">
        <v>46078.0</v>
      </c>
      <c r="AA2880" s="3"/>
    </row>
    <row r="2881">
      <c r="A2881" s="3">
        <v>6.926155120899E12</v>
      </c>
      <c r="B2881" s="2"/>
      <c r="C2881" s="2" t="s">
        <v>1925</v>
      </c>
      <c r="D2881" s="169">
        <v>46078.0</v>
      </c>
      <c r="E2881" s="2">
        <v>3.000718399E9</v>
      </c>
      <c r="F2881" s="2" t="s">
        <v>11896</v>
      </c>
      <c r="G2881" s="2" t="s">
        <v>1762</v>
      </c>
      <c r="H2881" s="2">
        <v>3099.0</v>
      </c>
      <c r="I2881" s="2">
        <v>2.712005002211E13</v>
      </c>
      <c r="J2881" s="3">
        <v>2.0</v>
      </c>
      <c r="K2881" s="2" t="s">
        <v>11897</v>
      </c>
      <c r="L2881" s="2" t="s">
        <v>593</v>
      </c>
      <c r="M2881" s="2" t="s">
        <v>409</v>
      </c>
      <c r="N2881" s="2" t="s">
        <v>462</v>
      </c>
      <c r="O2881" s="3"/>
      <c r="P2881" s="2" t="s">
        <v>73</v>
      </c>
      <c r="Q2881" s="3">
        <v>1050.0</v>
      </c>
      <c r="R2881" s="3">
        <v>0.5</v>
      </c>
      <c r="T2881" s="2" t="s">
        <v>11287</v>
      </c>
      <c r="U2881" s="171">
        <v>3099.0</v>
      </c>
      <c r="V2881" s="172">
        <v>46084.0</v>
      </c>
      <c r="W2881" s="3">
        <v>337.0</v>
      </c>
      <c r="X2881" s="172">
        <v>46081.707688298615</v>
      </c>
      <c r="Y2881" s="172"/>
      <c r="Z2881" s="3">
        <v>46078.0</v>
      </c>
      <c r="AA2881" s="3"/>
    </row>
    <row r="2882">
      <c r="A2882" s="3">
        <v>6.926214103299E12</v>
      </c>
      <c r="B2882" s="2"/>
      <c r="C2882" s="2" t="s">
        <v>11898</v>
      </c>
      <c r="D2882" s="169">
        <v>46078.0</v>
      </c>
      <c r="E2882" s="2">
        <v>3.22027061E9</v>
      </c>
      <c r="F2882" s="2" t="s">
        <v>11899</v>
      </c>
      <c r="G2882" s="2" t="s">
        <v>506</v>
      </c>
      <c r="H2882" s="2">
        <v>3348.0</v>
      </c>
      <c r="I2882" s="2">
        <v>2.6120050022109E13</v>
      </c>
      <c r="J2882" s="3">
        <v>2.0</v>
      </c>
      <c r="K2882" s="2" t="s">
        <v>11641</v>
      </c>
      <c r="L2882" s="2" t="s">
        <v>27</v>
      </c>
      <c r="M2882" s="2" t="s">
        <v>409</v>
      </c>
      <c r="N2882" s="2" t="s">
        <v>462</v>
      </c>
      <c r="O2882" s="3"/>
      <c r="P2882" s="2" t="s">
        <v>73</v>
      </c>
      <c r="Q2882" s="3">
        <v>720.0</v>
      </c>
      <c r="R2882" s="3">
        <v>0.5</v>
      </c>
      <c r="T2882" s="2" t="s">
        <v>11287</v>
      </c>
      <c r="U2882" s="171">
        <v>3348.0</v>
      </c>
      <c r="V2882" s="172">
        <v>46084.0</v>
      </c>
      <c r="W2882" s="3">
        <v>334.0</v>
      </c>
      <c r="X2882" s="172">
        <v>46080.582656909726</v>
      </c>
      <c r="Y2882" s="172"/>
      <c r="Z2882" s="3">
        <v>46078.0</v>
      </c>
      <c r="AA2882" s="3"/>
    </row>
    <row r="2883">
      <c r="A2883" s="3">
        <v>6.926246084867E12</v>
      </c>
      <c r="B2883" s="2"/>
      <c r="C2883" s="2" t="s">
        <v>11900</v>
      </c>
      <c r="D2883" s="169">
        <v>46078.0</v>
      </c>
      <c r="E2883" s="2">
        <v>3.46829932E9</v>
      </c>
      <c r="F2883" s="2" t="s">
        <v>11901</v>
      </c>
      <c r="G2883" s="2" t="s">
        <v>4472</v>
      </c>
      <c r="H2883" s="2">
        <v>249.0</v>
      </c>
      <c r="I2883" s="2">
        <v>2.5120050022108E13</v>
      </c>
      <c r="J2883" s="3">
        <v>0.0</v>
      </c>
      <c r="K2883" s="2" t="s">
        <v>11902</v>
      </c>
      <c r="L2883" s="2"/>
      <c r="M2883" s="170" t="s">
        <v>455</v>
      </c>
      <c r="N2883" s="2" t="s">
        <v>406</v>
      </c>
      <c r="O2883" s="3"/>
      <c r="P2883" s="2" t="s">
        <v>73</v>
      </c>
      <c r="Q2883" s="3">
        <v>0.0</v>
      </c>
      <c r="R2883" s="3">
        <v>0.5</v>
      </c>
      <c r="U2883" s="141"/>
      <c r="W2883" s="3">
        <v>220.0</v>
      </c>
      <c r="X2883" s="172">
        <v>46084.832659699074</v>
      </c>
      <c r="Y2883" s="172"/>
      <c r="Z2883" s="3">
        <v>46078.0</v>
      </c>
      <c r="AA2883" s="3"/>
    </row>
    <row r="2884">
      <c r="A2884" s="3">
        <v>6.926278099203E12</v>
      </c>
      <c r="B2884" s="2"/>
      <c r="C2884" s="2" t="s">
        <v>11903</v>
      </c>
      <c r="D2884" s="169">
        <v>46078.0</v>
      </c>
      <c r="E2884" s="2">
        <v>3.218584003E9</v>
      </c>
      <c r="F2884" s="2" t="s">
        <v>11904</v>
      </c>
      <c r="G2884" s="2" t="s">
        <v>855</v>
      </c>
      <c r="H2884" s="2">
        <v>3348.0</v>
      </c>
      <c r="I2884" s="2">
        <v>2.6120050022103E13</v>
      </c>
      <c r="J2884" s="3">
        <v>2.0</v>
      </c>
      <c r="K2884" s="2" t="s">
        <v>11905</v>
      </c>
      <c r="L2884" s="2" t="s">
        <v>906</v>
      </c>
      <c r="M2884" s="2" t="s">
        <v>409</v>
      </c>
      <c r="N2884" s="2" t="s">
        <v>462</v>
      </c>
      <c r="O2884" s="3"/>
      <c r="P2884" s="2" t="s">
        <v>73</v>
      </c>
      <c r="Q2884" s="3">
        <v>720.0</v>
      </c>
      <c r="R2884" s="3">
        <v>0.5</v>
      </c>
      <c r="T2884" s="2" t="s">
        <v>11287</v>
      </c>
      <c r="U2884" s="171">
        <v>3348.0</v>
      </c>
      <c r="V2884" s="172">
        <v>46084.0</v>
      </c>
      <c r="W2884" s="3">
        <v>334.0</v>
      </c>
      <c r="X2884" s="172">
        <v>46081.58267481481</v>
      </c>
      <c r="Y2884" s="172"/>
      <c r="Z2884" s="3">
        <v>46078.0</v>
      </c>
      <c r="AA2884" s="3"/>
    </row>
    <row r="2885">
      <c r="A2885" s="3">
        <v>6.926298251523E12</v>
      </c>
      <c r="B2885" s="2"/>
      <c r="C2885" s="2" t="s">
        <v>11906</v>
      </c>
      <c r="D2885" s="169">
        <v>46078.0</v>
      </c>
      <c r="E2885" s="2">
        <v>3.261996999E9</v>
      </c>
      <c r="F2885" s="2" t="s">
        <v>11907</v>
      </c>
      <c r="G2885" s="2" t="s">
        <v>368</v>
      </c>
      <c r="H2885" s="2">
        <v>3348.0</v>
      </c>
      <c r="I2885" s="2">
        <v>2.9120050022091E13</v>
      </c>
      <c r="J2885" s="3">
        <v>2.0</v>
      </c>
      <c r="K2885" s="2" t="s">
        <v>11638</v>
      </c>
      <c r="L2885" s="2" t="s">
        <v>27</v>
      </c>
      <c r="M2885" s="2" t="s">
        <v>409</v>
      </c>
      <c r="N2885" s="2" t="s">
        <v>462</v>
      </c>
      <c r="O2885" s="3"/>
      <c r="P2885" s="2" t="s">
        <v>73</v>
      </c>
      <c r="Q2885" s="3">
        <v>720.0</v>
      </c>
      <c r="R2885" s="3">
        <v>0.5</v>
      </c>
      <c r="T2885" s="2" t="s">
        <v>11287</v>
      </c>
      <c r="U2885" s="171">
        <v>3348.0</v>
      </c>
      <c r="V2885" s="172">
        <v>46084.0</v>
      </c>
      <c r="W2885" s="3">
        <v>241.0</v>
      </c>
      <c r="X2885" s="172">
        <v>46080.66599579861</v>
      </c>
      <c r="Y2885" s="172"/>
      <c r="Z2885" s="3">
        <v>46078.0</v>
      </c>
      <c r="AA2885" s="3"/>
    </row>
    <row r="2886">
      <c r="A2886" s="3">
        <v>6.926299824387E12</v>
      </c>
      <c r="B2886" s="2"/>
      <c r="C2886" s="2" t="s">
        <v>9208</v>
      </c>
      <c r="D2886" s="169">
        <v>46078.0</v>
      </c>
      <c r="E2886" s="2">
        <v>3.04561982E9</v>
      </c>
      <c r="F2886" s="2" t="s">
        <v>11908</v>
      </c>
      <c r="G2886" s="2" t="s">
        <v>368</v>
      </c>
      <c r="H2886" s="2">
        <v>0.0</v>
      </c>
      <c r="J2886" s="3">
        <v>0.0</v>
      </c>
      <c r="K2886" s="2" t="s">
        <v>11909</v>
      </c>
      <c r="L2886" s="2"/>
      <c r="M2886" s="2" t="s">
        <v>468</v>
      </c>
      <c r="N2886" s="2" t="s">
        <v>406</v>
      </c>
      <c r="O2886" s="3"/>
      <c r="Q2886" s="3">
        <v>0.0</v>
      </c>
      <c r="R2886" s="3">
        <v>0.5</v>
      </c>
      <c r="U2886" s="141"/>
      <c r="X2886" s="172"/>
      <c r="Y2886" s="172"/>
      <c r="Z2886" s="3">
        <v>46078.0</v>
      </c>
      <c r="AA2886" s="3"/>
    </row>
    <row r="2887">
      <c r="A2887" s="3">
        <v>6.926548435203E12</v>
      </c>
      <c r="B2887" s="2"/>
      <c r="C2887" s="2" t="s">
        <v>11910</v>
      </c>
      <c r="D2887" s="169">
        <v>46078.0</v>
      </c>
      <c r="E2887" s="2">
        <v>3.175033015E9</v>
      </c>
      <c r="F2887" s="2" t="s">
        <v>11911</v>
      </c>
      <c r="G2887" s="2" t="s">
        <v>366</v>
      </c>
      <c r="H2887" s="2">
        <v>0.0</v>
      </c>
      <c r="I2887" s="2">
        <v>2.0120050022102E13</v>
      </c>
      <c r="J2887" s="3">
        <v>0.0</v>
      </c>
      <c r="K2887" s="2" t="s">
        <v>11912</v>
      </c>
      <c r="L2887" s="2"/>
      <c r="M2887" s="170" t="s">
        <v>455</v>
      </c>
      <c r="N2887" s="2" t="s">
        <v>406</v>
      </c>
      <c r="O2887" s="3"/>
      <c r="P2887" s="2" t="s">
        <v>73</v>
      </c>
      <c r="Q2887" s="3">
        <v>0.0</v>
      </c>
      <c r="R2887" s="3">
        <v>0.5</v>
      </c>
      <c r="U2887" s="141"/>
      <c r="W2887" s="3">
        <v>220.0</v>
      </c>
      <c r="X2887" s="172">
        <v>46088.79105650463</v>
      </c>
      <c r="Y2887" s="172"/>
      <c r="Z2887" s="3">
        <v>46078.0</v>
      </c>
      <c r="AA2887" s="3"/>
    </row>
    <row r="2888">
      <c r="A2888" s="3">
        <v>6.926635958531E12</v>
      </c>
      <c r="B2888" s="2"/>
      <c r="C2888" s="2" t="s">
        <v>11913</v>
      </c>
      <c r="D2888" s="169">
        <v>46078.0</v>
      </c>
      <c r="E2888" s="173" t="s">
        <v>11914</v>
      </c>
      <c r="F2888" s="2" t="s">
        <v>11915</v>
      </c>
      <c r="G2888" s="2" t="s">
        <v>672</v>
      </c>
      <c r="H2888" s="2">
        <v>0.0</v>
      </c>
      <c r="J2888" s="3">
        <v>0.0</v>
      </c>
      <c r="K2888" s="2" t="s">
        <v>11916</v>
      </c>
      <c r="L2888" s="2"/>
      <c r="M2888" s="2" t="s">
        <v>468</v>
      </c>
      <c r="N2888" s="2" t="s">
        <v>406</v>
      </c>
      <c r="O2888" s="3"/>
      <c r="Q2888" s="3">
        <v>0.0</v>
      </c>
      <c r="R2888" s="3">
        <v>0.5</v>
      </c>
      <c r="U2888" s="141"/>
      <c r="X2888" s="172"/>
      <c r="Y2888" s="172"/>
      <c r="Z2888" s="3">
        <v>46078.0</v>
      </c>
      <c r="AA2888" s="3"/>
    </row>
    <row r="2889">
      <c r="A2889" s="3">
        <v>6.926663254275E12</v>
      </c>
      <c r="B2889" s="2"/>
      <c r="C2889" s="2" t="s">
        <v>11917</v>
      </c>
      <c r="D2889" s="169">
        <v>46078.0</v>
      </c>
      <c r="E2889" s="2">
        <v>3.006746826E9</v>
      </c>
      <c r="F2889" s="2" t="s">
        <v>11918</v>
      </c>
      <c r="G2889" s="2" t="s">
        <v>1016</v>
      </c>
      <c r="H2889" s="2">
        <v>249.0</v>
      </c>
      <c r="I2889" s="2">
        <v>2.712005002209E13</v>
      </c>
      <c r="J2889" s="3">
        <v>0.0</v>
      </c>
      <c r="K2889" s="2" t="s">
        <v>11919</v>
      </c>
      <c r="L2889" s="2"/>
      <c r="M2889" s="170" t="s">
        <v>455</v>
      </c>
      <c r="N2889" s="2" t="s">
        <v>406</v>
      </c>
      <c r="O2889" s="3"/>
      <c r="P2889" s="2" t="s">
        <v>73</v>
      </c>
      <c r="Q2889" s="3">
        <v>0.0</v>
      </c>
      <c r="R2889" s="3">
        <v>0.5</v>
      </c>
      <c r="U2889" s="141"/>
      <c r="W2889" s="3">
        <v>200.0</v>
      </c>
      <c r="X2889" s="172">
        <v>46099.7493875463</v>
      </c>
      <c r="Y2889" s="172"/>
      <c r="Z2889" s="3">
        <v>46078.0</v>
      </c>
      <c r="AA2889" s="3"/>
    </row>
    <row r="2890">
      <c r="A2890" s="3">
        <v>6.926688354563E12</v>
      </c>
      <c r="B2890" s="2"/>
      <c r="C2890" s="2" t="s">
        <v>11451</v>
      </c>
      <c r="D2890" s="169">
        <v>46078.0</v>
      </c>
      <c r="E2890" s="2">
        <v>3.17606316E9</v>
      </c>
      <c r="F2890" s="2" t="s">
        <v>11920</v>
      </c>
      <c r="G2890" s="2" t="s">
        <v>546</v>
      </c>
      <c r="H2890" s="2">
        <v>0.0</v>
      </c>
      <c r="J2890" s="3">
        <v>0.0</v>
      </c>
      <c r="K2890" s="2" t="s">
        <v>11921</v>
      </c>
      <c r="L2890" s="2"/>
      <c r="M2890" s="2" t="s">
        <v>468</v>
      </c>
      <c r="N2890" s="2" t="s">
        <v>406</v>
      </c>
      <c r="O2890" s="3"/>
      <c r="Q2890" s="3">
        <v>0.0</v>
      </c>
      <c r="R2890" s="3">
        <v>0.5</v>
      </c>
      <c r="U2890" s="141"/>
      <c r="X2890" s="172"/>
      <c r="Y2890" s="172"/>
      <c r="Z2890" s="3">
        <v>46078.0</v>
      </c>
      <c r="AA2890" s="3"/>
    </row>
    <row r="2891">
      <c r="A2891" s="3">
        <v>6.926690189571E12</v>
      </c>
      <c r="B2891" s="2"/>
      <c r="C2891" s="2" t="s">
        <v>11922</v>
      </c>
      <c r="D2891" s="169">
        <v>46078.0</v>
      </c>
      <c r="E2891" s="173" t="s">
        <v>11923</v>
      </c>
      <c r="F2891" s="2" t="s">
        <v>11924</v>
      </c>
      <c r="G2891" s="2" t="s">
        <v>368</v>
      </c>
      <c r="H2891" s="2">
        <v>0.0</v>
      </c>
      <c r="J2891" s="3">
        <v>0.0</v>
      </c>
      <c r="K2891" s="2" t="s">
        <v>11925</v>
      </c>
      <c r="L2891" s="2"/>
      <c r="M2891" s="2" t="s">
        <v>468</v>
      </c>
      <c r="N2891" s="2" t="s">
        <v>406</v>
      </c>
      <c r="O2891" s="3"/>
      <c r="Q2891" s="3">
        <v>0.0</v>
      </c>
      <c r="R2891" s="3">
        <v>0.5</v>
      </c>
      <c r="U2891" s="141"/>
      <c r="X2891" s="172"/>
      <c r="Y2891" s="172"/>
      <c r="Z2891" s="3">
        <v>46078.0</v>
      </c>
      <c r="AA2891" s="3"/>
    </row>
    <row r="2892">
      <c r="A2892" s="3">
        <v>6.926691795203E12</v>
      </c>
      <c r="B2892" s="2"/>
      <c r="C2892" s="2" t="s">
        <v>11926</v>
      </c>
      <c r="D2892" s="169">
        <v>46078.0</v>
      </c>
      <c r="E2892" s="2">
        <v>3.334330871E9</v>
      </c>
      <c r="F2892" s="2" t="s">
        <v>11927</v>
      </c>
      <c r="G2892" s="2" t="s">
        <v>368</v>
      </c>
      <c r="H2892" s="2">
        <v>4725.0</v>
      </c>
      <c r="I2892" s="2">
        <v>2.2120050022122E13</v>
      </c>
      <c r="J2892" s="3">
        <v>3.0</v>
      </c>
      <c r="K2892" s="2" t="s">
        <v>11928</v>
      </c>
      <c r="L2892" s="2" t="s">
        <v>11929</v>
      </c>
      <c r="M2892" s="2" t="s">
        <v>409</v>
      </c>
      <c r="N2892" s="2" t="s">
        <v>462</v>
      </c>
      <c r="O2892" s="3"/>
      <c r="P2892" s="2" t="s">
        <v>73</v>
      </c>
      <c r="Q2892" s="3">
        <v>2400.0</v>
      </c>
      <c r="R2892" s="3">
        <v>0.5</v>
      </c>
      <c r="U2892" s="171">
        <v>4725.0</v>
      </c>
      <c r="X2892" s="172">
        <v>46080.62448917824</v>
      </c>
      <c r="Y2892" s="172"/>
      <c r="Z2892" s="3">
        <v>46078.0</v>
      </c>
      <c r="AA2892" s="3"/>
    </row>
    <row r="2893">
      <c r="A2893" s="3">
        <v>6.926740455683E12</v>
      </c>
      <c r="B2893" s="2"/>
      <c r="C2893" s="2" t="s">
        <v>11930</v>
      </c>
      <c r="D2893" s="169">
        <v>46078.0</v>
      </c>
      <c r="E2893" s="2">
        <v>3.008146963E9</v>
      </c>
      <c r="F2893" s="2" t="s">
        <v>11931</v>
      </c>
      <c r="G2893" s="2" t="s">
        <v>11932</v>
      </c>
      <c r="H2893" s="2">
        <v>0.0</v>
      </c>
      <c r="J2893" s="3">
        <v>0.0</v>
      </c>
      <c r="K2893" s="2" t="s">
        <v>11933</v>
      </c>
      <c r="L2893" s="2"/>
      <c r="M2893" s="2" t="s">
        <v>468</v>
      </c>
      <c r="N2893" s="2" t="s">
        <v>406</v>
      </c>
      <c r="O2893" s="3"/>
      <c r="Q2893" s="3">
        <v>0.0</v>
      </c>
      <c r="R2893" s="3">
        <v>0.5</v>
      </c>
      <c r="U2893" s="141"/>
      <c r="X2893" s="172"/>
      <c r="Y2893" s="172"/>
      <c r="Z2893" s="3">
        <v>46078.0</v>
      </c>
      <c r="AA2893" s="3"/>
    </row>
    <row r="2894">
      <c r="A2894" s="3">
        <v>6.926776959235E12</v>
      </c>
      <c r="B2894" s="2"/>
      <c r="C2894" s="2" t="s">
        <v>11934</v>
      </c>
      <c r="D2894" s="169">
        <v>46078.0</v>
      </c>
      <c r="E2894" s="2">
        <v>3.162583983E9</v>
      </c>
      <c r="F2894" s="2" t="s">
        <v>11935</v>
      </c>
      <c r="G2894" s="2" t="s">
        <v>493</v>
      </c>
      <c r="H2894" s="2">
        <v>3348.0</v>
      </c>
      <c r="I2894" s="2">
        <v>2.1120050022121E13</v>
      </c>
      <c r="J2894" s="3">
        <v>2.0</v>
      </c>
      <c r="K2894" s="2" t="s">
        <v>11641</v>
      </c>
      <c r="L2894" s="2" t="s">
        <v>22</v>
      </c>
      <c r="M2894" s="2" t="s">
        <v>409</v>
      </c>
      <c r="N2894" s="2" t="s">
        <v>462</v>
      </c>
      <c r="O2894" s="3"/>
      <c r="P2894" s="2" t="s">
        <v>73</v>
      </c>
      <c r="Q2894" s="3">
        <v>800.0</v>
      </c>
      <c r="R2894" s="3">
        <v>0.5</v>
      </c>
      <c r="T2894" s="2" t="s">
        <v>11287</v>
      </c>
      <c r="U2894" s="171">
        <v>3348.0</v>
      </c>
      <c r="V2894" s="172">
        <v>46084.0</v>
      </c>
      <c r="W2894" s="3">
        <v>347.0</v>
      </c>
      <c r="X2894" s="172">
        <v>46081.499304375</v>
      </c>
      <c r="Y2894" s="172"/>
      <c r="Z2894" s="3">
        <v>46078.0</v>
      </c>
    </row>
    <row r="2895">
      <c r="A2895" s="3">
        <v>6.926786461955E12</v>
      </c>
      <c r="B2895" s="2"/>
      <c r="C2895" s="2" t="s">
        <v>11936</v>
      </c>
      <c r="D2895" s="169">
        <v>46078.0</v>
      </c>
      <c r="E2895" s="2">
        <v>3.344661554E9</v>
      </c>
      <c r="F2895" s="2" t="s">
        <v>11937</v>
      </c>
      <c r="G2895" s="2" t="s">
        <v>1257</v>
      </c>
      <c r="H2895" s="2">
        <v>1449.0</v>
      </c>
      <c r="I2895" s="2">
        <v>2.1120050022153E13</v>
      </c>
      <c r="J2895" s="3">
        <v>1.0</v>
      </c>
      <c r="K2895" s="2" t="s">
        <v>11938</v>
      </c>
      <c r="L2895" s="2" t="s">
        <v>741</v>
      </c>
      <c r="M2895" s="2" t="s">
        <v>409</v>
      </c>
      <c r="N2895" s="2" t="s">
        <v>462</v>
      </c>
      <c r="O2895" s="3"/>
      <c r="P2895" s="2" t="s">
        <v>73</v>
      </c>
      <c r="Q2895" s="3">
        <v>550.0</v>
      </c>
      <c r="R2895" s="3">
        <v>0.5</v>
      </c>
      <c r="T2895" s="2" t="s">
        <v>11565</v>
      </c>
      <c r="U2895" s="171">
        <v>1449.0</v>
      </c>
      <c r="V2895" s="172">
        <v>46087.0</v>
      </c>
      <c r="W2895" s="3">
        <v>258.0</v>
      </c>
      <c r="X2895" s="172">
        <v>46084.499375486106</v>
      </c>
      <c r="Y2895" s="172"/>
      <c r="Z2895" s="3">
        <v>46078.0</v>
      </c>
    </row>
    <row r="2896">
      <c r="A2896" s="3">
        <v>6.926815265027E12</v>
      </c>
      <c r="B2896" s="2"/>
      <c r="C2896" s="2" t="s">
        <v>11939</v>
      </c>
      <c r="D2896" s="169">
        <v>46078.0</v>
      </c>
      <c r="E2896" s="2">
        <v>3.243247908E9</v>
      </c>
      <c r="F2896" s="2" t="s">
        <v>11940</v>
      </c>
      <c r="G2896" s="2" t="s">
        <v>368</v>
      </c>
      <c r="H2896" s="2">
        <v>3099.0</v>
      </c>
      <c r="I2896" s="2">
        <v>2.812005002212E13</v>
      </c>
      <c r="J2896" s="3">
        <v>2.0</v>
      </c>
      <c r="K2896" s="2" t="s">
        <v>11941</v>
      </c>
      <c r="L2896" s="2" t="s">
        <v>1129</v>
      </c>
      <c r="M2896" s="2" t="s">
        <v>409</v>
      </c>
      <c r="N2896" s="2" t="s">
        <v>462</v>
      </c>
      <c r="O2896" s="3"/>
      <c r="P2896" s="2" t="s">
        <v>73</v>
      </c>
      <c r="Q2896" s="3">
        <v>960.0</v>
      </c>
      <c r="R2896" s="3">
        <v>0.5</v>
      </c>
      <c r="T2896" s="2" t="s">
        <v>11287</v>
      </c>
      <c r="U2896" s="171">
        <v>3099.0</v>
      </c>
      <c r="V2896" s="172">
        <v>46084.0</v>
      </c>
      <c r="W2896" s="3">
        <v>231.0</v>
      </c>
      <c r="X2896" s="172">
        <v>46080.66599645834</v>
      </c>
      <c r="Y2896" s="172"/>
      <c r="Z2896" s="3">
        <v>46078.0</v>
      </c>
    </row>
    <row r="2897">
      <c r="A2897" s="3">
        <v>6.926865563907E12</v>
      </c>
      <c r="B2897" s="2"/>
      <c r="C2897" s="2" t="s">
        <v>11942</v>
      </c>
      <c r="D2897" s="169">
        <v>46078.0</v>
      </c>
      <c r="E2897" s="2">
        <v>3.096929609E9</v>
      </c>
      <c r="F2897" s="2" t="s">
        <v>11943</v>
      </c>
      <c r="G2897" s="2" t="s">
        <v>368</v>
      </c>
      <c r="H2897" s="2">
        <v>4898.0</v>
      </c>
      <c r="I2897" s="2">
        <v>2.0120050022152E13</v>
      </c>
      <c r="J2897" s="3">
        <v>3.0</v>
      </c>
      <c r="K2897" s="2" t="s">
        <v>11944</v>
      </c>
      <c r="L2897" s="2" t="s">
        <v>11945</v>
      </c>
      <c r="M2897" s="2" t="s">
        <v>409</v>
      </c>
      <c r="N2897" s="2" t="s">
        <v>462</v>
      </c>
      <c r="O2897" s="3"/>
      <c r="P2897" s="2" t="s">
        <v>73</v>
      </c>
      <c r="Q2897" s="3">
        <v>1080.0</v>
      </c>
      <c r="R2897" s="3">
        <v>0.5</v>
      </c>
      <c r="T2897" s="2" t="s">
        <v>11287</v>
      </c>
      <c r="U2897" s="171">
        <v>4898.0</v>
      </c>
      <c r="V2897" s="172">
        <v>46084.0</v>
      </c>
      <c r="W2897" s="3">
        <v>303.0</v>
      </c>
      <c r="X2897" s="172">
        <v>46080.832869502316</v>
      </c>
      <c r="Y2897" s="172"/>
      <c r="Z2897" s="3">
        <v>46078.0</v>
      </c>
    </row>
    <row r="2898">
      <c r="A2898" s="3">
        <v>6.926940340483E12</v>
      </c>
      <c r="B2898" s="2"/>
      <c r="C2898" s="2" t="s">
        <v>11946</v>
      </c>
      <c r="D2898" s="169">
        <v>46078.0</v>
      </c>
      <c r="E2898" s="2">
        <v>3.09500716E9</v>
      </c>
      <c r="F2898" s="2" t="s">
        <v>11947</v>
      </c>
      <c r="G2898" s="2" t="s">
        <v>3148</v>
      </c>
      <c r="H2898" s="2">
        <v>0.0</v>
      </c>
      <c r="J2898" s="3">
        <v>0.0</v>
      </c>
      <c r="K2898" s="2" t="s">
        <v>11948</v>
      </c>
      <c r="L2898" s="2"/>
      <c r="M2898" s="2" t="s">
        <v>468</v>
      </c>
      <c r="N2898" s="2" t="s">
        <v>406</v>
      </c>
      <c r="O2898" s="3"/>
      <c r="Q2898" s="3">
        <v>0.0</v>
      </c>
      <c r="R2898" s="3">
        <v>0.5</v>
      </c>
      <c r="U2898" s="141"/>
      <c r="X2898" s="172"/>
      <c r="Y2898" s="172"/>
      <c r="Z2898" s="3">
        <v>46078.0</v>
      </c>
    </row>
    <row r="2899">
      <c r="A2899" s="3">
        <v>6.927005188355E12</v>
      </c>
      <c r="B2899" s="2" t="s">
        <v>11949</v>
      </c>
      <c r="C2899" s="2" t="s">
        <v>11950</v>
      </c>
      <c r="D2899" s="169">
        <v>46078.0</v>
      </c>
      <c r="E2899" s="173" t="s">
        <v>11951</v>
      </c>
      <c r="F2899" s="2" t="s">
        <v>11952</v>
      </c>
      <c r="G2899" s="2" t="s">
        <v>11953</v>
      </c>
      <c r="H2899" s="2">
        <v>250.0</v>
      </c>
      <c r="I2899" s="2" t="s">
        <v>11954</v>
      </c>
      <c r="J2899" s="3">
        <v>0.0</v>
      </c>
      <c r="K2899" s="2" t="s">
        <v>11955</v>
      </c>
      <c r="L2899" s="2"/>
      <c r="M2899" s="170" t="s">
        <v>455</v>
      </c>
      <c r="N2899" s="2" t="s">
        <v>406</v>
      </c>
      <c r="O2899" s="3"/>
      <c r="P2899" s="2" t="s">
        <v>640</v>
      </c>
      <c r="Q2899" s="3">
        <v>0.0</v>
      </c>
      <c r="R2899" s="3">
        <v>0.5</v>
      </c>
      <c r="U2899" s="141"/>
      <c r="X2899" s="172">
        <v>46093.668145497686</v>
      </c>
      <c r="Y2899" s="172"/>
      <c r="Z2899" s="3">
        <v>46078.0</v>
      </c>
    </row>
    <row r="2900">
      <c r="A2900" s="3">
        <v>6.927035924739E12</v>
      </c>
      <c r="B2900" s="2" t="s">
        <v>11956</v>
      </c>
      <c r="C2900" s="2" t="s">
        <v>10137</v>
      </c>
      <c r="D2900" s="169">
        <v>46078.0</v>
      </c>
      <c r="E2900" s="2">
        <v>3.459330027E9</v>
      </c>
      <c r="F2900" s="2" t="s">
        <v>10138</v>
      </c>
      <c r="G2900" s="2" t="s">
        <v>493</v>
      </c>
      <c r="H2900" s="2">
        <v>3099.0</v>
      </c>
      <c r="I2900" s="2">
        <v>2.3120050022136E13</v>
      </c>
      <c r="J2900" s="3">
        <v>2.0</v>
      </c>
      <c r="K2900" s="2" t="s">
        <v>11957</v>
      </c>
      <c r="L2900" s="2" t="s">
        <v>40</v>
      </c>
      <c r="M2900" s="2" t="s">
        <v>409</v>
      </c>
      <c r="N2900" s="2" t="s">
        <v>462</v>
      </c>
      <c r="O2900" s="3"/>
      <c r="P2900" s="2" t="s">
        <v>73</v>
      </c>
      <c r="Q2900" s="3">
        <v>720.0</v>
      </c>
      <c r="R2900" s="3">
        <v>0.5</v>
      </c>
      <c r="T2900" s="2" t="s">
        <v>11565</v>
      </c>
      <c r="U2900" s="171">
        <v>3099.0</v>
      </c>
      <c r="V2900" s="172">
        <v>46087.0</v>
      </c>
      <c r="W2900" s="3">
        <v>223.0</v>
      </c>
      <c r="X2900" s="172">
        <v>46085.624308750004</v>
      </c>
      <c r="Y2900" s="172"/>
      <c r="Z2900" s="3">
        <v>46078.0</v>
      </c>
    </row>
    <row r="2901">
      <c r="A2901" s="3">
        <v>6.927047950595E12</v>
      </c>
      <c r="B2901" s="2" t="s">
        <v>11958</v>
      </c>
      <c r="C2901" s="2" t="s">
        <v>11959</v>
      </c>
      <c r="D2901" s="169">
        <v>46078.0</v>
      </c>
      <c r="E2901" s="173" t="s">
        <v>11960</v>
      </c>
      <c r="F2901" s="2" t="s">
        <v>11961</v>
      </c>
      <c r="G2901" s="2" t="s">
        <v>493</v>
      </c>
      <c r="H2901" s="2">
        <v>2049.0</v>
      </c>
      <c r="I2901" s="2">
        <v>2.012005002214E13</v>
      </c>
      <c r="J2901" s="3">
        <v>1.0</v>
      </c>
      <c r="K2901" s="2" t="s">
        <v>11962</v>
      </c>
      <c r="L2901" s="2" t="s">
        <v>11096</v>
      </c>
      <c r="M2901" s="2" t="s">
        <v>409</v>
      </c>
      <c r="N2901" s="2" t="s">
        <v>462</v>
      </c>
      <c r="O2901" s="3"/>
      <c r="P2901" s="2" t="s">
        <v>73</v>
      </c>
      <c r="Q2901" s="3">
        <v>400.0</v>
      </c>
      <c r="R2901" s="3">
        <v>0.5</v>
      </c>
      <c r="T2901" s="2" t="s">
        <v>11287</v>
      </c>
      <c r="U2901" s="171">
        <v>2049.0</v>
      </c>
      <c r="V2901" s="172">
        <v>46084.0</v>
      </c>
      <c r="W2901" s="3">
        <v>295.0</v>
      </c>
      <c r="X2901" s="172">
        <v>46082.915982754625</v>
      </c>
      <c r="Y2901" s="172"/>
      <c r="Z2901" s="3">
        <v>46078.0</v>
      </c>
    </row>
    <row r="2902">
      <c r="A2902" s="3">
        <v>6.927090811139E12</v>
      </c>
      <c r="B2902" s="2" t="s">
        <v>11963</v>
      </c>
      <c r="C2902" s="2" t="s">
        <v>3631</v>
      </c>
      <c r="D2902" s="169">
        <v>46078.0</v>
      </c>
      <c r="E2902" s="2">
        <v>3.086709665E9</v>
      </c>
      <c r="F2902" s="2" t="s">
        <v>11964</v>
      </c>
      <c r="G2902" s="2" t="s">
        <v>527</v>
      </c>
      <c r="H2902" s="2">
        <v>2099.0</v>
      </c>
      <c r="I2902" s="2">
        <v>2.5120050022151E13</v>
      </c>
      <c r="J2902" s="3">
        <v>1.0</v>
      </c>
      <c r="K2902" s="2" t="s">
        <v>11965</v>
      </c>
      <c r="L2902" s="2" t="s">
        <v>11966</v>
      </c>
      <c r="M2902" s="2" t="s">
        <v>409</v>
      </c>
      <c r="N2902" s="2" t="s">
        <v>462</v>
      </c>
      <c r="O2902" s="3"/>
      <c r="P2902" s="2" t="s">
        <v>73</v>
      </c>
      <c r="Q2902" s="3">
        <v>850.0</v>
      </c>
      <c r="R2902" s="3">
        <v>0.5</v>
      </c>
      <c r="T2902" s="2" t="s">
        <v>11287</v>
      </c>
      <c r="U2902" s="171">
        <v>2099.0</v>
      </c>
      <c r="V2902" s="172">
        <v>46084.0</v>
      </c>
      <c r="W2902" s="3">
        <v>284.0</v>
      </c>
      <c r="X2902" s="172">
        <v>46083.499400092594</v>
      </c>
      <c r="Y2902" s="172">
        <v>46078.85220545139</v>
      </c>
      <c r="Z2902" s="3">
        <v>46078.0</v>
      </c>
    </row>
    <row r="2903">
      <c r="A2903" s="3">
        <v>6.927171879171E12</v>
      </c>
      <c r="B2903" s="2" t="s">
        <v>11967</v>
      </c>
      <c r="C2903" s="2" t="s">
        <v>11968</v>
      </c>
      <c r="D2903" s="169">
        <v>46078.0</v>
      </c>
      <c r="E2903" s="2">
        <v>3.3430903E9</v>
      </c>
      <c r="F2903" s="2" t="s">
        <v>11969</v>
      </c>
      <c r="G2903" s="2" t="s">
        <v>11970</v>
      </c>
      <c r="H2903" s="2">
        <v>8399.0</v>
      </c>
      <c r="I2903" s="2">
        <v>2.612005002215E13</v>
      </c>
      <c r="J2903" s="3">
        <v>5.0</v>
      </c>
      <c r="K2903" s="2" t="s">
        <v>11971</v>
      </c>
      <c r="L2903" s="2" t="s">
        <v>11972</v>
      </c>
      <c r="M2903" s="2" t="s">
        <v>409</v>
      </c>
      <c r="N2903" s="2" t="s">
        <v>462</v>
      </c>
      <c r="O2903" s="3"/>
      <c r="P2903" s="2" t="s">
        <v>73</v>
      </c>
      <c r="Q2903" s="3">
        <v>2845.0</v>
      </c>
      <c r="R2903" s="3">
        <v>0.5</v>
      </c>
      <c r="T2903" s="2" t="s">
        <v>11287</v>
      </c>
      <c r="U2903" s="171">
        <v>8399.0</v>
      </c>
      <c r="V2903" s="172">
        <v>46084.0</v>
      </c>
      <c r="W2903" s="3">
        <v>656.0</v>
      </c>
      <c r="X2903" s="172">
        <v>46083.62443871528</v>
      </c>
      <c r="Y2903" s="172">
        <v>46078.852205462965</v>
      </c>
      <c r="Z2903" s="3">
        <v>46078.0</v>
      </c>
    </row>
    <row r="2904">
      <c r="A2904" s="3">
        <v>6.927350563075E12</v>
      </c>
      <c r="B2904" s="2" t="s">
        <v>11973</v>
      </c>
      <c r="C2904" s="2" t="s">
        <v>11974</v>
      </c>
      <c r="D2904" s="169">
        <v>46078.0</v>
      </c>
      <c r="E2904" s="173" t="s">
        <v>11975</v>
      </c>
      <c r="F2904" s="2" t="s">
        <v>11976</v>
      </c>
      <c r="G2904" s="2" t="s">
        <v>3396</v>
      </c>
      <c r="H2904" s="2">
        <v>1799.0</v>
      </c>
      <c r="I2904" s="2">
        <v>2.0120050022149E13</v>
      </c>
      <c r="J2904" s="3">
        <v>1.0</v>
      </c>
      <c r="K2904" s="2" t="s">
        <v>11977</v>
      </c>
      <c r="L2904" s="2" t="s">
        <v>4482</v>
      </c>
      <c r="M2904" s="2" t="s">
        <v>409</v>
      </c>
      <c r="N2904" s="2" t="s">
        <v>462</v>
      </c>
      <c r="O2904" s="3"/>
      <c r="P2904" s="2" t="s">
        <v>73</v>
      </c>
      <c r="Q2904" s="3">
        <v>490.0</v>
      </c>
      <c r="R2904" s="3">
        <v>0.5</v>
      </c>
      <c r="T2904" s="2" t="s">
        <v>11287</v>
      </c>
      <c r="U2904" s="171">
        <v>1799.0</v>
      </c>
      <c r="V2904" s="172">
        <v>46084.0</v>
      </c>
      <c r="W2904" s="3">
        <v>272.0</v>
      </c>
      <c r="X2904" s="172">
        <v>46081.62451706019</v>
      </c>
      <c r="Y2904" s="172">
        <v>46078.97712892361</v>
      </c>
      <c r="Z2904" s="3">
        <v>46078.0</v>
      </c>
    </row>
    <row r="2905">
      <c r="A2905" s="3">
        <v>6.927362162947E12</v>
      </c>
      <c r="B2905" s="2" t="s">
        <v>11978</v>
      </c>
      <c r="C2905" s="2" t="s">
        <v>3811</v>
      </c>
      <c r="D2905" s="169">
        <v>46078.0</v>
      </c>
      <c r="E2905" s="2">
        <v>3.002080548E9</v>
      </c>
      <c r="F2905" s="2" t="s">
        <v>11979</v>
      </c>
      <c r="G2905" s="2" t="s">
        <v>493</v>
      </c>
      <c r="H2905" s="2">
        <v>0.0</v>
      </c>
      <c r="J2905" s="3">
        <v>0.0</v>
      </c>
      <c r="K2905" s="2" t="s">
        <v>11980</v>
      </c>
      <c r="L2905" s="2"/>
      <c r="M2905" s="2" t="s">
        <v>468</v>
      </c>
      <c r="N2905" s="2" t="s">
        <v>406</v>
      </c>
      <c r="O2905" s="3"/>
      <c r="Q2905" s="3">
        <v>0.0</v>
      </c>
      <c r="R2905" s="3">
        <v>0.5</v>
      </c>
      <c r="U2905" s="141"/>
      <c r="X2905" s="172"/>
      <c r="Y2905" s="172">
        <v>46078.97712892361</v>
      </c>
      <c r="Z2905" s="3">
        <v>46078.0</v>
      </c>
    </row>
    <row r="2906">
      <c r="A2906" s="3">
        <v>6.927365505283E12</v>
      </c>
      <c r="B2906" s="2" t="s">
        <v>11981</v>
      </c>
      <c r="C2906" s="2" t="s">
        <v>11982</v>
      </c>
      <c r="D2906" s="169">
        <v>46078.0</v>
      </c>
      <c r="E2906" s="2">
        <v>3.085792855E9</v>
      </c>
      <c r="F2906" s="2" t="s">
        <v>11983</v>
      </c>
      <c r="G2906" s="2" t="s">
        <v>368</v>
      </c>
      <c r="H2906" s="2">
        <v>3099.0</v>
      </c>
      <c r="I2906" s="2">
        <v>2.5120050022146E13</v>
      </c>
      <c r="J2906" s="3">
        <v>2.0</v>
      </c>
      <c r="K2906" s="2" t="s">
        <v>11897</v>
      </c>
      <c r="L2906" s="2" t="s">
        <v>1920</v>
      </c>
      <c r="M2906" s="2" t="s">
        <v>409</v>
      </c>
      <c r="N2906" s="2" t="s">
        <v>462</v>
      </c>
      <c r="O2906" s="3"/>
      <c r="P2906" s="2" t="s">
        <v>73</v>
      </c>
      <c r="Q2906" s="3">
        <v>1050.0</v>
      </c>
      <c r="R2906" s="3">
        <v>0.5</v>
      </c>
      <c r="T2906" s="2" t="s">
        <v>11287</v>
      </c>
      <c r="U2906" s="171">
        <v>3099.0</v>
      </c>
      <c r="V2906" s="172">
        <v>46084.0</v>
      </c>
      <c r="W2906" s="3">
        <v>231.0</v>
      </c>
      <c r="X2906" s="172">
        <v>46080.58268797454</v>
      </c>
      <c r="Y2906" s="172">
        <v>46078.97712892361</v>
      </c>
      <c r="Z2906" s="3">
        <v>46078.0</v>
      </c>
    </row>
    <row r="2907">
      <c r="A2907" s="3">
        <v>6.927499428099E12</v>
      </c>
      <c r="B2907" s="2" t="s">
        <v>11984</v>
      </c>
      <c r="C2907" s="2" t="s">
        <v>11985</v>
      </c>
      <c r="D2907" s="169">
        <v>46079.0</v>
      </c>
      <c r="E2907" s="2">
        <v>3.075248396E9</v>
      </c>
      <c r="F2907" s="2" t="s">
        <v>11986</v>
      </c>
      <c r="G2907" s="2" t="s">
        <v>3016</v>
      </c>
      <c r="H2907" s="2">
        <v>0.0</v>
      </c>
      <c r="J2907" s="3">
        <v>0.0</v>
      </c>
      <c r="K2907" s="2" t="s">
        <v>11987</v>
      </c>
      <c r="L2907" s="2"/>
      <c r="M2907" s="2" t="s">
        <v>468</v>
      </c>
      <c r="N2907" s="2" t="s">
        <v>406</v>
      </c>
      <c r="O2907" s="3"/>
      <c r="Q2907" s="3">
        <v>0.0</v>
      </c>
      <c r="R2907" s="3">
        <v>0.5</v>
      </c>
      <c r="U2907" s="141"/>
      <c r="X2907" s="172"/>
      <c r="Y2907" s="172">
        <v>46079.06040802083</v>
      </c>
      <c r="Z2907" s="3">
        <v>46079.0</v>
      </c>
    </row>
    <row r="2908">
      <c r="A2908" s="3">
        <v>6.927520071939E12</v>
      </c>
      <c r="B2908" s="2" t="s">
        <v>11988</v>
      </c>
      <c r="C2908" s="2" t="s">
        <v>11144</v>
      </c>
      <c r="D2908" s="169">
        <v>46079.0</v>
      </c>
      <c r="E2908" s="173" t="s">
        <v>11145</v>
      </c>
      <c r="F2908" s="2" t="s">
        <v>11146</v>
      </c>
      <c r="G2908" s="2" t="s">
        <v>374</v>
      </c>
      <c r="H2908" s="2">
        <v>3849.0</v>
      </c>
      <c r="I2908" s="2">
        <v>2.3120050022148E13</v>
      </c>
      <c r="J2908" s="3">
        <v>2.0</v>
      </c>
      <c r="K2908" s="2" t="s">
        <v>11989</v>
      </c>
      <c r="L2908" s="2" t="s">
        <v>11990</v>
      </c>
      <c r="M2908" s="2" t="s">
        <v>409</v>
      </c>
      <c r="N2908" s="2" t="s">
        <v>462</v>
      </c>
      <c r="O2908" s="3"/>
      <c r="P2908" s="2" t="s">
        <v>73</v>
      </c>
      <c r="Q2908" s="3">
        <v>720.0</v>
      </c>
      <c r="R2908" s="3">
        <v>0.5</v>
      </c>
      <c r="T2908" s="2" t="s">
        <v>11287</v>
      </c>
      <c r="U2908" s="171">
        <v>3849.0</v>
      </c>
      <c r="V2908" s="172">
        <v>46084.0</v>
      </c>
      <c r="W2908" s="3">
        <v>354.0</v>
      </c>
      <c r="X2908" s="172">
        <v>46080.74943715278</v>
      </c>
      <c r="Y2908" s="172">
        <v>46079.06040803241</v>
      </c>
      <c r="Z2908" s="3">
        <v>46079.0</v>
      </c>
    </row>
    <row r="2909">
      <c r="A2909" s="3">
        <v>6.927547662595E12</v>
      </c>
      <c r="B2909" s="2" t="s">
        <v>11991</v>
      </c>
      <c r="C2909" s="2" t="s">
        <v>11992</v>
      </c>
      <c r="D2909" s="169">
        <v>46079.0</v>
      </c>
      <c r="E2909" s="2">
        <v>3.451177158E9</v>
      </c>
      <c r="F2909" s="2" t="s">
        <v>11993</v>
      </c>
      <c r="G2909" s="2" t="s">
        <v>368</v>
      </c>
      <c r="H2909" s="2">
        <v>0.0</v>
      </c>
      <c r="J2909" s="3">
        <v>0.0</v>
      </c>
      <c r="K2909" s="2" t="s">
        <v>11994</v>
      </c>
      <c r="L2909" s="2"/>
      <c r="M2909" s="2" t="s">
        <v>468</v>
      </c>
      <c r="N2909" s="2" t="s">
        <v>406</v>
      </c>
      <c r="O2909" s="3"/>
      <c r="Q2909" s="3">
        <v>0.0</v>
      </c>
      <c r="R2909" s="3">
        <v>0.5</v>
      </c>
      <c r="U2909" s="141"/>
      <c r="X2909" s="172"/>
      <c r="Y2909" s="172">
        <v>46079.10209472222</v>
      </c>
      <c r="Z2909" s="3">
        <v>46079.0</v>
      </c>
    </row>
    <row r="2910">
      <c r="A2910" s="3">
        <v>6.927750955267E12</v>
      </c>
      <c r="B2910" s="2" t="s">
        <v>11995</v>
      </c>
      <c r="C2910" s="2" t="s">
        <v>11996</v>
      </c>
      <c r="D2910" s="169">
        <v>46079.0</v>
      </c>
      <c r="E2910" s="2">
        <v>3.036950313E9</v>
      </c>
      <c r="F2910" s="2" t="s">
        <v>11997</v>
      </c>
      <c r="G2910" s="2" t="s">
        <v>958</v>
      </c>
      <c r="H2910" s="2">
        <v>3348.0</v>
      </c>
      <c r="I2910" s="2">
        <v>2.3120050022201E13</v>
      </c>
      <c r="J2910" s="3">
        <v>2.0</v>
      </c>
      <c r="K2910" s="2" t="s">
        <v>11641</v>
      </c>
      <c r="L2910" s="2" t="s">
        <v>906</v>
      </c>
      <c r="M2910" s="2" t="s">
        <v>409</v>
      </c>
      <c r="N2910" s="2" t="s">
        <v>462</v>
      </c>
      <c r="O2910" s="3"/>
      <c r="P2910" s="2" t="s">
        <v>73</v>
      </c>
      <c r="Q2910" s="3">
        <v>720.0</v>
      </c>
      <c r="R2910" s="3">
        <v>0.5</v>
      </c>
      <c r="T2910" s="2" t="s">
        <v>11287</v>
      </c>
      <c r="U2910" s="171">
        <v>3348.0</v>
      </c>
      <c r="V2910" s="172">
        <v>46084.0</v>
      </c>
      <c r="W2910" s="3">
        <v>334.0</v>
      </c>
      <c r="X2910" s="172">
        <v>46083.70781184028</v>
      </c>
      <c r="Y2910" s="172">
        <v>46079.22721971065</v>
      </c>
      <c r="Z2910" s="3">
        <v>46079.0</v>
      </c>
    </row>
    <row r="2911">
      <c r="A2911" s="3">
        <v>6.927795519747E12</v>
      </c>
      <c r="B2911" s="2" t="s">
        <v>11998</v>
      </c>
      <c r="C2911" s="2" t="s">
        <v>10006</v>
      </c>
      <c r="D2911" s="169">
        <v>46079.0</v>
      </c>
      <c r="E2911" s="2">
        <v>3.055995666E9</v>
      </c>
      <c r="F2911" s="2" t="s">
        <v>11999</v>
      </c>
      <c r="G2911" s="2" t="s">
        <v>3653</v>
      </c>
      <c r="H2911" s="2">
        <v>249.0</v>
      </c>
      <c r="I2911" s="2">
        <v>2.0120050022145E13</v>
      </c>
      <c r="J2911" s="3">
        <v>0.0</v>
      </c>
      <c r="K2911" s="2" t="s">
        <v>12000</v>
      </c>
      <c r="L2911" s="2"/>
      <c r="M2911" s="170" t="s">
        <v>455</v>
      </c>
      <c r="N2911" s="2" t="s">
        <v>406</v>
      </c>
      <c r="O2911" s="3"/>
      <c r="P2911" s="2" t="s">
        <v>73</v>
      </c>
      <c r="Q2911" s="3">
        <v>0.0</v>
      </c>
      <c r="R2911" s="3">
        <v>0.5</v>
      </c>
      <c r="U2911" s="141"/>
      <c r="W2911" s="3">
        <v>213.0</v>
      </c>
      <c r="X2911" s="172">
        <v>46090.95764247685</v>
      </c>
      <c r="Y2911" s="172">
        <v>46079.268872002314</v>
      </c>
      <c r="Z2911" s="3">
        <v>46079.0</v>
      </c>
    </row>
    <row r="2912">
      <c r="A2912" s="3">
        <v>6.927823307011E12</v>
      </c>
      <c r="B2912" s="2" t="s">
        <v>12001</v>
      </c>
      <c r="C2912" s="2" t="s">
        <v>12002</v>
      </c>
      <c r="D2912" s="169">
        <v>46079.0</v>
      </c>
      <c r="E2912" s="2">
        <v>3.218130506E9</v>
      </c>
      <c r="F2912" s="2" t="s">
        <v>12003</v>
      </c>
      <c r="G2912" s="2" t="s">
        <v>12004</v>
      </c>
      <c r="H2912" s="2">
        <v>249.0</v>
      </c>
      <c r="I2912" s="2">
        <v>2.5120050022166E13</v>
      </c>
      <c r="J2912" s="3">
        <v>0.0</v>
      </c>
      <c r="K2912" s="2" t="s">
        <v>12005</v>
      </c>
      <c r="L2912" s="2"/>
      <c r="M2912" s="170" t="s">
        <v>455</v>
      </c>
      <c r="N2912" s="2" t="s">
        <v>406</v>
      </c>
      <c r="O2912" s="3"/>
      <c r="P2912" s="2" t="s">
        <v>73</v>
      </c>
      <c r="Q2912" s="3">
        <v>0.0</v>
      </c>
      <c r="R2912" s="3">
        <v>0.5</v>
      </c>
      <c r="U2912" s="141"/>
      <c r="W2912" s="3">
        <v>213.0</v>
      </c>
      <c r="X2912" s="172">
        <v>46099.749387662036</v>
      </c>
      <c r="Y2912" s="172">
        <v>46079.268872002314</v>
      </c>
      <c r="Z2912" s="3">
        <v>46079.0</v>
      </c>
    </row>
    <row r="2913">
      <c r="A2913" s="3">
        <v>6.927919120643E12</v>
      </c>
      <c r="B2913" s="2" t="s">
        <v>12006</v>
      </c>
      <c r="C2913" s="2" t="s">
        <v>12007</v>
      </c>
      <c r="D2913" s="169">
        <v>46079.0</v>
      </c>
      <c r="E2913" s="2">
        <v>3.25786995E9</v>
      </c>
      <c r="F2913" s="2" t="s">
        <v>12008</v>
      </c>
      <c r="G2913" s="2" t="s">
        <v>541</v>
      </c>
      <c r="H2913" s="2">
        <v>3348.0</v>
      </c>
      <c r="I2913" s="2">
        <v>2.5120050022144E13</v>
      </c>
      <c r="J2913" s="3">
        <v>2.0</v>
      </c>
      <c r="K2913" s="2" t="s">
        <v>11641</v>
      </c>
      <c r="L2913" s="2" t="s">
        <v>228</v>
      </c>
      <c r="M2913" s="2" t="s">
        <v>409</v>
      </c>
      <c r="N2913" s="2" t="s">
        <v>462</v>
      </c>
      <c r="O2913" s="3"/>
      <c r="P2913" s="2" t="s">
        <v>73</v>
      </c>
      <c r="Q2913" s="3">
        <v>720.0</v>
      </c>
      <c r="R2913" s="3">
        <v>0.5</v>
      </c>
      <c r="T2913" s="2" t="s">
        <v>11287</v>
      </c>
      <c r="U2913" s="171">
        <v>3348.0</v>
      </c>
      <c r="V2913" s="172">
        <v>46084.0</v>
      </c>
      <c r="W2913" s="3">
        <v>334.0</v>
      </c>
      <c r="X2913" s="172">
        <v>46082.87434891204</v>
      </c>
      <c r="Y2913" s="172">
        <v>46079.352086238425</v>
      </c>
      <c r="Z2913" s="3">
        <v>46079.0</v>
      </c>
    </row>
    <row r="2914">
      <c r="A2914" s="3">
        <v>6.927972958467E12</v>
      </c>
      <c r="B2914" s="2" t="s">
        <v>12009</v>
      </c>
      <c r="C2914" s="2" t="s">
        <v>12010</v>
      </c>
      <c r="D2914" s="169">
        <v>46079.0</v>
      </c>
      <c r="E2914" s="2">
        <v>3.455771779E9</v>
      </c>
      <c r="F2914" s="2" t="s">
        <v>12011</v>
      </c>
      <c r="G2914" s="2" t="s">
        <v>787</v>
      </c>
      <c r="H2914" s="2">
        <v>3348.0</v>
      </c>
      <c r="I2914" s="2">
        <v>2.1120050022143E13</v>
      </c>
      <c r="J2914" s="3">
        <v>2.0</v>
      </c>
      <c r="K2914" s="2" t="s">
        <v>11641</v>
      </c>
      <c r="L2914" s="2" t="s">
        <v>50</v>
      </c>
      <c r="M2914" s="2" t="s">
        <v>409</v>
      </c>
      <c r="N2914" s="2" t="s">
        <v>462</v>
      </c>
      <c r="O2914" s="3"/>
      <c r="P2914" s="2" t="s">
        <v>73</v>
      </c>
      <c r="Q2914" s="3">
        <v>720.0</v>
      </c>
      <c r="R2914" s="3">
        <v>0.5</v>
      </c>
      <c r="T2914" s="2" t="s">
        <v>11287</v>
      </c>
      <c r="U2914" s="171">
        <v>3348.0</v>
      </c>
      <c r="V2914" s="172">
        <v>46084.0</v>
      </c>
      <c r="W2914" s="3">
        <v>347.0</v>
      </c>
      <c r="X2914" s="172">
        <v>46083.70781269676</v>
      </c>
      <c r="Y2914" s="172">
        <v>46079.39377293982</v>
      </c>
      <c r="Z2914" s="3">
        <v>46079.0</v>
      </c>
    </row>
    <row r="2915">
      <c r="A2915" s="3">
        <v>6.927990980867E12</v>
      </c>
      <c r="B2915" s="2" t="s">
        <v>12012</v>
      </c>
      <c r="C2915" s="2" t="s">
        <v>12013</v>
      </c>
      <c r="D2915" s="169">
        <v>46079.0</v>
      </c>
      <c r="E2915" s="2">
        <v>3.319950707E9</v>
      </c>
      <c r="F2915" s="2" t="s">
        <v>12014</v>
      </c>
      <c r="G2915" s="2" t="s">
        <v>541</v>
      </c>
      <c r="H2915" s="2">
        <v>3099.0</v>
      </c>
      <c r="I2915" s="2">
        <v>2.5120050022142E13</v>
      </c>
      <c r="J2915" s="3">
        <v>2.0</v>
      </c>
      <c r="K2915" s="2" t="s">
        <v>11897</v>
      </c>
      <c r="L2915" s="2" t="s">
        <v>1242</v>
      </c>
      <c r="M2915" s="2" t="s">
        <v>409</v>
      </c>
      <c r="N2915" s="2" t="s">
        <v>462</v>
      </c>
      <c r="O2915" s="3"/>
      <c r="P2915" s="2" t="s">
        <v>73</v>
      </c>
      <c r="Q2915" s="3">
        <v>1000.0</v>
      </c>
      <c r="R2915" s="3">
        <v>0.5</v>
      </c>
      <c r="T2915" s="2" t="s">
        <v>11287</v>
      </c>
      <c r="U2915" s="171">
        <v>3099.0</v>
      </c>
      <c r="V2915" s="172">
        <v>46084.0</v>
      </c>
      <c r="W2915" s="3">
        <v>324.0</v>
      </c>
      <c r="X2915" s="172">
        <v>46082.624371909726</v>
      </c>
      <c r="Y2915" s="172">
        <v>46079.39377293982</v>
      </c>
      <c r="Z2915" s="3">
        <v>46079.0</v>
      </c>
    </row>
    <row r="2916">
      <c r="A2916" s="3">
        <v>6.928044294403E12</v>
      </c>
      <c r="B2916" s="2" t="s">
        <v>12015</v>
      </c>
      <c r="C2916" s="2" t="s">
        <v>12016</v>
      </c>
      <c r="D2916" s="169">
        <v>46079.0</v>
      </c>
      <c r="E2916" s="2">
        <v>3.035011169E9</v>
      </c>
      <c r="F2916" s="2" t="s">
        <v>12017</v>
      </c>
      <c r="G2916" s="2" t="s">
        <v>1969</v>
      </c>
      <c r="H2916" s="2">
        <v>0.0</v>
      </c>
      <c r="J2916" s="3">
        <v>0.0</v>
      </c>
      <c r="K2916" s="2" t="s">
        <v>12018</v>
      </c>
      <c r="L2916" s="2"/>
      <c r="M2916" s="2" t="s">
        <v>468</v>
      </c>
      <c r="N2916" s="2" t="s">
        <v>406</v>
      </c>
      <c r="O2916" s="3"/>
      <c r="Q2916" s="3">
        <v>0.0</v>
      </c>
      <c r="R2916" s="3">
        <v>0.5</v>
      </c>
      <c r="U2916" s="141"/>
      <c r="X2916" s="172"/>
      <c r="Y2916" s="172">
        <v>46079.4354729051</v>
      </c>
      <c r="Z2916" s="3">
        <v>46079.0</v>
      </c>
    </row>
    <row r="2917">
      <c r="A2917" s="3">
        <v>6.928060907779E12</v>
      </c>
      <c r="B2917" s="2" t="s">
        <v>12019</v>
      </c>
      <c r="C2917" s="2" t="s">
        <v>12020</v>
      </c>
      <c r="D2917" s="169">
        <v>46079.0</v>
      </c>
      <c r="E2917" s="2">
        <v>3.440437711E9</v>
      </c>
      <c r="F2917" s="2" t="s">
        <v>12021</v>
      </c>
      <c r="G2917" s="2" t="s">
        <v>506</v>
      </c>
      <c r="H2917" s="2">
        <v>3348.0</v>
      </c>
      <c r="I2917" s="2">
        <v>2.4120050022181E13</v>
      </c>
      <c r="J2917" s="3">
        <v>2.0</v>
      </c>
      <c r="K2917" s="2" t="s">
        <v>12022</v>
      </c>
      <c r="L2917" s="2" t="s">
        <v>27</v>
      </c>
      <c r="M2917" s="2" t="s">
        <v>409</v>
      </c>
      <c r="N2917" s="2" t="s">
        <v>462</v>
      </c>
      <c r="O2917" s="3"/>
      <c r="P2917" s="2" t="s">
        <v>73</v>
      </c>
      <c r="Q2917" s="3">
        <v>720.0</v>
      </c>
      <c r="R2917" s="3">
        <v>0.5</v>
      </c>
      <c r="T2917" s="2" t="s">
        <v>11287</v>
      </c>
      <c r="U2917" s="171">
        <v>3348.0</v>
      </c>
      <c r="V2917" s="172">
        <v>46084.0</v>
      </c>
      <c r="W2917" s="3">
        <v>334.0</v>
      </c>
      <c r="X2917" s="172">
        <v>46082.832674641206</v>
      </c>
      <c r="Y2917" s="172">
        <v>46079.477111631946</v>
      </c>
      <c r="Z2917" s="3">
        <v>46079.0</v>
      </c>
    </row>
    <row r="2918">
      <c r="A2918" s="3">
        <v>6.928062972163E12</v>
      </c>
      <c r="B2918" s="2" t="s">
        <v>12023</v>
      </c>
      <c r="C2918" s="2" t="s">
        <v>12024</v>
      </c>
      <c r="D2918" s="169">
        <v>46079.0</v>
      </c>
      <c r="E2918" s="2">
        <v>3.361981135E9</v>
      </c>
      <c r="F2918" s="2" t="s">
        <v>12025</v>
      </c>
      <c r="G2918" s="2" t="s">
        <v>12026</v>
      </c>
      <c r="H2918" s="2">
        <v>249.0</v>
      </c>
      <c r="I2918" s="2">
        <v>2.61200500225E13</v>
      </c>
      <c r="J2918" s="3">
        <v>0.0</v>
      </c>
      <c r="K2918" s="2" t="s">
        <v>12027</v>
      </c>
      <c r="L2918" s="2"/>
      <c r="M2918" s="170" t="s">
        <v>455</v>
      </c>
      <c r="N2918" s="2" t="s">
        <v>406</v>
      </c>
      <c r="O2918" s="3"/>
      <c r="P2918" s="2" t="s">
        <v>73</v>
      </c>
      <c r="Q2918" s="3">
        <v>0.0</v>
      </c>
      <c r="R2918" s="3">
        <v>0.5</v>
      </c>
      <c r="U2918" s="141"/>
      <c r="W2918" s="3">
        <v>200.1</v>
      </c>
      <c r="X2918" s="172">
        <v>46106.91602878472</v>
      </c>
      <c r="Y2918" s="172">
        <v>46079.477111631946</v>
      </c>
      <c r="Z2918" s="3">
        <v>46079.0</v>
      </c>
    </row>
    <row r="2919">
      <c r="A2919" s="3">
        <v>6.928185458947E12</v>
      </c>
      <c r="B2919" s="2" t="s">
        <v>12028</v>
      </c>
      <c r="C2919" s="2" t="s">
        <v>5316</v>
      </c>
      <c r="D2919" s="169">
        <v>46079.0</v>
      </c>
      <c r="E2919" s="2">
        <v>3.046111333E9</v>
      </c>
      <c r="F2919" s="2" t="s">
        <v>11228</v>
      </c>
      <c r="G2919" s="2" t="s">
        <v>3396</v>
      </c>
      <c r="H2919" s="2">
        <v>6250.0</v>
      </c>
      <c r="I2919" s="2">
        <v>2.4120050022141E13</v>
      </c>
      <c r="J2919" s="3">
        <v>3.0</v>
      </c>
      <c r="K2919" s="2" t="s">
        <v>12029</v>
      </c>
      <c r="L2919" s="2" t="s">
        <v>12030</v>
      </c>
      <c r="M2919" s="2" t="s">
        <v>409</v>
      </c>
      <c r="N2919" s="2" t="s">
        <v>462</v>
      </c>
      <c r="O2919" s="3"/>
      <c r="P2919" s="2" t="s">
        <v>73</v>
      </c>
      <c r="Q2919" s="3">
        <v>2690.0</v>
      </c>
      <c r="R2919" s="3">
        <v>0.5</v>
      </c>
      <c r="T2919" s="2" t="s">
        <v>11287</v>
      </c>
      <c r="U2919" s="171">
        <v>6250.0</v>
      </c>
      <c r="V2919" s="172">
        <v>46084.0</v>
      </c>
      <c r="W2919" s="3">
        <v>230.0</v>
      </c>
      <c r="X2919" s="172">
        <v>46081.54099246528</v>
      </c>
      <c r="Y2919" s="172">
        <v>46079.56043331018</v>
      </c>
      <c r="Z2919" s="3">
        <v>46079.0</v>
      </c>
    </row>
    <row r="2920">
      <c r="A2920" s="3">
        <v>6.928187326723E12</v>
      </c>
      <c r="B2920" s="2" t="s">
        <v>12031</v>
      </c>
      <c r="C2920" s="2" t="s">
        <v>8763</v>
      </c>
      <c r="D2920" s="169">
        <v>46079.0</v>
      </c>
      <c r="E2920" s="2">
        <v>3.119314888E9</v>
      </c>
      <c r="F2920" s="2" t="s">
        <v>8764</v>
      </c>
      <c r="G2920" s="2" t="s">
        <v>366</v>
      </c>
      <c r="H2920" s="2">
        <v>2850.0</v>
      </c>
      <c r="I2920" s="2">
        <v>365229.0</v>
      </c>
      <c r="J2920" s="3">
        <v>2.0</v>
      </c>
      <c r="K2920" s="2" t="s">
        <v>12032</v>
      </c>
      <c r="L2920" s="2" t="s">
        <v>40</v>
      </c>
      <c r="M2920" s="2" t="s">
        <v>12033</v>
      </c>
      <c r="N2920" s="2" t="s">
        <v>406</v>
      </c>
      <c r="O2920" s="3"/>
      <c r="Q2920" s="3">
        <v>720.0</v>
      </c>
      <c r="R2920" s="3">
        <v>0.5</v>
      </c>
      <c r="U2920" s="141"/>
      <c r="X2920" s="172">
        <v>46091.584117604165</v>
      </c>
      <c r="Y2920" s="172">
        <v>46079.56043331018</v>
      </c>
      <c r="Z2920" s="3">
        <v>46079.0</v>
      </c>
    </row>
    <row r="2921">
      <c r="A2921" s="3">
        <v>6.928224387331E12</v>
      </c>
      <c r="B2921" s="2" t="s">
        <v>12034</v>
      </c>
      <c r="C2921" s="2" t="s">
        <v>11205</v>
      </c>
      <c r="D2921" s="169">
        <v>46079.0</v>
      </c>
      <c r="E2921" s="2">
        <v>3.098572989E9</v>
      </c>
      <c r="F2921" s="2" t="s">
        <v>12035</v>
      </c>
      <c r="G2921" s="2" t="s">
        <v>374</v>
      </c>
      <c r="H2921" s="2">
        <v>249.0</v>
      </c>
      <c r="I2921" s="2">
        <v>2.5120050022317E13</v>
      </c>
      <c r="J2921" s="3">
        <v>0.0</v>
      </c>
      <c r="K2921" s="2" t="s">
        <v>12036</v>
      </c>
      <c r="L2921" s="2"/>
      <c r="M2921" s="170" t="s">
        <v>455</v>
      </c>
      <c r="N2921" s="2" t="s">
        <v>406</v>
      </c>
      <c r="O2921" s="3"/>
      <c r="P2921" s="2" t="s">
        <v>73</v>
      </c>
      <c r="Q2921" s="3">
        <v>0.0</v>
      </c>
      <c r="R2921" s="3">
        <v>0.5</v>
      </c>
      <c r="U2921" s="141"/>
      <c r="W2921" s="3">
        <v>200.0</v>
      </c>
      <c r="X2921" s="172">
        <v>46093.74934116898</v>
      </c>
      <c r="Y2921" s="172">
        <v>46079.60213988426</v>
      </c>
      <c r="Z2921" s="3">
        <v>46079.0</v>
      </c>
    </row>
    <row r="2922">
      <c r="A2922" s="3">
        <v>6.928289726723E12</v>
      </c>
      <c r="B2922" s="2" t="s">
        <v>12037</v>
      </c>
      <c r="C2922" s="2" t="s">
        <v>12038</v>
      </c>
      <c r="D2922" s="169">
        <v>46079.0</v>
      </c>
      <c r="E2922" s="2">
        <v>3.008295635E9</v>
      </c>
      <c r="F2922" s="2" t="s">
        <v>12039</v>
      </c>
      <c r="G2922" s="2" t="s">
        <v>493</v>
      </c>
      <c r="H2922" s="2">
        <v>2749.0</v>
      </c>
      <c r="I2922" s="2">
        <v>2.9120050022165E13</v>
      </c>
      <c r="J2922" s="3">
        <v>2.0</v>
      </c>
      <c r="K2922" s="2" t="s">
        <v>12040</v>
      </c>
      <c r="L2922" s="2" t="s">
        <v>926</v>
      </c>
      <c r="M2922" s="2" t="s">
        <v>409</v>
      </c>
      <c r="N2922" s="2" t="s">
        <v>462</v>
      </c>
      <c r="O2922" s="3"/>
      <c r="P2922" s="2" t="s">
        <v>73</v>
      </c>
      <c r="Q2922" s="3">
        <v>980.0</v>
      </c>
      <c r="R2922" s="3">
        <v>0.5</v>
      </c>
      <c r="T2922" s="2" t="s">
        <v>11565</v>
      </c>
      <c r="U2922" s="171">
        <v>2749.0</v>
      </c>
      <c r="V2922" s="172">
        <v>46087.0</v>
      </c>
      <c r="W2922" s="3">
        <v>337.0</v>
      </c>
      <c r="X2922" s="172">
        <v>46085.58479311343</v>
      </c>
      <c r="Y2922" s="172">
        <v>46079.68545710648</v>
      </c>
      <c r="Z2922" s="3">
        <v>46079.0</v>
      </c>
    </row>
    <row r="2923">
      <c r="A2923" s="3">
        <v>6.928327803139E12</v>
      </c>
      <c r="B2923" s="2" t="s">
        <v>12041</v>
      </c>
      <c r="C2923" s="2" t="s">
        <v>12042</v>
      </c>
      <c r="D2923" s="169">
        <v>46079.0</v>
      </c>
      <c r="E2923" s="2">
        <v>3.414721039E9</v>
      </c>
      <c r="F2923" s="2" t="s">
        <v>12043</v>
      </c>
      <c r="G2923" s="2" t="s">
        <v>566</v>
      </c>
      <c r="H2923" s="2">
        <v>0.0</v>
      </c>
      <c r="I2923" s="2">
        <v>2.3120050022164E13</v>
      </c>
      <c r="J2923" s="3">
        <v>0.0</v>
      </c>
      <c r="K2923" s="2" t="s">
        <v>7954</v>
      </c>
      <c r="L2923" s="2"/>
      <c r="M2923" s="2" t="s">
        <v>468</v>
      </c>
      <c r="N2923" s="2" t="s">
        <v>406</v>
      </c>
      <c r="O2923" s="3"/>
      <c r="P2923" s="2" t="s">
        <v>73</v>
      </c>
      <c r="Q2923" s="3">
        <v>0.0</v>
      </c>
      <c r="R2923" s="3">
        <v>0.5</v>
      </c>
      <c r="U2923" s="141"/>
      <c r="X2923" s="172"/>
      <c r="Y2923" s="172">
        <v>46079.68545710648</v>
      </c>
      <c r="Z2923" s="3">
        <v>46079.0</v>
      </c>
    </row>
    <row r="2924">
      <c r="A2924" s="3">
        <v>6.928347496707E12</v>
      </c>
      <c r="B2924" s="2" t="s">
        <v>12044</v>
      </c>
      <c r="C2924" s="2" t="s">
        <v>12045</v>
      </c>
      <c r="D2924" s="169">
        <v>46079.0</v>
      </c>
      <c r="E2924" s="2">
        <v>3.000201431E9</v>
      </c>
      <c r="F2924" s="2" t="s">
        <v>12046</v>
      </c>
      <c r="G2924" s="2" t="s">
        <v>493</v>
      </c>
      <c r="H2924" s="2">
        <v>5949.0</v>
      </c>
      <c r="I2924" s="2">
        <v>2.312005002218E13</v>
      </c>
      <c r="J2924" s="3">
        <v>4.0</v>
      </c>
      <c r="K2924" s="2" t="s">
        <v>11825</v>
      </c>
      <c r="L2924" s="2" t="s">
        <v>5810</v>
      </c>
      <c r="M2924" s="2" t="s">
        <v>409</v>
      </c>
      <c r="N2924" s="2" t="s">
        <v>462</v>
      </c>
      <c r="O2924" s="3"/>
      <c r="P2924" s="2" t="s">
        <v>73</v>
      </c>
      <c r="Q2924" s="3">
        <v>1770.0</v>
      </c>
      <c r="R2924" s="3">
        <v>0.5</v>
      </c>
      <c r="T2924" s="2" t="s">
        <v>11287</v>
      </c>
      <c r="U2924" s="171">
        <v>5949.0</v>
      </c>
      <c r="V2924" s="172">
        <v>46084.0</v>
      </c>
      <c r="W2924" s="3">
        <v>465.0</v>
      </c>
      <c r="X2924" s="172">
        <v>46083.624439363426</v>
      </c>
      <c r="Y2924" s="172">
        <v>46079.72708327546</v>
      </c>
      <c r="Z2924" s="3">
        <v>46079.0</v>
      </c>
    </row>
    <row r="2925">
      <c r="A2925" s="3">
        <v>6.928456352003E12</v>
      </c>
      <c r="B2925" s="2" t="s">
        <v>12047</v>
      </c>
      <c r="C2925" s="2" t="s">
        <v>2187</v>
      </c>
      <c r="D2925" s="169">
        <v>46079.0</v>
      </c>
      <c r="E2925" s="2">
        <v>3.334498483E9</v>
      </c>
      <c r="F2925" s="2" t="s">
        <v>2188</v>
      </c>
      <c r="G2925" s="2" t="s">
        <v>368</v>
      </c>
      <c r="H2925" s="2">
        <v>5598.0</v>
      </c>
      <c r="I2925" s="2" t="s">
        <v>12048</v>
      </c>
      <c r="J2925" s="3">
        <v>4.0</v>
      </c>
      <c r="K2925" s="2" t="s">
        <v>12049</v>
      </c>
      <c r="L2925" s="2" t="s">
        <v>12050</v>
      </c>
      <c r="M2925" s="2" t="s">
        <v>409</v>
      </c>
      <c r="N2925" s="2" t="s">
        <v>462</v>
      </c>
      <c r="O2925" s="3"/>
      <c r="Q2925" s="3">
        <v>1740.0</v>
      </c>
      <c r="R2925" s="3">
        <v>0.5</v>
      </c>
      <c r="U2925" s="171">
        <v>5598.0</v>
      </c>
      <c r="X2925" s="172"/>
      <c r="Y2925" s="172">
        <v>46079.81044243056</v>
      </c>
      <c r="Z2925" s="3">
        <v>46079.0</v>
      </c>
    </row>
    <row r="2926">
      <c r="A2926" s="3">
        <v>6.928462020867E12</v>
      </c>
      <c r="B2926" s="2" t="s">
        <v>12051</v>
      </c>
      <c r="C2926" s="2" t="s">
        <v>12052</v>
      </c>
      <c r="D2926" s="169">
        <v>46079.0</v>
      </c>
      <c r="E2926" s="2">
        <v>3.224844622E9</v>
      </c>
      <c r="F2926" s="2" t="s">
        <v>12053</v>
      </c>
      <c r="G2926" s="2" t="s">
        <v>368</v>
      </c>
      <c r="H2926" s="2">
        <v>249.0</v>
      </c>
      <c r="I2926" s="2">
        <v>2.2120050022179E13</v>
      </c>
      <c r="J2926" s="3">
        <v>0.0</v>
      </c>
      <c r="K2926" s="2" t="s">
        <v>12054</v>
      </c>
      <c r="L2926" s="2"/>
      <c r="M2926" s="170" t="s">
        <v>455</v>
      </c>
      <c r="N2926" s="2" t="s">
        <v>406</v>
      </c>
      <c r="O2926" s="3"/>
      <c r="P2926" s="2" t="s">
        <v>73</v>
      </c>
      <c r="Q2926" s="3">
        <v>0.0</v>
      </c>
      <c r="R2926" s="3">
        <v>0.5</v>
      </c>
      <c r="U2926" s="141"/>
      <c r="W2926" s="3">
        <v>107.0</v>
      </c>
      <c r="X2926" s="172">
        <v>46086.77087395833</v>
      </c>
      <c r="Y2926" s="172">
        <v>46079.81044244213</v>
      </c>
      <c r="Z2926" s="3">
        <v>46079.0</v>
      </c>
    </row>
    <row r="2927">
      <c r="A2927" s="3">
        <v>6.928468279555E12</v>
      </c>
      <c r="B2927" s="2" t="s">
        <v>12055</v>
      </c>
      <c r="C2927" s="2" t="s">
        <v>10954</v>
      </c>
      <c r="D2927" s="169">
        <v>46079.0</v>
      </c>
      <c r="E2927" s="2">
        <v>3.19542842E9</v>
      </c>
      <c r="F2927" s="2" t="s">
        <v>10955</v>
      </c>
      <c r="G2927" s="2" t="s">
        <v>1395</v>
      </c>
      <c r="H2927" s="2">
        <v>5698.0</v>
      </c>
      <c r="I2927" s="2" t="s">
        <v>12056</v>
      </c>
      <c r="J2927" s="3">
        <v>4.0</v>
      </c>
      <c r="K2927" s="2" t="s">
        <v>12057</v>
      </c>
      <c r="L2927" s="2" t="s">
        <v>12058</v>
      </c>
      <c r="M2927" s="2" t="s">
        <v>409</v>
      </c>
      <c r="N2927" s="2" t="s">
        <v>462</v>
      </c>
      <c r="O2927" s="3"/>
      <c r="Q2927" s="3">
        <v>1770.0</v>
      </c>
      <c r="R2927" s="3">
        <v>0.5</v>
      </c>
      <c r="U2927" s="171">
        <v>5698.0</v>
      </c>
      <c r="X2927" s="172"/>
      <c r="Y2927" s="172">
        <v>46079.81044244213</v>
      </c>
      <c r="Z2927" s="3">
        <v>46079.0</v>
      </c>
    </row>
    <row r="2928">
      <c r="A2928" s="3">
        <v>6.928475226371E12</v>
      </c>
      <c r="B2928" s="2" t="s">
        <v>12059</v>
      </c>
      <c r="C2928" s="2" t="s">
        <v>11788</v>
      </c>
      <c r="D2928" s="169">
        <v>46079.0</v>
      </c>
      <c r="E2928" s="2">
        <v>3.008479046E9</v>
      </c>
      <c r="F2928" s="2" t="s">
        <v>11789</v>
      </c>
      <c r="G2928" s="2" t="s">
        <v>368</v>
      </c>
      <c r="H2928" s="2">
        <v>3348.0</v>
      </c>
      <c r="I2928" s="2">
        <v>2.91200500222E13</v>
      </c>
      <c r="J2928" s="3">
        <v>2.0</v>
      </c>
      <c r="K2928" s="2" t="s">
        <v>12022</v>
      </c>
      <c r="L2928" s="2" t="s">
        <v>12060</v>
      </c>
      <c r="M2928" s="2" t="s">
        <v>409</v>
      </c>
      <c r="N2928" s="2" t="s">
        <v>462</v>
      </c>
      <c r="O2928" s="3"/>
      <c r="P2928" s="2" t="s">
        <v>73</v>
      </c>
      <c r="Q2928" s="3">
        <v>720.0</v>
      </c>
      <c r="R2928" s="3">
        <v>0.5</v>
      </c>
      <c r="T2928" s="2" t="s">
        <v>11287</v>
      </c>
      <c r="U2928" s="171">
        <v>3348.0</v>
      </c>
      <c r="V2928" s="172">
        <v>46084.0</v>
      </c>
      <c r="W2928" s="3">
        <v>241.0</v>
      </c>
      <c r="X2928" s="172">
        <v>46082.707698391205</v>
      </c>
      <c r="Y2928" s="172">
        <v>46079.81044244213</v>
      </c>
      <c r="Z2928" s="3">
        <v>46079.0</v>
      </c>
    </row>
    <row r="2929">
      <c r="A2929" s="3">
        <v>6.928491217155E12</v>
      </c>
      <c r="B2929" s="2" t="s">
        <v>12061</v>
      </c>
      <c r="C2929" s="2" t="s">
        <v>12062</v>
      </c>
      <c r="D2929" s="169">
        <v>46079.0</v>
      </c>
      <c r="E2929" s="2">
        <v>3.443024419E9</v>
      </c>
      <c r="F2929" s="2" t="s">
        <v>12063</v>
      </c>
      <c r="G2929" s="2" t="s">
        <v>781</v>
      </c>
      <c r="H2929" s="2">
        <v>3348.0</v>
      </c>
      <c r="I2929" s="2" t="s">
        <v>12064</v>
      </c>
      <c r="J2929" s="3">
        <v>2.0</v>
      </c>
      <c r="K2929" s="2" t="s">
        <v>12065</v>
      </c>
      <c r="L2929" s="2" t="s">
        <v>1285</v>
      </c>
      <c r="M2929" s="2" t="s">
        <v>12033</v>
      </c>
      <c r="N2929" s="2" t="s">
        <v>406</v>
      </c>
      <c r="O2929" s="3"/>
      <c r="P2929" s="2" t="s">
        <v>640</v>
      </c>
      <c r="Q2929" s="3">
        <v>720.0</v>
      </c>
      <c r="R2929" s="3">
        <v>0.5</v>
      </c>
      <c r="U2929" s="141"/>
      <c r="X2929" s="172">
        <v>46091.58411859954</v>
      </c>
      <c r="Y2929" s="172">
        <v>46079.81044244213</v>
      </c>
      <c r="Z2929" s="3">
        <v>46079.0</v>
      </c>
    </row>
    <row r="2930">
      <c r="A2930" s="3">
        <v>6.928516808963E12</v>
      </c>
      <c r="B2930" s="2" t="s">
        <v>12066</v>
      </c>
      <c r="C2930" s="2" t="s">
        <v>12042</v>
      </c>
      <c r="D2930" s="169">
        <v>46079.0</v>
      </c>
      <c r="E2930" s="2">
        <v>3.414721039E9</v>
      </c>
      <c r="F2930" s="2" t="s">
        <v>12043</v>
      </c>
      <c r="G2930" s="2" t="s">
        <v>566</v>
      </c>
      <c r="H2930" s="2">
        <v>6198.0</v>
      </c>
      <c r="I2930" s="2">
        <v>2.5120050022499E13</v>
      </c>
      <c r="J2930" s="3">
        <v>4.0</v>
      </c>
      <c r="K2930" s="2" t="s">
        <v>12067</v>
      </c>
      <c r="L2930" s="2" t="s">
        <v>12068</v>
      </c>
      <c r="M2930" s="2" t="s">
        <v>409</v>
      </c>
      <c r="N2930" s="2" t="s">
        <v>462</v>
      </c>
      <c r="O2930" s="3"/>
      <c r="P2930" s="2" t="s">
        <v>73</v>
      </c>
      <c r="Q2930" s="3">
        <v>1770.0</v>
      </c>
      <c r="R2930" s="3">
        <v>0.5</v>
      </c>
      <c r="T2930" s="2" t="s">
        <v>12069</v>
      </c>
      <c r="U2930" s="171">
        <v>6198.0</v>
      </c>
      <c r="V2930" s="172">
        <v>46094.0</v>
      </c>
      <c r="W2930" s="3">
        <v>468.0</v>
      </c>
      <c r="X2930" s="172">
        <v>46092.749420057866</v>
      </c>
      <c r="Y2930" s="172">
        <v>46079.852103020836</v>
      </c>
      <c r="Z2930" s="3">
        <v>46079.0</v>
      </c>
    </row>
    <row r="2931">
      <c r="A2931" s="3">
        <v>6.928587358467E12</v>
      </c>
      <c r="B2931" s="2" t="s">
        <v>12070</v>
      </c>
      <c r="C2931" s="2" t="s">
        <v>11588</v>
      </c>
      <c r="D2931" s="169">
        <v>46079.0</v>
      </c>
      <c r="E2931" s="2">
        <v>3.009550389E9</v>
      </c>
      <c r="F2931" s="2" t="s">
        <v>11589</v>
      </c>
      <c r="G2931" s="2" t="s">
        <v>11590</v>
      </c>
      <c r="H2931" s="2">
        <v>249.0</v>
      </c>
      <c r="I2931" s="2" t="s">
        <v>12071</v>
      </c>
      <c r="J2931" s="3">
        <v>0.0</v>
      </c>
      <c r="K2931" s="2" t="s">
        <v>12072</v>
      </c>
      <c r="L2931" s="2"/>
      <c r="M2931" s="170" t="s">
        <v>455</v>
      </c>
      <c r="N2931" s="2" t="s">
        <v>406</v>
      </c>
      <c r="O2931" s="3"/>
      <c r="P2931" s="2" t="s">
        <v>640</v>
      </c>
      <c r="Q2931" s="3">
        <v>0.0</v>
      </c>
      <c r="R2931" s="3">
        <v>0.5</v>
      </c>
      <c r="U2931" s="141"/>
      <c r="X2931" s="172">
        <v>46099.41769884259</v>
      </c>
      <c r="Y2931" s="172">
        <v>46079.89374600694</v>
      </c>
      <c r="Z2931" s="3">
        <v>46079.0</v>
      </c>
    </row>
    <row r="2932">
      <c r="A2932" s="3">
        <v>6.928688709891E12</v>
      </c>
      <c r="B2932" s="2" t="s">
        <v>12073</v>
      </c>
      <c r="C2932" s="2" t="s">
        <v>12074</v>
      </c>
      <c r="D2932" s="169">
        <v>46079.0</v>
      </c>
      <c r="E2932" s="2">
        <v>3.313084211E9</v>
      </c>
      <c r="F2932" s="2" t="s">
        <v>12075</v>
      </c>
      <c r="G2932" s="2" t="s">
        <v>10498</v>
      </c>
      <c r="H2932" s="2">
        <v>0.0</v>
      </c>
      <c r="J2932" s="3">
        <v>0.0</v>
      </c>
      <c r="K2932" s="2" t="s">
        <v>8402</v>
      </c>
      <c r="L2932" s="2"/>
      <c r="M2932" s="2" t="s">
        <v>468</v>
      </c>
      <c r="N2932" s="2" t="s">
        <v>406</v>
      </c>
      <c r="O2932" s="3"/>
      <c r="Q2932" s="3">
        <v>0.0</v>
      </c>
      <c r="R2932" s="3">
        <v>0.5</v>
      </c>
      <c r="U2932" s="141"/>
      <c r="X2932" s="172"/>
      <c r="Y2932" s="172">
        <v>46079.935416493056</v>
      </c>
      <c r="Z2932" s="3">
        <v>46079.0</v>
      </c>
    </row>
    <row r="2933">
      <c r="A2933" s="3">
        <v>6.928692707587E12</v>
      </c>
      <c r="B2933" s="2" t="s">
        <v>12076</v>
      </c>
      <c r="C2933" s="2" t="s">
        <v>12077</v>
      </c>
      <c r="D2933" s="169">
        <v>46079.0</v>
      </c>
      <c r="E2933" s="2">
        <v>3.224833506E9</v>
      </c>
      <c r="F2933" s="2" t="s">
        <v>12078</v>
      </c>
      <c r="G2933" s="2" t="s">
        <v>368</v>
      </c>
      <c r="H2933" s="2">
        <v>3348.0</v>
      </c>
      <c r="I2933" s="2">
        <v>2.0120050022177E13</v>
      </c>
      <c r="J2933" s="3">
        <v>2.0</v>
      </c>
      <c r="K2933" s="2" t="s">
        <v>11641</v>
      </c>
      <c r="L2933" s="2" t="s">
        <v>50</v>
      </c>
      <c r="M2933" s="2" t="s">
        <v>409</v>
      </c>
      <c r="N2933" s="2" t="s">
        <v>462</v>
      </c>
      <c r="O2933" s="3"/>
      <c r="P2933" s="2" t="s">
        <v>73</v>
      </c>
      <c r="Q2933" s="3">
        <v>720.0</v>
      </c>
      <c r="R2933" s="3">
        <v>0.5</v>
      </c>
      <c r="T2933" s="2" t="s">
        <v>11287</v>
      </c>
      <c r="U2933" s="171">
        <v>3348.0</v>
      </c>
      <c r="V2933" s="172">
        <v>46084.0</v>
      </c>
      <c r="W2933" s="3">
        <v>241.0</v>
      </c>
      <c r="X2933" s="172">
        <v>46081.70768920139</v>
      </c>
      <c r="Y2933" s="172">
        <v>46079.935416493056</v>
      </c>
      <c r="Z2933" s="3">
        <v>46079.0</v>
      </c>
    </row>
    <row r="2934">
      <c r="A2934" s="3">
        <v>6.928763027715E12</v>
      </c>
      <c r="B2934" s="2" t="s">
        <v>12079</v>
      </c>
      <c r="C2934" s="2" t="s">
        <v>12080</v>
      </c>
      <c r="D2934" s="169">
        <v>46079.0</v>
      </c>
      <c r="E2934" s="2">
        <v>3.31579245E9</v>
      </c>
      <c r="F2934" s="2" t="s">
        <v>12081</v>
      </c>
      <c r="G2934" s="2" t="s">
        <v>5204</v>
      </c>
      <c r="H2934" s="2">
        <v>1799.0</v>
      </c>
      <c r="I2934" s="2">
        <v>2.7120050022176E13</v>
      </c>
      <c r="J2934" s="3">
        <v>1.0</v>
      </c>
      <c r="K2934" s="2" t="s">
        <v>11977</v>
      </c>
      <c r="L2934" s="2" t="s">
        <v>1720</v>
      </c>
      <c r="M2934" s="2" t="s">
        <v>409</v>
      </c>
      <c r="N2934" s="2" t="s">
        <v>462</v>
      </c>
      <c r="O2934" s="3"/>
      <c r="P2934" s="2" t="s">
        <v>73</v>
      </c>
      <c r="Q2934" s="3">
        <v>490.0</v>
      </c>
      <c r="R2934" s="3">
        <v>0.5</v>
      </c>
      <c r="T2934" s="2" t="s">
        <v>11287</v>
      </c>
      <c r="U2934" s="171">
        <v>1799.0</v>
      </c>
      <c r="V2934" s="172">
        <v>46084.0</v>
      </c>
      <c r="W2934" s="3">
        <v>272.0</v>
      </c>
      <c r="X2934" s="172">
        <v>46083.58300983797</v>
      </c>
      <c r="Y2934" s="172">
        <v>46079.97711251157</v>
      </c>
      <c r="Z2934" s="3">
        <v>46079.0</v>
      </c>
    </row>
    <row r="2935">
      <c r="A2935" s="3">
        <v>6.928796680451E12</v>
      </c>
      <c r="B2935" s="2" t="s">
        <v>12082</v>
      </c>
      <c r="C2935" s="2" t="s">
        <v>12083</v>
      </c>
      <c r="D2935" s="169">
        <v>46079.0</v>
      </c>
      <c r="E2935" s="2">
        <v>3.00637777E9</v>
      </c>
      <c r="F2935" s="2" t="s">
        <v>12084</v>
      </c>
      <c r="G2935" s="2" t="s">
        <v>541</v>
      </c>
      <c r="H2935" s="2">
        <v>2148.0</v>
      </c>
      <c r="I2935" s="2">
        <v>2.3120050022208E13</v>
      </c>
      <c r="J2935" s="3">
        <v>1.0</v>
      </c>
      <c r="K2935" s="2" t="s">
        <v>12085</v>
      </c>
      <c r="L2935" s="2" t="s">
        <v>12086</v>
      </c>
      <c r="M2935" s="2" t="s">
        <v>409</v>
      </c>
      <c r="N2935" s="2" t="s">
        <v>462</v>
      </c>
      <c r="O2935" s="3"/>
      <c r="P2935" s="2" t="s">
        <v>73</v>
      </c>
      <c r="Q2935" s="3">
        <v>850.0</v>
      </c>
      <c r="R2935" s="3">
        <v>0.5</v>
      </c>
      <c r="T2935" s="2" t="s">
        <v>11565</v>
      </c>
      <c r="U2935" s="171">
        <v>2148.0</v>
      </c>
      <c r="V2935" s="172">
        <v>46087.0</v>
      </c>
      <c r="W2935" s="3">
        <v>286.0</v>
      </c>
      <c r="X2935" s="172">
        <v>46085.707618761575</v>
      </c>
      <c r="Y2935" s="172">
        <v>46079.97711251157</v>
      </c>
      <c r="Z2935" s="3">
        <v>46079.0</v>
      </c>
    </row>
    <row r="2936">
      <c r="A2936" s="3">
        <v>6.928844751107E12</v>
      </c>
      <c r="B2936" s="2" t="s">
        <v>12087</v>
      </c>
      <c r="C2936" s="2" t="s">
        <v>12088</v>
      </c>
      <c r="D2936" s="169">
        <v>46079.0</v>
      </c>
      <c r="E2936" s="2">
        <v>3.139613504E9</v>
      </c>
      <c r="F2936" s="2" t="s">
        <v>12089</v>
      </c>
      <c r="G2936" s="2" t="s">
        <v>688</v>
      </c>
      <c r="H2936" s="2">
        <v>0.0</v>
      </c>
      <c r="J2936" s="3">
        <v>0.0</v>
      </c>
      <c r="K2936" s="2" t="s">
        <v>12090</v>
      </c>
      <c r="L2936" s="2"/>
      <c r="M2936" s="2" t="s">
        <v>468</v>
      </c>
      <c r="N2936" s="2" t="s">
        <v>406</v>
      </c>
      <c r="O2936" s="3"/>
      <c r="Q2936" s="3">
        <v>0.0</v>
      </c>
      <c r="R2936" s="3">
        <v>0.5</v>
      </c>
      <c r="U2936" s="141"/>
      <c r="X2936" s="172"/>
      <c r="Y2936" s="172">
        <v>46080.01881325232</v>
      </c>
      <c r="Z2936" s="3">
        <v>46079.0</v>
      </c>
    </row>
    <row r="2937">
      <c r="A2937" s="3">
        <v>6.928889184515E12</v>
      </c>
      <c r="B2937" s="2" t="s">
        <v>12091</v>
      </c>
      <c r="C2937" s="2" t="s">
        <v>12092</v>
      </c>
      <c r="D2937" s="169">
        <v>46080.0</v>
      </c>
      <c r="E2937" s="2">
        <v>3.002017399E9</v>
      </c>
      <c r="F2937" s="2" t="s">
        <v>12093</v>
      </c>
      <c r="G2937" s="2" t="s">
        <v>493</v>
      </c>
      <c r="H2937" s="2">
        <v>3348.0</v>
      </c>
      <c r="I2937" s="2">
        <v>2.8120050022175E13</v>
      </c>
      <c r="J2937" s="3">
        <v>2.0</v>
      </c>
      <c r="K2937" s="2" t="s">
        <v>11641</v>
      </c>
      <c r="L2937" s="2" t="s">
        <v>50</v>
      </c>
      <c r="M2937" s="2" t="s">
        <v>409</v>
      </c>
      <c r="N2937" s="2" t="s">
        <v>462</v>
      </c>
      <c r="O2937" s="3"/>
      <c r="P2937" s="2" t="s">
        <v>73</v>
      </c>
      <c r="Q2937" s="3">
        <v>720.0</v>
      </c>
      <c r="R2937" s="3">
        <v>0.5</v>
      </c>
      <c r="T2937" s="2" t="s">
        <v>11287</v>
      </c>
      <c r="U2937" s="171">
        <v>3348.0</v>
      </c>
      <c r="V2937" s="172">
        <v>46084.0</v>
      </c>
      <c r="W2937" s="3">
        <v>347.0</v>
      </c>
      <c r="X2937" s="172">
        <v>46083.583013807875</v>
      </c>
      <c r="Y2937" s="172">
        <v>46080.06042327546</v>
      </c>
      <c r="Z2937" s="3">
        <v>46080.0</v>
      </c>
    </row>
    <row r="2938">
      <c r="A2938" s="3">
        <v>6.929047781635E12</v>
      </c>
      <c r="B2938" s="2" t="s">
        <v>12094</v>
      </c>
      <c r="C2938" s="2" t="s">
        <v>12095</v>
      </c>
      <c r="D2938" s="169">
        <v>46080.0</v>
      </c>
      <c r="E2938" s="2">
        <v>3.217171634E9</v>
      </c>
      <c r="F2938" s="2" t="s">
        <v>12096</v>
      </c>
      <c r="G2938" s="2" t="s">
        <v>688</v>
      </c>
      <c r="H2938" s="2">
        <v>3348.0</v>
      </c>
      <c r="I2938" s="2">
        <v>2.7120050022174E13</v>
      </c>
      <c r="J2938" s="3">
        <v>2.0</v>
      </c>
      <c r="K2938" s="2" t="s">
        <v>11641</v>
      </c>
      <c r="L2938" s="2" t="s">
        <v>906</v>
      </c>
      <c r="M2938" s="2" t="s">
        <v>409</v>
      </c>
      <c r="N2938" s="2" t="s">
        <v>462</v>
      </c>
      <c r="O2938" s="3"/>
      <c r="P2938" s="2" t="s">
        <v>73</v>
      </c>
      <c r="Q2938" s="3">
        <v>720.0</v>
      </c>
      <c r="R2938" s="3">
        <v>0.5</v>
      </c>
      <c r="T2938" s="2" t="s">
        <v>11287</v>
      </c>
      <c r="U2938" s="171">
        <v>3348.0</v>
      </c>
      <c r="V2938" s="172">
        <v>46084.0</v>
      </c>
      <c r="W2938" s="3">
        <v>334.0</v>
      </c>
      <c r="X2938" s="172">
        <v>46081.66603738426</v>
      </c>
      <c r="Y2938" s="172">
        <v>46080.14378082176</v>
      </c>
      <c r="Z2938" s="3">
        <v>46080.0</v>
      </c>
    </row>
    <row r="2939">
      <c r="A2939" s="3">
        <v>6.929068327171E12</v>
      </c>
      <c r="B2939" s="2" t="s">
        <v>12097</v>
      </c>
      <c r="C2939" s="2" t="s">
        <v>6523</v>
      </c>
      <c r="D2939" s="169">
        <v>46080.0</v>
      </c>
      <c r="E2939" s="2">
        <v>3.089404246E9</v>
      </c>
      <c r="F2939" s="2" t="s">
        <v>12098</v>
      </c>
      <c r="G2939" s="2" t="s">
        <v>749</v>
      </c>
      <c r="H2939" s="2">
        <v>2849.0</v>
      </c>
      <c r="I2939" s="2" t="s">
        <v>12099</v>
      </c>
      <c r="J2939" s="3">
        <v>2.0</v>
      </c>
      <c r="K2939" s="2" t="s">
        <v>12100</v>
      </c>
      <c r="L2939" s="2" t="s">
        <v>4209</v>
      </c>
      <c r="M2939" s="2" t="s">
        <v>409</v>
      </c>
      <c r="N2939" s="2" t="s">
        <v>406</v>
      </c>
      <c r="O2939" s="3"/>
      <c r="P2939" s="2" t="s">
        <v>640</v>
      </c>
      <c r="Q2939" s="3">
        <v>720.0</v>
      </c>
      <c r="R2939" s="3">
        <v>0.5</v>
      </c>
      <c r="U2939" s="141"/>
      <c r="X2939" s="172">
        <v>46087.750513217594</v>
      </c>
      <c r="Y2939" s="172">
        <v>46080.14378083333</v>
      </c>
      <c r="Z2939" s="3">
        <v>46080.0</v>
      </c>
    </row>
    <row r="2940">
      <c r="A2940" s="3">
        <v>6.929090740483E12</v>
      </c>
      <c r="B2940" s="2" t="s">
        <v>12101</v>
      </c>
      <c r="C2940" s="2" t="s">
        <v>7923</v>
      </c>
      <c r="D2940" s="169">
        <v>46080.0</v>
      </c>
      <c r="E2940" s="173" t="s">
        <v>12102</v>
      </c>
      <c r="F2940" s="2" t="s">
        <v>7924</v>
      </c>
      <c r="G2940" s="2" t="s">
        <v>368</v>
      </c>
      <c r="H2940" s="2">
        <v>249.0</v>
      </c>
      <c r="I2940" s="2">
        <v>2.8120050022159E13</v>
      </c>
      <c r="J2940" s="3">
        <v>0.0</v>
      </c>
      <c r="K2940" s="2" t="s">
        <v>12103</v>
      </c>
      <c r="L2940" s="2"/>
      <c r="M2940" s="170" t="s">
        <v>455</v>
      </c>
      <c r="N2940" s="2" t="s">
        <v>406</v>
      </c>
      <c r="O2940" s="3"/>
      <c r="P2940" s="2" t="s">
        <v>73</v>
      </c>
      <c r="Q2940" s="3">
        <v>0.0</v>
      </c>
      <c r="R2940" s="3">
        <v>0.5</v>
      </c>
      <c r="U2940" s="141"/>
      <c r="W2940" s="3">
        <v>107.0</v>
      </c>
      <c r="X2940" s="172">
        <v>46086.77087399305</v>
      </c>
      <c r="Y2940" s="172">
        <v>46080.185438125</v>
      </c>
      <c r="Z2940" s="3">
        <v>46080.0</v>
      </c>
    </row>
    <row r="2941">
      <c r="A2941" s="3">
        <v>6.929110597891E12</v>
      </c>
      <c r="B2941" s="2" t="s">
        <v>12104</v>
      </c>
      <c r="C2941" s="2" t="s">
        <v>12105</v>
      </c>
      <c r="D2941" s="169">
        <v>46080.0</v>
      </c>
      <c r="E2941" s="2">
        <v>3.070638952E9</v>
      </c>
      <c r="F2941" s="2" t="s">
        <v>12106</v>
      </c>
      <c r="G2941" s="2" t="s">
        <v>8263</v>
      </c>
      <c r="H2941" s="2">
        <v>4249.0</v>
      </c>
      <c r="I2941" s="2">
        <v>2.5120050022158E13</v>
      </c>
      <c r="J2941" s="3">
        <v>3.0</v>
      </c>
      <c r="K2941" s="2" t="s">
        <v>12107</v>
      </c>
      <c r="L2941" s="2" t="s">
        <v>12108</v>
      </c>
      <c r="M2941" s="2" t="s">
        <v>409</v>
      </c>
      <c r="N2941" s="2" t="s">
        <v>462</v>
      </c>
      <c r="O2941" s="3"/>
      <c r="P2941" s="2" t="s">
        <v>73</v>
      </c>
      <c r="Q2941" s="3">
        <v>1790.0</v>
      </c>
      <c r="R2941" s="3">
        <v>0.5</v>
      </c>
      <c r="T2941" s="2" t="s">
        <v>11287</v>
      </c>
      <c r="U2941" s="171">
        <v>4249.0</v>
      </c>
      <c r="V2941" s="172">
        <v>46084.0</v>
      </c>
      <c r="W2941" s="3">
        <v>390.0</v>
      </c>
      <c r="X2941" s="172">
        <v>46083.58301905093</v>
      </c>
      <c r="Y2941" s="172">
        <v>46080.18543813657</v>
      </c>
      <c r="Z2941" s="3">
        <v>46080.0</v>
      </c>
    </row>
    <row r="2942">
      <c r="A2942" s="3">
        <v>6.929162305795E12</v>
      </c>
      <c r="B2942" s="2" t="s">
        <v>12109</v>
      </c>
      <c r="C2942" s="2" t="s">
        <v>12110</v>
      </c>
      <c r="D2942" s="169">
        <v>46080.0</v>
      </c>
      <c r="E2942" s="2">
        <v>3.10837008E9</v>
      </c>
      <c r="F2942" s="2" t="s">
        <v>12111</v>
      </c>
      <c r="G2942" s="2" t="s">
        <v>506</v>
      </c>
      <c r="H2942" s="2">
        <v>249.0</v>
      </c>
      <c r="I2942" s="2">
        <v>2.9120050022163E13</v>
      </c>
      <c r="J2942" s="3">
        <v>0.0</v>
      </c>
      <c r="K2942" s="2" t="s">
        <v>12112</v>
      </c>
      <c r="L2942" s="2"/>
      <c r="M2942" s="170" t="s">
        <v>455</v>
      </c>
      <c r="N2942" s="2" t="s">
        <v>406</v>
      </c>
      <c r="O2942" s="3"/>
      <c r="P2942" s="2" t="s">
        <v>73</v>
      </c>
      <c r="Q2942" s="3">
        <v>0.0</v>
      </c>
      <c r="R2942" s="3">
        <v>0.5</v>
      </c>
      <c r="U2942" s="141"/>
      <c r="W2942" s="3">
        <v>200.0</v>
      </c>
      <c r="X2942" s="172">
        <v>46097.874351446764</v>
      </c>
      <c r="Y2942" s="172">
        <v>46080.22709300926</v>
      </c>
      <c r="Z2942" s="3">
        <v>46080.0</v>
      </c>
    </row>
    <row r="2943">
      <c r="A2943" s="3">
        <v>6.929182654723E12</v>
      </c>
      <c r="B2943" s="2" t="s">
        <v>12113</v>
      </c>
      <c r="C2943" s="2" t="s">
        <v>11926</v>
      </c>
      <c r="D2943" s="169">
        <v>46080.0</v>
      </c>
      <c r="E2943" s="2">
        <v>3.161484842E9</v>
      </c>
      <c r="F2943" s="2" t="s">
        <v>12114</v>
      </c>
      <c r="G2943" s="2" t="s">
        <v>368</v>
      </c>
      <c r="H2943" s="2">
        <v>4680.0</v>
      </c>
      <c r="I2943" s="2">
        <v>2.2120050022168E13</v>
      </c>
      <c r="J2943" s="3">
        <v>2.0</v>
      </c>
      <c r="K2943" s="2" t="s">
        <v>12115</v>
      </c>
      <c r="L2943" s="2" t="s">
        <v>12116</v>
      </c>
      <c r="M2943" s="2" t="s">
        <v>409</v>
      </c>
      <c r="N2943" s="2" t="s">
        <v>462</v>
      </c>
      <c r="O2943" s="3"/>
      <c r="P2943" s="2" t="s">
        <v>73</v>
      </c>
      <c r="Q2943" s="3">
        <v>2400.0</v>
      </c>
      <c r="R2943" s="3">
        <v>0.5</v>
      </c>
      <c r="U2943" s="171">
        <v>4680.0</v>
      </c>
      <c r="X2943" s="172">
        <v>46081.7077186574</v>
      </c>
      <c r="Y2943" s="172">
        <v>46080.22709300926</v>
      </c>
      <c r="Z2943" s="3">
        <v>46080.0</v>
      </c>
    </row>
    <row r="2944">
      <c r="A2944" s="3">
        <v>6.929200873731E12</v>
      </c>
      <c r="B2944" s="2" t="s">
        <v>12117</v>
      </c>
      <c r="C2944" s="2" t="s">
        <v>11492</v>
      </c>
      <c r="D2944" s="169">
        <v>46080.0</v>
      </c>
      <c r="E2944" s="2">
        <v>3.150454955E9</v>
      </c>
      <c r="F2944" s="2" t="s">
        <v>11493</v>
      </c>
      <c r="G2944" s="2" t="s">
        <v>368</v>
      </c>
      <c r="H2944" s="2">
        <v>249.0</v>
      </c>
      <c r="I2944" s="2">
        <v>2.5120050022173E13</v>
      </c>
      <c r="J2944" s="3">
        <v>0.0</v>
      </c>
      <c r="K2944" s="2" t="s">
        <v>12118</v>
      </c>
      <c r="L2944" s="2"/>
      <c r="M2944" s="170" t="s">
        <v>455</v>
      </c>
      <c r="N2944" s="2" t="s">
        <v>406</v>
      </c>
      <c r="O2944" s="3"/>
      <c r="P2944" s="2" t="s">
        <v>73</v>
      </c>
      <c r="Q2944" s="3">
        <v>0.0</v>
      </c>
      <c r="R2944" s="3">
        <v>0.5</v>
      </c>
      <c r="U2944" s="141"/>
      <c r="W2944" s="3">
        <v>107.0</v>
      </c>
      <c r="X2944" s="172">
        <v>46088.79107101852</v>
      </c>
      <c r="Y2944" s="172">
        <v>46080.22709300926</v>
      </c>
      <c r="Z2944" s="3">
        <v>46080.0</v>
      </c>
    </row>
    <row r="2945">
      <c r="A2945" s="3">
        <v>6.929225285891E12</v>
      </c>
      <c r="B2945" s="2" t="s">
        <v>12119</v>
      </c>
      <c r="C2945" s="2" t="s">
        <v>12120</v>
      </c>
      <c r="D2945" s="169">
        <v>46080.0</v>
      </c>
      <c r="E2945" s="2">
        <v>3.46244244E9</v>
      </c>
      <c r="F2945" s="2" t="s">
        <v>12121</v>
      </c>
      <c r="G2945" s="2" t="s">
        <v>4591</v>
      </c>
      <c r="H2945" s="2">
        <v>249.0</v>
      </c>
      <c r="I2945" s="2">
        <v>2.4120050022157E13</v>
      </c>
      <c r="J2945" s="3">
        <v>0.0</v>
      </c>
      <c r="K2945" s="2" t="s">
        <v>12022</v>
      </c>
      <c r="L2945" s="2"/>
      <c r="M2945" s="2" t="s">
        <v>409</v>
      </c>
      <c r="N2945" s="2" t="s">
        <v>406</v>
      </c>
      <c r="O2945" s="3"/>
      <c r="P2945" s="2" t="s">
        <v>73</v>
      </c>
      <c r="Q2945" s="3">
        <v>0.0</v>
      </c>
      <c r="R2945" s="3">
        <v>0.5</v>
      </c>
      <c r="T2945" s="2" t="s">
        <v>11287</v>
      </c>
      <c r="U2945" s="171">
        <v>249.0</v>
      </c>
      <c r="V2945" s="172">
        <v>46084.0</v>
      </c>
      <c r="W2945" s="3">
        <v>347.0</v>
      </c>
      <c r="X2945" s="172">
        <v>46083.62444109954</v>
      </c>
      <c r="Y2945" s="172">
        <v>46080.26873971065</v>
      </c>
      <c r="Z2945" s="3">
        <v>46080.0</v>
      </c>
    </row>
    <row r="2946">
      <c r="A2946" s="3">
        <v>6.929291084035E12</v>
      </c>
      <c r="B2946" s="2" t="s">
        <v>12122</v>
      </c>
      <c r="C2946" s="2" t="s">
        <v>11616</v>
      </c>
      <c r="D2946" s="169">
        <v>46080.0</v>
      </c>
      <c r="E2946" s="2">
        <v>3.049161776E9</v>
      </c>
      <c r="F2946" s="2" t="s">
        <v>12123</v>
      </c>
      <c r="G2946" s="2" t="s">
        <v>541</v>
      </c>
      <c r="H2946" s="2">
        <v>2399.0</v>
      </c>
      <c r="I2946" s="2">
        <v>2.7120050022156E13</v>
      </c>
      <c r="J2946" s="3">
        <v>1.0</v>
      </c>
      <c r="K2946" s="2" t="s">
        <v>12124</v>
      </c>
      <c r="L2946" s="2" t="s">
        <v>12125</v>
      </c>
      <c r="M2946" s="2" t="s">
        <v>409</v>
      </c>
      <c r="N2946" s="2" t="s">
        <v>462</v>
      </c>
      <c r="O2946" s="3"/>
      <c r="P2946" s="2" t="s">
        <v>73</v>
      </c>
      <c r="Q2946" s="3">
        <v>1000.0</v>
      </c>
      <c r="R2946" s="3">
        <v>0.5</v>
      </c>
      <c r="T2946" s="2" t="s">
        <v>11565</v>
      </c>
      <c r="U2946" s="171">
        <v>2399.0</v>
      </c>
      <c r="V2946" s="172">
        <v>46087.0</v>
      </c>
      <c r="W2946" s="3">
        <v>296.0</v>
      </c>
      <c r="X2946" s="172">
        <v>46084.70774508102</v>
      </c>
      <c r="Y2946" s="172">
        <v>46080.3104200463</v>
      </c>
      <c r="Z2946" s="3">
        <v>46080.0</v>
      </c>
    </row>
    <row r="2947">
      <c r="A2947" s="3">
        <v>6.929385685251E12</v>
      </c>
      <c r="B2947" s="2" t="s">
        <v>12126</v>
      </c>
      <c r="C2947" s="2" t="s">
        <v>12127</v>
      </c>
      <c r="D2947" s="169">
        <v>46080.0</v>
      </c>
      <c r="E2947" s="2">
        <v>3.043466556E9</v>
      </c>
      <c r="F2947" s="2" t="s">
        <v>12128</v>
      </c>
      <c r="G2947" s="2" t="s">
        <v>9162</v>
      </c>
      <c r="H2947" s="2">
        <v>3348.0</v>
      </c>
      <c r="I2947" s="2">
        <v>2.3120050022155E13</v>
      </c>
      <c r="J2947" s="3">
        <v>2.0</v>
      </c>
      <c r="K2947" s="2" t="s">
        <v>12129</v>
      </c>
      <c r="L2947" s="2" t="s">
        <v>275</v>
      </c>
      <c r="M2947" s="2" t="s">
        <v>409</v>
      </c>
      <c r="N2947" s="2" t="s">
        <v>462</v>
      </c>
      <c r="O2947" s="3"/>
      <c r="P2947" s="2" t="s">
        <v>73</v>
      </c>
      <c r="Q2947" s="3">
        <v>800.0</v>
      </c>
      <c r="R2947" s="3">
        <v>0.5</v>
      </c>
      <c r="T2947" s="2" t="s">
        <v>11565</v>
      </c>
      <c r="U2947" s="171">
        <v>3348.0</v>
      </c>
      <c r="V2947" s="172">
        <v>46087.0</v>
      </c>
      <c r="W2947" s="3">
        <v>334.0</v>
      </c>
      <c r="X2947" s="172">
        <v>46084.70774519676</v>
      </c>
      <c r="Y2947" s="172">
        <v>46080.35209704861</v>
      </c>
      <c r="Z2947" s="3">
        <v>46080.0</v>
      </c>
    </row>
    <row r="2948">
      <c r="A2948" s="3">
        <v>6.929508827395E12</v>
      </c>
      <c r="B2948" s="2" t="s">
        <v>12130</v>
      </c>
      <c r="C2948" s="2" t="s">
        <v>12131</v>
      </c>
      <c r="D2948" s="169">
        <v>46080.0</v>
      </c>
      <c r="E2948" s="2">
        <v>3.342996567E9</v>
      </c>
      <c r="F2948" s="2" t="s">
        <v>12132</v>
      </c>
      <c r="G2948" s="2" t="s">
        <v>12133</v>
      </c>
      <c r="H2948" s="2">
        <v>0.0</v>
      </c>
      <c r="J2948" s="3">
        <v>0.0</v>
      </c>
      <c r="K2948" s="2" t="s">
        <v>12134</v>
      </c>
      <c r="L2948" s="2"/>
      <c r="M2948" s="2" t="s">
        <v>468</v>
      </c>
      <c r="N2948" s="2" t="s">
        <v>406</v>
      </c>
      <c r="O2948" s="3"/>
      <c r="Q2948" s="3">
        <v>0.0</v>
      </c>
      <c r="R2948" s="3">
        <v>0.5</v>
      </c>
      <c r="U2948" s="141"/>
      <c r="X2948" s="172"/>
      <c r="Y2948" s="172">
        <v>46080.47707237268</v>
      </c>
      <c r="Z2948" s="3">
        <v>46080.0</v>
      </c>
    </row>
    <row r="2949">
      <c r="A2949" s="3">
        <v>6.929516232963E12</v>
      </c>
      <c r="B2949" s="2" t="s">
        <v>12135</v>
      </c>
      <c r="C2949" s="2" t="s">
        <v>12136</v>
      </c>
      <c r="D2949" s="169">
        <v>46080.0</v>
      </c>
      <c r="E2949" s="173" t="s">
        <v>12137</v>
      </c>
      <c r="F2949" s="2" t="s">
        <v>12138</v>
      </c>
      <c r="G2949" s="2" t="s">
        <v>493</v>
      </c>
      <c r="H2949" s="2">
        <v>0.0</v>
      </c>
      <c r="I2949" s="2">
        <v>2.5120050022154E13</v>
      </c>
      <c r="J2949" s="3">
        <v>0.0</v>
      </c>
      <c r="K2949" s="2" t="s">
        <v>12139</v>
      </c>
      <c r="L2949" s="2"/>
      <c r="M2949" s="2" t="s">
        <v>468</v>
      </c>
      <c r="N2949" s="2" t="s">
        <v>406</v>
      </c>
      <c r="O2949" s="3"/>
      <c r="P2949" s="2" t="s">
        <v>73</v>
      </c>
      <c r="Q2949" s="3">
        <v>0.0</v>
      </c>
      <c r="R2949" s="3">
        <v>0.5</v>
      </c>
      <c r="U2949" s="141"/>
      <c r="X2949" s="172"/>
      <c r="Y2949" s="172">
        <v>46080.47707237268</v>
      </c>
      <c r="Z2949" s="3">
        <v>46080.0</v>
      </c>
    </row>
    <row r="2950">
      <c r="A2950" s="3">
        <v>6.929619517699E12</v>
      </c>
      <c r="B2950" s="2" t="s">
        <v>12140</v>
      </c>
      <c r="C2950" s="2" t="s">
        <v>5310</v>
      </c>
      <c r="D2950" s="169">
        <v>46080.0</v>
      </c>
      <c r="E2950" s="173" t="s">
        <v>5311</v>
      </c>
      <c r="F2950" s="2" t="s">
        <v>5312</v>
      </c>
      <c r="G2950" s="2" t="s">
        <v>5313</v>
      </c>
      <c r="H2950" s="2">
        <v>2749.0</v>
      </c>
      <c r="I2950" s="2">
        <v>2.6120050022161E13</v>
      </c>
      <c r="J2950" s="3">
        <v>1.0</v>
      </c>
      <c r="K2950" s="2" t="s">
        <v>12141</v>
      </c>
      <c r="L2950" s="2" t="s">
        <v>12142</v>
      </c>
      <c r="M2950" s="2" t="s">
        <v>409</v>
      </c>
      <c r="N2950" s="2" t="s">
        <v>462</v>
      </c>
      <c r="O2950" s="3"/>
      <c r="P2950" s="2" t="s">
        <v>73</v>
      </c>
      <c r="Q2950" s="3">
        <v>1400.0</v>
      </c>
      <c r="R2950" s="3">
        <v>0.5</v>
      </c>
      <c r="T2950" s="2" t="s">
        <v>11287</v>
      </c>
      <c r="U2950" s="171">
        <v>2749.0</v>
      </c>
      <c r="V2950" s="172">
        <v>46084.0</v>
      </c>
      <c r="W2950" s="3">
        <v>310.0</v>
      </c>
      <c r="X2950" s="172">
        <v>46083.74940946759</v>
      </c>
      <c r="Y2950" s="172">
        <v>46080.560415092594</v>
      </c>
      <c r="Z2950" s="3">
        <v>46080.0</v>
      </c>
    </row>
    <row r="2951">
      <c r="A2951" s="3">
        <v>6.929647894787E12</v>
      </c>
      <c r="B2951" s="2" t="s">
        <v>12143</v>
      </c>
      <c r="C2951" s="2" t="s">
        <v>12144</v>
      </c>
      <c r="D2951" s="169">
        <v>46080.0</v>
      </c>
      <c r="E2951" s="2">
        <v>3.198501015E9</v>
      </c>
      <c r="F2951" s="2" t="s">
        <v>12145</v>
      </c>
      <c r="G2951" s="2" t="s">
        <v>7068</v>
      </c>
      <c r="H2951" s="2">
        <v>3099.0</v>
      </c>
      <c r="I2951" s="2">
        <v>2.3120050022172E13</v>
      </c>
      <c r="J2951" s="3">
        <v>2.0</v>
      </c>
      <c r="K2951" s="2" t="s">
        <v>12146</v>
      </c>
      <c r="L2951" s="2" t="s">
        <v>1920</v>
      </c>
      <c r="M2951" s="2" t="s">
        <v>409</v>
      </c>
      <c r="N2951" s="2" t="s">
        <v>462</v>
      </c>
      <c r="O2951" s="3"/>
      <c r="P2951" s="2" t="s">
        <v>73</v>
      </c>
      <c r="Q2951" s="3">
        <v>1050.0</v>
      </c>
      <c r="R2951" s="3">
        <v>0.5</v>
      </c>
      <c r="T2951" s="2" t="s">
        <v>11287</v>
      </c>
      <c r="U2951" s="171">
        <v>3099.0</v>
      </c>
      <c r="V2951" s="172">
        <v>46084.0</v>
      </c>
      <c r="W2951" s="3">
        <v>324.0</v>
      </c>
      <c r="X2951" s="172">
        <v>46083.49940722222</v>
      </c>
      <c r="Y2951" s="172">
        <v>46080.560415092594</v>
      </c>
      <c r="Z2951" s="3">
        <v>46080.0</v>
      </c>
    </row>
    <row r="2952">
      <c r="A2952" s="3">
        <v>6.929648812291E12</v>
      </c>
      <c r="B2952" s="2" t="s">
        <v>12147</v>
      </c>
      <c r="C2952" s="2" t="s">
        <v>12148</v>
      </c>
      <c r="D2952" s="169">
        <v>46080.0</v>
      </c>
      <c r="E2952" s="2">
        <v>3.55537692E9</v>
      </c>
      <c r="F2952" s="2" t="s">
        <v>12149</v>
      </c>
      <c r="G2952" s="2" t="s">
        <v>1224</v>
      </c>
      <c r="H2952" s="2">
        <v>249.0</v>
      </c>
      <c r="I2952" s="2">
        <v>2.1120050022171E13</v>
      </c>
      <c r="J2952" s="3">
        <v>0.0</v>
      </c>
      <c r="K2952" s="2" t="s">
        <v>12150</v>
      </c>
      <c r="L2952" s="2"/>
      <c r="M2952" s="170" t="s">
        <v>455</v>
      </c>
      <c r="N2952" s="2" t="s">
        <v>406</v>
      </c>
      <c r="O2952" s="3"/>
      <c r="P2952" s="2" t="s">
        <v>73</v>
      </c>
      <c r="Q2952" s="3">
        <v>0.0</v>
      </c>
      <c r="R2952" s="3">
        <v>0.5</v>
      </c>
      <c r="U2952" s="141"/>
      <c r="W2952" s="3">
        <v>213.0</v>
      </c>
      <c r="X2952" s="172">
        <v>46109.83261096065</v>
      </c>
      <c r="Y2952" s="172">
        <v>46080.560415092594</v>
      </c>
      <c r="Z2952" s="3">
        <v>46080.0</v>
      </c>
    </row>
    <row r="2953">
      <c r="A2953" s="3">
        <v>6.929677123843E12</v>
      </c>
      <c r="B2953" s="2" t="s">
        <v>12151</v>
      </c>
      <c r="C2953" s="2" t="s">
        <v>12152</v>
      </c>
      <c r="D2953" s="169">
        <v>46080.0</v>
      </c>
      <c r="E2953" s="2">
        <v>3.266161787E9</v>
      </c>
      <c r="F2953" s="2" t="s">
        <v>12153</v>
      </c>
      <c r="G2953" s="2" t="s">
        <v>2608</v>
      </c>
      <c r="H2953" s="2">
        <v>3849.0</v>
      </c>
      <c r="I2953" s="2">
        <v>2.4120050022256E13</v>
      </c>
      <c r="J2953" s="3">
        <v>2.0</v>
      </c>
      <c r="K2953" s="2" t="s">
        <v>12154</v>
      </c>
      <c r="L2953" s="2" t="s">
        <v>12155</v>
      </c>
      <c r="M2953" s="2" t="s">
        <v>409</v>
      </c>
      <c r="N2953" s="2" t="s">
        <v>462</v>
      </c>
      <c r="O2953" s="3"/>
      <c r="P2953" s="2" t="s">
        <v>73</v>
      </c>
      <c r="Q2953" s="3">
        <v>720.0</v>
      </c>
      <c r="R2953" s="3">
        <v>0.5</v>
      </c>
      <c r="T2953" s="2" t="s">
        <v>12156</v>
      </c>
      <c r="U2953" s="171">
        <v>3849.0</v>
      </c>
      <c r="V2953" s="172">
        <v>46091.0</v>
      </c>
      <c r="W2953" s="3">
        <v>354.0</v>
      </c>
      <c r="X2953" s="172">
        <v>46090.54096829861</v>
      </c>
      <c r="Y2953" s="172">
        <v>46080.60208123842</v>
      </c>
      <c r="Z2953" s="3">
        <v>46080.0</v>
      </c>
    </row>
    <row r="2954">
      <c r="A2954" s="3">
        <v>6.929679057155E12</v>
      </c>
      <c r="B2954" s="2" t="s">
        <v>12157</v>
      </c>
      <c r="C2954" s="2" t="s">
        <v>12158</v>
      </c>
      <c r="D2954" s="169">
        <v>46080.0</v>
      </c>
      <c r="E2954" s="173" t="s">
        <v>12159</v>
      </c>
      <c r="F2954" s="2" t="s">
        <v>12160</v>
      </c>
      <c r="G2954" s="2" t="s">
        <v>9332</v>
      </c>
      <c r="H2954" s="2">
        <v>0.0</v>
      </c>
      <c r="J2954" s="3">
        <v>0.0</v>
      </c>
      <c r="K2954" s="2" t="s">
        <v>7954</v>
      </c>
      <c r="L2954" s="2"/>
      <c r="M2954" s="2" t="s">
        <v>468</v>
      </c>
      <c r="N2954" s="2" t="s">
        <v>406</v>
      </c>
      <c r="O2954" s="3"/>
      <c r="Q2954" s="3">
        <v>0.0</v>
      </c>
      <c r="R2954" s="3">
        <v>0.5</v>
      </c>
      <c r="U2954" s="141"/>
      <c r="X2954" s="172"/>
      <c r="Y2954" s="172">
        <v>46080.60208123842</v>
      </c>
      <c r="Z2954" s="3">
        <v>46080.0</v>
      </c>
    </row>
    <row r="2955">
      <c r="A2955" s="3">
        <v>6.929707729155E12</v>
      </c>
      <c r="B2955" s="2" t="s">
        <v>12161</v>
      </c>
      <c r="C2955" s="2" t="s">
        <v>12162</v>
      </c>
      <c r="D2955" s="169">
        <v>46080.0</v>
      </c>
      <c r="E2955" s="173" t="s">
        <v>12163</v>
      </c>
      <c r="F2955" s="2" t="s">
        <v>12164</v>
      </c>
      <c r="G2955" s="2" t="s">
        <v>12165</v>
      </c>
      <c r="H2955" s="2">
        <v>2749.0</v>
      </c>
      <c r="I2955" s="2">
        <v>2.612005002217E13</v>
      </c>
      <c r="J2955" s="3">
        <v>2.0</v>
      </c>
      <c r="K2955" s="173" t="s">
        <v>12166</v>
      </c>
      <c r="L2955" s="2" t="s">
        <v>16</v>
      </c>
      <c r="M2955" s="2" t="s">
        <v>409</v>
      </c>
      <c r="N2955" s="2" t="s">
        <v>462</v>
      </c>
      <c r="O2955" s="3"/>
      <c r="P2955" s="2" t="s">
        <v>73</v>
      </c>
      <c r="Q2955" s="3">
        <v>980.0</v>
      </c>
      <c r="R2955" s="3">
        <v>0.5</v>
      </c>
      <c r="T2955" s="2" t="s">
        <v>11287</v>
      </c>
      <c r="U2955" s="171">
        <v>2749.0</v>
      </c>
      <c r="V2955" s="172">
        <v>46084.0</v>
      </c>
      <c r="W2955" s="3">
        <v>310.0</v>
      </c>
      <c r="X2955" s="172">
        <v>46083.62444216435</v>
      </c>
      <c r="Y2955" s="172">
        <v>46080.643770891205</v>
      </c>
      <c r="Z2955" s="3">
        <v>46080.0</v>
      </c>
    </row>
    <row r="2956">
      <c r="A2956" s="3">
        <v>6.929713135875E12</v>
      </c>
      <c r="B2956" s="2" t="s">
        <v>12167</v>
      </c>
      <c r="C2956" s="2" t="s">
        <v>12168</v>
      </c>
      <c r="D2956" s="169">
        <v>46080.0</v>
      </c>
      <c r="E2956" s="2">
        <v>3.03606006E9</v>
      </c>
      <c r="F2956" s="2" t="s">
        <v>12169</v>
      </c>
      <c r="G2956" s="2" t="s">
        <v>12170</v>
      </c>
      <c r="H2956" s="2">
        <v>249.0</v>
      </c>
      <c r="I2956" s="2">
        <v>2.5120050022316E13</v>
      </c>
      <c r="J2956" s="3">
        <v>0.0</v>
      </c>
      <c r="K2956" s="2" t="s">
        <v>12171</v>
      </c>
      <c r="L2956" s="2"/>
      <c r="M2956" s="170" t="s">
        <v>455</v>
      </c>
      <c r="N2956" s="2" t="s">
        <v>406</v>
      </c>
      <c r="O2956" s="3"/>
      <c r="P2956" s="2" t="s">
        <v>73</v>
      </c>
      <c r="Q2956" s="3">
        <v>0.0</v>
      </c>
      <c r="R2956" s="3">
        <v>0.5</v>
      </c>
      <c r="U2956" s="141"/>
      <c r="W2956" s="3">
        <v>200.1</v>
      </c>
      <c r="X2956" s="172">
        <v>46112.916032071764</v>
      </c>
      <c r="Y2956" s="172">
        <v>46080.64377090278</v>
      </c>
      <c r="Z2956" s="3">
        <v>46080.0</v>
      </c>
    </row>
    <row r="2957">
      <c r="A2957" s="3">
        <v>6.929718640899E12</v>
      </c>
      <c r="B2957" s="2" t="s">
        <v>12172</v>
      </c>
      <c r="C2957" s="2" t="s">
        <v>12173</v>
      </c>
      <c r="D2957" s="169">
        <v>46080.0</v>
      </c>
      <c r="E2957" s="173" t="s">
        <v>12174</v>
      </c>
      <c r="F2957" s="2" t="s">
        <v>12175</v>
      </c>
      <c r="G2957" s="2" t="s">
        <v>672</v>
      </c>
      <c r="H2957" s="2">
        <v>3348.0</v>
      </c>
      <c r="I2957" s="2">
        <v>2.2120050022498E13</v>
      </c>
      <c r="J2957" s="3">
        <v>2.0</v>
      </c>
      <c r="K2957" s="2" t="s">
        <v>12176</v>
      </c>
      <c r="L2957" s="2" t="s">
        <v>40</v>
      </c>
      <c r="M2957" s="2" t="s">
        <v>409</v>
      </c>
      <c r="N2957" s="2" t="s">
        <v>462</v>
      </c>
      <c r="O2957" s="3"/>
      <c r="P2957" s="2" t="s">
        <v>73</v>
      </c>
      <c r="Q2957" s="3">
        <v>720.0</v>
      </c>
      <c r="R2957" s="3">
        <v>0.5</v>
      </c>
      <c r="T2957" s="2" t="s">
        <v>12177</v>
      </c>
      <c r="U2957" s="171">
        <v>3348.0</v>
      </c>
      <c r="V2957" s="172">
        <v>46105.0</v>
      </c>
      <c r="W2957" s="3">
        <v>347.0</v>
      </c>
      <c r="X2957" s="172">
        <v>46099.62432652777</v>
      </c>
      <c r="Y2957" s="172">
        <v>46080.64377090278</v>
      </c>
      <c r="Z2957" s="3">
        <v>46080.0</v>
      </c>
    </row>
    <row r="2958">
      <c r="A2958" s="3">
        <v>6.929722048771E12</v>
      </c>
      <c r="B2958" s="2" t="s">
        <v>12178</v>
      </c>
      <c r="C2958" s="2" t="s">
        <v>7879</v>
      </c>
      <c r="D2958" s="169">
        <v>46080.0</v>
      </c>
      <c r="E2958" s="2">
        <v>3.319033248E9</v>
      </c>
      <c r="F2958" s="2" t="s">
        <v>12179</v>
      </c>
      <c r="G2958" s="2" t="s">
        <v>1044</v>
      </c>
      <c r="H2958" s="2">
        <v>2049.0</v>
      </c>
      <c r="I2958" s="2">
        <v>2.0120050022207E13</v>
      </c>
      <c r="J2958" s="3">
        <v>1.0</v>
      </c>
      <c r="K2958" s="2" t="s">
        <v>12180</v>
      </c>
      <c r="L2958" s="2" t="s">
        <v>10458</v>
      </c>
      <c r="M2958" s="2" t="s">
        <v>409</v>
      </c>
      <c r="N2958" s="2" t="s">
        <v>462</v>
      </c>
      <c r="O2958" s="3"/>
      <c r="P2958" s="2" t="s">
        <v>73</v>
      </c>
      <c r="Q2958" s="3">
        <v>360.0</v>
      </c>
      <c r="R2958" s="3">
        <v>0.5</v>
      </c>
      <c r="T2958" s="2" t="s">
        <v>12156</v>
      </c>
      <c r="U2958" s="171">
        <v>2049.0</v>
      </c>
      <c r="V2958" s="172">
        <v>46091.0</v>
      </c>
      <c r="W2958" s="3">
        <v>282.0</v>
      </c>
      <c r="X2958" s="172">
        <v>46090.957642615744</v>
      </c>
      <c r="Y2958" s="172">
        <v>46080.64377090278</v>
      </c>
      <c r="Z2958" s="3">
        <v>46080.0</v>
      </c>
    </row>
    <row r="2959">
      <c r="A2959" s="3">
        <v>6.929738367235E12</v>
      </c>
      <c r="B2959" s="2" t="s">
        <v>12181</v>
      </c>
      <c r="C2959" s="2" t="s">
        <v>12182</v>
      </c>
      <c r="D2959" s="169">
        <v>46080.0</v>
      </c>
      <c r="E2959" s="2">
        <v>3.264240583E9</v>
      </c>
      <c r="F2959" s="2" t="s">
        <v>12183</v>
      </c>
      <c r="G2959" s="2" t="s">
        <v>12184</v>
      </c>
      <c r="H2959" s="2">
        <v>249.0</v>
      </c>
      <c r="I2959" s="2">
        <v>2.4120050022199E13</v>
      </c>
      <c r="J2959" s="3">
        <v>0.0</v>
      </c>
      <c r="K2959" s="2" t="s">
        <v>12185</v>
      </c>
      <c r="L2959" s="2"/>
      <c r="M2959" s="170" t="s">
        <v>455</v>
      </c>
      <c r="N2959" s="2" t="s">
        <v>406</v>
      </c>
      <c r="O2959" s="3"/>
      <c r="P2959" s="2" t="s">
        <v>73</v>
      </c>
      <c r="Q2959" s="3">
        <v>0.0</v>
      </c>
      <c r="R2959" s="3">
        <v>0.5</v>
      </c>
      <c r="U2959" s="141"/>
      <c r="W2959" s="3">
        <v>107.0</v>
      </c>
      <c r="X2959" s="172">
        <v>46087.74928753472</v>
      </c>
      <c r="Y2959" s="172">
        <v>46080.685456493055</v>
      </c>
      <c r="Z2959" s="3">
        <v>46080.0</v>
      </c>
    </row>
    <row r="2960">
      <c r="A2960" s="3">
        <v>6.929773396227E12</v>
      </c>
      <c r="B2960" s="2" t="s">
        <v>12186</v>
      </c>
      <c r="C2960" s="2" t="s">
        <v>12187</v>
      </c>
      <c r="D2960" s="169">
        <v>46080.0</v>
      </c>
      <c r="E2960" s="173" t="s">
        <v>12188</v>
      </c>
      <c r="F2960" s="2" t="s">
        <v>12189</v>
      </c>
      <c r="G2960" s="2" t="s">
        <v>1323</v>
      </c>
      <c r="H2960" s="2">
        <v>2700.0</v>
      </c>
      <c r="I2960" s="2">
        <v>2.9120050022198E13</v>
      </c>
      <c r="J2960" s="3">
        <v>2.0</v>
      </c>
      <c r="K2960" s="2" t="s">
        <v>12190</v>
      </c>
      <c r="L2960" s="2" t="s">
        <v>228</v>
      </c>
      <c r="M2960" s="2" t="s">
        <v>409</v>
      </c>
      <c r="N2960" s="2" t="s">
        <v>462</v>
      </c>
      <c r="O2960" s="3"/>
      <c r="P2960" s="2" t="s">
        <v>73</v>
      </c>
      <c r="Q2960" s="3">
        <v>720.0</v>
      </c>
      <c r="R2960" s="3">
        <v>0.5</v>
      </c>
      <c r="U2960" s="171">
        <v>2700.0</v>
      </c>
      <c r="X2960" s="172">
        <v>46083.58304679398</v>
      </c>
      <c r="Y2960" s="172">
        <v>46080.68545650463</v>
      </c>
      <c r="Z2960" s="3">
        <v>46080.0</v>
      </c>
    </row>
    <row r="2961">
      <c r="A2961" s="3">
        <v>6.929814257923E12</v>
      </c>
      <c r="B2961" s="2" t="s">
        <v>12191</v>
      </c>
      <c r="C2961" s="2" t="s">
        <v>12192</v>
      </c>
      <c r="D2961" s="169">
        <v>46080.0</v>
      </c>
      <c r="E2961" s="2">
        <v>3.093748221E9</v>
      </c>
      <c r="F2961" s="2" t="s">
        <v>12193</v>
      </c>
      <c r="G2961" s="2" t="s">
        <v>945</v>
      </c>
      <c r="H2961" s="2">
        <v>2749.0</v>
      </c>
      <c r="I2961" s="2">
        <v>2.2120050022197E13</v>
      </c>
      <c r="J2961" s="3">
        <v>2.0</v>
      </c>
      <c r="K2961" s="2" t="s">
        <v>12194</v>
      </c>
      <c r="L2961" s="2" t="s">
        <v>16</v>
      </c>
      <c r="M2961" s="2" t="s">
        <v>409</v>
      </c>
      <c r="N2961" s="2" t="s">
        <v>462</v>
      </c>
      <c r="O2961" s="3"/>
      <c r="P2961" s="2" t="s">
        <v>73</v>
      </c>
      <c r="Q2961" s="3">
        <v>980.0</v>
      </c>
      <c r="R2961" s="3">
        <v>0.5</v>
      </c>
      <c r="T2961" s="2" t="s">
        <v>11287</v>
      </c>
      <c r="U2961" s="171">
        <v>2749.0</v>
      </c>
      <c r="V2961" s="172">
        <v>46084.0</v>
      </c>
      <c r="W2961" s="3">
        <v>323.0</v>
      </c>
      <c r="X2961" s="172">
        <v>46083.770988125005</v>
      </c>
      <c r="Y2961" s="172">
        <v>46080.7270853588</v>
      </c>
      <c r="Z2961" s="3">
        <v>46080.0</v>
      </c>
    </row>
    <row r="2962">
      <c r="A2962" s="3">
        <v>6.929836704003E12</v>
      </c>
      <c r="B2962" s="2" t="s">
        <v>12195</v>
      </c>
      <c r="C2962" s="2" t="s">
        <v>12192</v>
      </c>
      <c r="D2962" s="169">
        <v>46080.0</v>
      </c>
      <c r="E2962" s="173" t="s">
        <v>12196</v>
      </c>
      <c r="F2962" s="2" t="s">
        <v>12197</v>
      </c>
      <c r="G2962" s="2" t="s">
        <v>945</v>
      </c>
      <c r="H2962" s="2">
        <v>0.0</v>
      </c>
      <c r="J2962" s="3">
        <v>0.0</v>
      </c>
      <c r="K2962" s="2" t="s">
        <v>8446</v>
      </c>
      <c r="L2962" s="2"/>
      <c r="M2962" s="2" t="s">
        <v>468</v>
      </c>
      <c r="N2962" s="2" t="s">
        <v>406</v>
      </c>
      <c r="O2962" s="3"/>
      <c r="Q2962" s="3">
        <v>0.0</v>
      </c>
      <c r="R2962" s="3">
        <v>0.5</v>
      </c>
      <c r="U2962" s="141"/>
      <c r="X2962" s="172"/>
      <c r="Y2962" s="172">
        <v>46080.76875023148</v>
      </c>
      <c r="Z2962" s="3">
        <v>46080.0</v>
      </c>
    </row>
    <row r="2963">
      <c r="A2963" s="3">
        <v>6.929858920707E12</v>
      </c>
      <c r="B2963" s="2" t="s">
        <v>12198</v>
      </c>
      <c r="C2963" s="2" t="s">
        <v>12199</v>
      </c>
      <c r="D2963" s="169">
        <v>46080.0</v>
      </c>
      <c r="E2963" s="2">
        <v>3.2288273E9</v>
      </c>
      <c r="F2963" s="2" t="s">
        <v>12200</v>
      </c>
      <c r="G2963" s="2" t="s">
        <v>368</v>
      </c>
      <c r="H2963" s="2">
        <v>3099.0</v>
      </c>
      <c r="I2963" s="2">
        <v>2.8120050022196E13</v>
      </c>
      <c r="J2963" s="3">
        <v>2.0</v>
      </c>
      <c r="K2963" s="2" t="s">
        <v>12201</v>
      </c>
      <c r="L2963" s="2" t="s">
        <v>1143</v>
      </c>
      <c r="M2963" s="2" t="s">
        <v>409</v>
      </c>
      <c r="N2963" s="2" t="s">
        <v>462</v>
      </c>
      <c r="O2963" s="3"/>
      <c r="P2963" s="2" t="s">
        <v>73</v>
      </c>
      <c r="Q2963" s="3">
        <v>960.0</v>
      </c>
      <c r="R2963" s="3">
        <v>0.5</v>
      </c>
      <c r="T2963" s="2" t="s">
        <v>11287</v>
      </c>
      <c r="U2963" s="171">
        <v>3099.0</v>
      </c>
      <c r="V2963" s="172">
        <v>46084.0</v>
      </c>
      <c r="W2963" s="3">
        <v>231.0</v>
      </c>
      <c r="X2963" s="172">
        <v>46082.83270559028</v>
      </c>
      <c r="Y2963" s="172">
        <v>46080.76875023148</v>
      </c>
      <c r="Z2963" s="3">
        <v>46080.0</v>
      </c>
    </row>
    <row r="2964">
      <c r="A2964" s="3">
        <v>6.929896407299E12</v>
      </c>
      <c r="B2964" s="2" t="s">
        <v>12202</v>
      </c>
      <c r="C2964" s="2" t="s">
        <v>12203</v>
      </c>
      <c r="D2964" s="169">
        <v>46080.0</v>
      </c>
      <c r="E2964" s="173" t="s">
        <v>12204</v>
      </c>
      <c r="F2964" s="2" t="s">
        <v>12205</v>
      </c>
      <c r="G2964" s="2" t="s">
        <v>12206</v>
      </c>
      <c r="H2964" s="2">
        <v>2749.0</v>
      </c>
      <c r="I2964" s="2">
        <v>2.9120050022195E13</v>
      </c>
      <c r="J2964" s="3">
        <v>2.0</v>
      </c>
      <c r="K2964" s="2" t="s">
        <v>12194</v>
      </c>
      <c r="L2964" s="2" t="s">
        <v>35</v>
      </c>
      <c r="M2964" s="2" t="s">
        <v>409</v>
      </c>
      <c r="N2964" s="2" t="s">
        <v>462</v>
      </c>
      <c r="O2964" s="3"/>
      <c r="P2964" s="2" t="s">
        <v>73</v>
      </c>
      <c r="Q2964" s="3">
        <v>980.0</v>
      </c>
      <c r="R2964" s="3">
        <v>0.5</v>
      </c>
      <c r="T2964" s="2" t="s">
        <v>11287</v>
      </c>
      <c r="U2964" s="171">
        <v>2749.0</v>
      </c>
      <c r="V2964" s="172">
        <v>46084.0</v>
      </c>
      <c r="W2964" s="3">
        <v>310.0</v>
      </c>
      <c r="X2964" s="172">
        <v>46083.66611114584</v>
      </c>
      <c r="Y2964" s="172">
        <v>46080.810465069444</v>
      </c>
      <c r="Z2964" s="3">
        <v>46080.0</v>
      </c>
    </row>
    <row r="2965">
      <c r="A2965" s="3">
        <v>6.929919344899E12</v>
      </c>
      <c r="B2965" s="2" t="s">
        <v>12207</v>
      </c>
      <c r="C2965" s="2" t="s">
        <v>12208</v>
      </c>
      <c r="D2965" s="169">
        <v>46080.0</v>
      </c>
      <c r="E2965" s="173" t="s">
        <v>12209</v>
      </c>
      <c r="F2965" s="2" t="s">
        <v>12210</v>
      </c>
      <c r="G2965" s="2" t="s">
        <v>368</v>
      </c>
      <c r="H2965" s="2">
        <v>2749.0</v>
      </c>
      <c r="I2965" s="2">
        <v>2.7120050022194E13</v>
      </c>
      <c r="J2965" s="3">
        <v>2.0</v>
      </c>
      <c r="K2965" s="2" t="s">
        <v>12194</v>
      </c>
      <c r="L2965" s="2" t="s">
        <v>16</v>
      </c>
      <c r="M2965" s="2" t="s">
        <v>409</v>
      </c>
      <c r="N2965" s="2" t="s">
        <v>462</v>
      </c>
      <c r="O2965" s="3"/>
      <c r="P2965" s="2" t="s">
        <v>73</v>
      </c>
      <c r="Q2965" s="3">
        <v>980.0</v>
      </c>
      <c r="R2965" s="3">
        <v>0.5</v>
      </c>
      <c r="T2965" s="2" t="s">
        <v>11287</v>
      </c>
      <c r="U2965" s="171">
        <v>2749.0</v>
      </c>
      <c r="V2965" s="172">
        <v>46084.0</v>
      </c>
      <c r="W2965" s="3">
        <v>217.0</v>
      </c>
      <c r="X2965" s="172">
        <v>46082.83270561343</v>
      </c>
      <c r="Y2965" s="172">
        <v>46080.810465069444</v>
      </c>
      <c r="Z2965" s="3">
        <v>46080.0</v>
      </c>
    </row>
    <row r="2966">
      <c r="A2966" s="3">
        <v>6.930255839491E12</v>
      </c>
      <c r="B2966" s="2" t="s">
        <v>12211</v>
      </c>
      <c r="C2966" s="2" t="s">
        <v>12212</v>
      </c>
      <c r="D2966" s="169">
        <v>46080.0</v>
      </c>
      <c r="E2966" s="2">
        <v>3.479696324E9</v>
      </c>
      <c r="F2966" s="2" t="s">
        <v>12213</v>
      </c>
      <c r="G2966" s="2" t="s">
        <v>12214</v>
      </c>
      <c r="H2966" s="2">
        <v>249.0</v>
      </c>
      <c r="I2966" s="2">
        <v>2.3120050022193E13</v>
      </c>
      <c r="J2966" s="3">
        <v>0.0</v>
      </c>
      <c r="K2966" s="2" t="s">
        <v>12215</v>
      </c>
      <c r="L2966" s="2"/>
      <c r="M2966" s="2" t="s">
        <v>409</v>
      </c>
      <c r="N2966" s="2" t="s">
        <v>406</v>
      </c>
      <c r="O2966" s="3"/>
      <c r="P2966" s="2" t="s">
        <v>73</v>
      </c>
      <c r="Q2966" s="3">
        <v>0.0</v>
      </c>
      <c r="R2966" s="3">
        <v>0.5</v>
      </c>
      <c r="T2966" s="2" t="s">
        <v>11287</v>
      </c>
      <c r="U2966" s="171">
        <v>249.0</v>
      </c>
      <c r="V2966" s="172">
        <v>46084.0</v>
      </c>
      <c r="W2966" s="3">
        <v>271.0</v>
      </c>
      <c r="X2966" s="172">
        <v>46083.74940996528</v>
      </c>
      <c r="Y2966" s="172">
        <v>46080.93543572917</v>
      </c>
      <c r="Z2966" s="3">
        <v>46080.0</v>
      </c>
    </row>
    <row r="2967">
      <c r="A2967" s="3">
        <v>6.930269405443E12</v>
      </c>
      <c r="B2967" s="2" t="s">
        <v>12216</v>
      </c>
      <c r="C2967" s="2" t="s">
        <v>12217</v>
      </c>
      <c r="D2967" s="169">
        <v>46080.0</v>
      </c>
      <c r="E2967" s="2">
        <v>3.216454865E9</v>
      </c>
      <c r="F2967" s="2" t="s">
        <v>12218</v>
      </c>
      <c r="G2967" s="2" t="s">
        <v>855</v>
      </c>
      <c r="H2967" s="2">
        <v>2749.0</v>
      </c>
      <c r="I2967" s="2">
        <v>2.8120050022192E13</v>
      </c>
      <c r="J2967" s="3">
        <v>2.0</v>
      </c>
      <c r="K2967" s="2" t="s">
        <v>12219</v>
      </c>
      <c r="L2967" s="2" t="s">
        <v>16</v>
      </c>
      <c r="M2967" s="2" t="s">
        <v>409</v>
      </c>
      <c r="N2967" s="2" t="s">
        <v>462</v>
      </c>
      <c r="O2967" s="3"/>
      <c r="P2967" s="2" t="s">
        <v>73</v>
      </c>
      <c r="Q2967" s="3">
        <v>980.0</v>
      </c>
      <c r="R2967" s="3">
        <v>0.5</v>
      </c>
      <c r="T2967" s="2" t="s">
        <v>12156</v>
      </c>
      <c r="U2967" s="171">
        <v>2749.0</v>
      </c>
      <c r="V2967" s="172">
        <v>46091.0</v>
      </c>
      <c r="W2967" s="3">
        <v>310.0</v>
      </c>
      <c r="X2967" s="172">
        <v>46087.74928754629</v>
      </c>
      <c r="Y2967" s="172">
        <v>46080.93543572917</v>
      </c>
      <c r="Z2967" s="3">
        <v>46080.0</v>
      </c>
    </row>
    <row r="2968">
      <c r="A2968" s="3">
        <v>6.930304729347E12</v>
      </c>
      <c r="B2968" s="2" t="s">
        <v>12220</v>
      </c>
      <c r="C2968" s="2" t="s">
        <v>12221</v>
      </c>
      <c r="D2968" s="169">
        <v>46080.0</v>
      </c>
      <c r="E2968" s="2">
        <v>3.700677676E9</v>
      </c>
      <c r="F2968" s="2" t="s">
        <v>12222</v>
      </c>
      <c r="G2968" s="2" t="s">
        <v>781</v>
      </c>
      <c r="H2968" s="2">
        <v>3348.0</v>
      </c>
      <c r="I2968" s="2">
        <v>2.5120050022497E13</v>
      </c>
      <c r="J2968" s="3">
        <v>2.0</v>
      </c>
      <c r="K2968" s="2" t="s">
        <v>12223</v>
      </c>
      <c r="L2968" s="2" t="s">
        <v>40</v>
      </c>
      <c r="M2968" s="2" t="s">
        <v>409</v>
      </c>
      <c r="N2968" s="2" t="s">
        <v>462</v>
      </c>
      <c r="O2968" s="3"/>
      <c r="P2968" s="2" t="s">
        <v>73</v>
      </c>
      <c r="Q2968" s="3">
        <v>720.0</v>
      </c>
      <c r="R2968" s="3">
        <v>0.5</v>
      </c>
      <c r="T2968" s="2" t="s">
        <v>11534</v>
      </c>
      <c r="U2968" s="171">
        <v>3348.0</v>
      </c>
      <c r="V2968" s="172">
        <v>46097.0</v>
      </c>
      <c r="W2968" s="3">
        <v>361.0</v>
      </c>
      <c r="X2968" s="172">
        <v>46096.58262434028</v>
      </c>
      <c r="Y2968" s="172">
        <v>46080.977092280096</v>
      </c>
      <c r="Z2968" s="3">
        <v>46080.0</v>
      </c>
    </row>
    <row r="2969">
      <c r="A2969" s="3">
        <v>6.930341200131E12</v>
      </c>
      <c r="B2969" s="2" t="s">
        <v>12224</v>
      </c>
      <c r="C2969" s="2" t="s">
        <v>12225</v>
      </c>
      <c r="D2969" s="169">
        <v>46080.0</v>
      </c>
      <c r="E2969" s="2">
        <v>3.21451515E9</v>
      </c>
      <c r="F2969" s="2" t="s">
        <v>12226</v>
      </c>
      <c r="G2969" s="2" t="s">
        <v>368</v>
      </c>
      <c r="H2969" s="2">
        <v>3348.0</v>
      </c>
      <c r="I2969" s="2">
        <v>2.2120050022496E13</v>
      </c>
      <c r="J2969" s="3">
        <v>2.0</v>
      </c>
      <c r="K2969" s="2" t="s">
        <v>12227</v>
      </c>
      <c r="L2969" s="2" t="s">
        <v>296</v>
      </c>
      <c r="M2969" s="2" t="s">
        <v>409</v>
      </c>
      <c r="N2969" s="2" t="s">
        <v>462</v>
      </c>
      <c r="O2969" s="3"/>
      <c r="P2969" s="2" t="s">
        <v>73</v>
      </c>
      <c r="Q2969" s="3">
        <v>720.0</v>
      </c>
      <c r="R2969" s="3">
        <v>0.5</v>
      </c>
      <c r="T2969" s="2" t="s">
        <v>12069</v>
      </c>
      <c r="U2969" s="171">
        <v>3348.0</v>
      </c>
      <c r="V2969" s="172">
        <v>46094.0</v>
      </c>
      <c r="W2969" s="3">
        <v>241.0</v>
      </c>
      <c r="X2969" s="172">
        <v>46092.62429603009</v>
      </c>
      <c r="Y2969" s="172">
        <v>46080.977092280096</v>
      </c>
      <c r="Z2969" s="3">
        <v>46080.0</v>
      </c>
    </row>
    <row r="2970">
      <c r="A2970" s="3">
        <v>6.930464899331E12</v>
      </c>
      <c r="B2970" s="2" t="s">
        <v>12228</v>
      </c>
      <c r="C2970" s="2" t="s">
        <v>12229</v>
      </c>
      <c r="D2970" s="169">
        <v>46081.0</v>
      </c>
      <c r="E2970" s="2">
        <v>3.232847577E9</v>
      </c>
      <c r="F2970" s="2" t="s">
        <v>12230</v>
      </c>
      <c r="G2970" s="2" t="s">
        <v>1619</v>
      </c>
      <c r="H2970" s="2">
        <v>2199.0</v>
      </c>
      <c r="I2970" s="2">
        <v>2.5120050022206E13</v>
      </c>
      <c r="J2970" s="3">
        <v>1.0</v>
      </c>
      <c r="K2970" s="2" t="s">
        <v>12231</v>
      </c>
      <c r="L2970" s="2" t="s">
        <v>220</v>
      </c>
      <c r="M2970" s="2" t="s">
        <v>409</v>
      </c>
      <c r="N2970" s="2" t="s">
        <v>462</v>
      </c>
      <c r="O2970" s="3"/>
      <c r="P2970" s="2" t="s">
        <v>73</v>
      </c>
      <c r="Q2970" s="3">
        <v>360.0</v>
      </c>
      <c r="R2970" s="3">
        <v>0.5</v>
      </c>
      <c r="T2970" s="2" t="s">
        <v>11287</v>
      </c>
      <c r="U2970" s="171">
        <v>2199.0</v>
      </c>
      <c r="V2970" s="172">
        <v>46084.0</v>
      </c>
      <c r="W2970" s="3">
        <v>195.0</v>
      </c>
      <c r="X2970" s="172">
        <v>46082.74938353009</v>
      </c>
      <c r="Y2970" s="172">
        <v>46081.060568472225</v>
      </c>
      <c r="Z2970" s="3">
        <v>46081.0</v>
      </c>
    </row>
    <row r="2971">
      <c r="A2971" s="3">
        <v>6.930523586819E12</v>
      </c>
      <c r="B2971" s="2" t="s">
        <v>12232</v>
      </c>
      <c r="C2971" s="2" t="s">
        <v>12233</v>
      </c>
      <c r="D2971" s="169">
        <v>46081.0</v>
      </c>
      <c r="E2971" s="2">
        <v>3.331039363E9</v>
      </c>
      <c r="F2971" s="2" t="s">
        <v>12234</v>
      </c>
      <c r="G2971" s="2" t="s">
        <v>945</v>
      </c>
      <c r="H2971" s="2">
        <v>2849.0</v>
      </c>
      <c r="I2971" s="2">
        <v>2.5120050022189E13</v>
      </c>
      <c r="J2971" s="3">
        <v>2.0</v>
      </c>
      <c r="K2971" s="2" t="s">
        <v>11358</v>
      </c>
      <c r="L2971" s="2" t="s">
        <v>2906</v>
      </c>
      <c r="M2971" s="2" t="s">
        <v>409</v>
      </c>
      <c r="N2971" s="2" t="s">
        <v>462</v>
      </c>
      <c r="O2971" s="3"/>
      <c r="P2971" s="2" t="s">
        <v>73</v>
      </c>
      <c r="Q2971" s="3">
        <v>800.0</v>
      </c>
      <c r="R2971" s="3">
        <v>0.5</v>
      </c>
      <c r="T2971" s="2" t="s">
        <v>11287</v>
      </c>
      <c r="U2971" s="171">
        <v>2849.0</v>
      </c>
      <c r="V2971" s="172">
        <v>46084.0</v>
      </c>
      <c r="W2971" s="3">
        <v>327.0</v>
      </c>
      <c r="X2971" s="172">
        <v>46083.499437175924</v>
      </c>
      <c r="Y2971" s="172">
        <v>46081.060568472225</v>
      </c>
      <c r="Z2971" s="3">
        <v>46081.0</v>
      </c>
    </row>
    <row r="2972">
      <c r="A2972" s="3">
        <v>6.930605244675E12</v>
      </c>
      <c r="B2972" s="2" t="s">
        <v>12235</v>
      </c>
      <c r="C2972" s="2" t="s">
        <v>12236</v>
      </c>
      <c r="D2972" s="169">
        <v>46081.0</v>
      </c>
      <c r="E2972" s="2">
        <v>3.21812603E9</v>
      </c>
      <c r="F2972" s="2" t="s">
        <v>12237</v>
      </c>
      <c r="G2972" s="2" t="s">
        <v>3229</v>
      </c>
      <c r="H2972" s="2">
        <v>3348.0</v>
      </c>
      <c r="I2972" s="2">
        <v>2.8120050022188E13</v>
      </c>
      <c r="J2972" s="3">
        <v>2.0</v>
      </c>
      <c r="K2972" s="2" t="s">
        <v>12238</v>
      </c>
      <c r="L2972" s="2" t="s">
        <v>1116</v>
      </c>
      <c r="M2972" s="2" t="s">
        <v>409</v>
      </c>
      <c r="N2972" s="2" t="s">
        <v>462</v>
      </c>
      <c r="O2972" s="3"/>
      <c r="P2972" s="2" t="s">
        <v>73</v>
      </c>
      <c r="Q2972" s="3">
        <v>800.0</v>
      </c>
      <c r="R2972" s="3">
        <v>0.5</v>
      </c>
      <c r="T2972" s="2" t="s">
        <v>12156</v>
      </c>
      <c r="U2972" s="171">
        <v>3348.0</v>
      </c>
      <c r="V2972" s="172">
        <v>46091.0</v>
      </c>
      <c r="W2972" s="3">
        <v>347.0</v>
      </c>
      <c r="X2972" s="172">
        <v>46088.5208383912</v>
      </c>
      <c r="Y2972" s="172">
        <v>46081.10208266204</v>
      </c>
      <c r="Z2972" s="3">
        <v>46081.0</v>
      </c>
    </row>
    <row r="2973">
      <c r="A2973" s="3">
        <v>6.930616615171E12</v>
      </c>
      <c r="B2973" s="2" t="s">
        <v>12239</v>
      </c>
      <c r="C2973" s="2" t="s">
        <v>12240</v>
      </c>
      <c r="D2973" s="169">
        <v>46081.0</v>
      </c>
      <c r="E2973" s="2">
        <v>3.166744409E9</v>
      </c>
      <c r="F2973" s="2" t="s">
        <v>12241</v>
      </c>
      <c r="G2973" s="2" t="s">
        <v>626</v>
      </c>
      <c r="H2973" s="2">
        <v>2749.0</v>
      </c>
      <c r="I2973" s="2">
        <v>2.2120050022187E13</v>
      </c>
      <c r="J2973" s="3">
        <v>2.0</v>
      </c>
      <c r="K2973" s="2" t="s">
        <v>12242</v>
      </c>
      <c r="L2973" s="2" t="s">
        <v>16</v>
      </c>
      <c r="M2973" s="2" t="s">
        <v>409</v>
      </c>
      <c r="N2973" s="2" t="s">
        <v>462</v>
      </c>
      <c r="O2973" s="3"/>
      <c r="P2973" s="2" t="s">
        <v>73</v>
      </c>
      <c r="Q2973" s="3">
        <v>980.0</v>
      </c>
      <c r="R2973" s="3">
        <v>0.5</v>
      </c>
      <c r="T2973" s="2" t="s">
        <v>11565</v>
      </c>
      <c r="U2973" s="171">
        <v>2749.0</v>
      </c>
      <c r="V2973" s="172">
        <v>46087.0</v>
      </c>
      <c r="W2973" s="3">
        <v>330.0</v>
      </c>
      <c r="X2973" s="172">
        <v>46084.7709652662</v>
      </c>
      <c r="Y2973" s="172">
        <v>46081.14378585648</v>
      </c>
      <c r="Z2973" s="3">
        <v>46081.0</v>
      </c>
    </row>
    <row r="2974">
      <c r="A2974" s="3">
        <v>6.930672091395E12</v>
      </c>
      <c r="B2974" s="2" t="s">
        <v>12243</v>
      </c>
      <c r="C2974" s="2" t="s">
        <v>12244</v>
      </c>
      <c r="D2974" s="169">
        <v>46081.0</v>
      </c>
      <c r="E2974" s="2">
        <v>3.439084845E9</v>
      </c>
      <c r="F2974" s="2" t="s">
        <v>12245</v>
      </c>
      <c r="G2974" s="2" t="s">
        <v>506</v>
      </c>
      <c r="H2974" s="2">
        <v>249.0</v>
      </c>
      <c r="I2974" s="2">
        <v>2.7120050022512E13</v>
      </c>
      <c r="J2974" s="3">
        <v>0.0</v>
      </c>
      <c r="K2974" s="2" t="s">
        <v>12246</v>
      </c>
      <c r="L2974" s="2"/>
      <c r="M2974" s="170" t="s">
        <v>455</v>
      </c>
      <c r="N2974" s="2" t="s">
        <v>406</v>
      </c>
      <c r="O2974" s="3"/>
      <c r="P2974" s="2" t="s">
        <v>73</v>
      </c>
      <c r="Q2974" s="3">
        <v>0.0</v>
      </c>
      <c r="R2974" s="3">
        <v>0.5</v>
      </c>
      <c r="U2974" s="141"/>
      <c r="W2974" s="3">
        <v>200.1</v>
      </c>
      <c r="X2974" s="172">
        <v>46107.87436988426</v>
      </c>
      <c r="Y2974" s="172">
        <v>46081.14378585648</v>
      </c>
      <c r="Z2974" s="3">
        <v>46081.0</v>
      </c>
    </row>
    <row r="2975">
      <c r="A2975" s="3">
        <v>6.930739462403E12</v>
      </c>
      <c r="B2975" s="2" t="s">
        <v>12247</v>
      </c>
      <c r="C2975" s="2" t="s">
        <v>12248</v>
      </c>
      <c r="D2975" s="169">
        <v>46081.0</v>
      </c>
      <c r="E2975" s="2">
        <v>3.008780431E9</v>
      </c>
      <c r="F2975" s="2" t="s">
        <v>12249</v>
      </c>
      <c r="G2975" s="2" t="s">
        <v>1016</v>
      </c>
      <c r="H2975" s="2">
        <v>3348.0</v>
      </c>
      <c r="I2975" s="2">
        <v>2.1120050022186E13</v>
      </c>
      <c r="J2975" s="3">
        <v>2.0</v>
      </c>
      <c r="K2975" s="2" t="s">
        <v>12250</v>
      </c>
      <c r="L2975" s="2" t="s">
        <v>275</v>
      </c>
      <c r="M2975" s="2" t="s">
        <v>409</v>
      </c>
      <c r="N2975" s="2" t="s">
        <v>462</v>
      </c>
      <c r="O2975" s="3"/>
      <c r="P2975" s="2" t="s">
        <v>73</v>
      </c>
      <c r="Q2975" s="3">
        <v>800.0</v>
      </c>
      <c r="R2975" s="3">
        <v>0.5</v>
      </c>
      <c r="T2975" s="2" t="s">
        <v>11565</v>
      </c>
      <c r="U2975" s="171">
        <v>3348.0</v>
      </c>
      <c r="V2975" s="172">
        <v>46087.0</v>
      </c>
      <c r="W2975" s="3">
        <v>334.0</v>
      </c>
      <c r="X2975" s="172">
        <v>46084.77096530092</v>
      </c>
      <c r="Y2975" s="172">
        <v>46081.18540666667</v>
      </c>
      <c r="Z2975" s="3">
        <v>46081.0</v>
      </c>
    </row>
    <row r="2976">
      <c r="A2976" s="3">
        <v>6.930928304387E12</v>
      </c>
      <c r="B2976" s="2" t="s">
        <v>12251</v>
      </c>
      <c r="C2976" s="2" t="s">
        <v>12252</v>
      </c>
      <c r="D2976" s="169">
        <v>46081.0</v>
      </c>
      <c r="E2976" s="2">
        <v>3.33383109E9</v>
      </c>
      <c r="F2976" s="2" t="s">
        <v>12253</v>
      </c>
      <c r="G2976" s="2" t="s">
        <v>667</v>
      </c>
      <c r="H2976" s="2">
        <v>2649.0</v>
      </c>
      <c r="I2976" s="2">
        <v>2.6120050022185E13</v>
      </c>
      <c r="J2976" s="3">
        <v>2.0</v>
      </c>
      <c r="K2976" s="2" t="s">
        <v>12254</v>
      </c>
      <c r="L2976" s="2" t="s">
        <v>12255</v>
      </c>
      <c r="M2976" s="2" t="s">
        <v>409</v>
      </c>
      <c r="N2976" s="2" t="s">
        <v>462</v>
      </c>
      <c r="O2976" s="3"/>
      <c r="P2976" s="2" t="s">
        <v>73</v>
      </c>
      <c r="Q2976" s="3">
        <v>1100.0</v>
      </c>
      <c r="R2976" s="3">
        <v>0.5</v>
      </c>
      <c r="T2976" s="2" t="s">
        <v>11565</v>
      </c>
      <c r="U2976" s="171">
        <v>2649.0</v>
      </c>
      <c r="V2976" s="172">
        <v>46087.0</v>
      </c>
      <c r="W2976" s="3">
        <v>319.0</v>
      </c>
      <c r="X2976" s="172">
        <v>46085.41604240741</v>
      </c>
      <c r="Y2976" s="172">
        <v>46081.35210193287</v>
      </c>
      <c r="Z2976" s="3">
        <v>46081.0</v>
      </c>
    </row>
    <row r="2977">
      <c r="A2977" s="3">
        <v>6.931071697155E12</v>
      </c>
      <c r="B2977" s="2" t="s">
        <v>12256</v>
      </c>
      <c r="C2977" s="2" t="s">
        <v>12257</v>
      </c>
      <c r="D2977" s="169">
        <v>46081.0</v>
      </c>
      <c r="E2977" s="2">
        <v>3.284920308E9</v>
      </c>
      <c r="F2977" s="2" t="s">
        <v>12258</v>
      </c>
      <c r="G2977" s="2" t="s">
        <v>368</v>
      </c>
      <c r="H2977" s="2">
        <v>249.0</v>
      </c>
      <c r="I2977" s="2">
        <v>2.2120050022258E13</v>
      </c>
      <c r="J2977" s="3">
        <v>0.0</v>
      </c>
      <c r="K2977" s="2" t="s">
        <v>12259</v>
      </c>
      <c r="L2977" s="2"/>
      <c r="M2977" s="170" t="s">
        <v>455</v>
      </c>
      <c r="N2977" s="2" t="s">
        <v>406</v>
      </c>
      <c r="O2977" s="3"/>
      <c r="P2977" s="2" t="s">
        <v>73</v>
      </c>
      <c r="Q2977" s="3">
        <v>0.0</v>
      </c>
      <c r="R2977" s="3">
        <v>0.5</v>
      </c>
      <c r="U2977" s="141"/>
      <c r="W2977" s="3">
        <v>107.0</v>
      </c>
      <c r="X2977" s="172">
        <v>46091.91595652778</v>
      </c>
      <c r="Y2977" s="172">
        <v>46081.435419918984</v>
      </c>
      <c r="Z2977" s="3">
        <v>46081.0</v>
      </c>
    </row>
    <row r="2978">
      <c r="A2978" s="3">
        <v>6.931101843715E12</v>
      </c>
      <c r="B2978" s="2" t="s">
        <v>12260</v>
      </c>
      <c r="C2978" s="2" t="s">
        <v>12261</v>
      </c>
      <c r="D2978" s="169">
        <v>46081.0</v>
      </c>
      <c r="E2978" s="2">
        <v>3.218838889E9</v>
      </c>
      <c r="F2978" s="2" t="s">
        <v>12262</v>
      </c>
      <c r="G2978" s="2" t="s">
        <v>368</v>
      </c>
      <c r="H2978" s="2">
        <v>0.0</v>
      </c>
      <c r="J2978" s="3">
        <v>0.0</v>
      </c>
      <c r="K2978" s="2" t="s">
        <v>12263</v>
      </c>
      <c r="L2978" s="2"/>
      <c r="M2978" s="2" t="s">
        <v>468</v>
      </c>
      <c r="N2978" s="2" t="s">
        <v>406</v>
      </c>
      <c r="O2978" s="3"/>
      <c r="Q2978" s="3">
        <v>0.0</v>
      </c>
      <c r="R2978" s="3">
        <v>0.5</v>
      </c>
      <c r="U2978" s="141"/>
      <c r="X2978" s="172"/>
      <c r="Y2978" s="172">
        <v>46081.47711790509</v>
      </c>
      <c r="Z2978" s="3">
        <v>46081.0</v>
      </c>
    </row>
    <row r="2979">
      <c r="A2979" s="3">
        <v>6.931183960323E12</v>
      </c>
      <c r="B2979" s="2" t="s">
        <v>12264</v>
      </c>
      <c r="C2979" s="2" t="s">
        <v>12265</v>
      </c>
      <c r="D2979" s="169">
        <v>46081.0</v>
      </c>
      <c r="E2979" s="2">
        <v>3.056789222E9</v>
      </c>
      <c r="F2979" s="2" t="s">
        <v>12266</v>
      </c>
      <c r="G2979" s="2" t="s">
        <v>4667</v>
      </c>
      <c r="H2979" s="2">
        <v>3348.0</v>
      </c>
      <c r="I2979" s="2">
        <v>2.1120050022184E13</v>
      </c>
      <c r="J2979" s="3">
        <v>2.0</v>
      </c>
      <c r="K2979" s="2" t="s">
        <v>12250</v>
      </c>
      <c r="L2979" s="2" t="s">
        <v>1258</v>
      </c>
      <c r="M2979" s="2" t="s">
        <v>409</v>
      </c>
      <c r="N2979" s="2" t="s">
        <v>462</v>
      </c>
      <c r="O2979" s="3"/>
      <c r="P2979" s="2" t="s">
        <v>73</v>
      </c>
      <c r="Q2979" s="3">
        <v>800.0</v>
      </c>
      <c r="R2979" s="3">
        <v>0.5</v>
      </c>
      <c r="T2979" s="2" t="s">
        <v>11565</v>
      </c>
      <c r="U2979" s="171">
        <v>3348.0</v>
      </c>
      <c r="V2979" s="172">
        <v>46087.0</v>
      </c>
      <c r="W2979" s="3">
        <v>334.0</v>
      </c>
      <c r="X2979" s="172">
        <v>46084.62438247685</v>
      </c>
      <c r="Y2979" s="172">
        <v>46081.51877836806</v>
      </c>
      <c r="Z2979" s="3">
        <v>46081.0</v>
      </c>
    </row>
    <row r="2980">
      <c r="A2980" s="3">
        <v>6.931224035587E12</v>
      </c>
      <c r="B2980" s="2" t="s">
        <v>12267</v>
      </c>
      <c r="C2980" s="2" t="s">
        <v>12268</v>
      </c>
      <c r="D2980" s="169">
        <v>46081.0</v>
      </c>
      <c r="E2980" s="2">
        <v>3.237566886E9</v>
      </c>
      <c r="F2980" s="2" t="s">
        <v>12269</v>
      </c>
      <c r="G2980" s="2" t="s">
        <v>4900</v>
      </c>
      <c r="H2980" s="2">
        <v>0.0</v>
      </c>
      <c r="J2980" s="3">
        <v>0.0</v>
      </c>
      <c r="K2980" s="2" t="s">
        <v>12270</v>
      </c>
      <c r="L2980" s="2"/>
      <c r="M2980" s="2" t="s">
        <v>468</v>
      </c>
      <c r="N2980" s="2" t="s">
        <v>406</v>
      </c>
      <c r="O2980" s="3"/>
      <c r="Q2980" s="3">
        <v>0.0</v>
      </c>
      <c r="R2980" s="3">
        <v>0.5</v>
      </c>
      <c r="U2980" s="141"/>
      <c r="X2980" s="172"/>
      <c r="Y2980" s="172">
        <v>46081.56044371528</v>
      </c>
      <c r="Z2980" s="3">
        <v>46081.0</v>
      </c>
    </row>
    <row r="2981">
      <c r="A2981" s="3">
        <v>6.931229049091E12</v>
      </c>
      <c r="B2981" s="2" t="s">
        <v>12271</v>
      </c>
      <c r="C2981" s="2" t="s">
        <v>12272</v>
      </c>
      <c r="D2981" s="169">
        <v>46081.0</v>
      </c>
      <c r="E2981" s="2">
        <v>3.147886055E9</v>
      </c>
      <c r="F2981" s="2" t="s">
        <v>12273</v>
      </c>
      <c r="G2981" s="2" t="s">
        <v>366</v>
      </c>
      <c r="H2981" s="2">
        <v>249.0</v>
      </c>
      <c r="I2981" s="2">
        <v>2.7120050022204E13</v>
      </c>
      <c r="J2981" s="3">
        <v>0.0</v>
      </c>
      <c r="K2981" s="2" t="s">
        <v>12274</v>
      </c>
      <c r="L2981" s="2"/>
      <c r="M2981" s="170" t="s">
        <v>455</v>
      </c>
      <c r="N2981" s="2" t="s">
        <v>406</v>
      </c>
      <c r="O2981" s="3"/>
      <c r="P2981" s="2" t="s">
        <v>73</v>
      </c>
      <c r="Q2981" s="3">
        <v>0.0</v>
      </c>
      <c r="R2981" s="3">
        <v>0.5</v>
      </c>
      <c r="U2981" s="141"/>
      <c r="W2981" s="3">
        <v>200.0</v>
      </c>
      <c r="X2981" s="172">
        <v>46098.707635046296</v>
      </c>
      <c r="Y2981" s="172">
        <v>46081.56044371528</v>
      </c>
      <c r="Z2981" s="3">
        <v>46081.0</v>
      </c>
    </row>
    <row r="2982">
      <c r="A2982" s="3">
        <v>6.931256213763E12</v>
      </c>
      <c r="B2982" s="2" t="s">
        <v>12275</v>
      </c>
      <c r="C2982" s="2" t="s">
        <v>12276</v>
      </c>
      <c r="D2982" s="169">
        <v>46081.0</v>
      </c>
      <c r="E2982" s="2">
        <v>3.004287067E9</v>
      </c>
      <c r="F2982" s="2" t="s">
        <v>12277</v>
      </c>
      <c r="G2982" s="2" t="s">
        <v>626</v>
      </c>
      <c r="H2982" s="2">
        <v>249.0</v>
      </c>
      <c r="I2982" s="2">
        <v>2.7120050022203E13</v>
      </c>
      <c r="J2982" s="3">
        <v>0.0</v>
      </c>
      <c r="K2982" s="2" t="s">
        <v>12278</v>
      </c>
      <c r="L2982" s="2"/>
      <c r="M2982" s="170" t="s">
        <v>455</v>
      </c>
      <c r="N2982" s="2" t="s">
        <v>406</v>
      </c>
      <c r="O2982" s="3"/>
      <c r="P2982" s="2" t="s">
        <v>73</v>
      </c>
      <c r="Q2982" s="3">
        <v>0.0</v>
      </c>
      <c r="R2982" s="3">
        <v>0.5</v>
      </c>
      <c r="U2982" s="141"/>
      <c r="W2982" s="3">
        <v>200.0</v>
      </c>
      <c r="X2982" s="172">
        <v>46091.91595664352</v>
      </c>
      <c r="Y2982" s="172">
        <v>46081.60209890046</v>
      </c>
      <c r="Z2982" s="3">
        <v>46081.0</v>
      </c>
    </row>
    <row r="2983">
      <c r="A2983" s="3">
        <v>6.931260375299E12</v>
      </c>
      <c r="B2983" s="2" t="s">
        <v>12279</v>
      </c>
      <c r="C2983" s="2" t="s">
        <v>12280</v>
      </c>
      <c r="D2983" s="169">
        <v>46081.0</v>
      </c>
      <c r="E2983" s="2">
        <v>3.466686664E9</v>
      </c>
      <c r="F2983" s="2" t="s">
        <v>12281</v>
      </c>
      <c r="G2983" s="2" t="s">
        <v>688</v>
      </c>
      <c r="H2983" s="2">
        <v>3348.0</v>
      </c>
      <c r="I2983" s="2">
        <v>2.2120050022254E13</v>
      </c>
      <c r="J2983" s="3">
        <v>2.0</v>
      </c>
      <c r="K2983" s="2" t="s">
        <v>12282</v>
      </c>
      <c r="L2983" s="2" t="s">
        <v>228</v>
      </c>
      <c r="M2983" s="2" t="s">
        <v>409</v>
      </c>
      <c r="N2983" s="2" t="s">
        <v>462</v>
      </c>
      <c r="O2983" s="3"/>
      <c r="P2983" s="2" t="s">
        <v>73</v>
      </c>
      <c r="Q2983" s="3">
        <v>720.0</v>
      </c>
      <c r="R2983" s="3">
        <v>0.5</v>
      </c>
      <c r="T2983" s="2" t="s">
        <v>11565</v>
      </c>
      <c r="U2983" s="171">
        <v>3348.0</v>
      </c>
      <c r="V2983" s="172">
        <v>46087.0</v>
      </c>
      <c r="W2983" s="3">
        <v>334.0</v>
      </c>
      <c r="X2983" s="172">
        <v>46086.58268131944</v>
      </c>
      <c r="Y2983" s="172">
        <v>46081.60209890046</v>
      </c>
      <c r="Z2983" s="3">
        <v>46081.0</v>
      </c>
    </row>
    <row r="2984">
      <c r="A2984" s="3">
        <v>6.931298189571E12</v>
      </c>
      <c r="B2984" s="2" t="s">
        <v>12283</v>
      </c>
      <c r="C2984" s="2" t="s">
        <v>12284</v>
      </c>
      <c r="D2984" s="169">
        <v>46081.0</v>
      </c>
      <c r="E2984" s="2">
        <v>3.214404826E9</v>
      </c>
      <c r="F2984" s="2" t="s">
        <v>12285</v>
      </c>
      <c r="G2984" s="2" t="s">
        <v>1257</v>
      </c>
      <c r="H2984" s="2">
        <v>0.0</v>
      </c>
      <c r="J2984" s="3">
        <v>0.0</v>
      </c>
      <c r="K2984" s="2" t="s">
        <v>12286</v>
      </c>
      <c r="L2984" s="2"/>
      <c r="M2984" s="2" t="s">
        <v>468</v>
      </c>
      <c r="N2984" s="2" t="s">
        <v>406</v>
      </c>
      <c r="O2984" s="3"/>
      <c r="Q2984" s="3">
        <v>0.0</v>
      </c>
      <c r="R2984" s="3">
        <v>0.5</v>
      </c>
      <c r="U2984" s="141"/>
      <c r="X2984" s="172"/>
      <c r="Y2984" s="172">
        <v>46081.643800798614</v>
      </c>
      <c r="Z2984" s="3">
        <v>46081.0</v>
      </c>
    </row>
    <row r="2985">
      <c r="A2985" s="3">
        <v>6.931347964163E12</v>
      </c>
      <c r="B2985" s="2" t="s">
        <v>12287</v>
      </c>
      <c r="C2985" s="2" t="s">
        <v>12288</v>
      </c>
      <c r="D2985" s="169">
        <v>46081.0</v>
      </c>
      <c r="E2985" s="2">
        <v>3.009537008E9</v>
      </c>
      <c r="F2985" s="2" t="s">
        <v>12289</v>
      </c>
      <c r="G2985" s="2" t="s">
        <v>822</v>
      </c>
      <c r="H2985" s="2">
        <v>3348.0</v>
      </c>
      <c r="I2985" s="2">
        <v>2.5120050022251E13</v>
      </c>
      <c r="J2985" s="3">
        <v>2.0</v>
      </c>
      <c r="K2985" s="2" t="s">
        <v>12250</v>
      </c>
      <c r="L2985" s="2" t="s">
        <v>1116</v>
      </c>
      <c r="M2985" s="2" t="s">
        <v>409</v>
      </c>
      <c r="N2985" s="2" t="s">
        <v>462</v>
      </c>
      <c r="O2985" s="3"/>
      <c r="P2985" s="2" t="s">
        <v>73</v>
      </c>
      <c r="Q2985" s="3">
        <v>800.0</v>
      </c>
      <c r="R2985" s="3">
        <v>0.5</v>
      </c>
      <c r="T2985" s="2" t="s">
        <v>11565</v>
      </c>
      <c r="U2985" s="171">
        <v>3348.0</v>
      </c>
      <c r="V2985" s="172">
        <v>46087.0</v>
      </c>
      <c r="W2985" s="3">
        <v>334.0</v>
      </c>
      <c r="X2985" s="172">
        <v>46086.62435986111</v>
      </c>
      <c r="Y2985" s="172">
        <v>46081.68545265046</v>
      </c>
      <c r="Z2985" s="3">
        <v>46081.0</v>
      </c>
    </row>
    <row r="2986">
      <c r="A2986" s="3">
        <v>6.931387908355E12</v>
      </c>
      <c r="B2986" s="2" t="s">
        <v>12290</v>
      </c>
      <c r="C2986" s="2" t="s">
        <v>12291</v>
      </c>
      <c r="D2986" s="169">
        <v>46081.0</v>
      </c>
      <c r="E2986" s="2">
        <v>3.002659602E9</v>
      </c>
      <c r="F2986" s="2" t="s">
        <v>12292</v>
      </c>
      <c r="G2986" s="2" t="s">
        <v>493</v>
      </c>
      <c r="H2986" s="2">
        <v>3348.0</v>
      </c>
      <c r="I2986" s="2">
        <v>2.212005002225E13</v>
      </c>
      <c r="J2986" s="3">
        <v>2.0</v>
      </c>
      <c r="K2986" s="2" t="s">
        <v>12238</v>
      </c>
      <c r="L2986" s="2" t="s">
        <v>228</v>
      </c>
      <c r="M2986" s="2" t="s">
        <v>409</v>
      </c>
      <c r="N2986" s="2" t="s">
        <v>462</v>
      </c>
      <c r="O2986" s="3"/>
      <c r="P2986" s="2" t="s">
        <v>73</v>
      </c>
      <c r="Q2986" s="3">
        <v>720.0</v>
      </c>
      <c r="R2986" s="3">
        <v>0.5</v>
      </c>
      <c r="T2986" s="2" t="s">
        <v>12156</v>
      </c>
      <c r="U2986" s="171">
        <v>3348.0</v>
      </c>
      <c r="V2986" s="172">
        <v>46091.0</v>
      </c>
      <c r="W2986" s="3">
        <v>347.0</v>
      </c>
      <c r="X2986" s="172">
        <v>46090.95764267361</v>
      </c>
      <c r="Y2986" s="172">
        <v>46081.727147233796</v>
      </c>
      <c r="Z2986" s="3">
        <v>46081.0</v>
      </c>
    </row>
    <row r="2987">
      <c r="A2987" s="3">
        <v>6.931572195587E12</v>
      </c>
      <c r="B2987" s="2" t="s">
        <v>12293</v>
      </c>
      <c r="C2987" s="2" t="s">
        <v>12294</v>
      </c>
      <c r="D2987" s="169">
        <v>46081.0</v>
      </c>
      <c r="E2987" s="2">
        <v>3.352161853E9</v>
      </c>
      <c r="F2987" s="2" t="s">
        <v>12295</v>
      </c>
      <c r="G2987" s="2" t="s">
        <v>368</v>
      </c>
      <c r="H2987" s="2">
        <v>1999.0</v>
      </c>
      <c r="I2987" s="2">
        <v>2.6120050022249E13</v>
      </c>
      <c r="J2987" s="3">
        <v>1.0</v>
      </c>
      <c r="K2987" s="2" t="s">
        <v>12296</v>
      </c>
      <c r="L2987" s="2" t="s">
        <v>12297</v>
      </c>
      <c r="M2987" s="2" t="s">
        <v>409</v>
      </c>
      <c r="N2987" s="2" t="s">
        <v>462</v>
      </c>
      <c r="O2987" s="3"/>
      <c r="P2987" s="2" t="s">
        <v>73</v>
      </c>
      <c r="Q2987" s="3">
        <v>0.0</v>
      </c>
      <c r="R2987" s="3">
        <v>0.5</v>
      </c>
      <c r="T2987" s="2" t="s">
        <v>11565</v>
      </c>
      <c r="U2987" s="171">
        <v>1999.0</v>
      </c>
      <c r="V2987" s="172">
        <v>46087.0</v>
      </c>
      <c r="W2987" s="3">
        <v>187.0</v>
      </c>
      <c r="X2987" s="172">
        <v>46085.499344317126</v>
      </c>
      <c r="Y2987" s="172">
        <v>46081.852172326384</v>
      </c>
      <c r="Z2987" s="3">
        <v>46081.0</v>
      </c>
    </row>
    <row r="2988">
      <c r="A2988" s="3">
        <v>6.931585663235E12</v>
      </c>
      <c r="B2988" s="2" t="s">
        <v>12298</v>
      </c>
      <c r="C2988" s="2" t="s">
        <v>12299</v>
      </c>
      <c r="D2988" s="169">
        <v>46081.0</v>
      </c>
      <c r="E2988" s="2">
        <v>3.429896799E9</v>
      </c>
      <c r="F2988" s="2" t="s">
        <v>12300</v>
      </c>
      <c r="G2988" s="2" t="s">
        <v>855</v>
      </c>
      <c r="H2988" s="2">
        <v>1499.0</v>
      </c>
      <c r="I2988" s="2">
        <v>2.2120050022225E13</v>
      </c>
      <c r="J2988" s="3">
        <v>1.0</v>
      </c>
      <c r="K2988" s="2" t="s">
        <v>12301</v>
      </c>
      <c r="L2988" s="2" t="s">
        <v>12302</v>
      </c>
      <c r="M2988" s="2" t="s">
        <v>409</v>
      </c>
      <c r="N2988" s="2" t="s">
        <v>462</v>
      </c>
      <c r="O2988" s="3"/>
      <c r="P2988" s="2" t="s">
        <v>73</v>
      </c>
      <c r="Q2988" s="3">
        <v>0.0</v>
      </c>
      <c r="R2988" s="3">
        <v>0.5</v>
      </c>
      <c r="T2988" s="2" t="s">
        <v>12156</v>
      </c>
      <c r="U2988" s="171">
        <v>1499.0</v>
      </c>
      <c r="V2988" s="172">
        <v>46091.0</v>
      </c>
      <c r="W2988" s="3">
        <v>260.0</v>
      </c>
      <c r="X2988" s="172">
        <v>46088.832621967595</v>
      </c>
      <c r="Y2988" s="172">
        <v>46081.852172326384</v>
      </c>
      <c r="Z2988" s="3">
        <v>46081.0</v>
      </c>
    </row>
    <row r="2989">
      <c r="A2989" s="3">
        <v>6.931654836483E12</v>
      </c>
      <c r="B2989" s="2" t="s">
        <v>12303</v>
      </c>
      <c r="C2989" s="2" t="s">
        <v>12304</v>
      </c>
      <c r="D2989" s="169">
        <v>46081.0</v>
      </c>
      <c r="E2989" s="2">
        <v>3.455166673E9</v>
      </c>
      <c r="F2989" s="2" t="s">
        <v>12305</v>
      </c>
      <c r="G2989" s="2" t="s">
        <v>366</v>
      </c>
      <c r="H2989" s="2">
        <v>2749.0</v>
      </c>
      <c r="I2989" s="2">
        <v>2.9120050022248E13</v>
      </c>
      <c r="J2989" s="3">
        <v>2.0</v>
      </c>
      <c r="K2989" s="2" t="s">
        <v>12242</v>
      </c>
      <c r="L2989" s="2" t="s">
        <v>16</v>
      </c>
      <c r="M2989" s="2" t="s">
        <v>409</v>
      </c>
      <c r="N2989" s="2" t="s">
        <v>462</v>
      </c>
      <c r="O2989" s="3"/>
      <c r="P2989" s="2" t="s">
        <v>73</v>
      </c>
      <c r="Q2989" s="3">
        <v>980.0</v>
      </c>
      <c r="R2989" s="3">
        <v>0.5</v>
      </c>
      <c r="T2989" s="2" t="s">
        <v>11565</v>
      </c>
      <c r="U2989" s="171">
        <v>2749.0</v>
      </c>
      <c r="V2989" s="172">
        <v>46087.0</v>
      </c>
      <c r="W2989" s="3">
        <v>310.0</v>
      </c>
      <c r="X2989" s="172">
        <v>46086.770961331014</v>
      </c>
      <c r="Y2989" s="172">
        <v>46081.89379952547</v>
      </c>
      <c r="Z2989" s="3">
        <v>46081.0</v>
      </c>
    </row>
    <row r="2990">
      <c r="A2990" s="3">
        <v>6.931655295235E12</v>
      </c>
      <c r="B2990" s="2" t="s">
        <v>12306</v>
      </c>
      <c r="C2990" s="2" t="s">
        <v>12307</v>
      </c>
      <c r="D2990" s="169">
        <v>46081.0</v>
      </c>
      <c r="E2990" s="2">
        <v>3.00044601E9</v>
      </c>
      <c r="F2990" s="2" t="s">
        <v>12308</v>
      </c>
      <c r="G2990" s="2" t="s">
        <v>368</v>
      </c>
      <c r="H2990" s="2">
        <v>6198.0</v>
      </c>
      <c r="I2990" s="2">
        <v>2.4120050022247E13</v>
      </c>
      <c r="J2990" s="3">
        <v>4.0</v>
      </c>
      <c r="K2990" s="2" t="s">
        <v>12309</v>
      </c>
      <c r="L2990" s="2" t="s">
        <v>12310</v>
      </c>
      <c r="M2990" s="2" t="s">
        <v>409</v>
      </c>
      <c r="N2990" s="2" t="s">
        <v>462</v>
      </c>
      <c r="O2990" s="3"/>
      <c r="P2990" s="2" t="s">
        <v>73</v>
      </c>
      <c r="Q2990" s="3">
        <v>1440.0</v>
      </c>
      <c r="R2990" s="3">
        <v>0.5</v>
      </c>
      <c r="T2990" s="2" t="s">
        <v>11565</v>
      </c>
      <c r="U2990" s="171">
        <v>6198.0</v>
      </c>
      <c r="V2990" s="172">
        <v>46087.0</v>
      </c>
      <c r="W2990" s="3">
        <v>368.0</v>
      </c>
      <c r="X2990" s="172">
        <v>46085.62435174768</v>
      </c>
      <c r="Y2990" s="172">
        <v>46081.89379952547</v>
      </c>
      <c r="Z2990" s="3">
        <v>46081.0</v>
      </c>
    </row>
    <row r="2991">
      <c r="A2991" s="3">
        <v>6.931734364419E12</v>
      </c>
      <c r="B2991" s="2" t="s">
        <v>12311</v>
      </c>
      <c r="C2991" s="2" t="s">
        <v>12312</v>
      </c>
      <c r="D2991" s="169">
        <v>46081.0</v>
      </c>
      <c r="E2991" s="2">
        <v>3.557753406E9</v>
      </c>
      <c r="F2991" s="2" t="s">
        <v>12313</v>
      </c>
      <c r="G2991" s="2" t="s">
        <v>787</v>
      </c>
      <c r="H2991" s="2">
        <v>249.0</v>
      </c>
      <c r="I2991" s="2" t="s">
        <v>12314</v>
      </c>
      <c r="J2991" s="3">
        <v>0.0</v>
      </c>
      <c r="K2991" s="2" t="s">
        <v>12315</v>
      </c>
      <c r="L2991" s="2"/>
      <c r="M2991" s="170" t="s">
        <v>455</v>
      </c>
      <c r="N2991" s="2" t="s">
        <v>406</v>
      </c>
      <c r="O2991" s="3"/>
      <c r="P2991" s="2" t="s">
        <v>640</v>
      </c>
      <c r="Q2991" s="3">
        <v>0.0</v>
      </c>
      <c r="R2991" s="3">
        <v>0.5</v>
      </c>
      <c r="U2991" s="141"/>
      <c r="X2991" s="172">
        <v>46091.58412024306</v>
      </c>
      <c r="Y2991" s="172">
        <v>46081.93544447917</v>
      </c>
      <c r="Z2991" s="3">
        <v>46081.0</v>
      </c>
    </row>
    <row r="2992">
      <c r="A2992" s="3">
        <v>6.931784073475E12</v>
      </c>
      <c r="B2992" s="2" t="s">
        <v>12316</v>
      </c>
      <c r="C2992" s="2" t="s">
        <v>4739</v>
      </c>
      <c r="D2992" s="169">
        <v>46081.0</v>
      </c>
      <c r="E2992" s="2">
        <v>3.313122331E9</v>
      </c>
      <c r="F2992" s="2" t="s">
        <v>12317</v>
      </c>
      <c r="G2992" s="2" t="s">
        <v>493</v>
      </c>
      <c r="H2992" s="2">
        <v>249.0</v>
      </c>
      <c r="I2992" s="2">
        <v>2.7120050022495E13</v>
      </c>
      <c r="J2992" s="3">
        <v>0.0</v>
      </c>
      <c r="K2992" s="2" t="s">
        <v>12318</v>
      </c>
      <c r="L2992" s="2"/>
      <c r="M2992" s="170" t="s">
        <v>455</v>
      </c>
      <c r="N2992" s="2" t="s">
        <v>406</v>
      </c>
      <c r="O2992" s="3"/>
      <c r="P2992" s="2" t="s">
        <v>73</v>
      </c>
      <c r="Q2992" s="3">
        <v>0.0</v>
      </c>
      <c r="R2992" s="3">
        <v>0.5</v>
      </c>
      <c r="U2992" s="141"/>
      <c r="W2992" s="3">
        <v>227.0</v>
      </c>
      <c r="X2992" s="172">
        <v>46109.832610983794</v>
      </c>
      <c r="Y2992" s="172">
        <v>46081.93544447917</v>
      </c>
      <c r="Z2992" s="3">
        <v>46081.0</v>
      </c>
    </row>
    <row r="2993">
      <c r="A2993" s="3">
        <v>6.931847905539E12</v>
      </c>
      <c r="B2993" s="2" t="s">
        <v>12319</v>
      </c>
      <c r="C2993" s="2" t="s">
        <v>11708</v>
      </c>
      <c r="D2993" s="169">
        <v>46081.0</v>
      </c>
      <c r="E2993" s="173" t="s">
        <v>12320</v>
      </c>
      <c r="F2993" s="2" t="s">
        <v>11710</v>
      </c>
      <c r="G2993" s="2" t="s">
        <v>368</v>
      </c>
      <c r="H2993" s="2">
        <v>3099.0</v>
      </c>
      <c r="I2993" s="2">
        <v>2.8120050022245E13</v>
      </c>
      <c r="J2993" s="3">
        <v>2.0</v>
      </c>
      <c r="K2993" s="2" t="s">
        <v>12321</v>
      </c>
      <c r="L2993" s="2" t="s">
        <v>40</v>
      </c>
      <c r="M2993" s="2" t="s">
        <v>409</v>
      </c>
      <c r="N2993" s="2" t="s">
        <v>462</v>
      </c>
      <c r="O2993" s="3"/>
      <c r="P2993" s="2" t="s">
        <v>73</v>
      </c>
      <c r="Q2993" s="3">
        <v>720.0</v>
      </c>
      <c r="R2993" s="3">
        <v>0.5</v>
      </c>
      <c r="T2993" s="2" t="s">
        <v>11565</v>
      </c>
      <c r="U2993" s="171">
        <v>3099.0</v>
      </c>
      <c r="V2993" s="172">
        <v>46087.0</v>
      </c>
      <c r="W2993" s="3">
        <v>231.0</v>
      </c>
      <c r="X2993" s="172">
        <v>46085.52100305556</v>
      </c>
      <c r="Y2993" s="172">
        <v>46081.97708456019</v>
      </c>
      <c r="Z2993" s="3">
        <v>46081.0</v>
      </c>
    </row>
    <row r="2994">
      <c r="A2994" s="3">
        <v>6.931973570819E12</v>
      </c>
      <c r="B2994" s="2" t="s">
        <v>12322</v>
      </c>
      <c r="C2994" s="2" t="s">
        <v>12323</v>
      </c>
      <c r="D2994" s="169">
        <v>46082.0</v>
      </c>
      <c r="E2994" s="2">
        <v>3.363666684E9</v>
      </c>
      <c r="F2994" s="2" t="s">
        <v>12324</v>
      </c>
      <c r="G2994" s="2" t="s">
        <v>366</v>
      </c>
      <c r="H2994" s="2">
        <v>3348.0</v>
      </c>
      <c r="I2994" s="2">
        <v>2.4120050022494E13</v>
      </c>
      <c r="J2994" s="3">
        <v>2.0</v>
      </c>
      <c r="K2994" s="2" t="s">
        <v>12227</v>
      </c>
      <c r="L2994" s="2" t="s">
        <v>296</v>
      </c>
      <c r="M2994" s="2" t="s">
        <v>409</v>
      </c>
      <c r="N2994" s="2" t="s">
        <v>462</v>
      </c>
      <c r="O2994" s="3"/>
      <c r="P2994" s="2" t="s">
        <v>73</v>
      </c>
      <c r="Q2994" s="3">
        <v>720.0</v>
      </c>
      <c r="R2994" s="3">
        <v>0.5</v>
      </c>
      <c r="T2994" s="2" t="s">
        <v>12069</v>
      </c>
      <c r="U2994" s="171">
        <v>3348.0</v>
      </c>
      <c r="V2994" s="172">
        <v>46094.0</v>
      </c>
      <c r="W2994" s="3">
        <v>334.0</v>
      </c>
      <c r="X2994" s="172">
        <v>46093.62430163195</v>
      </c>
      <c r="Y2994" s="172">
        <v>46082.06042878472</v>
      </c>
      <c r="Z2994" s="3">
        <v>46082.0</v>
      </c>
    </row>
    <row r="2995">
      <c r="A2995" s="3">
        <v>6.932010303747E12</v>
      </c>
      <c r="B2995" s="2" t="s">
        <v>12325</v>
      </c>
      <c r="C2995" s="2" t="s">
        <v>12326</v>
      </c>
      <c r="D2995" s="169">
        <v>46082.0</v>
      </c>
      <c r="E2995" s="173" t="s">
        <v>12327</v>
      </c>
      <c r="F2995" s="2" t="s">
        <v>12328</v>
      </c>
      <c r="G2995" s="2" t="s">
        <v>374</v>
      </c>
      <c r="H2995" s="2">
        <v>3038.1</v>
      </c>
      <c r="I2995" s="2">
        <v>2.9120050022243E13</v>
      </c>
      <c r="J2995" s="3">
        <v>2.0</v>
      </c>
      <c r="K2995" s="2" t="s">
        <v>12329</v>
      </c>
      <c r="L2995" s="2" t="s">
        <v>50</v>
      </c>
      <c r="M2995" s="2" t="s">
        <v>409</v>
      </c>
      <c r="N2995" s="2" t="s">
        <v>462</v>
      </c>
      <c r="O2995" s="3"/>
      <c r="P2995" s="2" t="s">
        <v>73</v>
      </c>
      <c r="Q2995" s="3">
        <v>720.0</v>
      </c>
      <c r="R2995" s="3">
        <v>0.5</v>
      </c>
      <c r="T2995" s="2" t="s">
        <v>11565</v>
      </c>
      <c r="U2995" s="171">
        <v>3038.1</v>
      </c>
      <c r="V2995" s="172">
        <v>46087.0</v>
      </c>
      <c r="W2995" s="3">
        <v>322.0</v>
      </c>
      <c r="X2995" s="172">
        <v>46085.770987048614</v>
      </c>
      <c r="Y2995" s="172">
        <v>46082.06042878472</v>
      </c>
      <c r="Z2995" s="3">
        <v>46082.0</v>
      </c>
    </row>
    <row r="2996">
      <c r="A2996" s="3">
        <v>6.932068565251E12</v>
      </c>
      <c r="B2996" s="2" t="s">
        <v>12330</v>
      </c>
      <c r="C2996" s="2" t="s">
        <v>12331</v>
      </c>
      <c r="D2996" s="169">
        <v>46082.0</v>
      </c>
      <c r="E2996" s="2">
        <v>3.343979191E9</v>
      </c>
      <c r="F2996" s="2" t="s">
        <v>12332</v>
      </c>
      <c r="G2996" s="2" t="s">
        <v>12333</v>
      </c>
      <c r="H2996" s="2">
        <v>249.0</v>
      </c>
      <c r="I2996" s="2">
        <v>2.8120050022242E13</v>
      </c>
      <c r="J2996" s="3">
        <v>0.0</v>
      </c>
      <c r="K2996" s="2" t="s">
        <v>12334</v>
      </c>
      <c r="L2996" s="2"/>
      <c r="M2996" s="170" t="s">
        <v>455</v>
      </c>
      <c r="N2996" s="2" t="s">
        <v>406</v>
      </c>
      <c r="O2996" s="3"/>
      <c r="P2996" s="2" t="s">
        <v>73</v>
      </c>
      <c r="Q2996" s="3">
        <v>0.0</v>
      </c>
      <c r="R2996" s="3">
        <v>0.5</v>
      </c>
      <c r="U2996" s="141"/>
      <c r="W2996" s="3">
        <v>200.0</v>
      </c>
      <c r="X2996" s="172">
        <v>46093.74934134259</v>
      </c>
      <c r="Y2996" s="172">
        <v>46082.10208092592</v>
      </c>
      <c r="Z2996" s="3">
        <v>46082.0</v>
      </c>
    </row>
    <row r="2997">
      <c r="A2997" s="3">
        <v>6.932092223747E12</v>
      </c>
      <c r="B2997" s="2" t="s">
        <v>12335</v>
      </c>
      <c r="C2997" s="2" t="s">
        <v>12336</v>
      </c>
      <c r="D2997" s="169">
        <v>46082.0</v>
      </c>
      <c r="E2997" s="173" t="s">
        <v>12337</v>
      </c>
      <c r="F2997" s="2" t="s">
        <v>12338</v>
      </c>
      <c r="G2997" s="2" t="s">
        <v>12339</v>
      </c>
      <c r="H2997" s="2">
        <v>3348.0</v>
      </c>
      <c r="I2997" s="2">
        <v>2.4120050022276E13</v>
      </c>
      <c r="J2997" s="3">
        <v>2.0</v>
      </c>
      <c r="K2997" s="2" t="s">
        <v>12227</v>
      </c>
      <c r="L2997" s="2" t="s">
        <v>275</v>
      </c>
      <c r="M2997" s="2" t="s">
        <v>409</v>
      </c>
      <c r="N2997" s="2" t="s">
        <v>462</v>
      </c>
      <c r="O2997" s="3"/>
      <c r="P2997" s="2" t="s">
        <v>73</v>
      </c>
      <c r="Q2997" s="3">
        <v>800.0</v>
      </c>
      <c r="R2997" s="3">
        <v>0.5</v>
      </c>
      <c r="T2997" s="2" t="s">
        <v>12069</v>
      </c>
      <c r="U2997" s="171">
        <v>3348.0</v>
      </c>
      <c r="V2997" s="172">
        <v>46094.0</v>
      </c>
      <c r="W2997" s="3">
        <v>354.0</v>
      </c>
      <c r="X2997" s="172">
        <v>46092.624296145834</v>
      </c>
      <c r="Y2997" s="172">
        <v>46082.10208092592</v>
      </c>
      <c r="Z2997" s="3">
        <v>46082.0</v>
      </c>
    </row>
    <row r="2998">
      <c r="A2998" s="3">
        <v>6.932128596227E12</v>
      </c>
      <c r="B2998" s="2" t="s">
        <v>12340</v>
      </c>
      <c r="C2998" s="2" t="s">
        <v>12341</v>
      </c>
      <c r="D2998" s="169">
        <v>46082.0</v>
      </c>
      <c r="E2998" s="2">
        <v>3.0844412E9</v>
      </c>
      <c r="F2998" s="2" t="s">
        <v>12342</v>
      </c>
      <c r="G2998" s="2" t="s">
        <v>551</v>
      </c>
      <c r="H2998" s="2">
        <v>3348.0</v>
      </c>
      <c r="I2998" s="2">
        <v>2.5120050022241E13</v>
      </c>
      <c r="J2998" s="3">
        <v>2.0</v>
      </c>
      <c r="K2998" s="2" t="s">
        <v>12250</v>
      </c>
      <c r="L2998" s="2" t="s">
        <v>1116</v>
      </c>
      <c r="M2998" s="2" t="s">
        <v>409</v>
      </c>
      <c r="N2998" s="2" t="s">
        <v>462</v>
      </c>
      <c r="O2998" s="3"/>
      <c r="P2998" s="2" t="s">
        <v>73</v>
      </c>
      <c r="Q2998" s="3">
        <v>800.0</v>
      </c>
      <c r="R2998" s="3">
        <v>0.5</v>
      </c>
      <c r="T2998" s="2" t="s">
        <v>11565</v>
      </c>
      <c r="U2998" s="171">
        <v>3348.0</v>
      </c>
      <c r="V2998" s="172">
        <v>46087.0</v>
      </c>
      <c r="W2998" s="3">
        <v>334.0</v>
      </c>
      <c r="X2998" s="172">
        <v>46086.499385682866</v>
      </c>
      <c r="Y2998" s="172">
        <v>46082.1437993287</v>
      </c>
      <c r="Z2998" s="3">
        <v>46082.0</v>
      </c>
    </row>
    <row r="2999">
      <c r="A2999" s="3">
        <v>6.932256850179E12</v>
      </c>
      <c r="B2999" s="2" t="s">
        <v>12343</v>
      </c>
      <c r="C2999" s="2" t="s">
        <v>12344</v>
      </c>
      <c r="D2999" s="169">
        <v>46082.0</v>
      </c>
      <c r="E2999" s="2">
        <v>3.162123445E9</v>
      </c>
      <c r="F2999" s="2" t="s">
        <v>12345</v>
      </c>
      <c r="G2999" s="2" t="s">
        <v>493</v>
      </c>
      <c r="H2999" s="2">
        <v>2749.0</v>
      </c>
      <c r="I2999" s="2">
        <v>2.2120050022315E13</v>
      </c>
      <c r="J2999" s="3">
        <v>2.0</v>
      </c>
      <c r="K2999" s="2" t="s">
        <v>12346</v>
      </c>
      <c r="L2999" s="2" t="s">
        <v>12347</v>
      </c>
      <c r="M2999" s="2" t="s">
        <v>409</v>
      </c>
      <c r="N2999" s="2" t="s">
        <v>462</v>
      </c>
      <c r="O2999" s="3"/>
      <c r="P2999" s="2" t="s">
        <v>73</v>
      </c>
      <c r="Q2999" s="3">
        <v>750.0</v>
      </c>
      <c r="R2999" s="3">
        <v>0.5</v>
      </c>
      <c r="T2999" s="2" t="s">
        <v>12156</v>
      </c>
      <c r="U2999" s="171">
        <v>2749.0</v>
      </c>
      <c r="V2999" s="172">
        <v>46091.0</v>
      </c>
      <c r="W2999" s="3">
        <v>323.0</v>
      </c>
      <c r="X2999" s="172">
        <v>46090.95764275463</v>
      </c>
      <c r="Y2999" s="172">
        <v>46082.185442835646</v>
      </c>
      <c r="Z2999" s="3">
        <v>46082.0</v>
      </c>
    </row>
    <row r="3000">
      <c r="A3000" s="3">
        <v>6.932284735747E12</v>
      </c>
      <c r="B3000" s="2" t="s">
        <v>12348</v>
      </c>
      <c r="C3000" s="2" t="s">
        <v>2104</v>
      </c>
      <c r="D3000" s="169">
        <v>46082.0</v>
      </c>
      <c r="E3000" s="2">
        <v>3.159573786E9</v>
      </c>
      <c r="F3000" s="2" t="s">
        <v>2105</v>
      </c>
      <c r="G3000" s="2" t="s">
        <v>2106</v>
      </c>
      <c r="H3000" s="2">
        <v>2749.0</v>
      </c>
      <c r="I3000" s="2" t="s">
        <v>12349</v>
      </c>
      <c r="J3000" s="3">
        <v>2.0</v>
      </c>
      <c r="K3000" s="2" t="s">
        <v>204</v>
      </c>
      <c r="L3000" s="2" t="s">
        <v>16</v>
      </c>
      <c r="M3000" s="2" t="s">
        <v>409</v>
      </c>
      <c r="N3000" s="2" t="s">
        <v>406</v>
      </c>
      <c r="O3000" s="3"/>
      <c r="P3000" s="2" t="s">
        <v>640</v>
      </c>
      <c r="Q3000" s="3">
        <v>980.0</v>
      </c>
      <c r="R3000" s="3">
        <v>0.5</v>
      </c>
      <c r="U3000" s="141"/>
      <c r="X3000" s="172">
        <v>46087.70903385417</v>
      </c>
      <c r="Y3000" s="172">
        <v>46082.22707633102</v>
      </c>
      <c r="Z3000" s="3">
        <v>46082.0</v>
      </c>
    </row>
    <row r="3001">
      <c r="A3001" s="3">
        <v>6.932300103939E12</v>
      </c>
      <c r="B3001" s="2" t="s">
        <v>12350</v>
      </c>
      <c r="C3001" s="2" t="s">
        <v>12351</v>
      </c>
      <c r="D3001" s="169">
        <v>46082.0</v>
      </c>
      <c r="E3001" s="2">
        <v>3.133977564E9</v>
      </c>
      <c r="F3001" s="2" t="s">
        <v>12352</v>
      </c>
      <c r="G3001" s="2" t="s">
        <v>693</v>
      </c>
      <c r="H3001" s="2">
        <v>3348.0</v>
      </c>
      <c r="I3001" s="2" t="s">
        <v>12353</v>
      </c>
      <c r="J3001" s="3">
        <v>2.0</v>
      </c>
      <c r="K3001" s="2" t="s">
        <v>204</v>
      </c>
      <c r="L3001" s="2" t="s">
        <v>50</v>
      </c>
      <c r="M3001" s="2" t="s">
        <v>409</v>
      </c>
      <c r="N3001" s="2" t="s">
        <v>406</v>
      </c>
      <c r="O3001" s="3"/>
      <c r="P3001" s="2" t="s">
        <v>640</v>
      </c>
      <c r="Q3001" s="3">
        <v>720.0</v>
      </c>
      <c r="R3001" s="3">
        <v>0.5</v>
      </c>
      <c r="U3001" s="141"/>
      <c r="X3001" s="172">
        <v>46086.95921444445</v>
      </c>
      <c r="Y3001" s="172">
        <v>46082.22707633102</v>
      </c>
      <c r="Z3001" s="3">
        <v>46082.0</v>
      </c>
    </row>
    <row r="3002">
      <c r="A3002" s="3">
        <v>6.932566868227E12</v>
      </c>
      <c r="B3002" s="2" t="s">
        <v>12354</v>
      </c>
      <c r="C3002" s="2" t="s">
        <v>12355</v>
      </c>
      <c r="D3002" s="169">
        <v>46082.0</v>
      </c>
      <c r="E3002" s="2">
        <v>3.304622961E9</v>
      </c>
      <c r="F3002" s="2" t="s">
        <v>12356</v>
      </c>
      <c r="G3002" s="2" t="s">
        <v>12357</v>
      </c>
      <c r="H3002" s="2">
        <v>249.0</v>
      </c>
      <c r="I3002" s="2">
        <v>2.1120050022505E13</v>
      </c>
      <c r="J3002" s="3">
        <v>0.0</v>
      </c>
      <c r="K3002" s="2" t="s">
        <v>12358</v>
      </c>
      <c r="L3002" s="2"/>
      <c r="M3002" s="170" t="s">
        <v>455</v>
      </c>
      <c r="N3002" s="2" t="s">
        <v>406</v>
      </c>
      <c r="O3002" s="3"/>
      <c r="P3002" s="2" t="s">
        <v>73</v>
      </c>
      <c r="Q3002" s="3">
        <v>0.0</v>
      </c>
      <c r="R3002" s="3">
        <v>0.5</v>
      </c>
      <c r="U3002" s="141"/>
      <c r="W3002" s="3">
        <v>220.0</v>
      </c>
      <c r="X3002" s="172">
        <v>46099.74939203703</v>
      </c>
      <c r="Y3002" s="172">
        <v>46082.435422662034</v>
      </c>
      <c r="Z3002" s="3">
        <v>46082.0</v>
      </c>
    </row>
    <row r="3003">
      <c r="A3003" s="3">
        <v>6.932711473411E12</v>
      </c>
      <c r="B3003" s="2" t="s">
        <v>12359</v>
      </c>
      <c r="C3003" s="2" t="s">
        <v>12360</v>
      </c>
      <c r="D3003" s="169">
        <v>46082.0</v>
      </c>
      <c r="E3003" s="2">
        <v>3.330300009E9</v>
      </c>
      <c r="F3003" s="2" t="s">
        <v>12361</v>
      </c>
      <c r="G3003" s="2" t="s">
        <v>493</v>
      </c>
      <c r="H3003" s="2">
        <v>3348.0</v>
      </c>
      <c r="I3003" s="2">
        <v>2.3120050022235E13</v>
      </c>
      <c r="J3003" s="3">
        <v>2.0</v>
      </c>
      <c r="K3003" s="2" t="s">
        <v>12250</v>
      </c>
      <c r="L3003" s="2" t="s">
        <v>1258</v>
      </c>
      <c r="M3003" s="2" t="s">
        <v>409</v>
      </c>
      <c r="N3003" s="2" t="s">
        <v>462</v>
      </c>
      <c r="O3003" s="3"/>
      <c r="P3003" s="2" t="s">
        <v>73</v>
      </c>
      <c r="Q3003" s="3">
        <v>800.0</v>
      </c>
      <c r="R3003" s="3">
        <v>0.5</v>
      </c>
      <c r="T3003" s="2" t="s">
        <v>11565</v>
      </c>
      <c r="U3003" s="171">
        <v>3348.0</v>
      </c>
      <c r="V3003" s="172">
        <v>46087.0</v>
      </c>
      <c r="W3003" s="3">
        <v>347.0</v>
      </c>
      <c r="X3003" s="172">
        <v>46086.54102641204</v>
      </c>
      <c r="Y3003" s="172">
        <v>46082.56040898148</v>
      </c>
      <c r="Z3003" s="3">
        <v>46082.0</v>
      </c>
    </row>
    <row r="3004">
      <c r="A3004" s="3">
        <v>6.932728217859E12</v>
      </c>
      <c r="B3004" s="2" t="s">
        <v>12362</v>
      </c>
      <c r="C3004" s="2" t="s">
        <v>12363</v>
      </c>
      <c r="D3004" s="169">
        <v>46082.0</v>
      </c>
      <c r="E3004" s="2">
        <v>3.185359868E9</v>
      </c>
      <c r="F3004" s="2" t="s">
        <v>12364</v>
      </c>
      <c r="G3004" s="2" t="s">
        <v>5702</v>
      </c>
      <c r="H3004" s="2">
        <v>0.0</v>
      </c>
      <c r="J3004" s="3">
        <v>0.0</v>
      </c>
      <c r="K3004" s="2" t="s">
        <v>7954</v>
      </c>
      <c r="L3004" s="2"/>
      <c r="M3004" s="2" t="s">
        <v>468</v>
      </c>
      <c r="N3004" s="2" t="s">
        <v>406</v>
      </c>
      <c r="O3004" s="3"/>
      <c r="Q3004" s="3">
        <v>0.0</v>
      </c>
      <c r="R3004" s="3">
        <v>0.5</v>
      </c>
      <c r="U3004" s="141"/>
      <c r="X3004" s="172"/>
      <c r="Y3004" s="172">
        <v>46082.56040898148</v>
      </c>
      <c r="Z3004" s="3">
        <v>46082.0</v>
      </c>
    </row>
    <row r="3005">
      <c r="A3005" s="3">
        <v>6.932729856259E12</v>
      </c>
      <c r="B3005" s="2" t="s">
        <v>12365</v>
      </c>
      <c r="C3005" s="2" t="s">
        <v>12363</v>
      </c>
      <c r="D3005" s="169">
        <v>46082.0</v>
      </c>
      <c r="E3005" s="173" t="s">
        <v>12366</v>
      </c>
      <c r="F3005" s="2" t="s">
        <v>12364</v>
      </c>
      <c r="G3005" s="2" t="s">
        <v>5702</v>
      </c>
      <c r="H3005" s="2">
        <v>249.0</v>
      </c>
      <c r="I3005" s="2">
        <v>2.7120050022234E13</v>
      </c>
      <c r="J3005" s="3">
        <v>0.0</v>
      </c>
      <c r="K3005" s="2" t="s">
        <v>12367</v>
      </c>
      <c r="L3005" s="2"/>
      <c r="M3005" s="170" t="s">
        <v>455</v>
      </c>
      <c r="N3005" s="2" t="s">
        <v>406</v>
      </c>
      <c r="O3005" s="3"/>
      <c r="P3005" s="2" t="s">
        <v>73</v>
      </c>
      <c r="Q3005" s="3">
        <v>0.0</v>
      </c>
      <c r="R3005" s="3">
        <v>0.5</v>
      </c>
      <c r="U3005" s="141"/>
      <c r="W3005" s="3">
        <v>200.0</v>
      </c>
      <c r="X3005" s="172">
        <v>46090.9576427662</v>
      </c>
      <c r="Y3005" s="172">
        <v>46082.56040898148</v>
      </c>
      <c r="Z3005" s="3">
        <v>46082.0</v>
      </c>
    </row>
    <row r="3006">
      <c r="A3006" s="3">
        <v>6.932739850499E12</v>
      </c>
      <c r="B3006" s="2" t="s">
        <v>12368</v>
      </c>
      <c r="C3006" s="2" t="s">
        <v>12369</v>
      </c>
      <c r="D3006" s="169">
        <v>46082.0</v>
      </c>
      <c r="E3006" s="173" t="s">
        <v>12370</v>
      </c>
      <c r="F3006" s="2" t="s">
        <v>12371</v>
      </c>
      <c r="G3006" s="2" t="s">
        <v>688</v>
      </c>
      <c r="H3006" s="2">
        <v>9199.0</v>
      </c>
      <c r="I3006" s="2">
        <v>2.0120050022233E13</v>
      </c>
      <c r="J3006" s="3">
        <v>4.0</v>
      </c>
      <c r="K3006" s="2" t="s">
        <v>12372</v>
      </c>
      <c r="L3006" s="2" t="s">
        <v>12373</v>
      </c>
      <c r="M3006" s="2" t="s">
        <v>409</v>
      </c>
      <c r="N3006" s="2" t="s">
        <v>462</v>
      </c>
      <c r="O3006" s="3"/>
      <c r="P3006" s="2" t="s">
        <v>73</v>
      </c>
      <c r="Q3006" s="3">
        <v>3520.0</v>
      </c>
      <c r="R3006" s="3">
        <v>0.5</v>
      </c>
      <c r="T3006" s="2" t="s">
        <v>12069</v>
      </c>
      <c r="U3006" s="171">
        <v>9199.0</v>
      </c>
      <c r="V3006" s="172">
        <v>46094.0</v>
      </c>
      <c r="W3006" s="3">
        <v>681.0</v>
      </c>
      <c r="X3006" s="172">
        <v>46091.91595743055</v>
      </c>
      <c r="Y3006" s="172">
        <v>46082.56040898148</v>
      </c>
      <c r="Z3006" s="3">
        <v>46082.0</v>
      </c>
    </row>
    <row r="3007">
      <c r="A3007" s="3">
        <v>6.932741718275E12</v>
      </c>
      <c r="B3007" s="2" t="s">
        <v>12374</v>
      </c>
      <c r="C3007" s="2" t="s">
        <v>12375</v>
      </c>
      <c r="D3007" s="169">
        <v>46082.0</v>
      </c>
      <c r="E3007" s="2">
        <v>3.117993447E9</v>
      </c>
      <c r="F3007" s="2" t="s">
        <v>12376</v>
      </c>
      <c r="G3007" s="2" t="s">
        <v>688</v>
      </c>
      <c r="H3007" s="2">
        <v>0.0</v>
      </c>
      <c r="J3007" s="3">
        <v>0.0</v>
      </c>
      <c r="K3007" s="2" t="s">
        <v>12377</v>
      </c>
      <c r="L3007" s="2"/>
      <c r="M3007" s="2" t="s">
        <v>468</v>
      </c>
      <c r="N3007" s="2" t="s">
        <v>406</v>
      </c>
      <c r="O3007" s="3"/>
      <c r="Q3007" s="3">
        <v>0.0</v>
      </c>
      <c r="R3007" s="3">
        <v>0.5</v>
      </c>
      <c r="U3007" s="141"/>
      <c r="X3007" s="172"/>
      <c r="Y3007" s="172">
        <v>46082.56040898148</v>
      </c>
      <c r="Z3007" s="3">
        <v>46082.0</v>
      </c>
    </row>
    <row r="3008">
      <c r="A3008" s="3">
        <v>6.932745093379E12</v>
      </c>
      <c r="B3008" s="2" t="s">
        <v>12378</v>
      </c>
      <c r="C3008" s="2" t="s">
        <v>11898</v>
      </c>
      <c r="D3008" s="169">
        <v>46082.0</v>
      </c>
      <c r="E3008" s="173" t="s">
        <v>12379</v>
      </c>
      <c r="F3008" s="2" t="s">
        <v>11899</v>
      </c>
      <c r="G3008" s="2" t="s">
        <v>506</v>
      </c>
      <c r="H3008" s="2">
        <v>3347.0</v>
      </c>
      <c r="I3008" s="2">
        <v>342362.0</v>
      </c>
      <c r="J3008" s="3">
        <v>2.0</v>
      </c>
      <c r="K3008" s="2" t="s">
        <v>12380</v>
      </c>
      <c r="L3008" s="2" t="s">
        <v>1263</v>
      </c>
      <c r="M3008" s="2" t="s">
        <v>409</v>
      </c>
      <c r="N3008" s="2" t="s">
        <v>406</v>
      </c>
      <c r="O3008" s="3"/>
      <c r="P3008" s="2" t="s">
        <v>11478</v>
      </c>
      <c r="Q3008" s="3">
        <v>720.0</v>
      </c>
      <c r="R3008" s="3">
        <v>0.5</v>
      </c>
      <c r="U3008" s="141"/>
      <c r="X3008" s="172">
        <v>46087.75064334491</v>
      </c>
      <c r="Y3008" s="172">
        <v>46082.56040898148</v>
      </c>
      <c r="Z3008" s="3">
        <v>46082.0</v>
      </c>
    </row>
    <row r="3009">
      <c r="A3009" s="3">
        <v>6.932769833219E12</v>
      </c>
      <c r="B3009" s="2" t="s">
        <v>12381</v>
      </c>
      <c r="C3009" s="2" t="s">
        <v>12382</v>
      </c>
      <c r="D3009" s="169">
        <v>46082.0</v>
      </c>
      <c r="E3009" s="173" t="s">
        <v>12383</v>
      </c>
      <c r="F3009" s="2" t="s">
        <v>12384</v>
      </c>
      <c r="G3009" s="2" t="s">
        <v>4425</v>
      </c>
      <c r="H3009" s="2">
        <v>3348.0</v>
      </c>
      <c r="I3009" s="2">
        <v>2.8120050022232E13</v>
      </c>
      <c r="J3009" s="3">
        <v>2.0</v>
      </c>
      <c r="K3009" s="2" t="s">
        <v>12250</v>
      </c>
      <c r="L3009" s="2" t="s">
        <v>22</v>
      </c>
      <c r="M3009" s="2" t="s">
        <v>409</v>
      </c>
      <c r="N3009" s="2" t="s">
        <v>462</v>
      </c>
      <c r="O3009" s="3"/>
      <c r="P3009" s="2" t="s">
        <v>73</v>
      </c>
      <c r="Q3009" s="3">
        <v>800.0</v>
      </c>
      <c r="R3009" s="3">
        <v>0.5</v>
      </c>
      <c r="T3009" s="2" t="s">
        <v>11565</v>
      </c>
      <c r="U3009" s="171">
        <v>3348.0</v>
      </c>
      <c r="V3009" s="172">
        <v>46087.0</v>
      </c>
      <c r="W3009" s="3">
        <v>347.0</v>
      </c>
      <c r="X3009" s="172">
        <v>46085.70766398148</v>
      </c>
      <c r="Y3009" s="172">
        <v>46082.6020991088</v>
      </c>
      <c r="Z3009" s="3">
        <v>46082.0</v>
      </c>
    </row>
    <row r="3010">
      <c r="A3010" s="3">
        <v>6.932843069699E12</v>
      </c>
      <c r="B3010" s="2" t="s">
        <v>12385</v>
      </c>
      <c r="C3010" s="2" t="s">
        <v>12386</v>
      </c>
      <c r="D3010" s="169">
        <v>46082.0</v>
      </c>
      <c r="E3010" s="173" t="s">
        <v>12387</v>
      </c>
      <c r="F3010" s="2" t="s">
        <v>12388</v>
      </c>
      <c r="G3010" s="2" t="s">
        <v>493</v>
      </c>
      <c r="H3010" s="2">
        <v>0.0</v>
      </c>
      <c r="J3010" s="3">
        <v>0.0</v>
      </c>
      <c r="K3010" s="2" t="s">
        <v>8038</v>
      </c>
      <c r="L3010" s="2"/>
      <c r="M3010" s="2" t="s">
        <v>468</v>
      </c>
      <c r="N3010" s="2" t="s">
        <v>406</v>
      </c>
      <c r="O3010" s="3"/>
      <c r="Q3010" s="3">
        <v>0.0</v>
      </c>
      <c r="R3010" s="3">
        <v>0.5</v>
      </c>
      <c r="U3010" s="141"/>
      <c r="X3010" s="172"/>
      <c r="Y3010" s="172">
        <v>46082.68542228009</v>
      </c>
      <c r="Z3010" s="3">
        <v>46082.0</v>
      </c>
    </row>
    <row r="3011">
      <c r="A3011" s="3">
        <v>6.932883898627E12</v>
      </c>
      <c r="B3011" s="2" t="s">
        <v>12389</v>
      </c>
      <c r="C3011" s="2" t="s">
        <v>12390</v>
      </c>
      <c r="D3011" s="169">
        <v>46082.0</v>
      </c>
      <c r="E3011" s="173" t="s">
        <v>12391</v>
      </c>
      <c r="F3011" s="2" t="s">
        <v>12392</v>
      </c>
      <c r="G3011" s="2" t="s">
        <v>672</v>
      </c>
      <c r="H3011" s="2">
        <v>3348.0</v>
      </c>
      <c r="I3011" s="2">
        <v>2.0120050022231E13</v>
      </c>
      <c r="J3011" s="3">
        <v>2.0</v>
      </c>
      <c r="K3011" s="2" t="s">
        <v>12393</v>
      </c>
      <c r="L3011" s="2" t="s">
        <v>1116</v>
      </c>
      <c r="M3011" s="2" t="s">
        <v>409</v>
      </c>
      <c r="N3011" s="2" t="s">
        <v>462</v>
      </c>
      <c r="O3011" s="3"/>
      <c r="P3011" s="2" t="s">
        <v>73</v>
      </c>
      <c r="Q3011" s="3">
        <v>800.0</v>
      </c>
      <c r="R3011" s="3">
        <v>0.5</v>
      </c>
      <c r="T3011" s="2" t="s">
        <v>11565</v>
      </c>
      <c r="U3011" s="171">
        <v>3348.0</v>
      </c>
      <c r="V3011" s="172">
        <v>46087.0</v>
      </c>
      <c r="W3011" s="3">
        <v>347.0</v>
      </c>
      <c r="X3011" s="172">
        <v>46086.582683298606</v>
      </c>
      <c r="Y3011" s="172">
        <v>46082.727098240735</v>
      </c>
      <c r="Z3011" s="3">
        <v>46082.0</v>
      </c>
    </row>
    <row r="3012">
      <c r="A3012" s="3">
        <v>6.933003075843E12</v>
      </c>
      <c r="B3012" s="2" t="s">
        <v>12394</v>
      </c>
      <c r="C3012" s="2" t="s">
        <v>12395</v>
      </c>
      <c r="D3012" s="169">
        <v>46082.0</v>
      </c>
      <c r="E3012" s="2">
        <v>3.06133002E9</v>
      </c>
      <c r="F3012" s="2" t="s">
        <v>12396</v>
      </c>
      <c r="G3012" s="2" t="s">
        <v>541</v>
      </c>
      <c r="H3012" s="2">
        <v>3349.0</v>
      </c>
      <c r="I3012" s="2">
        <v>2.612005002223E13</v>
      </c>
      <c r="J3012" s="3">
        <v>2.0</v>
      </c>
      <c r="K3012" s="2" t="s">
        <v>12397</v>
      </c>
      <c r="L3012" s="2" t="s">
        <v>7383</v>
      </c>
      <c r="M3012" s="2" t="s">
        <v>409</v>
      </c>
      <c r="N3012" s="2" t="s">
        <v>462</v>
      </c>
      <c r="O3012" s="3"/>
      <c r="P3012" s="2" t="s">
        <v>73</v>
      </c>
      <c r="Q3012" s="3">
        <v>980.0</v>
      </c>
      <c r="R3012" s="3">
        <v>0.5</v>
      </c>
      <c r="T3012" s="2" t="s">
        <v>11565</v>
      </c>
      <c r="U3012" s="171">
        <v>3349.0</v>
      </c>
      <c r="V3012" s="172">
        <v>46087.0</v>
      </c>
      <c r="W3012" s="3">
        <v>334.0</v>
      </c>
      <c r="X3012" s="172">
        <v>46086.62436025463</v>
      </c>
      <c r="Y3012" s="172">
        <v>46082.81043817129</v>
      </c>
      <c r="Z3012" s="3">
        <v>46082.0</v>
      </c>
    </row>
    <row r="3013">
      <c r="A3013" s="3">
        <v>6.933003337987E12</v>
      </c>
      <c r="B3013" s="2" t="s">
        <v>12398</v>
      </c>
      <c r="C3013" s="2" t="s">
        <v>12399</v>
      </c>
      <c r="D3013" s="169">
        <v>46082.0</v>
      </c>
      <c r="E3013" s="2">
        <v>3.335658369E9</v>
      </c>
      <c r="F3013" s="2" t="s">
        <v>12400</v>
      </c>
      <c r="G3013" s="2" t="s">
        <v>4667</v>
      </c>
      <c r="H3013" s="2">
        <v>0.0</v>
      </c>
      <c r="J3013" s="3">
        <v>0.0</v>
      </c>
      <c r="K3013" s="2" t="s">
        <v>12401</v>
      </c>
      <c r="L3013" s="2"/>
      <c r="M3013" s="2" t="s">
        <v>468</v>
      </c>
      <c r="N3013" s="2" t="s">
        <v>406</v>
      </c>
      <c r="O3013" s="3"/>
      <c r="Q3013" s="3">
        <v>0.0</v>
      </c>
      <c r="R3013" s="3">
        <v>0.5</v>
      </c>
      <c r="U3013" s="141"/>
      <c r="X3013" s="172"/>
      <c r="Y3013" s="172">
        <v>46082.81043817129</v>
      </c>
      <c r="Z3013" s="3">
        <v>46082.0</v>
      </c>
    </row>
    <row r="3014">
      <c r="A3014" s="3">
        <v>6.933007991043E12</v>
      </c>
      <c r="B3014" s="2" t="s">
        <v>12402</v>
      </c>
      <c r="C3014" s="2" t="s">
        <v>12403</v>
      </c>
      <c r="D3014" s="169">
        <v>46082.0</v>
      </c>
      <c r="E3014" s="2">
        <v>3.234570507E9</v>
      </c>
      <c r="F3014" s="2" t="s">
        <v>12404</v>
      </c>
      <c r="G3014" s="2" t="s">
        <v>368</v>
      </c>
      <c r="H3014" s="2">
        <v>2749.0</v>
      </c>
      <c r="I3014" s="2">
        <v>2.1120050022229E13</v>
      </c>
      <c r="J3014" s="3">
        <v>2.0</v>
      </c>
      <c r="K3014" s="2" t="s">
        <v>12242</v>
      </c>
      <c r="L3014" s="2" t="s">
        <v>16</v>
      </c>
      <c r="M3014" s="2" t="s">
        <v>409</v>
      </c>
      <c r="N3014" s="2" t="s">
        <v>462</v>
      </c>
      <c r="O3014" s="3"/>
      <c r="P3014" s="2" t="s">
        <v>73</v>
      </c>
      <c r="Q3014" s="3">
        <v>980.0</v>
      </c>
      <c r="R3014" s="3">
        <v>0.5</v>
      </c>
      <c r="T3014" s="2" t="s">
        <v>11565</v>
      </c>
      <c r="U3014" s="171">
        <v>2749.0</v>
      </c>
      <c r="V3014" s="172">
        <v>46087.0</v>
      </c>
      <c r="W3014" s="3">
        <v>217.0</v>
      </c>
      <c r="X3014" s="172">
        <v>46084.749415266204</v>
      </c>
      <c r="Y3014" s="172">
        <v>46082.81043817129</v>
      </c>
      <c r="Z3014" s="3">
        <v>46082.0</v>
      </c>
    </row>
    <row r="3015">
      <c r="A3015" s="3">
        <v>6.933123956995E12</v>
      </c>
      <c r="B3015" s="2" t="s">
        <v>12405</v>
      </c>
      <c r="C3015" s="2" t="s">
        <v>12406</v>
      </c>
      <c r="D3015" s="169">
        <v>46082.0</v>
      </c>
      <c r="E3015" s="2">
        <v>3.212008898E9</v>
      </c>
      <c r="F3015" s="2" t="s">
        <v>12407</v>
      </c>
      <c r="G3015" s="2" t="s">
        <v>506</v>
      </c>
      <c r="H3015" s="2">
        <v>1798.5</v>
      </c>
      <c r="I3015" s="2">
        <v>2.1120050022228E13</v>
      </c>
      <c r="J3015" s="3">
        <v>1.0</v>
      </c>
      <c r="K3015" s="2" t="s">
        <v>12250</v>
      </c>
      <c r="L3015" s="2" t="s">
        <v>12408</v>
      </c>
      <c r="M3015" s="2" t="s">
        <v>409</v>
      </c>
      <c r="N3015" s="2" t="s">
        <v>406</v>
      </c>
      <c r="O3015" s="3"/>
      <c r="P3015" s="2" t="s">
        <v>73</v>
      </c>
      <c r="Q3015" s="3">
        <v>360.0</v>
      </c>
      <c r="R3015" s="3">
        <v>0.5</v>
      </c>
      <c r="T3015" s="2" t="s">
        <v>11565</v>
      </c>
      <c r="U3015" s="171">
        <v>1798.5</v>
      </c>
      <c r="V3015" s="172">
        <v>46087.0</v>
      </c>
      <c r="W3015" s="3">
        <v>334.0</v>
      </c>
      <c r="X3015" s="172">
        <v>46085.70766399306</v>
      </c>
      <c r="Y3015" s="172">
        <v>46082.893752627315</v>
      </c>
      <c r="Z3015" s="3">
        <v>46082.0</v>
      </c>
    </row>
    <row r="3016">
      <c r="A3016" s="3">
        <v>6.933171437827E12</v>
      </c>
      <c r="B3016" s="2" t="s">
        <v>12409</v>
      </c>
      <c r="C3016" s="2" t="s">
        <v>12410</v>
      </c>
      <c r="D3016" s="169">
        <v>46082.0</v>
      </c>
      <c r="E3016" s="2">
        <v>3.005523923E9</v>
      </c>
      <c r="F3016" s="175" t="s">
        <v>12411</v>
      </c>
      <c r="G3016" s="175" t="s">
        <v>12412</v>
      </c>
      <c r="H3016" s="2">
        <v>0.0</v>
      </c>
      <c r="J3016" s="3">
        <v>0.0</v>
      </c>
      <c r="K3016" s="2" t="s">
        <v>7954</v>
      </c>
      <c r="L3016" s="2"/>
      <c r="M3016" s="2" t="s">
        <v>468</v>
      </c>
      <c r="N3016" s="2" t="s">
        <v>406</v>
      </c>
      <c r="O3016" s="3"/>
      <c r="Q3016" s="3">
        <v>0.0</v>
      </c>
      <c r="R3016" s="3">
        <v>0.5</v>
      </c>
      <c r="U3016" s="141"/>
      <c r="X3016" s="172"/>
      <c r="Y3016" s="172">
        <v>46082.893752627315</v>
      </c>
      <c r="Z3016" s="3">
        <v>46082.0</v>
      </c>
    </row>
    <row r="3017">
      <c r="A3017" s="3">
        <v>6.933181563139E12</v>
      </c>
      <c r="B3017" s="2" t="s">
        <v>12413</v>
      </c>
      <c r="C3017" s="2" t="s">
        <v>12410</v>
      </c>
      <c r="D3017" s="169">
        <v>46082.0</v>
      </c>
      <c r="E3017" s="2">
        <v>3.005523923E9</v>
      </c>
      <c r="F3017" s="175" t="s">
        <v>12414</v>
      </c>
      <c r="G3017" s="175" t="s">
        <v>12415</v>
      </c>
      <c r="H3017" s="2">
        <v>0.0</v>
      </c>
      <c r="J3017" s="3">
        <v>0.0</v>
      </c>
      <c r="K3017" s="2" t="s">
        <v>7954</v>
      </c>
      <c r="L3017" s="2"/>
      <c r="M3017" s="2" t="s">
        <v>468</v>
      </c>
      <c r="N3017" s="2" t="s">
        <v>406</v>
      </c>
      <c r="O3017" s="3"/>
      <c r="Q3017" s="3">
        <v>0.0</v>
      </c>
      <c r="R3017" s="3">
        <v>0.5</v>
      </c>
      <c r="U3017" s="141"/>
      <c r="X3017" s="172"/>
      <c r="Y3017" s="172">
        <v>46082.935432384256</v>
      </c>
      <c r="Z3017" s="3">
        <v>46082.0</v>
      </c>
    </row>
    <row r="3018">
      <c r="A3018" s="3">
        <v>6.933194539267E12</v>
      </c>
      <c r="B3018" s="2" t="s">
        <v>12416</v>
      </c>
      <c r="C3018" s="2" t="s">
        <v>12410</v>
      </c>
      <c r="D3018" s="169">
        <v>46082.0</v>
      </c>
      <c r="E3018" s="2">
        <v>3.005523923E9</v>
      </c>
      <c r="F3018" s="175" t="s">
        <v>12414</v>
      </c>
      <c r="G3018" s="175" t="s">
        <v>12415</v>
      </c>
      <c r="H3018" s="2">
        <v>4746.0</v>
      </c>
      <c r="I3018" s="2">
        <v>2.9120050022227E13</v>
      </c>
      <c r="J3018" s="3">
        <v>3.0</v>
      </c>
      <c r="K3018" s="2" t="s">
        <v>12417</v>
      </c>
      <c r="L3018" s="2" t="s">
        <v>12418</v>
      </c>
      <c r="M3018" s="2" t="s">
        <v>409</v>
      </c>
      <c r="N3018" s="2" t="s">
        <v>462</v>
      </c>
      <c r="O3018" s="3"/>
      <c r="P3018" s="2" t="s">
        <v>73</v>
      </c>
      <c r="Q3018" s="3">
        <v>1200.0</v>
      </c>
      <c r="R3018" s="3">
        <v>0.5</v>
      </c>
      <c r="T3018" s="2" t="s">
        <v>11565</v>
      </c>
      <c r="U3018" s="171">
        <v>4746.0</v>
      </c>
      <c r="V3018" s="172">
        <v>46087.0</v>
      </c>
      <c r="W3018" s="3">
        <v>390.0</v>
      </c>
      <c r="X3018" s="172">
        <v>46086.6243602662</v>
      </c>
      <c r="Y3018" s="172">
        <v>46082.935432384256</v>
      </c>
      <c r="Z3018" s="3">
        <v>46082.0</v>
      </c>
    </row>
    <row r="3019">
      <c r="A3019" s="3">
        <v>6.933233500419E12</v>
      </c>
      <c r="B3019" s="2" t="s">
        <v>12419</v>
      </c>
      <c r="C3019" s="2" t="s">
        <v>12420</v>
      </c>
      <c r="D3019" s="169">
        <v>46082.0</v>
      </c>
      <c r="E3019" s="2">
        <v>3.334146292E9</v>
      </c>
      <c r="F3019" s="2" t="s">
        <v>12421</v>
      </c>
      <c r="G3019" s="2" t="s">
        <v>12422</v>
      </c>
      <c r="H3019" s="2">
        <v>3348.0</v>
      </c>
      <c r="I3019" s="2" t="s">
        <v>12423</v>
      </c>
      <c r="J3019" s="3">
        <v>2.0</v>
      </c>
      <c r="K3019" s="2" t="s">
        <v>12424</v>
      </c>
      <c r="L3019" s="2" t="s">
        <v>22</v>
      </c>
      <c r="M3019" s="2" t="s">
        <v>409</v>
      </c>
      <c r="N3019" s="2" t="s">
        <v>406</v>
      </c>
      <c r="O3019" s="3"/>
      <c r="P3019" s="2" t="s">
        <v>640</v>
      </c>
      <c r="Q3019" s="3">
        <v>800.0</v>
      </c>
      <c r="R3019" s="3">
        <v>0.5</v>
      </c>
      <c r="U3019" s="141"/>
      <c r="X3019" s="172">
        <v>46086.52226537037</v>
      </c>
      <c r="Y3019" s="172">
        <v>46082.93543239583</v>
      </c>
      <c r="Z3019" s="3">
        <v>46082.0</v>
      </c>
    </row>
    <row r="3020">
      <c r="A3020" s="3">
        <v>6.933259157763E12</v>
      </c>
      <c r="B3020" s="2" t="s">
        <v>12425</v>
      </c>
      <c r="C3020" s="2" t="s">
        <v>12426</v>
      </c>
      <c r="D3020" s="169">
        <v>46082.0</v>
      </c>
      <c r="E3020" s="173" t="s">
        <v>12427</v>
      </c>
      <c r="F3020" s="2" t="s">
        <v>12428</v>
      </c>
      <c r="G3020" s="2" t="s">
        <v>368</v>
      </c>
      <c r="H3020" s="2">
        <v>5699.0</v>
      </c>
      <c r="I3020" s="2">
        <v>2.3120050022226E13</v>
      </c>
      <c r="J3020" s="3">
        <v>4.0</v>
      </c>
      <c r="K3020" s="2" t="s">
        <v>12429</v>
      </c>
      <c r="L3020" s="2" t="s">
        <v>12430</v>
      </c>
      <c r="M3020" s="2" t="s">
        <v>409</v>
      </c>
      <c r="N3020" s="2" t="s">
        <v>462</v>
      </c>
      <c r="O3020" s="3"/>
      <c r="P3020" s="2" t="s">
        <v>73</v>
      </c>
      <c r="Q3020" s="3">
        <v>1520.0</v>
      </c>
      <c r="R3020" s="3">
        <v>0.5</v>
      </c>
      <c r="T3020" s="2" t="s">
        <v>12069</v>
      </c>
      <c r="U3020" s="171">
        <v>5699.0</v>
      </c>
      <c r="V3020" s="172">
        <v>46094.0</v>
      </c>
      <c r="W3020" s="3">
        <v>348.0</v>
      </c>
      <c r="X3020" s="172">
        <v>46091.70765414352</v>
      </c>
      <c r="Y3020" s="172">
        <v>46082.97707130787</v>
      </c>
      <c r="Z3020" s="3">
        <v>46082.0</v>
      </c>
    </row>
    <row r="3021">
      <c r="A3021" s="3">
        <v>6.933280129283E12</v>
      </c>
      <c r="B3021" s="2" t="s">
        <v>12431</v>
      </c>
      <c r="C3021" s="2" t="s">
        <v>12432</v>
      </c>
      <c r="D3021" s="169">
        <v>46082.0</v>
      </c>
      <c r="E3021" s="173" t="s">
        <v>12433</v>
      </c>
      <c r="F3021" s="2" t="s">
        <v>12434</v>
      </c>
      <c r="G3021" s="2" t="s">
        <v>368</v>
      </c>
      <c r="H3021" s="2">
        <v>0.0</v>
      </c>
      <c r="J3021" s="3">
        <v>0.0</v>
      </c>
      <c r="K3021" s="2" t="s">
        <v>12435</v>
      </c>
      <c r="L3021" s="2"/>
      <c r="M3021" s="2" t="s">
        <v>468</v>
      </c>
      <c r="N3021" s="2" t="s">
        <v>406</v>
      </c>
      <c r="O3021" s="3"/>
      <c r="Q3021" s="3">
        <v>0.0</v>
      </c>
      <c r="R3021" s="3">
        <v>0.5</v>
      </c>
      <c r="U3021" s="141"/>
      <c r="X3021" s="172"/>
      <c r="Y3021" s="172">
        <v>46082.97707130787</v>
      </c>
      <c r="Z3021" s="3">
        <v>46082.0</v>
      </c>
    </row>
    <row r="3022">
      <c r="A3022" s="3">
        <v>6.933285830915E12</v>
      </c>
      <c r="B3022" s="2" t="s">
        <v>12436</v>
      </c>
      <c r="C3022" s="2" t="s">
        <v>10628</v>
      </c>
      <c r="D3022" s="169">
        <v>46082.0</v>
      </c>
      <c r="E3022" s="2">
        <v>3.216047253E9</v>
      </c>
      <c r="F3022" s="2" t="s">
        <v>12437</v>
      </c>
      <c r="G3022" s="2" t="s">
        <v>461</v>
      </c>
      <c r="H3022" s="2">
        <v>249.0</v>
      </c>
      <c r="I3022" s="2">
        <v>2.8120050022224E13</v>
      </c>
      <c r="J3022" s="3">
        <v>0.0</v>
      </c>
      <c r="K3022" s="2" t="s">
        <v>12438</v>
      </c>
      <c r="L3022" s="2"/>
      <c r="M3022" s="170" t="s">
        <v>455</v>
      </c>
      <c r="N3022" s="2" t="s">
        <v>406</v>
      </c>
      <c r="O3022" s="3"/>
      <c r="P3022" s="2" t="s">
        <v>73</v>
      </c>
      <c r="Q3022" s="3">
        <v>0.0</v>
      </c>
      <c r="R3022" s="3">
        <v>0.5</v>
      </c>
      <c r="U3022" s="141"/>
      <c r="W3022" s="3">
        <v>200.0</v>
      </c>
      <c r="X3022" s="172">
        <v>46093.74934138889</v>
      </c>
      <c r="Y3022" s="172">
        <v>46082.97707130787</v>
      </c>
      <c r="Z3022" s="3">
        <v>46082.0</v>
      </c>
    </row>
    <row r="3023">
      <c r="A3023" s="3">
        <v>6.933289468163E12</v>
      </c>
      <c r="B3023" s="2" t="s">
        <v>12439</v>
      </c>
      <c r="C3023" s="2" t="s">
        <v>12440</v>
      </c>
      <c r="D3023" s="169">
        <v>46082.0</v>
      </c>
      <c r="E3023" s="2">
        <v>3.078412257E9</v>
      </c>
      <c r="F3023" s="2" t="s">
        <v>12441</v>
      </c>
      <c r="G3023" s="2" t="s">
        <v>368</v>
      </c>
      <c r="H3023" s="2">
        <v>249.0</v>
      </c>
      <c r="I3023" s="2">
        <v>2.3120050022223E13</v>
      </c>
      <c r="J3023" s="3">
        <v>0.0</v>
      </c>
      <c r="K3023" s="2" t="s">
        <v>12442</v>
      </c>
      <c r="L3023" s="2"/>
      <c r="M3023" s="170" t="s">
        <v>455</v>
      </c>
      <c r="N3023" s="2" t="s">
        <v>406</v>
      </c>
      <c r="O3023" s="3"/>
      <c r="P3023" s="2" t="s">
        <v>73</v>
      </c>
      <c r="Q3023" s="3">
        <v>0.0</v>
      </c>
      <c r="R3023" s="3">
        <v>0.5</v>
      </c>
      <c r="U3023" s="141"/>
      <c r="W3023" s="3">
        <v>107.0</v>
      </c>
      <c r="X3023" s="172">
        <v>46085.70766402778</v>
      </c>
      <c r="Y3023" s="172">
        <v>46082.97707130787</v>
      </c>
      <c r="Z3023" s="3">
        <v>46082.0</v>
      </c>
    </row>
    <row r="3024">
      <c r="A3024" s="3">
        <v>6.933339963651E12</v>
      </c>
      <c r="B3024" s="2" t="s">
        <v>12443</v>
      </c>
      <c r="C3024" s="2" t="s">
        <v>12444</v>
      </c>
      <c r="D3024" s="169">
        <v>46082.0</v>
      </c>
      <c r="E3024" s="2">
        <v>3.222226966E9</v>
      </c>
      <c r="F3024" s="2" t="s">
        <v>12445</v>
      </c>
      <c r="G3024" s="2" t="s">
        <v>368</v>
      </c>
      <c r="H3024" s="2">
        <v>3348.0</v>
      </c>
      <c r="I3024" s="2">
        <v>2.3120050022493E13</v>
      </c>
      <c r="J3024" s="3">
        <v>2.0</v>
      </c>
      <c r="K3024" s="2" t="s">
        <v>12227</v>
      </c>
      <c r="L3024" s="2" t="s">
        <v>296</v>
      </c>
      <c r="M3024" s="2" t="s">
        <v>409</v>
      </c>
      <c r="N3024" s="2" t="s">
        <v>462</v>
      </c>
      <c r="O3024" s="3"/>
      <c r="P3024" s="2" t="s">
        <v>73</v>
      </c>
      <c r="Q3024" s="3">
        <v>720.0</v>
      </c>
      <c r="R3024" s="3">
        <v>0.5</v>
      </c>
      <c r="T3024" s="2" t="s">
        <v>12069</v>
      </c>
      <c r="U3024" s="171">
        <v>3348.0</v>
      </c>
      <c r="V3024" s="172">
        <v>46094.0</v>
      </c>
      <c r="W3024" s="3">
        <v>241.0</v>
      </c>
      <c r="X3024" s="172">
        <v>46092.70764003472</v>
      </c>
      <c r="Y3024" s="172">
        <v>46083.01874895833</v>
      </c>
      <c r="Z3024" s="3">
        <v>46082.0</v>
      </c>
    </row>
    <row r="3025">
      <c r="A3025" s="3">
        <v>6.933357068547E12</v>
      </c>
      <c r="B3025" s="2" t="s">
        <v>12446</v>
      </c>
      <c r="C3025" s="2" t="s">
        <v>12447</v>
      </c>
      <c r="D3025" s="169">
        <v>46083.0</v>
      </c>
      <c r="E3025" s="2">
        <v>3.015943E9</v>
      </c>
      <c r="F3025" s="2" t="s">
        <v>12448</v>
      </c>
      <c r="G3025" s="2" t="s">
        <v>1847</v>
      </c>
      <c r="H3025" s="2">
        <v>3348.0</v>
      </c>
      <c r="I3025" s="2">
        <v>2.4120050022221E13</v>
      </c>
      <c r="J3025" s="3">
        <v>2.0</v>
      </c>
      <c r="K3025" s="2" t="s">
        <v>12449</v>
      </c>
      <c r="L3025" s="2" t="s">
        <v>275</v>
      </c>
      <c r="M3025" s="2" t="s">
        <v>409</v>
      </c>
      <c r="N3025" s="2" t="s">
        <v>462</v>
      </c>
      <c r="O3025" s="3"/>
      <c r="P3025" s="2" t="s">
        <v>73</v>
      </c>
      <c r="Q3025" s="3">
        <v>800.0</v>
      </c>
      <c r="R3025" s="3">
        <v>0.5</v>
      </c>
      <c r="T3025" s="2" t="s">
        <v>11565</v>
      </c>
      <c r="U3025" s="171">
        <v>3348.0</v>
      </c>
      <c r="V3025" s="172">
        <v>46087.0</v>
      </c>
      <c r="W3025" s="3">
        <v>334.0</v>
      </c>
      <c r="X3025" s="172">
        <v>46086.77096152778</v>
      </c>
      <c r="Y3025" s="172">
        <v>46083.01874895833</v>
      </c>
      <c r="Z3025" s="3">
        <v>46083.0</v>
      </c>
    </row>
    <row r="3026">
      <c r="A3026" s="3">
        <v>6.933369946371E12</v>
      </c>
      <c r="B3026" s="2" t="s">
        <v>12450</v>
      </c>
      <c r="C3026" s="2" t="s">
        <v>12451</v>
      </c>
      <c r="D3026" s="169">
        <v>46083.0</v>
      </c>
      <c r="E3026" s="2">
        <v>3.132296488E9</v>
      </c>
      <c r="F3026" s="2" t="s">
        <v>12452</v>
      </c>
      <c r="G3026" s="2" t="s">
        <v>368</v>
      </c>
      <c r="H3026" s="2">
        <v>249.0</v>
      </c>
      <c r="I3026" s="2">
        <v>2.512005002222E13</v>
      </c>
      <c r="J3026" s="3">
        <v>0.0</v>
      </c>
      <c r="K3026" s="2" t="s">
        <v>12453</v>
      </c>
      <c r="L3026" s="2"/>
      <c r="M3026" s="170" t="s">
        <v>455</v>
      </c>
      <c r="N3026" s="2" t="s">
        <v>406</v>
      </c>
      <c r="O3026" s="3"/>
      <c r="P3026" s="2" t="s">
        <v>73</v>
      </c>
      <c r="Q3026" s="3">
        <v>0.0</v>
      </c>
      <c r="R3026" s="3">
        <v>0.5</v>
      </c>
      <c r="U3026" s="141"/>
      <c r="W3026" s="3">
        <v>107.0</v>
      </c>
      <c r="X3026" s="172">
        <v>46088.79115614583</v>
      </c>
      <c r="Y3026" s="172">
        <v>46083.01874895833</v>
      </c>
      <c r="Z3026" s="3">
        <v>46083.0</v>
      </c>
    </row>
    <row r="3027">
      <c r="A3027" s="3">
        <v>6.933421588739E12</v>
      </c>
      <c r="B3027" s="2" t="s">
        <v>12454</v>
      </c>
      <c r="C3027" s="2" t="s">
        <v>12455</v>
      </c>
      <c r="D3027" s="169">
        <v>46083.0</v>
      </c>
      <c r="E3027" s="2">
        <v>3.451040288E9</v>
      </c>
      <c r="F3027" s="2" t="s">
        <v>12456</v>
      </c>
      <c r="G3027" s="2" t="s">
        <v>461</v>
      </c>
      <c r="H3027" s="2">
        <v>2749.0</v>
      </c>
      <c r="I3027" s="2">
        <v>2.2120050022219E13</v>
      </c>
      <c r="J3027" s="3">
        <v>2.0</v>
      </c>
      <c r="K3027" s="2" t="s">
        <v>12346</v>
      </c>
      <c r="L3027" s="2" t="s">
        <v>12457</v>
      </c>
      <c r="M3027" s="2" t="s">
        <v>409</v>
      </c>
      <c r="N3027" s="2" t="s">
        <v>462</v>
      </c>
      <c r="O3027" s="3"/>
      <c r="P3027" s="2" t="s">
        <v>73</v>
      </c>
      <c r="Q3027" s="3">
        <v>1500.0</v>
      </c>
      <c r="R3027" s="3">
        <v>0.5</v>
      </c>
      <c r="T3027" s="2" t="s">
        <v>12156</v>
      </c>
      <c r="U3027" s="171">
        <v>2749.0</v>
      </c>
      <c r="V3027" s="172">
        <v>46091.0</v>
      </c>
      <c r="W3027" s="3">
        <v>310.0</v>
      </c>
      <c r="X3027" s="172">
        <v>46087.49936501158</v>
      </c>
      <c r="Y3027" s="172">
        <v>46083.06041741898</v>
      </c>
      <c r="Z3027" s="3">
        <v>46083.0</v>
      </c>
    </row>
    <row r="3028">
      <c r="A3028" s="3">
        <v>6.933428764931E12</v>
      </c>
      <c r="B3028" s="2" t="s">
        <v>12458</v>
      </c>
      <c r="C3028" s="2" t="s">
        <v>12459</v>
      </c>
      <c r="D3028" s="169">
        <v>46083.0</v>
      </c>
      <c r="E3028" s="2">
        <v>3.1251002E9</v>
      </c>
      <c r="F3028" s="2" t="s">
        <v>12460</v>
      </c>
      <c r="G3028" s="2" t="s">
        <v>506</v>
      </c>
      <c r="H3028" s="2">
        <v>2049.0</v>
      </c>
      <c r="I3028" s="2">
        <v>2.3120050022253E13</v>
      </c>
      <c r="J3028" s="3">
        <v>1.0</v>
      </c>
      <c r="K3028" s="2" t="s">
        <v>12461</v>
      </c>
      <c r="L3028" s="2" t="s">
        <v>9345</v>
      </c>
      <c r="M3028" s="2" t="s">
        <v>409</v>
      </c>
      <c r="N3028" s="2" t="s">
        <v>462</v>
      </c>
      <c r="O3028" s="3"/>
      <c r="P3028" s="2" t="s">
        <v>73</v>
      </c>
      <c r="Q3028" s="3">
        <v>400.0</v>
      </c>
      <c r="R3028" s="3">
        <v>0.5</v>
      </c>
      <c r="T3028" s="2" t="s">
        <v>11565</v>
      </c>
      <c r="U3028" s="171">
        <v>2049.0</v>
      </c>
      <c r="V3028" s="172">
        <v>46087.0</v>
      </c>
      <c r="W3028" s="3">
        <v>282.0</v>
      </c>
      <c r="X3028" s="172">
        <v>46086.79104935185</v>
      </c>
      <c r="Y3028" s="172">
        <v>46083.06041741898</v>
      </c>
      <c r="Z3028" s="3">
        <v>46083.0</v>
      </c>
    </row>
    <row r="3029">
      <c r="A3029" s="3">
        <v>6.933442265347E12</v>
      </c>
      <c r="B3029" s="2" t="s">
        <v>12462</v>
      </c>
      <c r="C3029" s="2" t="s">
        <v>12463</v>
      </c>
      <c r="D3029" s="169">
        <v>46083.0</v>
      </c>
      <c r="E3029" s="2">
        <v>3.333275007E9</v>
      </c>
      <c r="F3029" s="2" t="s">
        <v>12464</v>
      </c>
      <c r="G3029" s="2" t="s">
        <v>493</v>
      </c>
      <c r="H3029" s="2">
        <v>2749.0</v>
      </c>
      <c r="I3029" s="2">
        <v>2.8120050022218E13</v>
      </c>
      <c r="J3029" s="3">
        <v>2.0</v>
      </c>
      <c r="K3029" s="2" t="s">
        <v>12465</v>
      </c>
      <c r="L3029" s="2" t="s">
        <v>35</v>
      </c>
      <c r="M3029" s="2" t="s">
        <v>409</v>
      </c>
      <c r="N3029" s="2" t="s">
        <v>462</v>
      </c>
      <c r="O3029" s="3"/>
      <c r="P3029" s="2" t="s">
        <v>73</v>
      </c>
      <c r="Q3029" s="3">
        <v>980.0</v>
      </c>
      <c r="R3029" s="3">
        <v>0.5</v>
      </c>
      <c r="T3029" s="2" t="s">
        <v>11565</v>
      </c>
      <c r="U3029" s="171">
        <v>2749.0</v>
      </c>
      <c r="V3029" s="172">
        <v>46087.0</v>
      </c>
      <c r="W3029" s="3">
        <v>323.0</v>
      </c>
      <c r="X3029" s="172">
        <v>46086.7709615625</v>
      </c>
      <c r="Y3029" s="172">
        <v>46083.06041741898</v>
      </c>
      <c r="Z3029" s="3">
        <v>46083.0</v>
      </c>
    </row>
    <row r="3030">
      <c r="A3030" s="3">
        <v>6.933449933059E12</v>
      </c>
      <c r="B3030" s="2" t="s">
        <v>12466</v>
      </c>
      <c r="C3030" s="2" t="s">
        <v>12467</v>
      </c>
      <c r="D3030" s="169">
        <v>46083.0</v>
      </c>
      <c r="E3030" s="2">
        <v>3.015050546E9</v>
      </c>
      <c r="F3030" s="2" t="s">
        <v>12468</v>
      </c>
      <c r="G3030" s="2" t="s">
        <v>506</v>
      </c>
      <c r="H3030" s="2">
        <v>3348.0</v>
      </c>
      <c r="I3030" s="2">
        <v>2.4120050022217E13</v>
      </c>
      <c r="J3030" s="3">
        <v>2.0</v>
      </c>
      <c r="K3030" s="2" t="s">
        <v>12250</v>
      </c>
      <c r="L3030" s="2" t="s">
        <v>27</v>
      </c>
      <c r="M3030" s="2" t="s">
        <v>409</v>
      </c>
      <c r="N3030" s="2" t="s">
        <v>462</v>
      </c>
      <c r="O3030" s="3"/>
      <c r="P3030" s="2" t="s">
        <v>73</v>
      </c>
      <c r="Q3030" s="3">
        <v>720.0</v>
      </c>
      <c r="R3030" s="3">
        <v>0.5</v>
      </c>
      <c r="T3030" s="2" t="s">
        <v>11565</v>
      </c>
      <c r="U3030" s="171">
        <v>3348.0</v>
      </c>
      <c r="V3030" s="172">
        <v>46087.0</v>
      </c>
      <c r="W3030" s="3">
        <v>334.0</v>
      </c>
      <c r="X3030" s="172">
        <v>46085.77098756944</v>
      </c>
      <c r="Y3030" s="172">
        <v>46083.06041741898</v>
      </c>
      <c r="Z3030" s="3">
        <v>46083.0</v>
      </c>
    </row>
    <row r="3031">
      <c r="A3031" s="3">
        <v>6.933467070723E12</v>
      </c>
      <c r="B3031" s="2" t="s">
        <v>12469</v>
      </c>
      <c r="C3031" s="2" t="s">
        <v>12470</v>
      </c>
      <c r="D3031" s="169">
        <v>46083.0</v>
      </c>
      <c r="E3031" s="2">
        <v>3.184881298E9</v>
      </c>
      <c r="F3031" s="2" t="s">
        <v>12471</v>
      </c>
      <c r="G3031" s="2" t="s">
        <v>368</v>
      </c>
      <c r="H3031" s="2">
        <v>3348.0</v>
      </c>
      <c r="I3031" s="2">
        <v>2.5120050022216E13</v>
      </c>
      <c r="J3031" s="3">
        <v>2.0</v>
      </c>
      <c r="K3031" s="2" t="s">
        <v>12250</v>
      </c>
      <c r="L3031" s="2" t="s">
        <v>22</v>
      </c>
      <c r="M3031" s="2" t="s">
        <v>409</v>
      </c>
      <c r="N3031" s="2" t="s">
        <v>462</v>
      </c>
      <c r="O3031" s="3"/>
      <c r="P3031" s="2" t="s">
        <v>73</v>
      </c>
      <c r="Q3031" s="3">
        <v>800.0</v>
      </c>
      <c r="R3031" s="3">
        <v>0.5</v>
      </c>
      <c r="T3031" s="2" t="s">
        <v>11565</v>
      </c>
      <c r="U3031" s="171">
        <v>3348.0</v>
      </c>
      <c r="V3031" s="172">
        <v>46087.0</v>
      </c>
      <c r="W3031" s="3">
        <v>241.0</v>
      </c>
      <c r="X3031" s="172">
        <v>46085.83272608796</v>
      </c>
      <c r="Y3031" s="172">
        <v>46083.102080625</v>
      </c>
      <c r="Z3031" s="3">
        <v>46083.0</v>
      </c>
    </row>
    <row r="3032">
      <c r="A3032" s="3">
        <v>6.933495087363E12</v>
      </c>
      <c r="B3032" s="2" t="s">
        <v>12472</v>
      </c>
      <c r="C3032" s="2" t="s">
        <v>12473</v>
      </c>
      <c r="D3032" s="169">
        <v>46083.0</v>
      </c>
      <c r="E3032" s="2">
        <v>3.224833506E9</v>
      </c>
      <c r="F3032" s="2" t="s">
        <v>12078</v>
      </c>
      <c r="G3032" s="2" t="s">
        <v>368</v>
      </c>
      <c r="H3032" s="2">
        <v>249.0</v>
      </c>
      <c r="I3032" s="2">
        <v>2.9120050022215E13</v>
      </c>
      <c r="J3032" s="3">
        <v>0.0</v>
      </c>
      <c r="K3032" s="2" t="s">
        <v>12474</v>
      </c>
      <c r="L3032" s="2"/>
      <c r="M3032" s="170" t="s">
        <v>455</v>
      </c>
      <c r="N3032" s="2" t="s">
        <v>406</v>
      </c>
      <c r="O3032" s="3"/>
      <c r="P3032" s="2" t="s">
        <v>73</v>
      </c>
      <c r="Q3032" s="3">
        <v>0.0</v>
      </c>
      <c r="R3032" s="3">
        <v>0.5</v>
      </c>
      <c r="U3032" s="141"/>
      <c r="W3032" s="3">
        <v>107.0</v>
      </c>
      <c r="X3032" s="172">
        <v>46092.66597634259</v>
      </c>
      <c r="Y3032" s="172">
        <v>46083.102080625</v>
      </c>
      <c r="Z3032" s="3">
        <v>46083.0</v>
      </c>
    </row>
    <row r="3033">
      <c r="A3033" s="3">
        <v>6.933509210371E12</v>
      </c>
      <c r="B3033" s="2" t="s">
        <v>12475</v>
      </c>
      <c r="C3033" s="2" t="s">
        <v>11792</v>
      </c>
      <c r="D3033" s="169">
        <v>46083.0</v>
      </c>
      <c r="E3033" s="2">
        <v>3.218565666E9</v>
      </c>
      <c r="F3033" s="2" t="s">
        <v>11793</v>
      </c>
      <c r="G3033" s="2" t="s">
        <v>366</v>
      </c>
      <c r="H3033" s="2">
        <v>3099.0</v>
      </c>
      <c r="I3033" s="2">
        <v>2.3120050022676E13</v>
      </c>
      <c r="J3033" s="3">
        <v>2.0</v>
      </c>
      <c r="K3033" s="2" t="s">
        <v>12476</v>
      </c>
      <c r="L3033" s="2" t="s">
        <v>593</v>
      </c>
      <c r="M3033" s="2" t="s">
        <v>409</v>
      </c>
      <c r="N3033" s="2" t="s">
        <v>462</v>
      </c>
      <c r="O3033" s="3"/>
      <c r="P3033" s="2" t="s">
        <v>73</v>
      </c>
      <c r="Q3033" s="3">
        <v>1050.0</v>
      </c>
      <c r="R3033" s="3">
        <v>0.5</v>
      </c>
      <c r="T3033" s="2" t="s">
        <v>12177</v>
      </c>
      <c r="U3033" s="171">
        <v>3099.0</v>
      </c>
      <c r="V3033" s="172">
        <v>46105.0</v>
      </c>
      <c r="W3033" s="3">
        <v>241.0</v>
      </c>
      <c r="X3033" s="172">
        <v>46098.58268662037</v>
      </c>
      <c r="Y3033" s="172">
        <v>46083.10208063657</v>
      </c>
      <c r="Z3033" s="3">
        <v>46083.0</v>
      </c>
    </row>
    <row r="3034">
      <c r="A3034" s="3">
        <v>6.933693661443E12</v>
      </c>
      <c r="B3034" s="2" t="s">
        <v>12477</v>
      </c>
      <c r="C3034" s="2" t="s">
        <v>12478</v>
      </c>
      <c r="D3034" s="169">
        <v>46083.0</v>
      </c>
      <c r="E3034" s="2">
        <v>3.390144695E9</v>
      </c>
      <c r="F3034" s="2" t="s">
        <v>12479</v>
      </c>
      <c r="G3034" s="2" t="s">
        <v>12480</v>
      </c>
      <c r="H3034" s="2">
        <v>0.0</v>
      </c>
      <c r="J3034" s="3">
        <v>0.0</v>
      </c>
      <c r="K3034" s="2" t="s">
        <v>12481</v>
      </c>
      <c r="L3034" s="2"/>
      <c r="M3034" s="2" t="s">
        <v>468</v>
      </c>
      <c r="N3034" s="2" t="s">
        <v>406</v>
      </c>
      <c r="O3034" s="3"/>
      <c r="Q3034" s="3">
        <v>0.0</v>
      </c>
      <c r="R3034" s="3">
        <v>0.5</v>
      </c>
      <c r="U3034" s="141"/>
      <c r="X3034" s="172"/>
      <c r="Y3034" s="172">
        <v>46083.227086921295</v>
      </c>
      <c r="Z3034" s="3">
        <v>46083.0</v>
      </c>
    </row>
    <row r="3035">
      <c r="A3035" s="3">
        <v>6.933712732419E12</v>
      </c>
      <c r="B3035" s="2" t="s">
        <v>12482</v>
      </c>
      <c r="C3035" s="2" t="s">
        <v>12483</v>
      </c>
      <c r="D3035" s="169">
        <v>46083.0</v>
      </c>
      <c r="E3035" s="173" t="s">
        <v>12484</v>
      </c>
      <c r="F3035" s="2" t="s">
        <v>12485</v>
      </c>
      <c r="G3035" s="2" t="s">
        <v>12486</v>
      </c>
      <c r="H3035" s="2">
        <v>3348.0</v>
      </c>
      <c r="I3035" s="2">
        <v>2.5120050022257E13</v>
      </c>
      <c r="J3035" s="3">
        <v>2.0</v>
      </c>
      <c r="K3035" s="2" t="s">
        <v>12487</v>
      </c>
      <c r="L3035" s="2" t="s">
        <v>27</v>
      </c>
      <c r="M3035" s="2" t="s">
        <v>409</v>
      </c>
      <c r="N3035" s="2" t="s">
        <v>462</v>
      </c>
      <c r="O3035" s="3"/>
      <c r="P3035" s="2" t="s">
        <v>73</v>
      </c>
      <c r="Q3035" s="3">
        <v>720.0</v>
      </c>
      <c r="R3035" s="3">
        <v>0.5</v>
      </c>
      <c r="T3035" s="2" t="s">
        <v>12156</v>
      </c>
      <c r="U3035" s="171">
        <v>3348.0</v>
      </c>
      <c r="V3035" s="172">
        <v>46091.0</v>
      </c>
      <c r="W3035" s="3">
        <v>347.0</v>
      </c>
      <c r="X3035" s="172">
        <v>46087.87434190972</v>
      </c>
      <c r="Y3035" s="172">
        <v>46083.26873715278</v>
      </c>
      <c r="Z3035" s="3">
        <v>46083.0</v>
      </c>
    </row>
    <row r="3036">
      <c r="A3036" s="3">
        <v>6.933745795331E12</v>
      </c>
      <c r="B3036" s="2" t="s">
        <v>12488</v>
      </c>
      <c r="C3036" s="2" t="s">
        <v>12489</v>
      </c>
      <c r="D3036" s="169">
        <v>46083.0</v>
      </c>
      <c r="E3036" s="2">
        <v>3.70980219E9</v>
      </c>
      <c r="F3036" s="2" t="s">
        <v>12490</v>
      </c>
      <c r="G3036" s="2" t="s">
        <v>461</v>
      </c>
      <c r="H3036" s="2">
        <v>3099.0</v>
      </c>
      <c r="I3036" s="2">
        <v>2.3120050022214E13</v>
      </c>
      <c r="J3036" s="3">
        <v>2.0</v>
      </c>
      <c r="K3036" s="2" t="s">
        <v>12491</v>
      </c>
      <c r="L3036" s="2" t="s">
        <v>1242</v>
      </c>
      <c r="M3036" s="2" t="s">
        <v>409</v>
      </c>
      <c r="N3036" s="2" t="s">
        <v>462</v>
      </c>
      <c r="O3036" s="3"/>
      <c r="P3036" s="2" t="s">
        <v>73</v>
      </c>
      <c r="Q3036" s="3">
        <v>1000.0</v>
      </c>
      <c r="R3036" s="3">
        <v>0.5</v>
      </c>
      <c r="T3036" s="2" t="s">
        <v>11565</v>
      </c>
      <c r="U3036" s="171">
        <v>3099.0</v>
      </c>
      <c r="V3036" s="172">
        <v>46087.0</v>
      </c>
      <c r="W3036" s="3">
        <v>324.0</v>
      </c>
      <c r="X3036" s="172">
        <v>46086.62436072917</v>
      </c>
      <c r="Y3036" s="172">
        <v>46083.26873715278</v>
      </c>
      <c r="Z3036" s="3">
        <v>46083.0</v>
      </c>
    </row>
    <row r="3037">
      <c r="A3037" s="3">
        <v>6.933776957699E12</v>
      </c>
      <c r="B3037" s="2" t="s">
        <v>12492</v>
      </c>
      <c r="C3037" s="2" t="s">
        <v>11959</v>
      </c>
      <c r="D3037" s="169">
        <v>46083.0</v>
      </c>
      <c r="E3037" s="173" t="s">
        <v>12493</v>
      </c>
      <c r="F3037" s="2" t="s">
        <v>12494</v>
      </c>
      <c r="G3037" s="2" t="s">
        <v>493</v>
      </c>
      <c r="H3037" s="2">
        <v>2849.0</v>
      </c>
      <c r="I3037" s="2">
        <v>2.4120050022213E13</v>
      </c>
      <c r="J3037" s="3">
        <v>2.0</v>
      </c>
      <c r="K3037" s="2" t="s">
        <v>12495</v>
      </c>
      <c r="L3037" s="2" t="s">
        <v>5916</v>
      </c>
      <c r="M3037" s="2" t="s">
        <v>409</v>
      </c>
      <c r="N3037" s="2" t="s">
        <v>462</v>
      </c>
      <c r="O3037" s="3"/>
      <c r="P3037" s="2" t="s">
        <v>73</v>
      </c>
      <c r="Q3037" s="3">
        <v>800.0</v>
      </c>
      <c r="R3037" s="3">
        <v>0.5</v>
      </c>
      <c r="T3037" s="2" t="s">
        <v>11565</v>
      </c>
      <c r="U3037" s="171">
        <v>2849.0</v>
      </c>
      <c r="V3037" s="172">
        <v>46087.0</v>
      </c>
      <c r="W3037" s="3">
        <v>327.0</v>
      </c>
      <c r="X3037" s="172">
        <v>46086.83269403935</v>
      </c>
      <c r="Y3037" s="172">
        <v>46083.31044777778</v>
      </c>
      <c r="Z3037" s="3">
        <v>46083.0</v>
      </c>
    </row>
    <row r="3038">
      <c r="A3038" s="3">
        <v>6.933809496323E12</v>
      </c>
      <c r="B3038" s="2" t="s">
        <v>12496</v>
      </c>
      <c r="C3038" s="2" t="s">
        <v>4920</v>
      </c>
      <c r="D3038" s="169">
        <v>46083.0</v>
      </c>
      <c r="E3038" s="2">
        <v>3.406599219E9</v>
      </c>
      <c r="F3038" s="2" t="s">
        <v>5716</v>
      </c>
      <c r="G3038" s="2" t="s">
        <v>5717</v>
      </c>
      <c r="H3038" s="2">
        <v>0.0</v>
      </c>
      <c r="J3038" s="3">
        <v>0.0</v>
      </c>
      <c r="K3038" s="2" t="s">
        <v>12497</v>
      </c>
      <c r="L3038" s="2"/>
      <c r="M3038" s="2" t="s">
        <v>468</v>
      </c>
      <c r="N3038" s="2" t="s">
        <v>406</v>
      </c>
      <c r="O3038" s="3"/>
      <c r="Q3038" s="3">
        <v>0.0</v>
      </c>
      <c r="R3038" s="3">
        <v>0.5</v>
      </c>
      <c r="U3038" s="141"/>
      <c r="X3038" s="172"/>
      <c r="Y3038" s="172">
        <v>46083.31044778935</v>
      </c>
      <c r="Z3038" s="3">
        <v>46083.0</v>
      </c>
    </row>
    <row r="3039">
      <c r="A3039" s="3">
        <v>6.933892235523E12</v>
      </c>
      <c r="B3039" s="2" t="s">
        <v>12498</v>
      </c>
      <c r="C3039" s="2" t="s">
        <v>12499</v>
      </c>
      <c r="D3039" s="169">
        <v>46083.0</v>
      </c>
      <c r="E3039" s="2">
        <v>3.290028014E9</v>
      </c>
      <c r="F3039" s="2" t="s">
        <v>12500</v>
      </c>
      <c r="G3039" s="2" t="s">
        <v>4186</v>
      </c>
      <c r="H3039" s="2">
        <v>8950.0</v>
      </c>
      <c r="I3039" s="2">
        <v>2.3120050023018E13</v>
      </c>
      <c r="J3039" s="3">
        <v>4.0</v>
      </c>
      <c r="K3039" s="2" t="s">
        <v>12501</v>
      </c>
      <c r="L3039" s="2" t="s">
        <v>12502</v>
      </c>
      <c r="M3039" s="2" t="s">
        <v>409</v>
      </c>
      <c r="N3039" s="2" t="s">
        <v>462</v>
      </c>
      <c r="O3039" s="3"/>
      <c r="P3039" s="2" t="s">
        <v>73</v>
      </c>
      <c r="Q3039" s="3">
        <v>3760.0</v>
      </c>
      <c r="R3039" s="3">
        <v>0.5</v>
      </c>
      <c r="T3039" s="2" t="s">
        <v>12503</v>
      </c>
      <c r="U3039" s="171">
        <v>8950.0</v>
      </c>
      <c r="V3039" s="172">
        <v>46115.0</v>
      </c>
      <c r="W3039" s="3">
        <v>704.2</v>
      </c>
      <c r="X3039" s="172">
        <v>46113.4993991088</v>
      </c>
      <c r="Y3039" s="172">
        <v>46083.39376965278</v>
      </c>
      <c r="Z3039" s="3">
        <v>46083.0</v>
      </c>
    </row>
    <row r="3040">
      <c r="A3040" s="3">
        <v>6.933969469699E12</v>
      </c>
      <c r="B3040" s="2" t="s">
        <v>12504</v>
      </c>
      <c r="C3040" s="2" t="s">
        <v>574</v>
      </c>
      <c r="D3040" s="169">
        <v>46083.0</v>
      </c>
      <c r="E3040" s="2">
        <v>3.356555524E9</v>
      </c>
      <c r="F3040" s="2" t="s">
        <v>12505</v>
      </c>
      <c r="G3040" s="2" t="s">
        <v>368</v>
      </c>
      <c r="H3040" s="2">
        <v>1899.0</v>
      </c>
      <c r="I3040" s="2">
        <v>2.8120050022212E13</v>
      </c>
      <c r="J3040" s="3">
        <v>1.0</v>
      </c>
      <c r="K3040" s="2" t="s">
        <v>12506</v>
      </c>
      <c r="L3040" s="2" t="s">
        <v>10974</v>
      </c>
      <c r="M3040" s="2" t="s">
        <v>409</v>
      </c>
      <c r="N3040" s="2" t="s">
        <v>462</v>
      </c>
      <c r="O3040" s="3"/>
      <c r="P3040" s="2" t="s">
        <v>73</v>
      </c>
      <c r="Q3040" s="3">
        <v>550.0</v>
      </c>
      <c r="R3040" s="3">
        <v>0.5</v>
      </c>
      <c r="T3040" s="2" t="s">
        <v>11565</v>
      </c>
      <c r="U3040" s="171">
        <v>1899.0</v>
      </c>
      <c r="V3040" s="172">
        <v>46087.0</v>
      </c>
      <c r="W3040" s="3">
        <v>276.0</v>
      </c>
      <c r="X3040" s="172">
        <v>46084.666137569446</v>
      </c>
      <c r="Y3040" s="172">
        <v>46083.47709039351</v>
      </c>
      <c r="Z3040" s="3">
        <v>46083.0</v>
      </c>
    </row>
    <row r="3041">
      <c r="A3041" s="3">
        <v>6.934030647555E12</v>
      </c>
      <c r="B3041" s="2" t="s">
        <v>12507</v>
      </c>
      <c r="C3041" s="2" t="s">
        <v>1085</v>
      </c>
      <c r="D3041" s="169">
        <v>46083.0</v>
      </c>
      <c r="E3041" s="2">
        <v>3.0090911E9</v>
      </c>
      <c r="F3041" s="2" t="s">
        <v>12508</v>
      </c>
      <c r="G3041" s="2" t="s">
        <v>781</v>
      </c>
      <c r="H3041" s="2">
        <v>2749.0</v>
      </c>
      <c r="I3041" s="2">
        <v>2.0120050022211E13</v>
      </c>
      <c r="J3041" s="3">
        <v>2.0</v>
      </c>
      <c r="K3041" s="2" t="s">
        <v>12242</v>
      </c>
      <c r="L3041" s="2" t="s">
        <v>35</v>
      </c>
      <c r="M3041" s="2" t="s">
        <v>409</v>
      </c>
      <c r="N3041" s="2" t="s">
        <v>462</v>
      </c>
      <c r="O3041" s="3"/>
      <c r="P3041" s="2" t="s">
        <v>73</v>
      </c>
      <c r="Q3041" s="3">
        <v>980.0</v>
      </c>
      <c r="R3041" s="3">
        <v>0.5</v>
      </c>
      <c r="T3041" s="2" t="s">
        <v>11565</v>
      </c>
      <c r="U3041" s="171">
        <v>2749.0</v>
      </c>
      <c r="V3041" s="172">
        <v>46087.0</v>
      </c>
      <c r="W3041" s="3">
        <v>323.0</v>
      </c>
      <c r="X3041" s="172">
        <v>46085.624387268515</v>
      </c>
      <c r="Y3041" s="172">
        <v>46083.51875541666</v>
      </c>
      <c r="Z3041" s="3">
        <v>46083.0</v>
      </c>
    </row>
    <row r="3042">
      <c r="A3042" s="3">
        <v>6.934030680323E12</v>
      </c>
      <c r="B3042" s="2" t="s">
        <v>12509</v>
      </c>
      <c r="C3042" s="2" t="s">
        <v>12510</v>
      </c>
      <c r="D3042" s="169">
        <v>46083.0</v>
      </c>
      <c r="E3042" s="2">
        <v>3.105596301E9</v>
      </c>
      <c r="F3042" s="2" t="s">
        <v>12511</v>
      </c>
      <c r="G3042" s="2" t="s">
        <v>366</v>
      </c>
      <c r="H3042" s="2">
        <v>0.0</v>
      </c>
      <c r="J3042" s="3">
        <v>0.0</v>
      </c>
      <c r="K3042" s="2" t="s">
        <v>12512</v>
      </c>
      <c r="L3042" s="2"/>
      <c r="M3042" s="2" t="s">
        <v>468</v>
      </c>
      <c r="N3042" s="2" t="s">
        <v>406</v>
      </c>
      <c r="O3042" s="3"/>
      <c r="Q3042" s="3">
        <v>0.0</v>
      </c>
      <c r="R3042" s="3">
        <v>0.5</v>
      </c>
      <c r="U3042" s="141"/>
      <c r="X3042" s="172"/>
      <c r="Y3042" s="172">
        <v>46083.51875541666</v>
      </c>
      <c r="Z3042" s="3">
        <v>46083.0</v>
      </c>
    </row>
    <row r="3043">
      <c r="A3043" s="3">
        <v>6.934039789827E12</v>
      </c>
      <c r="B3043" s="2" t="s">
        <v>12513</v>
      </c>
      <c r="C3043" s="2" t="s">
        <v>12514</v>
      </c>
      <c r="D3043" s="169">
        <v>46083.0</v>
      </c>
      <c r="E3043" s="2">
        <v>3.105596301E9</v>
      </c>
      <c r="F3043" s="2" t="s">
        <v>12515</v>
      </c>
      <c r="G3043" s="2" t="s">
        <v>366</v>
      </c>
      <c r="H3043" s="2">
        <v>0.0</v>
      </c>
      <c r="J3043" s="3">
        <v>0.0</v>
      </c>
      <c r="K3043" s="2" t="s">
        <v>7954</v>
      </c>
      <c r="L3043" s="2"/>
      <c r="M3043" s="2" t="s">
        <v>468</v>
      </c>
      <c r="N3043" s="2" t="s">
        <v>406</v>
      </c>
      <c r="O3043" s="3"/>
      <c r="Q3043" s="3">
        <v>0.0</v>
      </c>
      <c r="R3043" s="3">
        <v>0.5</v>
      </c>
      <c r="U3043" s="141"/>
      <c r="X3043" s="172"/>
      <c r="Y3043" s="172">
        <v>46083.51875541666</v>
      </c>
      <c r="Z3043" s="3">
        <v>46083.0</v>
      </c>
    </row>
    <row r="3044">
      <c r="A3044" s="3">
        <v>6.934042640643E12</v>
      </c>
      <c r="B3044" s="2" t="s">
        <v>12516</v>
      </c>
      <c r="C3044" s="2" t="s">
        <v>12510</v>
      </c>
      <c r="D3044" s="169">
        <v>46083.0</v>
      </c>
      <c r="E3044" s="2">
        <v>3.105596301E9</v>
      </c>
      <c r="F3044" s="2" t="s">
        <v>12517</v>
      </c>
      <c r="G3044" s="2" t="s">
        <v>366</v>
      </c>
      <c r="H3044" s="2">
        <v>8999.0</v>
      </c>
      <c r="I3044" s="2">
        <v>2.212005002221E13</v>
      </c>
      <c r="J3044" s="3">
        <v>5.0</v>
      </c>
      <c r="K3044" s="2" t="s">
        <v>12518</v>
      </c>
      <c r="L3044" s="2" t="s">
        <v>12519</v>
      </c>
      <c r="M3044" s="2" t="s">
        <v>409</v>
      </c>
      <c r="N3044" s="2" t="s">
        <v>462</v>
      </c>
      <c r="O3044" s="3"/>
      <c r="P3044" s="2" t="s">
        <v>73</v>
      </c>
      <c r="Q3044" s="3">
        <v>3410.0</v>
      </c>
      <c r="R3044" s="3">
        <v>0.5</v>
      </c>
      <c r="T3044" s="2" t="s">
        <v>11565</v>
      </c>
      <c r="U3044" s="171">
        <v>8999.0</v>
      </c>
      <c r="V3044" s="172">
        <v>46087.0</v>
      </c>
      <c r="W3044" s="3">
        <v>673.0</v>
      </c>
      <c r="X3044" s="172">
        <v>46085.49938346064</v>
      </c>
      <c r="Y3044" s="172">
        <v>46083.51875541666</v>
      </c>
      <c r="Z3044" s="3">
        <v>46083.0</v>
      </c>
    </row>
    <row r="3045">
      <c r="A3045" s="3">
        <v>6.934048112899E12</v>
      </c>
      <c r="B3045" s="2" t="s">
        <v>12520</v>
      </c>
      <c r="C3045" s="2" t="s">
        <v>12510</v>
      </c>
      <c r="D3045" s="169">
        <v>46083.0</v>
      </c>
      <c r="E3045" s="2">
        <v>3.105596301E9</v>
      </c>
      <c r="F3045" s="2" t="s">
        <v>12517</v>
      </c>
      <c r="G3045" s="2" t="s">
        <v>366</v>
      </c>
      <c r="H3045" s="2">
        <v>0.0</v>
      </c>
      <c r="J3045" s="3">
        <v>0.0</v>
      </c>
      <c r="K3045" s="2" t="s">
        <v>7954</v>
      </c>
      <c r="L3045" s="2"/>
      <c r="M3045" s="2" t="s">
        <v>468</v>
      </c>
      <c r="N3045" s="2" t="s">
        <v>406</v>
      </c>
      <c r="O3045" s="3"/>
      <c r="Q3045" s="3">
        <v>0.0</v>
      </c>
      <c r="R3045" s="3">
        <v>0.5</v>
      </c>
      <c r="U3045" s="141"/>
      <c r="X3045" s="172"/>
      <c r="Y3045" s="172">
        <v>46083.51875541666</v>
      </c>
      <c r="Z3045" s="3">
        <v>46083.0</v>
      </c>
    </row>
    <row r="3046">
      <c r="A3046" s="3">
        <v>6.934105587971E12</v>
      </c>
      <c r="B3046" s="2" t="s">
        <v>12521</v>
      </c>
      <c r="C3046" s="2" t="s">
        <v>12522</v>
      </c>
      <c r="D3046" s="169">
        <v>46083.0</v>
      </c>
      <c r="E3046" s="173" t="s">
        <v>12523</v>
      </c>
      <c r="F3046" s="2" t="s">
        <v>12524</v>
      </c>
      <c r="G3046" s="2" t="s">
        <v>12525</v>
      </c>
      <c r="H3046" s="2">
        <v>249.0</v>
      </c>
      <c r="I3046" s="2">
        <v>2.6120050022209E13</v>
      </c>
      <c r="J3046" s="3">
        <v>0.0</v>
      </c>
      <c r="K3046" s="2" t="s">
        <v>12526</v>
      </c>
      <c r="L3046" s="2"/>
      <c r="M3046" s="170" t="s">
        <v>455</v>
      </c>
      <c r="N3046" s="2" t="s">
        <v>406</v>
      </c>
      <c r="O3046" s="3"/>
      <c r="P3046" s="2" t="s">
        <v>73</v>
      </c>
      <c r="Q3046" s="3">
        <v>0.0</v>
      </c>
      <c r="R3046" s="3">
        <v>0.5</v>
      </c>
      <c r="U3046" s="141"/>
      <c r="W3046" s="3">
        <v>213.0</v>
      </c>
      <c r="X3046" s="172">
        <v>46109.58265600694</v>
      </c>
      <c r="Y3046" s="172">
        <v>46083.60212473379</v>
      </c>
      <c r="Z3046" s="3">
        <v>46083.0</v>
      </c>
    </row>
    <row r="3047">
      <c r="A3047" s="3">
        <v>6.934137307395E12</v>
      </c>
      <c r="B3047" s="2" t="s">
        <v>12527</v>
      </c>
      <c r="C3047" s="2" t="s">
        <v>12528</v>
      </c>
      <c r="D3047" s="169">
        <v>46083.0</v>
      </c>
      <c r="E3047" s="2">
        <v>3.090718464E9</v>
      </c>
      <c r="F3047" s="2" t="s">
        <v>12529</v>
      </c>
      <c r="G3047" s="2" t="s">
        <v>12530</v>
      </c>
      <c r="H3047" s="2">
        <v>249.0</v>
      </c>
      <c r="I3047" s="2">
        <v>2.112005002224E13</v>
      </c>
      <c r="J3047" s="3">
        <v>0.0</v>
      </c>
      <c r="K3047" s="2" t="s">
        <v>12531</v>
      </c>
      <c r="L3047" s="2"/>
      <c r="M3047" s="2" t="s">
        <v>409</v>
      </c>
      <c r="N3047" s="2" t="s">
        <v>406</v>
      </c>
      <c r="O3047" s="3"/>
      <c r="P3047" s="2" t="s">
        <v>73</v>
      </c>
      <c r="Q3047" s="3">
        <v>0.0</v>
      </c>
      <c r="R3047" s="3">
        <v>0.5</v>
      </c>
      <c r="T3047" s="2" t="s">
        <v>11565</v>
      </c>
      <c r="U3047" s="171">
        <v>249.0</v>
      </c>
      <c r="V3047" s="172">
        <v>46087.0</v>
      </c>
      <c r="W3047" s="3">
        <v>334.0</v>
      </c>
      <c r="X3047" s="172">
        <v>46086.770961608796</v>
      </c>
      <c r="Y3047" s="172">
        <v>46083.64380888889</v>
      </c>
      <c r="Z3047" s="3">
        <v>46083.0</v>
      </c>
    </row>
    <row r="3048">
      <c r="A3048" s="3">
        <v>6.934172336387E12</v>
      </c>
      <c r="B3048" s="2" t="s">
        <v>12532</v>
      </c>
      <c r="C3048" s="2" t="s">
        <v>12533</v>
      </c>
      <c r="D3048" s="169">
        <v>46083.0</v>
      </c>
      <c r="E3048" s="2">
        <v>3.499994969E9</v>
      </c>
      <c r="F3048" s="2" t="s">
        <v>12534</v>
      </c>
      <c r="G3048" s="2" t="s">
        <v>917</v>
      </c>
      <c r="H3048" s="2">
        <v>3347.5</v>
      </c>
      <c r="I3048" s="2">
        <v>2.2120050022239E13</v>
      </c>
      <c r="J3048" s="3">
        <v>2.0</v>
      </c>
      <c r="K3048" s="2" t="s">
        <v>12535</v>
      </c>
      <c r="L3048" s="2" t="s">
        <v>12536</v>
      </c>
      <c r="M3048" s="2" t="s">
        <v>409</v>
      </c>
      <c r="N3048" s="2" t="s">
        <v>462</v>
      </c>
      <c r="O3048" s="3"/>
      <c r="P3048" s="2" t="s">
        <v>73</v>
      </c>
      <c r="Q3048" s="3">
        <v>720.0</v>
      </c>
      <c r="R3048" s="3">
        <v>0.5</v>
      </c>
      <c r="T3048" s="2" t="s">
        <v>11565</v>
      </c>
      <c r="U3048" s="171">
        <v>3347.5</v>
      </c>
      <c r="V3048" s="172">
        <v>46087.0</v>
      </c>
      <c r="W3048" s="3">
        <v>347.0</v>
      </c>
      <c r="X3048" s="172">
        <v>46086.54102846065</v>
      </c>
      <c r="Y3048" s="172">
        <v>46083.64380888889</v>
      </c>
      <c r="Z3048" s="3">
        <v>46083.0</v>
      </c>
    </row>
    <row r="3049">
      <c r="A3049" s="3">
        <v>6.934225256707E12</v>
      </c>
      <c r="B3049" s="2" t="s">
        <v>12537</v>
      </c>
      <c r="C3049" s="2" t="s">
        <v>12538</v>
      </c>
      <c r="D3049" s="169">
        <v>46083.0</v>
      </c>
      <c r="E3049" s="2">
        <v>3.21997127E9</v>
      </c>
      <c r="F3049" s="2" t="s">
        <v>12539</v>
      </c>
      <c r="G3049" s="2" t="s">
        <v>506</v>
      </c>
      <c r="H3049" s="2">
        <v>3348.0</v>
      </c>
      <c r="I3049" s="2">
        <v>2.0120050022492E13</v>
      </c>
      <c r="J3049" s="3">
        <v>2.0</v>
      </c>
      <c r="K3049" s="2" t="s">
        <v>12227</v>
      </c>
      <c r="L3049" s="2" t="s">
        <v>218</v>
      </c>
      <c r="M3049" s="2" t="s">
        <v>409</v>
      </c>
      <c r="N3049" s="2" t="s">
        <v>462</v>
      </c>
      <c r="O3049" s="3"/>
      <c r="P3049" s="2" t="s">
        <v>73</v>
      </c>
      <c r="Q3049" s="3">
        <v>720.0</v>
      </c>
      <c r="R3049" s="3">
        <v>0.5</v>
      </c>
      <c r="T3049" s="2" t="s">
        <v>12069</v>
      </c>
      <c r="U3049" s="171">
        <v>3348.0</v>
      </c>
      <c r="V3049" s="172">
        <v>46094.0</v>
      </c>
      <c r="W3049" s="3">
        <v>354.0</v>
      </c>
      <c r="X3049" s="172">
        <v>46093.62430271991</v>
      </c>
      <c r="Y3049" s="172">
        <v>46083.72714603009</v>
      </c>
      <c r="Z3049" s="3">
        <v>46083.0</v>
      </c>
    </row>
    <row r="3050">
      <c r="A3050" s="3">
        <v>6.934267560195E12</v>
      </c>
      <c r="B3050" s="2" t="s">
        <v>12540</v>
      </c>
      <c r="C3050" s="2" t="s">
        <v>12541</v>
      </c>
      <c r="D3050" s="169">
        <v>46083.0</v>
      </c>
      <c r="E3050" s="173" t="s">
        <v>12542</v>
      </c>
      <c r="F3050" s="2" t="s">
        <v>12543</v>
      </c>
      <c r="G3050" s="2" t="s">
        <v>12544</v>
      </c>
      <c r="H3050" s="2">
        <v>3100.0</v>
      </c>
      <c r="I3050" s="2">
        <v>2.3120050022237E13</v>
      </c>
      <c r="J3050" s="3">
        <v>2.0</v>
      </c>
      <c r="K3050" s="2" t="s">
        <v>12545</v>
      </c>
      <c r="L3050" s="2" t="s">
        <v>12546</v>
      </c>
      <c r="M3050" s="2" t="s">
        <v>409</v>
      </c>
      <c r="N3050" s="2" t="s">
        <v>462</v>
      </c>
      <c r="O3050" s="3"/>
      <c r="P3050" s="2" t="s">
        <v>73</v>
      </c>
      <c r="Q3050" s="3">
        <v>840.0</v>
      </c>
      <c r="R3050" s="3">
        <v>0.5</v>
      </c>
      <c r="T3050" s="2" t="s">
        <v>12156</v>
      </c>
      <c r="U3050" s="171">
        <v>3100.0</v>
      </c>
      <c r="V3050" s="172">
        <v>46091.0</v>
      </c>
      <c r="W3050" s="3">
        <v>324.0</v>
      </c>
      <c r="X3050" s="172">
        <v>46087.582680983796</v>
      </c>
      <c r="Y3050" s="172">
        <v>46083.768845266204</v>
      </c>
      <c r="Z3050" s="3">
        <v>46083.0</v>
      </c>
    </row>
    <row r="3051">
      <c r="A3051" s="3">
        <v>6.934324314371E12</v>
      </c>
      <c r="B3051" s="2" t="s">
        <v>12547</v>
      </c>
      <c r="C3051" s="2" t="s">
        <v>12548</v>
      </c>
      <c r="D3051" s="169">
        <v>46083.0</v>
      </c>
      <c r="E3051" s="173" t="s">
        <v>12549</v>
      </c>
      <c r="F3051" s="2" t="s">
        <v>12550</v>
      </c>
      <c r="G3051" s="2" t="s">
        <v>12551</v>
      </c>
      <c r="H3051" s="2">
        <v>2749.0</v>
      </c>
      <c r="I3051" s="2">
        <v>1.73011324678E11</v>
      </c>
      <c r="J3051" s="3">
        <v>2.0</v>
      </c>
      <c r="K3051" s="2" t="s">
        <v>7745</v>
      </c>
      <c r="L3051" s="2" t="s">
        <v>16</v>
      </c>
      <c r="M3051" s="2" t="s">
        <v>409</v>
      </c>
      <c r="N3051" s="2" t="s">
        <v>406</v>
      </c>
      <c r="O3051" s="3"/>
      <c r="P3051" s="2" t="s">
        <v>501</v>
      </c>
      <c r="Q3051" s="3">
        <v>980.0</v>
      </c>
      <c r="R3051" s="3">
        <v>0.5</v>
      </c>
      <c r="U3051" s="141"/>
      <c r="X3051" s="172">
        <v>46087.667198553245</v>
      </c>
      <c r="Y3051" s="172">
        <v>46083.81045513889</v>
      </c>
      <c r="Z3051" s="3">
        <v>46083.0</v>
      </c>
    </row>
    <row r="3052">
      <c r="A3052" s="3">
        <v>6.934324543747E12</v>
      </c>
      <c r="B3052" s="2" t="s">
        <v>12552</v>
      </c>
      <c r="C3052" s="2" t="s">
        <v>12158</v>
      </c>
      <c r="D3052" s="169">
        <v>46083.0</v>
      </c>
      <c r="E3052" s="2">
        <v>3.026688156E9</v>
      </c>
      <c r="F3052" s="2" t="s">
        <v>12553</v>
      </c>
      <c r="G3052" s="2" t="s">
        <v>506</v>
      </c>
      <c r="H3052" s="2">
        <v>0.0</v>
      </c>
      <c r="J3052" s="3">
        <v>0.0</v>
      </c>
      <c r="K3052" s="2" t="s">
        <v>10112</v>
      </c>
      <c r="L3052" s="2"/>
      <c r="M3052" s="2" t="s">
        <v>468</v>
      </c>
      <c r="N3052" s="2" t="s">
        <v>406</v>
      </c>
      <c r="O3052" s="3"/>
      <c r="Q3052" s="3">
        <v>0.0</v>
      </c>
      <c r="R3052" s="3">
        <v>0.5</v>
      </c>
      <c r="U3052" s="141"/>
      <c r="X3052" s="172"/>
      <c r="Y3052" s="172">
        <v>46083.81045513889</v>
      </c>
      <c r="Z3052" s="3">
        <v>46083.0</v>
      </c>
    </row>
    <row r="3053">
      <c r="A3053" s="3">
        <v>6.934356754691E12</v>
      </c>
      <c r="B3053" s="2" t="s">
        <v>12554</v>
      </c>
      <c r="C3053" s="2" t="s">
        <v>12555</v>
      </c>
      <c r="D3053" s="169">
        <v>46083.0</v>
      </c>
      <c r="E3053" s="2">
        <v>3.14352579E9</v>
      </c>
      <c r="F3053" s="2" t="s">
        <v>12556</v>
      </c>
      <c r="G3053" s="2" t="s">
        <v>6017</v>
      </c>
      <c r="H3053" s="2">
        <v>2749.0</v>
      </c>
      <c r="I3053" s="2">
        <v>2.0120050022252E13</v>
      </c>
      <c r="J3053" s="3">
        <v>2.0</v>
      </c>
      <c r="K3053" s="2" t="s">
        <v>12557</v>
      </c>
      <c r="L3053" s="2" t="s">
        <v>16</v>
      </c>
      <c r="M3053" s="2" t="s">
        <v>409</v>
      </c>
      <c r="N3053" s="2" t="s">
        <v>462</v>
      </c>
      <c r="O3053" s="3"/>
      <c r="P3053" s="2" t="s">
        <v>73</v>
      </c>
      <c r="Q3053" s="3">
        <v>980.0</v>
      </c>
      <c r="R3053" s="3">
        <v>0.5</v>
      </c>
      <c r="T3053" s="2" t="s">
        <v>11565</v>
      </c>
      <c r="U3053" s="171">
        <v>2749.0</v>
      </c>
      <c r="V3053" s="172">
        <v>46087.0</v>
      </c>
      <c r="W3053" s="3">
        <v>310.0</v>
      </c>
      <c r="X3053" s="172">
        <v>46085.77105226852</v>
      </c>
      <c r="Y3053" s="172">
        <v>46083.81045513889</v>
      </c>
      <c r="Z3053" s="3">
        <v>46083.0</v>
      </c>
    </row>
    <row r="3054">
      <c r="A3054" s="3">
        <v>6.934451093763E12</v>
      </c>
      <c r="B3054" s="2" t="s">
        <v>12558</v>
      </c>
      <c r="C3054" s="2" t="s">
        <v>11479</v>
      </c>
      <c r="D3054" s="169">
        <v>46083.0</v>
      </c>
      <c r="E3054" s="173" t="s">
        <v>11480</v>
      </c>
      <c r="F3054" s="2" t="s">
        <v>7764</v>
      </c>
      <c r="G3054" s="2" t="s">
        <v>368</v>
      </c>
      <c r="H3054" s="2">
        <v>249.0</v>
      </c>
      <c r="I3054" s="2">
        <v>365421.0</v>
      </c>
      <c r="J3054" s="3">
        <v>0.0</v>
      </c>
      <c r="K3054" s="2" t="s">
        <v>12559</v>
      </c>
      <c r="L3054" s="2"/>
      <c r="M3054" s="170" t="s">
        <v>455</v>
      </c>
      <c r="N3054" s="2" t="s">
        <v>406</v>
      </c>
      <c r="O3054" s="3"/>
      <c r="P3054" s="2"/>
      <c r="Q3054" s="3">
        <v>0.0</v>
      </c>
      <c r="R3054" s="3">
        <v>0.5</v>
      </c>
      <c r="U3054" s="141"/>
      <c r="X3054" s="172">
        <v>46091.58419100694</v>
      </c>
      <c r="Y3054" s="172">
        <v>46083.89383667824</v>
      </c>
      <c r="Z3054" s="3">
        <v>46083.0</v>
      </c>
    </row>
    <row r="3055">
      <c r="A3055" s="3">
        <v>6.934458695939E12</v>
      </c>
      <c r="B3055" s="2" t="s">
        <v>12560</v>
      </c>
      <c r="C3055" s="2" t="s">
        <v>12561</v>
      </c>
      <c r="D3055" s="169">
        <v>46083.0</v>
      </c>
      <c r="E3055" s="2">
        <v>3.008171867E9</v>
      </c>
      <c r="F3055" s="2" t="s">
        <v>12562</v>
      </c>
      <c r="G3055" s="2" t="s">
        <v>368</v>
      </c>
      <c r="H3055" s="2">
        <v>0.0</v>
      </c>
      <c r="J3055" s="3">
        <v>0.0</v>
      </c>
      <c r="K3055" s="2" t="s">
        <v>12563</v>
      </c>
      <c r="L3055" s="2"/>
      <c r="M3055" s="2" t="s">
        <v>468</v>
      </c>
      <c r="N3055" s="2" t="s">
        <v>406</v>
      </c>
      <c r="O3055" s="3"/>
      <c r="Q3055" s="3">
        <v>0.0</v>
      </c>
      <c r="R3055" s="3">
        <v>0.5</v>
      </c>
      <c r="U3055" s="141"/>
      <c r="X3055" s="172"/>
      <c r="Y3055" s="172">
        <v>46083.89383667824</v>
      </c>
      <c r="Z3055" s="3">
        <v>46083.0</v>
      </c>
    </row>
    <row r="3056">
      <c r="A3056" s="3">
        <v>6.934464856323E12</v>
      </c>
      <c r="B3056" s="2" t="s">
        <v>12564</v>
      </c>
      <c r="C3056" s="2" t="s">
        <v>12565</v>
      </c>
      <c r="D3056" s="169">
        <v>46083.0</v>
      </c>
      <c r="E3056" s="2">
        <v>3.037280092E9</v>
      </c>
      <c r="F3056" s="2" t="s">
        <v>12566</v>
      </c>
      <c r="G3056" s="2" t="s">
        <v>368</v>
      </c>
      <c r="H3056" s="2">
        <v>249.0</v>
      </c>
      <c r="I3056" s="2">
        <v>2.212005002256E13</v>
      </c>
      <c r="J3056" s="3">
        <v>0.0</v>
      </c>
      <c r="K3056" s="2" t="s">
        <v>12567</v>
      </c>
      <c r="L3056" s="2"/>
      <c r="M3056" s="170" t="s">
        <v>455</v>
      </c>
      <c r="N3056" s="2" t="s">
        <v>406</v>
      </c>
      <c r="O3056" s="3"/>
      <c r="P3056" s="2" t="s">
        <v>73</v>
      </c>
      <c r="Q3056" s="3">
        <v>0.0</v>
      </c>
      <c r="R3056" s="3">
        <v>0.5</v>
      </c>
      <c r="U3056" s="141"/>
      <c r="W3056" s="3">
        <v>120.06</v>
      </c>
      <c r="X3056" s="172">
        <v>46106.9160293287</v>
      </c>
      <c r="Y3056" s="172">
        <v>46083.89383667824</v>
      </c>
      <c r="Z3056" s="3">
        <v>46083.0</v>
      </c>
    </row>
    <row r="3057">
      <c r="A3057" s="3">
        <v>6.934552543491E12</v>
      </c>
      <c r="B3057" s="2" t="s">
        <v>12568</v>
      </c>
      <c r="C3057" s="2" t="s">
        <v>12569</v>
      </c>
      <c r="D3057" s="169">
        <v>46083.0</v>
      </c>
      <c r="E3057" s="2">
        <v>3.052634793E9</v>
      </c>
      <c r="F3057" s="2" t="s">
        <v>12570</v>
      </c>
      <c r="G3057" s="2" t="s">
        <v>493</v>
      </c>
      <c r="H3057" s="2">
        <v>0.0</v>
      </c>
      <c r="J3057" s="3">
        <v>0.0</v>
      </c>
      <c r="K3057" s="2" t="s">
        <v>7954</v>
      </c>
      <c r="L3057" s="2"/>
      <c r="M3057" s="2" t="s">
        <v>468</v>
      </c>
      <c r="N3057" s="2" t="s">
        <v>406</v>
      </c>
      <c r="O3057" s="3"/>
      <c r="Q3057" s="3">
        <v>0.0</v>
      </c>
      <c r="R3057" s="3">
        <v>0.5</v>
      </c>
      <c r="U3057" s="141"/>
      <c r="X3057" s="172"/>
      <c r="Y3057" s="172">
        <v>46083.93552731481</v>
      </c>
      <c r="Z3057" s="3">
        <v>46083.0</v>
      </c>
    </row>
    <row r="3058">
      <c r="A3058" s="3">
        <v>6.934558671107E12</v>
      </c>
      <c r="B3058" s="2" t="s">
        <v>12571</v>
      </c>
      <c r="C3058" s="2" t="s">
        <v>12572</v>
      </c>
      <c r="D3058" s="169">
        <v>46083.0</v>
      </c>
      <c r="E3058" s="2">
        <v>3.052637793E9</v>
      </c>
      <c r="F3058" s="2" t="s">
        <v>12573</v>
      </c>
      <c r="G3058" s="2" t="s">
        <v>493</v>
      </c>
      <c r="H3058" s="2">
        <v>249.0</v>
      </c>
      <c r="I3058" s="2">
        <v>2.112005002227E13</v>
      </c>
      <c r="J3058" s="3">
        <v>0.0</v>
      </c>
      <c r="K3058" s="2" t="s">
        <v>12574</v>
      </c>
      <c r="L3058" s="2"/>
      <c r="M3058" s="2" t="s">
        <v>409</v>
      </c>
      <c r="N3058" s="2" t="s">
        <v>462</v>
      </c>
      <c r="O3058" s="3"/>
      <c r="P3058" s="2" t="s">
        <v>73</v>
      </c>
      <c r="Q3058" s="3">
        <v>0.0</v>
      </c>
      <c r="R3058" s="3">
        <v>0.5</v>
      </c>
      <c r="T3058" s="2" t="s">
        <v>12156</v>
      </c>
      <c r="U3058" s="171">
        <v>249.0</v>
      </c>
      <c r="V3058" s="172">
        <v>46091.0</v>
      </c>
      <c r="W3058" s="3">
        <v>347.0</v>
      </c>
      <c r="X3058" s="172">
        <v>46087.74932957176</v>
      </c>
      <c r="Y3058" s="172">
        <v>46083.935527326394</v>
      </c>
      <c r="Z3058" s="3">
        <v>46083.0</v>
      </c>
    </row>
    <row r="3059">
      <c r="A3059" s="3">
        <v>6.934643310851E12</v>
      </c>
      <c r="B3059" s="2" t="s">
        <v>12575</v>
      </c>
      <c r="C3059" s="2" t="s">
        <v>12576</v>
      </c>
      <c r="D3059" s="169">
        <v>46083.0</v>
      </c>
      <c r="E3059" s="2">
        <v>3.321375299E9</v>
      </c>
      <c r="F3059" s="2" t="s">
        <v>12577</v>
      </c>
      <c r="G3059" s="2" t="s">
        <v>672</v>
      </c>
      <c r="H3059" s="2">
        <v>249.0</v>
      </c>
      <c r="I3059" s="2">
        <v>2.9120050022268E13</v>
      </c>
      <c r="J3059" s="3">
        <v>0.0</v>
      </c>
      <c r="K3059" s="2" t="s">
        <v>12578</v>
      </c>
      <c r="L3059" s="2"/>
      <c r="M3059" s="170" t="s">
        <v>455</v>
      </c>
      <c r="N3059" s="2" t="s">
        <v>406</v>
      </c>
      <c r="O3059" s="3"/>
      <c r="P3059" s="2" t="s">
        <v>73</v>
      </c>
      <c r="Q3059" s="3">
        <v>0.0</v>
      </c>
      <c r="R3059" s="3">
        <v>0.5</v>
      </c>
      <c r="U3059" s="141"/>
      <c r="W3059" s="3">
        <v>226.78</v>
      </c>
      <c r="X3059" s="172">
        <v>46107.87437071759</v>
      </c>
      <c r="Y3059" s="172">
        <v>46083.977102812496</v>
      </c>
      <c r="Z3059" s="3">
        <v>46083.0</v>
      </c>
    </row>
    <row r="3060">
      <c r="A3060" s="3">
        <v>6.934650618115E12</v>
      </c>
      <c r="B3060" s="2" t="s">
        <v>12579</v>
      </c>
      <c r="C3060" s="2" t="s">
        <v>12580</v>
      </c>
      <c r="D3060" s="169">
        <v>46083.0</v>
      </c>
      <c r="E3060" s="2">
        <v>3.337305319E9</v>
      </c>
      <c r="F3060" s="2" t="s">
        <v>12581</v>
      </c>
      <c r="G3060" s="2" t="s">
        <v>493</v>
      </c>
      <c r="H3060" s="2">
        <v>2749.0</v>
      </c>
      <c r="I3060" s="2">
        <v>2.7120050022267E13</v>
      </c>
      <c r="J3060" s="3">
        <v>2.0</v>
      </c>
      <c r="K3060" s="2" t="s">
        <v>12346</v>
      </c>
      <c r="L3060" s="2" t="s">
        <v>16</v>
      </c>
      <c r="M3060" s="2" t="s">
        <v>409</v>
      </c>
      <c r="N3060" s="2" t="s">
        <v>462</v>
      </c>
      <c r="O3060" s="3"/>
      <c r="P3060" s="2" t="s">
        <v>73</v>
      </c>
      <c r="Q3060" s="3">
        <v>980.0</v>
      </c>
      <c r="R3060" s="3">
        <v>0.5</v>
      </c>
      <c r="T3060" s="2" t="s">
        <v>12156</v>
      </c>
      <c r="U3060" s="171">
        <v>2749.0</v>
      </c>
      <c r="V3060" s="172">
        <v>46091.0</v>
      </c>
      <c r="W3060" s="3">
        <v>323.0</v>
      </c>
      <c r="X3060" s="172">
        <v>46087.58268104166</v>
      </c>
      <c r="Y3060" s="172">
        <v>46083.977102812496</v>
      </c>
      <c r="Z3060" s="3">
        <v>46083.0</v>
      </c>
    </row>
    <row r="3061">
      <c r="A3061" s="3">
        <v>6.934968795395E12</v>
      </c>
      <c r="B3061" s="2" t="s">
        <v>12582</v>
      </c>
      <c r="C3061" s="2" t="s">
        <v>12583</v>
      </c>
      <c r="D3061" s="169">
        <v>46084.0</v>
      </c>
      <c r="E3061" s="2">
        <v>3.213822E9</v>
      </c>
      <c r="F3061" s="2" t="s">
        <v>12584</v>
      </c>
      <c r="G3061" s="2" t="s">
        <v>1809</v>
      </c>
      <c r="H3061" s="2">
        <v>0.0</v>
      </c>
      <c r="J3061" s="3">
        <v>0.0</v>
      </c>
      <c r="K3061" s="2" t="s">
        <v>12585</v>
      </c>
      <c r="L3061" s="2"/>
      <c r="M3061" s="2" t="s">
        <v>468</v>
      </c>
      <c r="N3061" s="2" t="s">
        <v>406</v>
      </c>
      <c r="O3061" s="3"/>
      <c r="Q3061" s="3">
        <v>0.0</v>
      </c>
      <c r="R3061" s="3">
        <v>0.5</v>
      </c>
      <c r="U3061" s="141"/>
      <c r="X3061" s="172"/>
      <c r="Y3061" s="172">
        <v>46084.18546140046</v>
      </c>
      <c r="Z3061" s="3">
        <v>46084.0</v>
      </c>
    </row>
    <row r="3062">
      <c r="A3062" s="3">
        <v>6.935005069571E12</v>
      </c>
      <c r="B3062" s="2" t="s">
        <v>12586</v>
      </c>
      <c r="C3062" s="2" t="s">
        <v>12587</v>
      </c>
      <c r="D3062" s="169">
        <v>46084.0</v>
      </c>
      <c r="E3062" s="2">
        <v>3.449495005E9</v>
      </c>
      <c r="F3062" s="2" t="s">
        <v>12588</v>
      </c>
      <c r="G3062" s="2" t="s">
        <v>12589</v>
      </c>
      <c r="H3062" s="2">
        <v>3348.0</v>
      </c>
      <c r="I3062" s="2">
        <v>2.5120050022491E13</v>
      </c>
      <c r="J3062" s="3">
        <v>2.0</v>
      </c>
      <c r="K3062" s="2" t="s">
        <v>12227</v>
      </c>
      <c r="L3062" s="2" t="s">
        <v>228</v>
      </c>
      <c r="M3062" s="2" t="s">
        <v>409</v>
      </c>
      <c r="N3062" s="2" t="s">
        <v>462</v>
      </c>
      <c r="O3062" s="3"/>
      <c r="P3062" s="2" t="s">
        <v>73</v>
      </c>
      <c r="Q3062" s="3">
        <v>720.0</v>
      </c>
      <c r="R3062" s="3">
        <v>0.5</v>
      </c>
      <c r="T3062" s="2" t="s">
        <v>12069</v>
      </c>
      <c r="U3062" s="171">
        <v>3348.0</v>
      </c>
      <c r="V3062" s="172">
        <v>46094.0</v>
      </c>
      <c r="W3062" s="3">
        <v>334.0</v>
      </c>
      <c r="X3062" s="172">
        <v>46093.52084253472</v>
      </c>
      <c r="Y3062" s="172">
        <v>46084.22712243056</v>
      </c>
      <c r="Z3062" s="3">
        <v>46084.0</v>
      </c>
    </row>
    <row r="3063">
      <c r="A3063" s="3">
        <v>6.935015588099E12</v>
      </c>
      <c r="B3063" s="2" t="s">
        <v>12590</v>
      </c>
      <c r="C3063" s="2" t="s">
        <v>12591</v>
      </c>
      <c r="D3063" s="169">
        <v>46084.0</v>
      </c>
      <c r="E3063" s="2">
        <v>3.366003344E9</v>
      </c>
      <c r="F3063" s="2" t="s">
        <v>12592</v>
      </c>
      <c r="G3063" s="2" t="s">
        <v>917</v>
      </c>
      <c r="H3063" s="2">
        <v>3348.0</v>
      </c>
      <c r="I3063" s="2">
        <v>2.0120050022265E13</v>
      </c>
      <c r="J3063" s="3">
        <v>2.0</v>
      </c>
      <c r="K3063" s="2" t="s">
        <v>12250</v>
      </c>
      <c r="L3063" s="2" t="s">
        <v>1116</v>
      </c>
      <c r="M3063" s="2" t="s">
        <v>409</v>
      </c>
      <c r="N3063" s="2" t="s">
        <v>462</v>
      </c>
      <c r="O3063" s="3"/>
      <c r="P3063" s="2" t="s">
        <v>73</v>
      </c>
      <c r="Q3063" s="3">
        <v>800.0</v>
      </c>
      <c r="R3063" s="3">
        <v>0.5</v>
      </c>
      <c r="T3063" s="2" t="s">
        <v>11565</v>
      </c>
      <c r="U3063" s="171">
        <v>3348.0</v>
      </c>
      <c r="V3063" s="172">
        <v>46087.0</v>
      </c>
      <c r="W3063" s="3">
        <v>347.0</v>
      </c>
      <c r="X3063" s="172">
        <v>46086.62436108796</v>
      </c>
      <c r="Y3063" s="172">
        <v>46084.2271224537</v>
      </c>
      <c r="Z3063" s="3">
        <v>46084.0</v>
      </c>
    </row>
    <row r="3064">
      <c r="A3064" s="3">
        <v>6.935022764291E12</v>
      </c>
      <c r="B3064" s="2" t="s">
        <v>12593</v>
      </c>
      <c r="C3064" s="2" t="s">
        <v>12594</v>
      </c>
      <c r="D3064" s="169">
        <v>46084.0</v>
      </c>
      <c r="E3064" s="173" t="s">
        <v>12595</v>
      </c>
      <c r="F3064" s="2" t="s">
        <v>12596</v>
      </c>
      <c r="G3064" s="2" t="s">
        <v>1012</v>
      </c>
      <c r="H3064" s="2">
        <v>3348.0</v>
      </c>
      <c r="I3064" s="2">
        <v>2.8120050022314E13</v>
      </c>
      <c r="J3064" s="3">
        <v>2.0</v>
      </c>
      <c r="K3064" s="2" t="s">
        <v>12227</v>
      </c>
      <c r="L3064" s="2" t="s">
        <v>228</v>
      </c>
      <c r="M3064" s="2" t="s">
        <v>409</v>
      </c>
      <c r="N3064" s="2" t="s">
        <v>462</v>
      </c>
      <c r="O3064" s="3"/>
      <c r="P3064" s="2" t="s">
        <v>73</v>
      </c>
      <c r="Q3064" s="3">
        <v>720.0</v>
      </c>
      <c r="R3064" s="3">
        <v>0.5</v>
      </c>
      <c r="T3064" s="2" t="s">
        <v>12069</v>
      </c>
      <c r="U3064" s="171">
        <v>3348.0</v>
      </c>
      <c r="V3064" s="172">
        <v>46094.0</v>
      </c>
      <c r="W3064" s="3">
        <v>347.0</v>
      </c>
      <c r="X3064" s="172">
        <v>46091.41605385416</v>
      </c>
      <c r="Y3064" s="172">
        <v>46084.26877047453</v>
      </c>
      <c r="Z3064" s="3">
        <v>46084.0</v>
      </c>
    </row>
    <row r="3065">
      <c r="A3065" s="3">
        <v>6.935067263235E12</v>
      </c>
      <c r="B3065" s="2" t="s">
        <v>12597</v>
      </c>
      <c r="C3065" s="2" t="s">
        <v>12598</v>
      </c>
      <c r="D3065" s="169">
        <v>46084.0</v>
      </c>
      <c r="E3065" s="2">
        <v>3.215830848E9</v>
      </c>
      <c r="F3065" s="2" t="s">
        <v>12599</v>
      </c>
      <c r="G3065" s="2" t="s">
        <v>5702</v>
      </c>
      <c r="H3065" s="2">
        <v>3099.0</v>
      </c>
      <c r="I3065" s="2">
        <v>2.0120050022263E13</v>
      </c>
      <c r="J3065" s="3">
        <v>2.0</v>
      </c>
      <c r="K3065" s="2" t="s">
        <v>12600</v>
      </c>
      <c r="L3065" s="2" t="s">
        <v>1143</v>
      </c>
      <c r="M3065" s="2" t="s">
        <v>409</v>
      </c>
      <c r="N3065" s="2" t="s">
        <v>462</v>
      </c>
      <c r="O3065" s="3"/>
      <c r="P3065" s="2" t="s">
        <v>73</v>
      </c>
      <c r="Q3065" s="3">
        <v>960.0</v>
      </c>
      <c r="R3065" s="3">
        <v>0.5</v>
      </c>
      <c r="T3065" s="2" t="s">
        <v>11565</v>
      </c>
      <c r="U3065" s="171">
        <v>3099.0</v>
      </c>
      <c r="V3065" s="172">
        <v>46087.0</v>
      </c>
      <c r="W3065" s="3">
        <v>324.0</v>
      </c>
      <c r="X3065" s="172">
        <v>46086.66610880787</v>
      </c>
      <c r="Y3065" s="172">
        <v>46084.26877047453</v>
      </c>
      <c r="Z3065" s="3">
        <v>46084.0</v>
      </c>
    </row>
    <row r="3066">
      <c r="A3066" s="3">
        <v>6.935076700419E12</v>
      </c>
      <c r="B3066" s="2" t="s">
        <v>12601</v>
      </c>
      <c r="C3066" s="2" t="s">
        <v>12602</v>
      </c>
      <c r="D3066" s="169">
        <v>46084.0</v>
      </c>
      <c r="E3066" s="173" t="s">
        <v>12603</v>
      </c>
      <c r="F3066" s="2" t="s">
        <v>12604</v>
      </c>
      <c r="G3066" s="2" t="s">
        <v>366</v>
      </c>
      <c r="H3066" s="2">
        <v>5949.0</v>
      </c>
      <c r="I3066" s="2">
        <v>2.3120050022262E13</v>
      </c>
      <c r="J3066" s="3">
        <v>4.0</v>
      </c>
      <c r="K3066" s="2" t="s">
        <v>12605</v>
      </c>
      <c r="L3066" s="2" t="s">
        <v>12606</v>
      </c>
      <c r="M3066" s="2" t="s">
        <v>409</v>
      </c>
      <c r="N3066" s="2" t="s">
        <v>462</v>
      </c>
      <c r="O3066" s="3"/>
      <c r="P3066" s="2" t="s">
        <v>73</v>
      </c>
      <c r="Q3066" s="3">
        <v>1800.0</v>
      </c>
      <c r="R3066" s="3">
        <v>0.5</v>
      </c>
      <c r="T3066" s="2" t="s">
        <v>12156</v>
      </c>
      <c r="U3066" s="171">
        <v>5949.0</v>
      </c>
      <c r="V3066" s="172">
        <v>46091.0</v>
      </c>
      <c r="W3066" s="3">
        <v>458.0</v>
      </c>
      <c r="X3066" s="172">
        <v>46088.79116412037</v>
      </c>
      <c r="Y3066" s="172">
        <v>46084.310417037035</v>
      </c>
      <c r="Z3066" s="3">
        <v>46084.0</v>
      </c>
    </row>
    <row r="3067">
      <c r="A3067" s="3">
        <v>6.935395631363E12</v>
      </c>
      <c r="B3067" s="2" t="s">
        <v>12607</v>
      </c>
      <c r="C3067" s="2" t="s">
        <v>12608</v>
      </c>
      <c r="D3067" s="169">
        <v>46084.0</v>
      </c>
      <c r="E3067" s="173" t="s">
        <v>12609</v>
      </c>
      <c r="F3067" s="2" t="s">
        <v>12610</v>
      </c>
      <c r="G3067" s="2" t="s">
        <v>1619</v>
      </c>
      <c r="H3067" s="2">
        <v>249.0</v>
      </c>
      <c r="I3067" s="2">
        <v>2.6120050022261E13</v>
      </c>
      <c r="J3067" s="3">
        <v>0.0</v>
      </c>
      <c r="K3067" s="2" t="s">
        <v>12611</v>
      </c>
      <c r="L3067" s="2"/>
      <c r="M3067" s="170" t="s">
        <v>455</v>
      </c>
      <c r="N3067" s="2" t="s">
        <v>406</v>
      </c>
      <c r="O3067" s="3"/>
      <c r="P3067" s="2" t="s">
        <v>73</v>
      </c>
      <c r="Q3067" s="3">
        <v>0.0</v>
      </c>
      <c r="R3067" s="3">
        <v>0.5</v>
      </c>
      <c r="U3067" s="141"/>
      <c r="W3067" s="3">
        <v>107.0</v>
      </c>
      <c r="X3067" s="172">
        <v>46090.95771540509</v>
      </c>
      <c r="Y3067" s="172">
        <v>46084.56052557871</v>
      </c>
      <c r="Z3067" s="3">
        <v>46084.0</v>
      </c>
    </row>
    <row r="3068">
      <c r="A3068" s="3">
        <v>6.935415095555E12</v>
      </c>
      <c r="B3068" s="2" t="s">
        <v>12612</v>
      </c>
      <c r="C3068" s="2" t="s">
        <v>12613</v>
      </c>
      <c r="D3068" s="169">
        <v>46084.0</v>
      </c>
      <c r="E3068" s="2">
        <v>3.01518108E9</v>
      </c>
      <c r="F3068" s="2" t="s">
        <v>12614</v>
      </c>
      <c r="G3068" s="2" t="s">
        <v>506</v>
      </c>
      <c r="H3068" s="2">
        <v>2849.0</v>
      </c>
      <c r="I3068" s="2">
        <v>2.612005002226E13</v>
      </c>
      <c r="J3068" s="3">
        <v>2.0</v>
      </c>
      <c r="K3068" s="2" t="s">
        <v>12495</v>
      </c>
      <c r="L3068" s="2" t="s">
        <v>4209</v>
      </c>
      <c r="M3068" s="2" t="s">
        <v>409</v>
      </c>
      <c r="N3068" s="2" t="s">
        <v>462</v>
      </c>
      <c r="O3068" s="3"/>
      <c r="P3068" s="2" t="s">
        <v>73</v>
      </c>
      <c r="Q3068" s="3">
        <v>720.0</v>
      </c>
      <c r="R3068" s="3">
        <v>0.5</v>
      </c>
      <c r="T3068" s="2" t="s">
        <v>11565</v>
      </c>
      <c r="U3068" s="171">
        <v>2849.0</v>
      </c>
      <c r="V3068" s="172">
        <v>46087.0</v>
      </c>
      <c r="W3068" s="3">
        <v>314.0</v>
      </c>
      <c r="X3068" s="172">
        <v>46086.77096181713</v>
      </c>
      <c r="Y3068" s="172">
        <v>46084.602101701385</v>
      </c>
      <c r="Z3068" s="3">
        <v>46084.0</v>
      </c>
    </row>
    <row r="3069">
      <c r="A3069" s="3">
        <v>6.935440490755E12</v>
      </c>
      <c r="B3069" s="2" t="s">
        <v>12615</v>
      </c>
      <c r="C3069" s="2" t="s">
        <v>12616</v>
      </c>
      <c r="D3069" s="169">
        <v>46084.0</v>
      </c>
      <c r="E3069" s="173" t="s">
        <v>12617</v>
      </c>
      <c r="F3069" s="2" t="s">
        <v>12618</v>
      </c>
      <c r="G3069" s="2" t="s">
        <v>12619</v>
      </c>
      <c r="H3069" s="2">
        <v>2100.0</v>
      </c>
      <c r="I3069" s="2">
        <v>1.73011352847E11</v>
      </c>
      <c r="J3069" s="3">
        <v>1.0</v>
      </c>
      <c r="K3069" s="2" t="s">
        <v>12620</v>
      </c>
      <c r="L3069" s="2" t="s">
        <v>326</v>
      </c>
      <c r="M3069" s="2" t="s">
        <v>409</v>
      </c>
      <c r="N3069" s="2" t="s">
        <v>406</v>
      </c>
      <c r="O3069" s="3"/>
      <c r="P3069" s="2" t="s">
        <v>501</v>
      </c>
      <c r="Q3069" s="3">
        <v>360.0</v>
      </c>
      <c r="R3069" s="3">
        <v>0.5</v>
      </c>
      <c r="U3069" s="141"/>
      <c r="X3069" s="172">
        <v>46087.52266065972</v>
      </c>
      <c r="Y3069" s="172">
        <v>46084.602101701385</v>
      </c>
      <c r="Z3069" s="3">
        <v>46084.0</v>
      </c>
    </row>
    <row r="3070">
      <c r="A3070" s="3">
        <v>6.935447765251E12</v>
      </c>
      <c r="B3070" s="2" t="s">
        <v>12621</v>
      </c>
      <c r="C3070" s="2" t="s">
        <v>12622</v>
      </c>
      <c r="D3070" s="169">
        <v>46084.0</v>
      </c>
      <c r="E3070" s="173" t="s">
        <v>12623</v>
      </c>
      <c r="F3070" s="2" t="s">
        <v>12624</v>
      </c>
      <c r="G3070" s="2" t="s">
        <v>506</v>
      </c>
      <c r="H3070" s="2">
        <v>2100.0</v>
      </c>
      <c r="I3070" s="2">
        <v>2.2120050022259E13</v>
      </c>
      <c r="J3070" s="3">
        <v>1.0</v>
      </c>
      <c r="K3070" s="2" t="s">
        <v>12625</v>
      </c>
      <c r="L3070" s="2" t="s">
        <v>220</v>
      </c>
      <c r="M3070" s="2" t="s">
        <v>409</v>
      </c>
      <c r="N3070" s="2" t="s">
        <v>462</v>
      </c>
      <c r="O3070" s="3"/>
      <c r="P3070" s="2" t="s">
        <v>73</v>
      </c>
      <c r="Q3070" s="3">
        <v>360.0</v>
      </c>
      <c r="R3070" s="3">
        <v>0.5</v>
      </c>
      <c r="T3070" s="2" t="s">
        <v>11565</v>
      </c>
      <c r="U3070" s="171">
        <v>2100.0</v>
      </c>
      <c r="V3070" s="172">
        <v>46087.0</v>
      </c>
      <c r="W3070" s="3">
        <v>284.0</v>
      </c>
      <c r="X3070" s="172">
        <v>46086.54110120371</v>
      </c>
      <c r="Y3070" s="172">
        <v>46084.602101701385</v>
      </c>
      <c r="Z3070" s="3">
        <v>46084.0</v>
      </c>
    </row>
    <row r="3071">
      <c r="A3071" s="3">
        <v>6.935467426051E12</v>
      </c>
      <c r="B3071" s="2" t="s">
        <v>12626</v>
      </c>
      <c r="C3071" s="2" t="s">
        <v>12627</v>
      </c>
      <c r="D3071" s="169">
        <v>46084.0</v>
      </c>
      <c r="E3071" s="2">
        <v>3.000177666E9</v>
      </c>
      <c r="F3071" s="2" t="s">
        <v>12628</v>
      </c>
      <c r="G3071" s="2" t="s">
        <v>493</v>
      </c>
      <c r="H3071" s="2">
        <v>3348.0</v>
      </c>
      <c r="I3071" s="2">
        <v>2.8120050022269E13</v>
      </c>
      <c r="J3071" s="3">
        <v>2.0</v>
      </c>
      <c r="K3071" s="2" t="s">
        <v>12629</v>
      </c>
      <c r="L3071" s="2" t="s">
        <v>1258</v>
      </c>
      <c r="M3071" s="2" t="s">
        <v>409</v>
      </c>
      <c r="N3071" s="2" t="s">
        <v>462</v>
      </c>
      <c r="O3071" s="3"/>
      <c r="P3071" s="2" t="s">
        <v>73</v>
      </c>
      <c r="Q3071" s="3">
        <v>800.0</v>
      </c>
      <c r="R3071" s="3">
        <v>0.5</v>
      </c>
      <c r="T3071" s="2" t="s">
        <v>12156</v>
      </c>
      <c r="U3071" s="171">
        <v>3348.0</v>
      </c>
      <c r="V3071" s="172">
        <v>46091.0</v>
      </c>
      <c r="W3071" s="3">
        <v>347.0</v>
      </c>
      <c r="X3071" s="172">
        <v>46087.624331388884</v>
      </c>
      <c r="Y3071" s="172">
        <v>46084.64380387732</v>
      </c>
      <c r="Z3071" s="3">
        <v>46084.0</v>
      </c>
    </row>
    <row r="3072">
      <c r="A3072" s="3">
        <v>6.935562846467E12</v>
      </c>
      <c r="B3072" s="2" t="s">
        <v>12630</v>
      </c>
      <c r="C3072" s="2" t="s">
        <v>12631</v>
      </c>
      <c r="D3072" s="169">
        <v>46084.0</v>
      </c>
      <c r="E3072" s="2">
        <v>3.004219043E9</v>
      </c>
      <c r="F3072" s="2" t="s">
        <v>12632</v>
      </c>
      <c r="G3072" s="2" t="s">
        <v>506</v>
      </c>
      <c r="H3072" s="2">
        <v>0.0</v>
      </c>
      <c r="I3072" s="2">
        <v>2.3120050022298E13</v>
      </c>
      <c r="J3072" s="3">
        <v>0.0</v>
      </c>
      <c r="K3072" s="2" t="s">
        <v>12633</v>
      </c>
      <c r="L3072" s="2"/>
      <c r="M3072" s="170" t="s">
        <v>455</v>
      </c>
      <c r="N3072" s="2" t="s">
        <v>406</v>
      </c>
      <c r="O3072" s="3"/>
      <c r="P3072" s="2" t="s">
        <v>73</v>
      </c>
      <c r="Q3072" s="3">
        <v>0.0</v>
      </c>
      <c r="R3072" s="3">
        <v>0.5</v>
      </c>
      <c r="U3072" s="141"/>
      <c r="W3072" s="3">
        <v>220.0</v>
      </c>
      <c r="X3072" s="172">
        <v>46092.707640092594</v>
      </c>
      <c r="Y3072" s="172">
        <v>46084.72711273148</v>
      </c>
      <c r="Z3072" s="3">
        <v>46084.0</v>
      </c>
    </row>
    <row r="3073">
      <c r="A3073" s="3">
        <v>6.935571497219E12</v>
      </c>
      <c r="B3073" s="2" t="s">
        <v>12634</v>
      </c>
      <c r="C3073" s="2" t="s">
        <v>12635</v>
      </c>
      <c r="D3073" s="169">
        <v>46084.0</v>
      </c>
      <c r="E3073" s="2">
        <v>3.003019064E9</v>
      </c>
      <c r="F3073" s="2" t="s">
        <v>12636</v>
      </c>
      <c r="G3073" s="2" t="s">
        <v>693</v>
      </c>
      <c r="H3073" s="2">
        <v>3348.0</v>
      </c>
      <c r="I3073" s="2">
        <v>2.8120050022313E13</v>
      </c>
      <c r="J3073" s="3">
        <v>2.0</v>
      </c>
      <c r="K3073" s="2" t="s">
        <v>12227</v>
      </c>
      <c r="L3073" s="2" t="s">
        <v>40</v>
      </c>
      <c r="M3073" s="2" t="s">
        <v>409</v>
      </c>
      <c r="N3073" s="2" t="s">
        <v>462</v>
      </c>
      <c r="O3073" s="3"/>
      <c r="P3073" s="2" t="s">
        <v>73</v>
      </c>
      <c r="Q3073" s="3">
        <v>720.0</v>
      </c>
      <c r="R3073" s="3">
        <v>0.5</v>
      </c>
      <c r="T3073" s="2" t="s">
        <v>12069</v>
      </c>
      <c r="U3073" s="171">
        <v>3348.0</v>
      </c>
      <c r="V3073" s="172">
        <v>46094.0</v>
      </c>
      <c r="W3073" s="3">
        <v>347.0</v>
      </c>
      <c r="X3073" s="172">
        <v>46093.77097583334</v>
      </c>
      <c r="Y3073" s="172">
        <v>46084.72711273148</v>
      </c>
      <c r="Z3073" s="3">
        <v>46084.0</v>
      </c>
    </row>
    <row r="3074">
      <c r="A3074" s="3">
        <v>6.935589060867E12</v>
      </c>
      <c r="B3074" s="2" t="s">
        <v>12637</v>
      </c>
      <c r="C3074" s="2" t="s">
        <v>12638</v>
      </c>
      <c r="D3074" s="169">
        <v>46084.0</v>
      </c>
      <c r="E3074" s="2">
        <v>3.314954882E9</v>
      </c>
      <c r="F3074" s="2" t="s">
        <v>12639</v>
      </c>
      <c r="G3074" s="2" t="s">
        <v>368</v>
      </c>
      <c r="H3074" s="2">
        <v>249.0</v>
      </c>
      <c r="I3074" s="2">
        <v>2.3120050022297E13</v>
      </c>
      <c r="J3074" s="3">
        <v>0.0</v>
      </c>
      <c r="K3074" s="2" t="s">
        <v>12640</v>
      </c>
      <c r="L3074" s="2"/>
      <c r="M3074" s="170" t="s">
        <v>455</v>
      </c>
      <c r="N3074" s="2" t="s">
        <v>406</v>
      </c>
      <c r="O3074" s="3"/>
      <c r="P3074" s="2" t="s">
        <v>73</v>
      </c>
      <c r="Q3074" s="3">
        <v>0.0</v>
      </c>
      <c r="R3074" s="3">
        <v>0.5</v>
      </c>
      <c r="U3074" s="141"/>
      <c r="W3074" s="3">
        <v>107.0</v>
      </c>
      <c r="X3074" s="172">
        <v>46092.66597862268</v>
      </c>
      <c r="Y3074" s="172">
        <v>46084.768782141204</v>
      </c>
      <c r="Z3074" s="3">
        <v>46084.0</v>
      </c>
    </row>
    <row r="3075">
      <c r="A3075" s="3">
        <v>6.935596073219E12</v>
      </c>
      <c r="B3075" s="2" t="s">
        <v>12641</v>
      </c>
      <c r="C3075" s="2" t="s">
        <v>12642</v>
      </c>
      <c r="D3075" s="169">
        <v>46084.0</v>
      </c>
      <c r="E3075" s="2">
        <v>3.1621357E9</v>
      </c>
      <c r="F3075" s="2" t="s">
        <v>12643</v>
      </c>
      <c r="G3075" s="2" t="s">
        <v>493</v>
      </c>
      <c r="H3075" s="2">
        <v>3348.0</v>
      </c>
      <c r="I3075" s="2">
        <v>2.2120050022312E13</v>
      </c>
      <c r="J3075" s="3">
        <v>2.0</v>
      </c>
      <c r="K3075" s="2" t="s">
        <v>12238</v>
      </c>
      <c r="L3075" s="2" t="s">
        <v>906</v>
      </c>
      <c r="M3075" s="2" t="s">
        <v>409</v>
      </c>
      <c r="N3075" s="2" t="s">
        <v>462</v>
      </c>
      <c r="O3075" s="3"/>
      <c r="P3075" s="2" t="s">
        <v>73</v>
      </c>
      <c r="Q3075" s="3">
        <v>720.0</v>
      </c>
      <c r="R3075" s="3">
        <v>0.5</v>
      </c>
      <c r="T3075" s="2" t="s">
        <v>12156</v>
      </c>
      <c r="U3075" s="171">
        <v>3348.0</v>
      </c>
      <c r="V3075" s="172">
        <v>46091.0</v>
      </c>
      <c r="W3075" s="3">
        <v>347.0</v>
      </c>
      <c r="X3075" s="172">
        <v>46089.62436480324</v>
      </c>
      <c r="Y3075" s="172">
        <v>46084.768782141204</v>
      </c>
      <c r="Z3075" s="3">
        <v>46084.0</v>
      </c>
    </row>
    <row r="3076">
      <c r="A3076" s="3">
        <v>6.935688380675E12</v>
      </c>
      <c r="B3076" s="2" t="s">
        <v>12644</v>
      </c>
      <c r="C3076" s="2" t="s">
        <v>12645</v>
      </c>
      <c r="D3076" s="169">
        <v>46084.0</v>
      </c>
      <c r="E3076" s="2">
        <v>3.442599462E9</v>
      </c>
      <c r="F3076" s="2" t="s">
        <v>12646</v>
      </c>
      <c r="G3076" s="2" t="s">
        <v>493</v>
      </c>
      <c r="H3076" s="2">
        <v>3348.0</v>
      </c>
      <c r="I3076" s="2">
        <v>2.1120050022311E13</v>
      </c>
      <c r="J3076" s="3">
        <v>2.0</v>
      </c>
      <c r="K3076" s="2" t="s">
        <v>12227</v>
      </c>
      <c r="L3076" s="2" t="s">
        <v>27</v>
      </c>
      <c r="M3076" s="2" t="s">
        <v>409</v>
      </c>
      <c r="N3076" s="2" t="s">
        <v>462</v>
      </c>
      <c r="O3076" s="3"/>
      <c r="P3076" s="2" t="s">
        <v>73</v>
      </c>
      <c r="Q3076" s="3">
        <v>720.0</v>
      </c>
      <c r="R3076" s="3">
        <v>0.5</v>
      </c>
      <c r="T3076" s="2" t="s">
        <v>12069</v>
      </c>
      <c r="U3076" s="171">
        <v>3348.0</v>
      </c>
      <c r="V3076" s="172">
        <v>46094.0</v>
      </c>
      <c r="W3076" s="3">
        <v>347.0</v>
      </c>
      <c r="X3076" s="172">
        <v>46091.62431</v>
      </c>
      <c r="Y3076" s="172">
        <v>46084.81044583333</v>
      </c>
      <c r="Z3076" s="3">
        <v>46084.0</v>
      </c>
    </row>
    <row r="3077">
      <c r="A3077" s="3">
        <v>6.935723213059E12</v>
      </c>
      <c r="B3077" s="2" t="s">
        <v>12647</v>
      </c>
      <c r="C3077" s="2" t="s">
        <v>3977</v>
      </c>
      <c r="D3077" s="169">
        <v>46084.0</v>
      </c>
      <c r="E3077" s="2">
        <v>3.004523522E9</v>
      </c>
      <c r="F3077" s="2" t="s">
        <v>12648</v>
      </c>
      <c r="G3077" s="2" t="s">
        <v>368</v>
      </c>
      <c r="H3077" s="2">
        <v>0.0</v>
      </c>
      <c r="J3077" s="3">
        <v>0.0</v>
      </c>
      <c r="K3077" s="2" t="s">
        <v>12649</v>
      </c>
      <c r="L3077" s="2"/>
      <c r="M3077" s="2" t="s">
        <v>468</v>
      </c>
      <c r="N3077" s="2" t="s">
        <v>406</v>
      </c>
      <c r="O3077" s="3"/>
      <c r="Q3077" s="3">
        <v>0.0</v>
      </c>
      <c r="R3077" s="3">
        <v>0.5</v>
      </c>
      <c r="U3077" s="141"/>
      <c r="X3077" s="172"/>
      <c r="Y3077" s="172">
        <v>46084.85214054398</v>
      </c>
      <c r="Z3077" s="3">
        <v>46084.0</v>
      </c>
    </row>
    <row r="3078">
      <c r="A3078" s="3">
        <v>6.935736287491E12</v>
      </c>
      <c r="B3078" s="2" t="s">
        <v>12650</v>
      </c>
      <c r="C3078" s="2" t="s">
        <v>3977</v>
      </c>
      <c r="D3078" s="169">
        <v>46084.0</v>
      </c>
      <c r="E3078" s="2">
        <v>3.004523522E9</v>
      </c>
      <c r="F3078" s="2" t="s">
        <v>12651</v>
      </c>
      <c r="G3078" s="2" t="s">
        <v>368</v>
      </c>
      <c r="H3078" s="2">
        <v>3348.0</v>
      </c>
      <c r="I3078" s="2">
        <v>2.412005002231E13</v>
      </c>
      <c r="J3078" s="3">
        <v>2.0</v>
      </c>
      <c r="K3078" s="2" t="s">
        <v>12652</v>
      </c>
      <c r="L3078" s="2" t="s">
        <v>906</v>
      </c>
      <c r="M3078" s="2" t="s">
        <v>409</v>
      </c>
      <c r="N3078" s="2" t="s">
        <v>462</v>
      </c>
      <c r="O3078" s="3"/>
      <c r="P3078" s="2" t="s">
        <v>73</v>
      </c>
      <c r="Q3078" s="3">
        <v>720.0</v>
      </c>
      <c r="R3078" s="3">
        <v>0.5</v>
      </c>
      <c r="T3078" s="2" t="s">
        <v>12156</v>
      </c>
      <c r="U3078" s="171">
        <v>3348.0</v>
      </c>
      <c r="V3078" s="172">
        <v>46091.0</v>
      </c>
      <c r="W3078" s="3">
        <v>241.0</v>
      </c>
      <c r="X3078" s="172">
        <v>46088.70765119213</v>
      </c>
      <c r="Y3078" s="172">
        <v>46084.85214054398</v>
      </c>
      <c r="Z3078" s="3">
        <v>46084.0</v>
      </c>
    </row>
    <row r="3079">
      <c r="A3079" s="3">
        <v>6.935737106691E12</v>
      </c>
      <c r="B3079" s="2" t="s">
        <v>12653</v>
      </c>
      <c r="C3079" s="2" t="s">
        <v>12654</v>
      </c>
      <c r="D3079" s="169">
        <v>46084.0</v>
      </c>
      <c r="E3079" s="2">
        <v>3.328661266E9</v>
      </c>
      <c r="F3079" s="2" t="s">
        <v>12655</v>
      </c>
      <c r="G3079" s="2" t="s">
        <v>374</v>
      </c>
      <c r="H3079" s="2">
        <v>1899.0</v>
      </c>
      <c r="I3079" s="2" t="s">
        <v>12656</v>
      </c>
      <c r="J3079" s="3">
        <v>1.0</v>
      </c>
      <c r="K3079" s="2" t="s">
        <v>12380</v>
      </c>
      <c r="L3079" s="2" t="s">
        <v>10932</v>
      </c>
      <c r="M3079" s="2" t="s">
        <v>12033</v>
      </c>
      <c r="N3079" s="2" t="s">
        <v>406</v>
      </c>
      <c r="O3079" s="3"/>
      <c r="P3079" s="2" t="s">
        <v>640</v>
      </c>
      <c r="Q3079" s="3">
        <v>550.0</v>
      </c>
      <c r="R3079" s="3">
        <v>0.5</v>
      </c>
      <c r="U3079" s="141"/>
      <c r="X3079" s="172">
        <v>46091.584336354164</v>
      </c>
      <c r="Y3079" s="172">
        <v>46084.85214054398</v>
      </c>
      <c r="Z3079" s="3">
        <v>46084.0</v>
      </c>
    </row>
    <row r="3080">
      <c r="A3080" s="3">
        <v>6.935799660803E12</v>
      </c>
      <c r="B3080" s="2" t="s">
        <v>12657</v>
      </c>
      <c r="C3080" s="2" t="s">
        <v>12658</v>
      </c>
      <c r="D3080" s="169">
        <v>46084.0</v>
      </c>
      <c r="E3080" s="2">
        <v>3.33591212E9</v>
      </c>
      <c r="F3080" s="2" t="s">
        <v>11577</v>
      </c>
      <c r="G3080" s="2" t="s">
        <v>506</v>
      </c>
      <c r="H3080" s="2">
        <v>3099.0</v>
      </c>
      <c r="I3080" s="2">
        <v>2.5120050022296E13</v>
      </c>
      <c r="J3080" s="3">
        <v>2.0</v>
      </c>
      <c r="K3080" s="2" t="s">
        <v>12659</v>
      </c>
      <c r="L3080" s="2" t="s">
        <v>1242</v>
      </c>
      <c r="M3080" s="2" t="s">
        <v>409</v>
      </c>
      <c r="N3080" s="2" t="s">
        <v>462</v>
      </c>
      <c r="O3080" s="3"/>
      <c r="P3080" s="2" t="s">
        <v>73</v>
      </c>
      <c r="Q3080" s="3">
        <v>1000.0</v>
      </c>
      <c r="R3080" s="3">
        <v>0.5</v>
      </c>
      <c r="T3080" s="2" t="s">
        <v>12156</v>
      </c>
      <c r="U3080" s="171">
        <v>3099.0</v>
      </c>
      <c r="V3080" s="172">
        <v>46091.0</v>
      </c>
      <c r="W3080" s="3">
        <v>324.0</v>
      </c>
      <c r="X3080" s="172">
        <v>46087.79103287037</v>
      </c>
      <c r="Y3080" s="172">
        <v>46084.893766180554</v>
      </c>
      <c r="Z3080" s="3">
        <v>46084.0</v>
      </c>
    </row>
    <row r="3081">
      <c r="A3081" s="3">
        <v>6.935808639235E12</v>
      </c>
      <c r="B3081" s="2" t="s">
        <v>12660</v>
      </c>
      <c r="C3081" s="2" t="s">
        <v>12661</v>
      </c>
      <c r="D3081" s="169">
        <v>46084.0</v>
      </c>
      <c r="E3081" s="173" t="s">
        <v>12662</v>
      </c>
      <c r="F3081" s="2" t="s">
        <v>12663</v>
      </c>
      <c r="G3081" s="2" t="s">
        <v>368</v>
      </c>
      <c r="H3081" s="2">
        <v>0.0</v>
      </c>
      <c r="J3081" s="3">
        <v>0.0</v>
      </c>
      <c r="K3081" s="2" t="s">
        <v>7954</v>
      </c>
      <c r="L3081" s="2"/>
      <c r="M3081" s="2" t="s">
        <v>468</v>
      </c>
      <c r="N3081" s="2" t="s">
        <v>406</v>
      </c>
      <c r="O3081" s="3"/>
      <c r="Q3081" s="3">
        <v>0.0</v>
      </c>
      <c r="R3081" s="3">
        <v>0.5</v>
      </c>
      <c r="U3081" s="141"/>
      <c r="X3081" s="172"/>
      <c r="Y3081" s="172">
        <v>46084.893766180554</v>
      </c>
      <c r="Z3081" s="3">
        <v>46084.0</v>
      </c>
    </row>
    <row r="3082">
      <c r="A3082" s="3">
        <v>6.935815520515E12</v>
      </c>
      <c r="B3082" s="2" t="s">
        <v>12664</v>
      </c>
      <c r="C3082" s="2" t="s">
        <v>12661</v>
      </c>
      <c r="D3082" s="169">
        <v>46084.0</v>
      </c>
      <c r="E3082" s="173" t="s">
        <v>12662</v>
      </c>
      <c r="F3082" s="2" t="s">
        <v>12663</v>
      </c>
      <c r="G3082" s="2" t="s">
        <v>368</v>
      </c>
      <c r="H3082" s="2">
        <v>5699.0</v>
      </c>
      <c r="I3082" s="2">
        <v>2.6120050022295E13</v>
      </c>
      <c r="J3082" s="3">
        <v>4.0</v>
      </c>
      <c r="K3082" s="2" t="s">
        <v>12665</v>
      </c>
      <c r="L3082" s="2" t="s">
        <v>12666</v>
      </c>
      <c r="M3082" s="2" t="s">
        <v>409</v>
      </c>
      <c r="N3082" s="2" t="s">
        <v>462</v>
      </c>
      <c r="O3082" s="3"/>
      <c r="P3082" s="2" t="s">
        <v>73</v>
      </c>
      <c r="Q3082" s="3">
        <v>1600.0</v>
      </c>
      <c r="R3082" s="3">
        <v>0.5</v>
      </c>
      <c r="T3082" s="2" t="s">
        <v>11565</v>
      </c>
      <c r="U3082" s="171">
        <v>5699.0</v>
      </c>
      <c r="V3082" s="172">
        <v>46087.0</v>
      </c>
      <c r="W3082" s="3">
        <v>348.0</v>
      </c>
      <c r="X3082" s="172">
        <v>46086.79105034722</v>
      </c>
      <c r="Y3082" s="172">
        <v>46084.893766180554</v>
      </c>
      <c r="Z3082" s="3">
        <v>46084.0</v>
      </c>
    </row>
    <row r="3083">
      <c r="A3083" s="3">
        <v>6.935855038723E12</v>
      </c>
      <c r="B3083" s="2" t="s">
        <v>12667</v>
      </c>
      <c r="C3083" s="2" t="s">
        <v>12668</v>
      </c>
      <c r="D3083" s="169">
        <v>46084.0</v>
      </c>
      <c r="E3083" s="2">
        <v>3.323482775E9</v>
      </c>
      <c r="F3083" s="2" t="s">
        <v>12669</v>
      </c>
      <c r="G3083" s="2" t="s">
        <v>493</v>
      </c>
      <c r="H3083" s="2">
        <v>3348.0</v>
      </c>
      <c r="I3083" s="2">
        <v>2.6120050022309E13</v>
      </c>
      <c r="J3083" s="3">
        <v>2.0</v>
      </c>
      <c r="K3083" s="2" t="s">
        <v>12223</v>
      </c>
      <c r="L3083" s="2" t="s">
        <v>40</v>
      </c>
      <c r="M3083" s="2" t="s">
        <v>409</v>
      </c>
      <c r="N3083" s="2" t="s">
        <v>462</v>
      </c>
      <c r="O3083" s="3"/>
      <c r="P3083" s="2" t="s">
        <v>73</v>
      </c>
      <c r="Q3083" s="3">
        <v>720.0</v>
      </c>
      <c r="R3083" s="3">
        <v>0.5</v>
      </c>
      <c r="T3083" s="2" t="s">
        <v>11534</v>
      </c>
      <c r="U3083" s="171">
        <v>3348.0</v>
      </c>
      <c r="V3083" s="172">
        <v>46097.0</v>
      </c>
      <c r="W3083" s="3">
        <v>347.0</v>
      </c>
      <c r="X3083" s="172">
        <v>46095.665965127315</v>
      </c>
      <c r="Y3083" s="172">
        <v>46084.893766180554</v>
      </c>
      <c r="Z3083" s="3">
        <v>46084.0</v>
      </c>
    </row>
    <row r="3084">
      <c r="A3084" s="3">
        <v>6.935870669059E12</v>
      </c>
      <c r="B3084" s="2" t="s">
        <v>12670</v>
      </c>
      <c r="C3084" s="2" t="s">
        <v>12671</v>
      </c>
      <c r="D3084" s="169">
        <v>46084.0</v>
      </c>
      <c r="E3084" s="2">
        <v>3.327010702E9</v>
      </c>
      <c r="F3084" s="2" t="s">
        <v>12672</v>
      </c>
      <c r="G3084" s="2" t="s">
        <v>368</v>
      </c>
      <c r="H3084" s="2">
        <v>2924.0</v>
      </c>
      <c r="I3084" s="2">
        <v>2.6120050022294E13</v>
      </c>
      <c r="J3084" s="3">
        <v>2.0</v>
      </c>
      <c r="K3084" s="2" t="s">
        <v>12673</v>
      </c>
      <c r="L3084" s="2" t="s">
        <v>926</v>
      </c>
      <c r="M3084" s="2" t="s">
        <v>409</v>
      </c>
      <c r="N3084" s="2" t="s">
        <v>462</v>
      </c>
      <c r="O3084" s="3"/>
      <c r="P3084" s="2" t="s">
        <v>73</v>
      </c>
      <c r="Q3084" s="3">
        <v>980.0</v>
      </c>
      <c r="R3084" s="3">
        <v>0.5</v>
      </c>
      <c r="T3084" s="2" t="s">
        <v>12069</v>
      </c>
      <c r="U3084" s="171">
        <v>2924.0</v>
      </c>
      <c r="V3084" s="172">
        <v>46094.0</v>
      </c>
      <c r="W3084" s="3">
        <v>237.0</v>
      </c>
      <c r="X3084" s="172">
        <v>46092.74944853009</v>
      </c>
      <c r="Y3084" s="172">
        <v>46084.93545009259</v>
      </c>
      <c r="Z3084" s="3">
        <v>46084.0</v>
      </c>
    </row>
    <row r="3085">
      <c r="A3085" s="3">
        <v>6.935886364931E12</v>
      </c>
      <c r="B3085" s="2" t="s">
        <v>12674</v>
      </c>
      <c r="C3085" s="2" t="s">
        <v>12675</v>
      </c>
      <c r="D3085" s="169">
        <v>46084.0</v>
      </c>
      <c r="E3085" s="173" t="s">
        <v>12676</v>
      </c>
      <c r="F3085" s="2" t="s">
        <v>12677</v>
      </c>
      <c r="G3085" s="2" t="s">
        <v>993</v>
      </c>
      <c r="H3085" s="2">
        <v>249.0</v>
      </c>
      <c r="I3085" s="2">
        <v>2.9120050022293E13</v>
      </c>
      <c r="J3085" s="3">
        <v>0.0</v>
      </c>
      <c r="K3085" s="2" t="s">
        <v>12678</v>
      </c>
      <c r="L3085" s="2"/>
      <c r="M3085" s="170" t="s">
        <v>455</v>
      </c>
      <c r="N3085" s="2" t="s">
        <v>406</v>
      </c>
      <c r="O3085" s="3"/>
      <c r="P3085" s="2" t="s">
        <v>73</v>
      </c>
      <c r="Q3085" s="3">
        <v>0.0</v>
      </c>
      <c r="R3085" s="3">
        <v>0.5</v>
      </c>
      <c r="U3085" s="141"/>
      <c r="W3085" s="3">
        <v>200.0</v>
      </c>
      <c r="X3085" s="172">
        <v>46098.707635081024</v>
      </c>
      <c r="Y3085" s="172">
        <v>46084.93545010417</v>
      </c>
      <c r="Z3085" s="3">
        <v>46084.0</v>
      </c>
    </row>
    <row r="3086">
      <c r="A3086" s="3">
        <v>6.935920279811E12</v>
      </c>
      <c r="B3086" s="2" t="s">
        <v>12679</v>
      </c>
      <c r="C3086" s="2" t="s">
        <v>12680</v>
      </c>
      <c r="D3086" s="169">
        <v>46084.0</v>
      </c>
      <c r="E3086" s="2">
        <v>3.197093134E9</v>
      </c>
      <c r="F3086" s="2" t="s">
        <v>12681</v>
      </c>
      <c r="G3086" s="2" t="s">
        <v>822</v>
      </c>
      <c r="H3086" s="2">
        <v>249.0</v>
      </c>
      <c r="I3086" s="2">
        <v>2.0120050022292E13</v>
      </c>
      <c r="J3086" s="3">
        <v>0.0</v>
      </c>
      <c r="K3086" s="2" t="s">
        <v>12682</v>
      </c>
      <c r="L3086" s="2"/>
      <c r="M3086" s="170" t="s">
        <v>455</v>
      </c>
      <c r="N3086" s="2" t="s">
        <v>406</v>
      </c>
      <c r="O3086" s="3"/>
      <c r="P3086" s="2" t="s">
        <v>73</v>
      </c>
      <c r="Q3086" s="3">
        <v>0.0</v>
      </c>
      <c r="R3086" s="3">
        <v>0.5</v>
      </c>
      <c r="U3086" s="141"/>
      <c r="W3086" s="3">
        <v>200.0</v>
      </c>
      <c r="X3086" s="172">
        <v>46098.707635081024</v>
      </c>
      <c r="Y3086" s="172">
        <v>46084.93545010417</v>
      </c>
      <c r="Z3086" s="3">
        <v>46084.0</v>
      </c>
    </row>
    <row r="3087">
      <c r="A3087" s="3">
        <v>6.935920476419E12</v>
      </c>
      <c r="B3087" s="2" t="s">
        <v>12683</v>
      </c>
      <c r="C3087" s="2" t="s">
        <v>12684</v>
      </c>
      <c r="D3087" s="169">
        <v>46084.0</v>
      </c>
      <c r="E3087" s="2">
        <v>3.177033246E9</v>
      </c>
      <c r="F3087" s="2" t="s">
        <v>12685</v>
      </c>
      <c r="G3087" s="2" t="s">
        <v>822</v>
      </c>
      <c r="H3087" s="2">
        <v>2649.0</v>
      </c>
      <c r="I3087" s="2">
        <v>2.8120050022308E13</v>
      </c>
      <c r="J3087" s="3">
        <v>2.0</v>
      </c>
      <c r="K3087" s="2" t="s">
        <v>12686</v>
      </c>
      <c r="L3087" s="2" t="s">
        <v>12687</v>
      </c>
      <c r="M3087" s="2" t="s">
        <v>409</v>
      </c>
      <c r="N3087" s="2" t="s">
        <v>462</v>
      </c>
      <c r="O3087" s="3"/>
      <c r="P3087" s="2" t="s">
        <v>73</v>
      </c>
      <c r="Q3087" s="3">
        <v>1100.0</v>
      </c>
      <c r="R3087" s="3">
        <v>0.5</v>
      </c>
      <c r="T3087" s="2" t="s">
        <v>12156</v>
      </c>
      <c r="U3087" s="171">
        <v>2649.0</v>
      </c>
      <c r="V3087" s="172">
        <v>46091.0</v>
      </c>
      <c r="W3087" s="3">
        <v>306.0</v>
      </c>
      <c r="X3087" s="172">
        <v>46088.70765123842</v>
      </c>
      <c r="Y3087" s="172">
        <v>46084.93545010417</v>
      </c>
      <c r="Z3087" s="3">
        <v>46084.0</v>
      </c>
    </row>
    <row r="3088">
      <c r="A3088" s="3">
        <v>6.935970119939E12</v>
      </c>
      <c r="B3088" s="2" t="s">
        <v>12688</v>
      </c>
      <c r="C3088" s="2" t="s">
        <v>12689</v>
      </c>
      <c r="D3088" s="169">
        <v>46084.0</v>
      </c>
      <c r="E3088" s="2">
        <v>3.346463336E9</v>
      </c>
      <c r="F3088" s="2" t="s">
        <v>12690</v>
      </c>
      <c r="G3088" s="2" t="s">
        <v>368</v>
      </c>
      <c r="H3088" s="2">
        <v>3348.0</v>
      </c>
      <c r="I3088" s="2">
        <v>2.5120050022407E13</v>
      </c>
      <c r="J3088" s="3">
        <v>2.0</v>
      </c>
      <c r="K3088" s="2" t="s">
        <v>12227</v>
      </c>
      <c r="L3088" s="2" t="s">
        <v>40</v>
      </c>
      <c r="M3088" s="2" t="s">
        <v>409</v>
      </c>
      <c r="N3088" s="2" t="s">
        <v>462</v>
      </c>
      <c r="O3088" s="3"/>
      <c r="P3088" s="2" t="s">
        <v>73</v>
      </c>
      <c r="Q3088" s="3">
        <v>720.0</v>
      </c>
      <c r="R3088" s="3">
        <v>0.5</v>
      </c>
      <c r="T3088" s="2" t="s">
        <v>12069</v>
      </c>
      <c r="U3088" s="171">
        <v>3348.0</v>
      </c>
      <c r="V3088" s="172">
        <v>46094.0</v>
      </c>
      <c r="W3088" s="3">
        <v>241.0</v>
      </c>
      <c r="X3088" s="172">
        <v>46091.582698321756</v>
      </c>
      <c r="Y3088" s="172">
        <v>46084.97711846065</v>
      </c>
      <c r="Z3088" s="3">
        <v>46084.0</v>
      </c>
    </row>
    <row r="3089">
      <c r="A3089" s="3">
        <v>6.935995515139E12</v>
      </c>
      <c r="B3089" s="2" t="s">
        <v>12691</v>
      </c>
      <c r="C3089" s="2" t="s">
        <v>12692</v>
      </c>
      <c r="D3089" s="169">
        <v>46084.0</v>
      </c>
      <c r="E3089" s="2">
        <v>3.474344045E9</v>
      </c>
      <c r="F3089" s="2" t="s">
        <v>12693</v>
      </c>
      <c r="G3089" s="2" t="s">
        <v>12694</v>
      </c>
      <c r="H3089" s="2">
        <v>249.0</v>
      </c>
      <c r="I3089" s="2">
        <v>2.4120050022307E13</v>
      </c>
      <c r="J3089" s="3">
        <v>0.0</v>
      </c>
      <c r="K3089" s="2" t="s">
        <v>12695</v>
      </c>
      <c r="L3089" s="2"/>
      <c r="M3089" s="170" t="s">
        <v>455</v>
      </c>
      <c r="N3089" s="2" t="s">
        <v>406</v>
      </c>
      <c r="O3089" s="3"/>
      <c r="P3089" s="2" t="s">
        <v>73</v>
      </c>
      <c r="Q3089" s="3">
        <v>0.0</v>
      </c>
      <c r="R3089" s="3">
        <v>0.5</v>
      </c>
      <c r="U3089" s="141"/>
      <c r="W3089" s="3">
        <v>213.44</v>
      </c>
      <c r="X3089" s="172">
        <v>46112.91603208333</v>
      </c>
      <c r="Y3089" s="172">
        <v>46084.97711846065</v>
      </c>
      <c r="Z3089" s="3">
        <v>46084.0</v>
      </c>
    </row>
    <row r="3090">
      <c r="A3090" s="3">
        <v>6.936028283139E12</v>
      </c>
      <c r="B3090" s="2" t="s">
        <v>12696</v>
      </c>
      <c r="C3090" s="2" t="s">
        <v>12697</v>
      </c>
      <c r="D3090" s="169">
        <v>46084.0</v>
      </c>
      <c r="E3090" s="2">
        <v>3.067725436E9</v>
      </c>
      <c r="F3090" s="2" t="s">
        <v>12698</v>
      </c>
      <c r="G3090" s="2" t="s">
        <v>12699</v>
      </c>
      <c r="H3090" s="2">
        <v>3099.0</v>
      </c>
      <c r="I3090" s="2">
        <v>2.212005002233E13</v>
      </c>
      <c r="J3090" s="3">
        <v>2.0</v>
      </c>
      <c r="K3090" s="2" t="s">
        <v>12700</v>
      </c>
      <c r="L3090" s="2" t="s">
        <v>50</v>
      </c>
      <c r="M3090" s="2" t="s">
        <v>409</v>
      </c>
      <c r="N3090" s="2" t="s">
        <v>462</v>
      </c>
      <c r="O3090" s="3"/>
      <c r="P3090" s="2" t="s">
        <v>73</v>
      </c>
      <c r="Q3090" s="3">
        <v>720.0</v>
      </c>
      <c r="R3090" s="3">
        <v>0.5</v>
      </c>
      <c r="T3090" s="2" t="s">
        <v>12156</v>
      </c>
      <c r="U3090" s="171">
        <v>3099.0</v>
      </c>
      <c r="V3090" s="172">
        <v>46091.0</v>
      </c>
      <c r="W3090" s="3">
        <v>324.0</v>
      </c>
      <c r="X3090" s="172">
        <v>46088.624365069445</v>
      </c>
      <c r="Y3090" s="172">
        <v>46085.01951813657</v>
      </c>
      <c r="Z3090" s="3">
        <v>46084.0</v>
      </c>
    </row>
    <row r="3091">
      <c r="A3091" s="3">
        <v>6.936109580547E12</v>
      </c>
      <c r="B3091" s="2" t="s">
        <v>12701</v>
      </c>
      <c r="C3091" s="2" t="s">
        <v>12702</v>
      </c>
      <c r="D3091" s="169">
        <v>46085.0</v>
      </c>
      <c r="E3091" s="2">
        <v>3.443448311E9</v>
      </c>
      <c r="F3091" s="2" t="s">
        <v>12703</v>
      </c>
      <c r="G3091" s="2" t="s">
        <v>4067</v>
      </c>
      <c r="H3091" s="2">
        <v>3348.0</v>
      </c>
      <c r="I3091" s="2">
        <v>2.1120050022306E13</v>
      </c>
      <c r="J3091" s="3">
        <v>2.0</v>
      </c>
      <c r="K3091" s="2" t="s">
        <v>12704</v>
      </c>
      <c r="L3091" s="2" t="s">
        <v>40</v>
      </c>
      <c r="M3091" s="2" t="s">
        <v>409</v>
      </c>
      <c r="N3091" s="2" t="s">
        <v>462</v>
      </c>
      <c r="O3091" s="3"/>
      <c r="P3091" s="2" t="s">
        <v>73</v>
      </c>
      <c r="Q3091" s="3">
        <v>720.0</v>
      </c>
      <c r="R3091" s="3">
        <v>0.5</v>
      </c>
      <c r="T3091" s="2" t="s">
        <v>11534</v>
      </c>
      <c r="U3091" s="171">
        <v>3348.0</v>
      </c>
      <c r="V3091" s="172">
        <v>46097.0</v>
      </c>
      <c r="W3091" s="3">
        <v>347.0</v>
      </c>
      <c r="X3091" s="172">
        <v>46094.62430696759</v>
      </c>
      <c r="Y3091" s="172">
        <v>46085.060434768515</v>
      </c>
      <c r="Z3091" s="3">
        <v>46085.0</v>
      </c>
    </row>
    <row r="3092">
      <c r="A3092" s="3">
        <v>6.936134811907E12</v>
      </c>
      <c r="B3092" s="2" t="s">
        <v>12705</v>
      </c>
      <c r="C3092" s="2" t="s">
        <v>8408</v>
      </c>
      <c r="D3092" s="169">
        <v>46085.0</v>
      </c>
      <c r="E3092" s="2">
        <v>3.170426113E9</v>
      </c>
      <c r="F3092" s="2" t="s">
        <v>12706</v>
      </c>
      <c r="G3092" s="2" t="s">
        <v>368</v>
      </c>
      <c r="H3092" s="2">
        <v>249.0</v>
      </c>
      <c r="I3092" s="2">
        <v>2.8120050022305E13</v>
      </c>
      <c r="J3092" s="3">
        <v>0.0</v>
      </c>
      <c r="K3092" s="2" t="s">
        <v>12707</v>
      </c>
      <c r="L3092" s="2"/>
      <c r="M3092" s="170" t="s">
        <v>455</v>
      </c>
      <c r="N3092" s="2" t="s">
        <v>406</v>
      </c>
      <c r="O3092" s="3"/>
      <c r="P3092" s="2" t="s">
        <v>73</v>
      </c>
      <c r="Q3092" s="3">
        <v>0.0</v>
      </c>
      <c r="R3092" s="3">
        <v>0.5</v>
      </c>
      <c r="U3092" s="141"/>
      <c r="W3092" s="3">
        <v>107.0</v>
      </c>
      <c r="X3092" s="172">
        <v>46110.582638321765</v>
      </c>
      <c r="Y3092" s="172">
        <v>46085.060434768515</v>
      </c>
      <c r="Z3092" s="3">
        <v>46085.0</v>
      </c>
    </row>
    <row r="3093">
      <c r="A3093" s="3">
        <v>6.936136188163E12</v>
      </c>
      <c r="B3093" s="2" t="s">
        <v>12708</v>
      </c>
      <c r="C3093" s="2" t="s">
        <v>12709</v>
      </c>
      <c r="D3093" s="169">
        <v>46085.0</v>
      </c>
      <c r="E3093" s="2">
        <v>3.217245165E9</v>
      </c>
      <c r="F3093" s="2" t="s">
        <v>12710</v>
      </c>
      <c r="G3093" s="2" t="s">
        <v>368</v>
      </c>
      <c r="H3093" s="2">
        <v>1899.0</v>
      </c>
      <c r="I3093" s="2">
        <v>2.2120050022285E13</v>
      </c>
      <c r="J3093" s="3">
        <v>1.0</v>
      </c>
      <c r="K3093" s="2" t="s">
        <v>12711</v>
      </c>
      <c r="L3093" s="2" t="s">
        <v>11397</v>
      </c>
      <c r="M3093" s="2" t="s">
        <v>409</v>
      </c>
      <c r="N3093" s="2" t="s">
        <v>462</v>
      </c>
      <c r="O3093" s="3"/>
      <c r="P3093" s="2" t="s">
        <v>73</v>
      </c>
      <c r="Q3093" s="3">
        <v>550.0</v>
      </c>
      <c r="R3093" s="3">
        <v>0.5</v>
      </c>
      <c r="T3093" s="2" t="s">
        <v>11565</v>
      </c>
      <c r="U3093" s="171">
        <v>1899.0</v>
      </c>
      <c r="V3093" s="172">
        <v>46087.0</v>
      </c>
      <c r="W3093" s="3">
        <v>183.0</v>
      </c>
      <c r="X3093" s="172">
        <v>46086.70776447917</v>
      </c>
      <c r="Y3093" s="172">
        <v>46085.060434768515</v>
      </c>
      <c r="Z3093" s="3">
        <v>46085.0</v>
      </c>
    </row>
    <row r="3094">
      <c r="A3094" s="3">
        <v>6.936168333571E12</v>
      </c>
      <c r="B3094" s="2" t="s">
        <v>12712</v>
      </c>
      <c r="C3094" s="2" t="s">
        <v>12713</v>
      </c>
      <c r="D3094" s="169">
        <v>46085.0</v>
      </c>
      <c r="E3094" s="2">
        <v>3.012444944E9</v>
      </c>
      <c r="F3094" s="2" t="s">
        <v>12714</v>
      </c>
      <c r="G3094" s="2" t="s">
        <v>368</v>
      </c>
      <c r="H3094" s="2">
        <v>249.0</v>
      </c>
      <c r="I3094" s="2">
        <v>2.6120050022291E13</v>
      </c>
      <c r="J3094" s="3">
        <v>0.0</v>
      </c>
      <c r="K3094" s="2" t="s">
        <v>12715</v>
      </c>
      <c r="L3094" s="2"/>
      <c r="M3094" s="2" t="s">
        <v>409</v>
      </c>
      <c r="N3094" s="2" t="s">
        <v>462</v>
      </c>
      <c r="O3094" s="3"/>
      <c r="P3094" s="2" t="s">
        <v>73</v>
      </c>
      <c r="Q3094" s="3">
        <v>0.0</v>
      </c>
      <c r="R3094" s="3">
        <v>0.5</v>
      </c>
      <c r="T3094" s="2" t="s">
        <v>12156</v>
      </c>
      <c r="U3094" s="171">
        <v>249.0</v>
      </c>
      <c r="V3094" s="172">
        <v>46091.0</v>
      </c>
      <c r="W3094" s="3">
        <v>241.0</v>
      </c>
      <c r="X3094" s="172">
        <v>46090.52086423611</v>
      </c>
      <c r="Y3094" s="172">
        <v>46085.10210952546</v>
      </c>
      <c r="Z3094" s="3">
        <v>46085.0</v>
      </c>
    </row>
    <row r="3095">
      <c r="A3095" s="3">
        <v>6.936179310851E12</v>
      </c>
      <c r="B3095" s="2" t="s">
        <v>12716</v>
      </c>
      <c r="C3095" s="2" t="s">
        <v>12717</v>
      </c>
      <c r="D3095" s="169">
        <v>46085.0</v>
      </c>
      <c r="E3095" s="2">
        <v>3.006891616E9</v>
      </c>
      <c r="F3095" s="2" t="s">
        <v>12718</v>
      </c>
      <c r="G3095" s="2" t="s">
        <v>527</v>
      </c>
      <c r="H3095" s="2">
        <v>5449.0</v>
      </c>
      <c r="I3095" s="2">
        <v>2.112005002229E13</v>
      </c>
      <c r="J3095" s="3">
        <v>3.0</v>
      </c>
      <c r="K3095" s="2" t="s">
        <v>12719</v>
      </c>
      <c r="L3095" s="2" t="s">
        <v>12720</v>
      </c>
      <c r="M3095" s="2" t="s">
        <v>409</v>
      </c>
      <c r="N3095" s="2" t="s">
        <v>462</v>
      </c>
      <c r="O3095" s="3"/>
      <c r="P3095" s="2" t="s">
        <v>73</v>
      </c>
      <c r="Q3095" s="3">
        <v>1820.0</v>
      </c>
      <c r="R3095" s="3">
        <v>0.5</v>
      </c>
      <c r="T3095" s="2" t="s">
        <v>12156</v>
      </c>
      <c r="U3095" s="171">
        <v>5449.0</v>
      </c>
      <c r="V3095" s="172">
        <v>46091.0</v>
      </c>
      <c r="W3095" s="3">
        <v>438.0</v>
      </c>
      <c r="X3095" s="172">
        <v>46087.62436611111</v>
      </c>
      <c r="Y3095" s="172">
        <v>46085.10210952546</v>
      </c>
      <c r="Z3095" s="3">
        <v>46085.0</v>
      </c>
    </row>
    <row r="3096">
      <c r="A3096" s="3">
        <v>6.936212242691E12</v>
      </c>
      <c r="B3096" s="2" t="s">
        <v>12721</v>
      </c>
      <c r="C3096" s="2" t="s">
        <v>12722</v>
      </c>
      <c r="D3096" s="169">
        <v>46085.0</v>
      </c>
      <c r="E3096" s="2">
        <v>3.238889015E9</v>
      </c>
      <c r="F3096" s="2" t="s">
        <v>12723</v>
      </c>
      <c r="G3096" s="2" t="s">
        <v>368</v>
      </c>
      <c r="H3096" s="2">
        <v>3347.0</v>
      </c>
      <c r="I3096" s="2">
        <v>2.5120050022275E13</v>
      </c>
      <c r="J3096" s="3">
        <v>2.0</v>
      </c>
      <c r="K3096" s="2" t="s">
        <v>12535</v>
      </c>
      <c r="L3096" s="2" t="s">
        <v>27</v>
      </c>
      <c r="M3096" s="2" t="s">
        <v>409</v>
      </c>
      <c r="N3096" s="2" t="s">
        <v>462</v>
      </c>
      <c r="O3096" s="3"/>
      <c r="P3096" s="2" t="s">
        <v>73</v>
      </c>
      <c r="Q3096" s="3">
        <v>720.0</v>
      </c>
      <c r="R3096" s="3">
        <v>0.5</v>
      </c>
      <c r="T3096" s="2" t="s">
        <v>11565</v>
      </c>
      <c r="U3096" s="171">
        <v>3347.0</v>
      </c>
      <c r="V3096" s="172">
        <v>46087.0</v>
      </c>
      <c r="W3096" s="3">
        <v>241.0</v>
      </c>
      <c r="X3096" s="172">
        <v>46086.66618047454</v>
      </c>
      <c r="Y3096" s="172">
        <v>46085.10210952546</v>
      </c>
      <c r="Z3096" s="3">
        <v>46085.0</v>
      </c>
    </row>
    <row r="3097">
      <c r="A3097" s="3">
        <v>6.936229052675E12</v>
      </c>
      <c r="B3097" s="2" t="s">
        <v>12724</v>
      </c>
      <c r="C3097" s="2" t="s">
        <v>12725</v>
      </c>
      <c r="D3097" s="169">
        <v>46085.0</v>
      </c>
      <c r="E3097" s="2">
        <v>3.353741924E9</v>
      </c>
      <c r="F3097" s="2" t="s">
        <v>12726</v>
      </c>
      <c r="G3097" s="2" t="s">
        <v>12727</v>
      </c>
      <c r="H3097" s="2">
        <v>3348.0</v>
      </c>
      <c r="I3097" s="2">
        <v>2.8120050022289E13</v>
      </c>
      <c r="J3097" s="3">
        <v>2.0</v>
      </c>
      <c r="K3097" s="2" t="s">
        <v>12223</v>
      </c>
      <c r="L3097" s="2" t="s">
        <v>1258</v>
      </c>
      <c r="M3097" s="2" t="s">
        <v>409</v>
      </c>
      <c r="N3097" s="2" t="s">
        <v>462</v>
      </c>
      <c r="O3097" s="3"/>
      <c r="P3097" s="2" t="s">
        <v>73</v>
      </c>
      <c r="Q3097" s="3">
        <v>800.0</v>
      </c>
      <c r="R3097" s="3">
        <v>0.5</v>
      </c>
      <c r="T3097" s="2" t="s">
        <v>11534</v>
      </c>
      <c r="U3097" s="171">
        <v>3348.0</v>
      </c>
      <c r="V3097" s="172">
        <v>46097.0</v>
      </c>
      <c r="W3097" s="3">
        <v>347.0</v>
      </c>
      <c r="X3097" s="172">
        <v>46094.582645208335</v>
      </c>
      <c r="Y3097" s="172">
        <v>46085.143752812495</v>
      </c>
      <c r="Z3097" s="3">
        <v>46085.0</v>
      </c>
    </row>
    <row r="3098">
      <c r="A3098" s="3">
        <v>6.936247501059E12</v>
      </c>
      <c r="B3098" s="2" t="s">
        <v>12728</v>
      </c>
      <c r="C3098" s="2" t="s">
        <v>12729</v>
      </c>
      <c r="D3098" s="169">
        <v>46085.0</v>
      </c>
      <c r="E3098" s="2">
        <v>3.320409505E9</v>
      </c>
      <c r="F3098" s="2" t="s">
        <v>12730</v>
      </c>
      <c r="G3098" s="2" t="s">
        <v>1376</v>
      </c>
      <c r="H3098" s="2">
        <v>3099.0</v>
      </c>
      <c r="I3098" s="2">
        <v>2.1120050022288E13</v>
      </c>
      <c r="J3098" s="3">
        <v>1.0</v>
      </c>
      <c r="K3098" s="2" t="s">
        <v>12731</v>
      </c>
      <c r="L3098" s="2" t="s">
        <v>12732</v>
      </c>
      <c r="M3098" s="2" t="s">
        <v>409</v>
      </c>
      <c r="N3098" s="2" t="s">
        <v>462</v>
      </c>
      <c r="O3098" s="3"/>
      <c r="P3098" s="2" t="s">
        <v>73</v>
      </c>
      <c r="Q3098" s="3">
        <v>1300.0</v>
      </c>
      <c r="R3098" s="3">
        <v>0.5</v>
      </c>
      <c r="T3098" s="2" t="s">
        <v>12156</v>
      </c>
      <c r="U3098" s="171">
        <v>3099.0</v>
      </c>
      <c r="V3098" s="172">
        <v>46091.0</v>
      </c>
      <c r="W3098" s="3">
        <v>324.0</v>
      </c>
      <c r="X3098" s="172">
        <v>46087.66612618056</v>
      </c>
      <c r="Y3098" s="172">
        <v>46085.143752812495</v>
      </c>
      <c r="Z3098" s="3">
        <v>46085.0</v>
      </c>
    </row>
    <row r="3099">
      <c r="A3099" s="3">
        <v>6.936360845571E12</v>
      </c>
      <c r="B3099" s="2" t="s">
        <v>12733</v>
      </c>
      <c r="C3099" s="2" t="s">
        <v>12734</v>
      </c>
      <c r="D3099" s="169">
        <v>46085.0</v>
      </c>
      <c r="E3099" s="2">
        <v>3.094012337E9</v>
      </c>
      <c r="F3099" s="2" t="s">
        <v>12735</v>
      </c>
      <c r="G3099" s="2" t="s">
        <v>3016</v>
      </c>
      <c r="H3099" s="2">
        <v>249.0</v>
      </c>
      <c r="I3099" s="2">
        <v>2.8120050022287E13</v>
      </c>
      <c r="J3099" s="3">
        <v>0.0</v>
      </c>
      <c r="K3099" s="2" t="s">
        <v>12736</v>
      </c>
      <c r="L3099" s="2"/>
      <c r="M3099" s="170" t="s">
        <v>455</v>
      </c>
      <c r="N3099" s="2" t="s">
        <v>406</v>
      </c>
      <c r="O3099" s="3"/>
      <c r="P3099" s="2" t="s">
        <v>73</v>
      </c>
      <c r="Q3099" s="3">
        <v>0.0</v>
      </c>
      <c r="R3099" s="3">
        <v>0.5</v>
      </c>
      <c r="U3099" s="141"/>
      <c r="W3099" s="3">
        <v>200.0</v>
      </c>
      <c r="X3099" s="172">
        <v>46093.749341585644</v>
      </c>
      <c r="Y3099" s="172">
        <v>46085.22711759259</v>
      </c>
      <c r="Z3099" s="3">
        <v>46085.0</v>
      </c>
    </row>
    <row r="3100">
      <c r="A3100" s="3">
        <v>6.936388534531E12</v>
      </c>
      <c r="B3100" s="2" t="s">
        <v>12737</v>
      </c>
      <c r="C3100" s="2" t="s">
        <v>12738</v>
      </c>
      <c r="D3100" s="169">
        <v>46085.0</v>
      </c>
      <c r="E3100" s="2">
        <v>3.014064293E9</v>
      </c>
      <c r="F3100" s="2" t="s">
        <v>12739</v>
      </c>
      <c r="G3100" s="2" t="s">
        <v>368</v>
      </c>
      <c r="H3100" s="2">
        <v>3099.0</v>
      </c>
      <c r="I3100" s="2">
        <v>2.7120050022284E13</v>
      </c>
      <c r="J3100" s="3">
        <v>2.0</v>
      </c>
      <c r="K3100" s="2" t="s">
        <v>12321</v>
      </c>
      <c r="L3100" s="2" t="s">
        <v>593</v>
      </c>
      <c r="M3100" s="2" t="s">
        <v>409</v>
      </c>
      <c r="N3100" s="2" t="s">
        <v>462</v>
      </c>
      <c r="O3100" s="3"/>
      <c r="P3100" s="2" t="s">
        <v>73</v>
      </c>
      <c r="Q3100" s="3">
        <v>1050.0</v>
      </c>
      <c r="R3100" s="3">
        <v>0.5</v>
      </c>
      <c r="T3100" s="2" t="s">
        <v>11565</v>
      </c>
      <c r="U3100" s="171">
        <v>3099.0</v>
      </c>
      <c r="V3100" s="172">
        <v>46087.0</v>
      </c>
      <c r="W3100" s="3">
        <v>231.0</v>
      </c>
      <c r="X3100" s="172">
        <v>46086.77103771991</v>
      </c>
      <c r="Y3100" s="172">
        <v>46085.22711759259</v>
      </c>
      <c r="Z3100" s="3">
        <v>46085.0</v>
      </c>
    </row>
    <row r="3101">
      <c r="A3101" s="3">
        <v>6.936432443651E12</v>
      </c>
      <c r="B3101" s="2" t="s">
        <v>12740</v>
      </c>
      <c r="C3101" s="2" t="s">
        <v>12741</v>
      </c>
      <c r="D3101" s="169">
        <v>46085.0</v>
      </c>
      <c r="E3101" s="2">
        <v>3.00214806E9</v>
      </c>
      <c r="F3101" s="2" t="s">
        <v>12742</v>
      </c>
      <c r="G3101" s="2" t="s">
        <v>493</v>
      </c>
      <c r="H3101" s="2">
        <v>3348.0</v>
      </c>
      <c r="I3101" s="2">
        <v>2.5120050022343E13</v>
      </c>
      <c r="J3101" s="3">
        <v>2.0</v>
      </c>
      <c r="K3101" s="2" t="s">
        <v>12743</v>
      </c>
      <c r="L3101" s="2" t="s">
        <v>1116</v>
      </c>
      <c r="M3101" s="2" t="s">
        <v>409</v>
      </c>
      <c r="N3101" s="2" t="s">
        <v>462</v>
      </c>
      <c r="O3101" s="3"/>
      <c r="P3101" s="2" t="s">
        <v>73</v>
      </c>
      <c r="Q3101" s="3">
        <v>800.0</v>
      </c>
      <c r="R3101" s="3">
        <v>0.5</v>
      </c>
      <c r="T3101" s="2" t="s">
        <v>11534</v>
      </c>
      <c r="U3101" s="171">
        <v>3348.0</v>
      </c>
      <c r="V3101" s="172">
        <v>46097.0</v>
      </c>
      <c r="W3101" s="3">
        <v>347.0</v>
      </c>
      <c r="X3101" s="172">
        <v>46095.66596619213</v>
      </c>
      <c r="Y3101" s="172">
        <v>46085.26874442129</v>
      </c>
      <c r="Z3101" s="3">
        <v>46085.0</v>
      </c>
    </row>
    <row r="3102">
      <c r="A3102" s="3">
        <v>6.936450433283E12</v>
      </c>
      <c r="B3102" s="2" t="s">
        <v>12744</v>
      </c>
      <c r="C3102" s="2" t="s">
        <v>12745</v>
      </c>
      <c r="D3102" s="169">
        <v>46085.0</v>
      </c>
      <c r="E3102" s="2">
        <v>3.074897778E9</v>
      </c>
      <c r="F3102" s="2" t="s">
        <v>12746</v>
      </c>
      <c r="G3102" s="2" t="s">
        <v>12747</v>
      </c>
      <c r="H3102" s="2">
        <v>3348.0</v>
      </c>
      <c r="I3102" s="2">
        <v>2.7120050022283E13</v>
      </c>
      <c r="J3102" s="3">
        <v>2.0</v>
      </c>
      <c r="K3102" s="2" t="s">
        <v>12227</v>
      </c>
      <c r="L3102" s="2" t="s">
        <v>27</v>
      </c>
      <c r="M3102" s="2" t="s">
        <v>409</v>
      </c>
      <c r="N3102" s="2" t="s">
        <v>462</v>
      </c>
      <c r="O3102" s="3"/>
      <c r="P3102" s="2" t="s">
        <v>73</v>
      </c>
      <c r="Q3102" s="3">
        <v>720.0</v>
      </c>
      <c r="R3102" s="3">
        <v>0.5</v>
      </c>
      <c r="T3102" s="2" t="s">
        <v>12069</v>
      </c>
      <c r="U3102" s="171">
        <v>3348.0</v>
      </c>
      <c r="V3102" s="172">
        <v>46094.0</v>
      </c>
      <c r="W3102" s="3">
        <v>347.0</v>
      </c>
      <c r="X3102" s="172">
        <v>46093.70766525463</v>
      </c>
      <c r="Y3102" s="172">
        <v>46085.26874442129</v>
      </c>
      <c r="Z3102" s="3">
        <v>46085.0</v>
      </c>
    </row>
    <row r="3103">
      <c r="A3103" s="3">
        <v>6.936481235203E12</v>
      </c>
      <c r="B3103" s="2" t="s">
        <v>12748</v>
      </c>
      <c r="C3103" s="2" t="s">
        <v>2187</v>
      </c>
      <c r="D3103" s="169">
        <v>46085.0</v>
      </c>
      <c r="E3103" s="2">
        <v>3.072355815E9</v>
      </c>
      <c r="F3103" s="2" t="s">
        <v>12749</v>
      </c>
      <c r="G3103" s="2" t="s">
        <v>1044</v>
      </c>
      <c r="H3103" s="2">
        <v>249.0</v>
      </c>
      <c r="I3103" s="2">
        <v>2.8120050022282E13</v>
      </c>
      <c r="J3103" s="3">
        <v>0.0</v>
      </c>
      <c r="K3103" s="2" t="s">
        <v>12750</v>
      </c>
      <c r="L3103" s="2"/>
      <c r="M3103" s="170" t="s">
        <v>455</v>
      </c>
      <c r="N3103" s="2" t="s">
        <v>406</v>
      </c>
      <c r="O3103" s="3"/>
      <c r="P3103" s="2" t="s">
        <v>73</v>
      </c>
      <c r="Q3103" s="3">
        <v>0.0</v>
      </c>
      <c r="R3103" s="3">
        <v>0.5</v>
      </c>
      <c r="U3103" s="141"/>
      <c r="W3103" s="3">
        <v>200.0</v>
      </c>
      <c r="X3103" s="172">
        <v>46099.74939369213</v>
      </c>
      <c r="Y3103" s="172">
        <v>46085.310436307875</v>
      </c>
      <c r="Z3103" s="3">
        <v>46085.0</v>
      </c>
    </row>
    <row r="3104">
      <c r="A3104" s="3">
        <v>6.936505778435E12</v>
      </c>
      <c r="B3104" s="2" t="s">
        <v>12751</v>
      </c>
      <c r="C3104" s="2" t="s">
        <v>12752</v>
      </c>
      <c r="D3104" s="169">
        <v>46085.0</v>
      </c>
      <c r="E3104" s="173" t="s">
        <v>12753</v>
      </c>
      <c r="F3104" s="2" t="s">
        <v>12754</v>
      </c>
      <c r="G3104" s="2" t="s">
        <v>493</v>
      </c>
      <c r="H3104" s="2">
        <v>249.0</v>
      </c>
      <c r="I3104" s="2">
        <v>2.0120050022281E13</v>
      </c>
      <c r="J3104" s="3">
        <v>0.0</v>
      </c>
      <c r="K3104" s="2" t="s">
        <v>12238</v>
      </c>
      <c r="L3104" s="2"/>
      <c r="M3104" s="2" t="s">
        <v>409</v>
      </c>
      <c r="N3104" s="2" t="s">
        <v>406</v>
      </c>
      <c r="O3104" s="3"/>
      <c r="P3104" s="2" t="s">
        <v>73</v>
      </c>
      <c r="Q3104" s="3">
        <v>0.0</v>
      </c>
      <c r="R3104" s="3">
        <v>0.5</v>
      </c>
      <c r="T3104" s="2" t="s">
        <v>12156</v>
      </c>
      <c r="U3104" s="171">
        <v>249.0</v>
      </c>
      <c r="V3104" s="172">
        <v>46091.0</v>
      </c>
      <c r="W3104" s="3">
        <v>347.0</v>
      </c>
      <c r="X3104" s="172">
        <v>46088.70765133102</v>
      </c>
      <c r="Y3104" s="172">
        <v>46085.310436307875</v>
      </c>
      <c r="Z3104" s="3">
        <v>46085.0</v>
      </c>
    </row>
    <row r="3105">
      <c r="A3105" s="3">
        <v>6.936582258947E12</v>
      </c>
      <c r="B3105" s="2" t="s">
        <v>12755</v>
      </c>
      <c r="C3105" s="2" t="s">
        <v>12756</v>
      </c>
      <c r="D3105" s="169">
        <v>46085.0</v>
      </c>
      <c r="E3105" s="2">
        <v>3.214516351E9</v>
      </c>
      <c r="F3105" s="2" t="s">
        <v>12757</v>
      </c>
      <c r="G3105" s="2" t="s">
        <v>368</v>
      </c>
      <c r="H3105" s="2">
        <v>249.0</v>
      </c>
      <c r="I3105" s="2">
        <v>2.0120050022274E13</v>
      </c>
      <c r="J3105" s="3">
        <v>0.0</v>
      </c>
      <c r="K3105" s="2" t="s">
        <v>12758</v>
      </c>
      <c r="L3105" s="2"/>
      <c r="M3105" s="2" t="s">
        <v>409</v>
      </c>
      <c r="N3105" s="2" t="s">
        <v>406</v>
      </c>
      <c r="O3105" s="3"/>
      <c r="P3105" s="2" t="s">
        <v>73</v>
      </c>
      <c r="Q3105" s="3">
        <v>0.0</v>
      </c>
      <c r="R3105" s="3">
        <v>0.5</v>
      </c>
      <c r="T3105" s="2" t="s">
        <v>12156</v>
      </c>
      <c r="U3105" s="171">
        <v>2448.0</v>
      </c>
      <c r="V3105" s="172">
        <v>46091.0</v>
      </c>
      <c r="W3105" s="3">
        <v>205.0</v>
      </c>
      <c r="X3105" s="172">
        <v>46087.749358368055</v>
      </c>
      <c r="Y3105" s="172">
        <v>46085.393776620374</v>
      </c>
      <c r="Z3105" s="3">
        <v>46085.0</v>
      </c>
    </row>
    <row r="3106">
      <c r="A3106" s="3">
        <v>6.936589107459E12</v>
      </c>
      <c r="B3106" s="2" t="s">
        <v>12759</v>
      </c>
      <c r="C3106" s="2" t="s">
        <v>12760</v>
      </c>
      <c r="D3106" s="169">
        <v>46085.0</v>
      </c>
      <c r="E3106" s="173" t="s">
        <v>12761</v>
      </c>
      <c r="F3106" s="2" t="s">
        <v>12762</v>
      </c>
      <c r="G3106" s="2" t="s">
        <v>374</v>
      </c>
      <c r="H3106" s="2">
        <v>249.0</v>
      </c>
      <c r="I3106" s="2">
        <v>2.1120050022369E13</v>
      </c>
      <c r="J3106" s="3">
        <v>0.0</v>
      </c>
      <c r="K3106" s="2" t="s">
        <v>12763</v>
      </c>
      <c r="L3106" s="2"/>
      <c r="M3106" s="170" t="s">
        <v>455</v>
      </c>
      <c r="N3106" s="2" t="s">
        <v>406</v>
      </c>
      <c r="O3106" s="3"/>
      <c r="P3106" s="2" t="s">
        <v>73</v>
      </c>
      <c r="Q3106" s="3">
        <v>0.0</v>
      </c>
      <c r="R3106" s="3">
        <v>0.5</v>
      </c>
      <c r="U3106" s="141"/>
      <c r="W3106" s="3">
        <v>200.0</v>
      </c>
      <c r="X3106" s="172">
        <v>46109.83261100695</v>
      </c>
      <c r="Y3106" s="172">
        <v>46085.393776620374</v>
      </c>
      <c r="Z3106" s="3">
        <v>46085.0</v>
      </c>
    </row>
    <row r="3107">
      <c r="A3107" s="3">
        <v>6.936701141251E12</v>
      </c>
      <c r="B3107" s="2" t="s">
        <v>12764</v>
      </c>
      <c r="C3107" s="2" t="s">
        <v>12765</v>
      </c>
      <c r="D3107" s="169">
        <v>46085.0</v>
      </c>
      <c r="E3107" s="2">
        <v>3.365064622E9</v>
      </c>
      <c r="F3107" s="2" t="s">
        <v>12766</v>
      </c>
      <c r="G3107" s="2" t="s">
        <v>12767</v>
      </c>
      <c r="H3107" s="2">
        <v>249.0</v>
      </c>
      <c r="I3107" s="2">
        <v>2.5120050022273E13</v>
      </c>
      <c r="J3107" s="3">
        <v>0.0</v>
      </c>
      <c r="K3107" s="2" t="s">
        <v>12768</v>
      </c>
      <c r="L3107" s="2"/>
      <c r="M3107" s="170" t="s">
        <v>455</v>
      </c>
      <c r="N3107" s="2" t="s">
        <v>406</v>
      </c>
      <c r="O3107" s="3"/>
      <c r="P3107" s="2" t="s">
        <v>73</v>
      </c>
      <c r="Q3107" s="3">
        <v>0.0</v>
      </c>
      <c r="R3107" s="3">
        <v>0.5</v>
      </c>
      <c r="U3107" s="141"/>
      <c r="W3107" s="3">
        <v>213.0</v>
      </c>
      <c r="X3107" s="172">
        <v>46093.74934173611</v>
      </c>
      <c r="Y3107" s="172">
        <v>46085.51875902778</v>
      </c>
      <c r="Z3107" s="3">
        <v>46085.0</v>
      </c>
    </row>
    <row r="3108">
      <c r="A3108" s="3">
        <v>6.936708120835E12</v>
      </c>
      <c r="B3108" s="2" t="s">
        <v>12769</v>
      </c>
      <c r="C3108" s="2" t="s">
        <v>12770</v>
      </c>
      <c r="D3108" s="169">
        <v>46085.0</v>
      </c>
      <c r="E3108" s="2">
        <v>3.359954657E9</v>
      </c>
      <c r="F3108" s="2" t="s">
        <v>12771</v>
      </c>
      <c r="G3108" s="2" t="s">
        <v>1439</v>
      </c>
      <c r="H3108" s="2">
        <v>0.0</v>
      </c>
      <c r="J3108" s="3">
        <v>0.0</v>
      </c>
      <c r="K3108" s="2" t="s">
        <v>12772</v>
      </c>
      <c r="L3108" s="2"/>
      <c r="M3108" s="2" t="s">
        <v>468</v>
      </c>
      <c r="N3108" s="2" t="s">
        <v>406</v>
      </c>
      <c r="O3108" s="3"/>
      <c r="Q3108" s="3">
        <v>0.0</v>
      </c>
      <c r="R3108" s="3">
        <v>0.5</v>
      </c>
      <c r="U3108" s="141"/>
      <c r="X3108" s="172"/>
      <c r="Y3108" s="172">
        <v>46085.51875902778</v>
      </c>
      <c r="Z3108" s="3">
        <v>46085.0</v>
      </c>
    </row>
    <row r="3109">
      <c r="A3109" s="3">
        <v>6.936727290115E12</v>
      </c>
      <c r="B3109" s="2" t="s">
        <v>12773</v>
      </c>
      <c r="C3109" s="2" t="s">
        <v>12774</v>
      </c>
      <c r="D3109" s="169">
        <v>46085.0</v>
      </c>
      <c r="E3109" s="2">
        <v>3.345507009E9</v>
      </c>
      <c r="F3109" s="2" t="s">
        <v>12775</v>
      </c>
      <c r="G3109" s="2" t="s">
        <v>678</v>
      </c>
      <c r="H3109" s="2">
        <v>3549.0</v>
      </c>
      <c r="I3109" s="2">
        <v>2.1120050022272E13</v>
      </c>
      <c r="J3109" s="3">
        <v>2.0</v>
      </c>
      <c r="K3109" s="2" t="s">
        <v>12776</v>
      </c>
      <c r="L3109" s="2" t="s">
        <v>12777</v>
      </c>
      <c r="M3109" s="2" t="s">
        <v>409</v>
      </c>
      <c r="N3109" s="2" t="s">
        <v>462</v>
      </c>
      <c r="O3109" s="3"/>
      <c r="P3109" s="2" t="s">
        <v>73</v>
      </c>
      <c r="Q3109" s="3">
        <v>1100.0</v>
      </c>
      <c r="R3109" s="3">
        <v>0.5</v>
      </c>
      <c r="T3109" s="2" t="s">
        <v>12156</v>
      </c>
      <c r="U3109" s="171">
        <v>3549.0</v>
      </c>
      <c r="V3109" s="172">
        <v>46091.0</v>
      </c>
      <c r="W3109" s="3">
        <v>262.0</v>
      </c>
      <c r="X3109" s="172">
        <v>46087.58271782407</v>
      </c>
      <c r="Y3109" s="172">
        <v>46085.51875902778</v>
      </c>
      <c r="Z3109" s="3">
        <v>46085.0</v>
      </c>
    </row>
    <row r="3110">
      <c r="A3110" s="3">
        <v>6.936751866115E12</v>
      </c>
      <c r="B3110" s="2" t="s">
        <v>12778</v>
      </c>
      <c r="C3110" s="2" t="s">
        <v>8767</v>
      </c>
      <c r="D3110" s="169">
        <v>46085.0</v>
      </c>
      <c r="E3110" s="2">
        <v>3.215762844E9</v>
      </c>
      <c r="F3110" s="2" t="s">
        <v>12779</v>
      </c>
      <c r="G3110" s="2" t="s">
        <v>366</v>
      </c>
      <c r="H3110" s="2">
        <v>3348.0</v>
      </c>
      <c r="I3110" s="2">
        <v>2.7120050022342E13</v>
      </c>
      <c r="J3110" s="3">
        <v>2.0</v>
      </c>
      <c r="K3110" s="2" t="s">
        <v>12238</v>
      </c>
      <c r="L3110" s="2" t="s">
        <v>906</v>
      </c>
      <c r="M3110" s="2" t="s">
        <v>409</v>
      </c>
      <c r="N3110" s="2" t="s">
        <v>462</v>
      </c>
      <c r="O3110" s="3"/>
      <c r="P3110" s="2" t="s">
        <v>73</v>
      </c>
      <c r="Q3110" s="3">
        <v>720.0</v>
      </c>
      <c r="R3110" s="3">
        <v>0.5</v>
      </c>
      <c r="T3110" s="2" t="s">
        <v>12156</v>
      </c>
      <c r="U3110" s="171">
        <v>3348.0</v>
      </c>
      <c r="V3110" s="172">
        <v>46091.0</v>
      </c>
      <c r="W3110" s="3">
        <v>334.0</v>
      </c>
      <c r="X3110" s="172">
        <v>46089.54101104167</v>
      </c>
      <c r="Y3110" s="172">
        <v>46085.51875902778</v>
      </c>
      <c r="Z3110" s="3">
        <v>46085.0</v>
      </c>
    </row>
    <row r="3111">
      <c r="A3111" s="3">
        <v>6.936755437827E12</v>
      </c>
      <c r="B3111" s="2" t="s">
        <v>12780</v>
      </c>
      <c r="C3111" s="2" t="s">
        <v>12781</v>
      </c>
      <c r="D3111" s="169">
        <v>46085.0</v>
      </c>
      <c r="E3111" s="2">
        <v>3.215562655E9</v>
      </c>
      <c r="F3111" s="2" t="s">
        <v>12782</v>
      </c>
      <c r="G3111" s="2" t="s">
        <v>506</v>
      </c>
      <c r="H3111" s="2">
        <v>3348.0</v>
      </c>
      <c r="I3111" s="2">
        <v>2.712005002228E13</v>
      </c>
      <c r="J3111" s="3">
        <v>2.0</v>
      </c>
      <c r="K3111" s="2" t="s">
        <v>12227</v>
      </c>
      <c r="L3111" s="2" t="s">
        <v>275</v>
      </c>
      <c r="M3111" s="2" t="s">
        <v>409</v>
      </c>
      <c r="N3111" s="2" t="s">
        <v>462</v>
      </c>
      <c r="O3111" s="3"/>
      <c r="P3111" s="2" t="s">
        <v>73</v>
      </c>
      <c r="Q3111" s="3">
        <v>800.0</v>
      </c>
      <c r="R3111" s="3">
        <v>0.5</v>
      </c>
      <c r="T3111" s="2" t="s">
        <v>12069</v>
      </c>
      <c r="U3111" s="171">
        <v>3348.0</v>
      </c>
      <c r="V3111" s="172">
        <v>46094.0</v>
      </c>
      <c r="W3111" s="3">
        <v>334.0</v>
      </c>
      <c r="X3111" s="172">
        <v>46092.62434659722</v>
      </c>
      <c r="Y3111" s="172">
        <v>46085.56042460648</v>
      </c>
      <c r="Z3111" s="3">
        <v>46085.0</v>
      </c>
    </row>
    <row r="3112">
      <c r="A3112" s="3">
        <v>6.936833753347E12</v>
      </c>
      <c r="B3112" s="2" t="s">
        <v>12783</v>
      </c>
      <c r="C3112" s="2" t="s">
        <v>11900</v>
      </c>
      <c r="D3112" s="169">
        <v>46085.0</v>
      </c>
      <c r="E3112" s="2">
        <v>3.46829932E9</v>
      </c>
      <c r="F3112" s="2" t="s">
        <v>11901</v>
      </c>
      <c r="G3112" s="2" t="s">
        <v>4472</v>
      </c>
      <c r="H3112" s="2">
        <v>2500.0</v>
      </c>
      <c r="I3112" s="2" t="s">
        <v>12784</v>
      </c>
      <c r="J3112" s="3">
        <v>2.0</v>
      </c>
      <c r="K3112" s="2" t="s">
        <v>12785</v>
      </c>
      <c r="L3112" s="2" t="s">
        <v>16</v>
      </c>
      <c r="M3112" s="2" t="s">
        <v>12033</v>
      </c>
      <c r="N3112" s="2" t="s">
        <v>406</v>
      </c>
      <c r="O3112" s="3"/>
      <c r="P3112" s="2" t="s">
        <v>640</v>
      </c>
      <c r="Q3112" s="3">
        <v>980.0</v>
      </c>
      <c r="R3112" s="3">
        <v>0.5</v>
      </c>
      <c r="U3112" s="141"/>
      <c r="X3112" s="172">
        <v>46091.584338298606</v>
      </c>
      <c r="Y3112" s="172">
        <v>46085.643805694446</v>
      </c>
      <c r="Z3112" s="3">
        <v>46085.0</v>
      </c>
    </row>
    <row r="3113">
      <c r="A3113" s="3">
        <v>6.936847024387E12</v>
      </c>
      <c r="B3113" s="2" t="s">
        <v>12786</v>
      </c>
      <c r="C3113" s="2" t="s">
        <v>12787</v>
      </c>
      <c r="D3113" s="169">
        <v>46085.0</v>
      </c>
      <c r="E3113" s="173" t="s">
        <v>12788</v>
      </c>
      <c r="F3113" s="2" t="s">
        <v>12789</v>
      </c>
      <c r="G3113" s="2" t="s">
        <v>493</v>
      </c>
      <c r="H3113" s="2">
        <v>249.0</v>
      </c>
      <c r="I3113" s="2">
        <v>2.6120050022279E13</v>
      </c>
      <c r="J3113" s="3">
        <v>0.0</v>
      </c>
      <c r="K3113" s="2" t="s">
        <v>12790</v>
      </c>
      <c r="L3113" s="2"/>
      <c r="M3113" s="170" t="s">
        <v>455</v>
      </c>
      <c r="N3113" s="2" t="s">
        <v>406</v>
      </c>
      <c r="O3113" s="3"/>
      <c r="P3113" s="2" t="s">
        <v>73</v>
      </c>
      <c r="Q3113" s="3">
        <v>0.0</v>
      </c>
      <c r="R3113" s="3">
        <v>0.5</v>
      </c>
      <c r="U3113" s="141"/>
      <c r="W3113" s="3">
        <v>226.78</v>
      </c>
      <c r="X3113" s="172">
        <v>46113.915952662035</v>
      </c>
      <c r="Y3113" s="172">
        <v>46085.643805694446</v>
      </c>
      <c r="Z3113" s="3">
        <v>46085.0</v>
      </c>
    </row>
    <row r="3114">
      <c r="A3114" s="3">
        <v>6.936849449219E12</v>
      </c>
      <c r="B3114" s="2" t="s">
        <v>12791</v>
      </c>
      <c r="C3114" s="2" t="s">
        <v>12792</v>
      </c>
      <c r="D3114" s="169">
        <v>46085.0</v>
      </c>
      <c r="E3114" s="173" t="s">
        <v>12793</v>
      </c>
      <c r="F3114" s="2" t="s">
        <v>12794</v>
      </c>
      <c r="G3114" s="2" t="s">
        <v>9905</v>
      </c>
      <c r="H3114" s="2">
        <v>2849.0</v>
      </c>
      <c r="I3114" s="2">
        <v>2.9120050022278E13</v>
      </c>
      <c r="J3114" s="3">
        <v>2.0</v>
      </c>
      <c r="K3114" s="2" t="s">
        <v>12795</v>
      </c>
      <c r="L3114" s="2" t="s">
        <v>4209</v>
      </c>
      <c r="M3114" s="2" t="s">
        <v>409</v>
      </c>
      <c r="N3114" s="2" t="s">
        <v>462</v>
      </c>
      <c r="O3114" s="3"/>
      <c r="P3114" s="2" t="s">
        <v>73</v>
      </c>
      <c r="Q3114" s="3">
        <v>720.0</v>
      </c>
      <c r="R3114" s="3">
        <v>0.5</v>
      </c>
      <c r="T3114" s="2" t="s">
        <v>12156</v>
      </c>
      <c r="U3114" s="171">
        <v>2849.0</v>
      </c>
      <c r="V3114" s="172">
        <v>46091.0</v>
      </c>
      <c r="W3114" s="3">
        <v>314.0</v>
      </c>
      <c r="X3114" s="172">
        <v>46087.54105976852</v>
      </c>
      <c r="Y3114" s="172">
        <v>46085.643805694446</v>
      </c>
      <c r="Z3114" s="3">
        <v>46085.0</v>
      </c>
    </row>
    <row r="3115">
      <c r="A3115" s="3">
        <v>6.936853905667E12</v>
      </c>
      <c r="B3115" s="2" t="s">
        <v>12796</v>
      </c>
      <c r="C3115" s="2" t="s">
        <v>11636</v>
      </c>
      <c r="D3115" s="169">
        <v>46085.0</v>
      </c>
      <c r="E3115" s="2">
        <v>3.449588467E9</v>
      </c>
      <c r="F3115" s="2" t="s">
        <v>12797</v>
      </c>
      <c r="G3115" s="2" t="s">
        <v>12798</v>
      </c>
      <c r="H3115" s="2">
        <v>3299.0</v>
      </c>
      <c r="I3115" s="2">
        <v>2.4120050022304E13</v>
      </c>
      <c r="J3115" s="3">
        <v>1.0</v>
      </c>
      <c r="K3115" s="2" t="s">
        <v>12799</v>
      </c>
      <c r="L3115" s="2" t="s">
        <v>3519</v>
      </c>
      <c r="M3115" s="2" t="s">
        <v>409</v>
      </c>
      <c r="N3115" s="2" t="s">
        <v>462</v>
      </c>
      <c r="O3115" s="3"/>
      <c r="P3115" s="2" t="s">
        <v>73</v>
      </c>
      <c r="Q3115" s="3">
        <v>1400.0</v>
      </c>
      <c r="R3115" s="3">
        <v>0.5</v>
      </c>
      <c r="U3115" s="141"/>
      <c r="X3115" s="172">
        <v>46089.582696157406</v>
      </c>
      <c r="Y3115" s="172">
        <v>46085.643805694446</v>
      </c>
      <c r="Z3115" s="3">
        <v>46085.0</v>
      </c>
    </row>
    <row r="3116">
      <c r="A3116" s="3">
        <v>6.937063751939E12</v>
      </c>
      <c r="B3116" s="2" t="s">
        <v>12800</v>
      </c>
      <c r="C3116" s="2" t="s">
        <v>12801</v>
      </c>
      <c r="D3116" s="169">
        <v>46085.0</v>
      </c>
      <c r="E3116" s="2">
        <v>3.017736965E9</v>
      </c>
      <c r="F3116" s="2" t="s">
        <v>12802</v>
      </c>
      <c r="G3116" s="2" t="s">
        <v>1016</v>
      </c>
      <c r="H3116" s="2">
        <v>3347.0</v>
      </c>
      <c r="I3116" s="2">
        <v>2.9120050022364E13</v>
      </c>
      <c r="J3116" s="3">
        <v>2.0</v>
      </c>
      <c r="K3116" s="2" t="s">
        <v>12803</v>
      </c>
      <c r="L3116" s="2" t="s">
        <v>275</v>
      </c>
      <c r="M3116" s="2" t="s">
        <v>409</v>
      </c>
      <c r="N3116" s="2" t="s">
        <v>462</v>
      </c>
      <c r="O3116" s="3"/>
      <c r="P3116" s="2" t="s">
        <v>73</v>
      </c>
      <c r="Q3116" s="3">
        <v>800.0</v>
      </c>
      <c r="R3116" s="3">
        <v>0.5</v>
      </c>
      <c r="T3116" s="2" t="s">
        <v>12069</v>
      </c>
      <c r="U3116" s="171">
        <v>3347.0</v>
      </c>
      <c r="V3116" s="172">
        <v>46094.0</v>
      </c>
      <c r="W3116" s="3">
        <v>334.0</v>
      </c>
      <c r="X3116" s="172">
        <v>46092.666052280096</v>
      </c>
      <c r="Y3116" s="172">
        <v>46085.727106805556</v>
      </c>
      <c r="Z3116" s="3">
        <v>46085.0</v>
      </c>
    </row>
    <row r="3117">
      <c r="A3117" s="3">
        <v>6.937085640963E12</v>
      </c>
      <c r="B3117" s="2" t="s">
        <v>12804</v>
      </c>
      <c r="C3117" s="2" t="s">
        <v>12158</v>
      </c>
      <c r="D3117" s="169">
        <v>46085.0</v>
      </c>
      <c r="E3117" s="2">
        <v>3.026688156E9</v>
      </c>
      <c r="F3117" s="2" t="s">
        <v>12805</v>
      </c>
      <c r="G3117" s="2" t="s">
        <v>506</v>
      </c>
      <c r="H3117" s="2">
        <v>11295.0</v>
      </c>
      <c r="I3117" s="2">
        <v>2.9120050022329E13</v>
      </c>
      <c r="J3117" s="3">
        <v>7.0</v>
      </c>
      <c r="K3117" s="2" t="s">
        <v>12806</v>
      </c>
      <c r="L3117" s="2" t="s">
        <v>12807</v>
      </c>
      <c r="M3117" s="2" t="s">
        <v>409</v>
      </c>
      <c r="N3117" s="2" t="s">
        <v>406</v>
      </c>
      <c r="O3117" s="3"/>
      <c r="P3117" s="2" t="s">
        <v>73</v>
      </c>
      <c r="Q3117" s="3">
        <v>5410.0</v>
      </c>
      <c r="R3117" s="3">
        <v>0.5</v>
      </c>
      <c r="U3117" s="141"/>
      <c r="X3117" s="172">
        <v>46091.49934685185</v>
      </c>
      <c r="Y3117" s="172">
        <v>46085.768768888884</v>
      </c>
      <c r="Z3117" s="3">
        <v>46085.0</v>
      </c>
    </row>
    <row r="3118">
      <c r="A3118" s="3">
        <v>6.937315082499E12</v>
      </c>
      <c r="B3118" s="2" t="s">
        <v>12808</v>
      </c>
      <c r="C3118" s="2" t="s">
        <v>1385</v>
      </c>
      <c r="D3118" s="169">
        <v>46085.0</v>
      </c>
      <c r="E3118" s="2">
        <v>3.224343288E9</v>
      </c>
      <c r="F3118" s="2" t="s">
        <v>12809</v>
      </c>
      <c r="G3118" s="2" t="s">
        <v>368</v>
      </c>
      <c r="H3118" s="2">
        <v>3348.0</v>
      </c>
      <c r="I3118" s="2">
        <v>2.2120050022303E13</v>
      </c>
      <c r="J3118" s="3">
        <v>2.0</v>
      </c>
      <c r="K3118" s="2" t="s">
        <v>12810</v>
      </c>
      <c r="L3118" s="2" t="s">
        <v>228</v>
      </c>
      <c r="M3118" s="2" t="s">
        <v>409</v>
      </c>
      <c r="N3118" s="2" t="s">
        <v>462</v>
      </c>
      <c r="O3118" s="3"/>
      <c r="P3118" s="2" t="s">
        <v>73</v>
      </c>
      <c r="Q3118" s="3">
        <v>720.0</v>
      </c>
      <c r="R3118" s="3">
        <v>0.5</v>
      </c>
      <c r="T3118" s="2" t="s">
        <v>12069</v>
      </c>
      <c r="U3118" s="171">
        <v>3348.0</v>
      </c>
      <c r="V3118" s="172">
        <v>46094.0</v>
      </c>
      <c r="W3118" s="3">
        <v>241.0</v>
      </c>
      <c r="X3118" s="172">
        <v>46091.54100921296</v>
      </c>
      <c r="Y3118" s="172">
        <v>46085.85211040509</v>
      </c>
      <c r="Z3118" s="3">
        <v>46085.0</v>
      </c>
    </row>
    <row r="3119">
      <c r="A3119" s="3">
        <v>6.937402540291E12</v>
      </c>
      <c r="B3119" s="2" t="s">
        <v>12811</v>
      </c>
      <c r="C3119" s="2" t="s">
        <v>12812</v>
      </c>
      <c r="D3119" s="169">
        <v>46085.0</v>
      </c>
      <c r="E3119" s="2">
        <v>3.422803702E9</v>
      </c>
      <c r="F3119" s="2" t="s">
        <v>12813</v>
      </c>
      <c r="G3119" s="2" t="s">
        <v>3964</v>
      </c>
      <c r="H3119" s="2">
        <v>0.0</v>
      </c>
      <c r="J3119" s="3">
        <v>0.0</v>
      </c>
      <c r="K3119" s="2" t="s">
        <v>12814</v>
      </c>
      <c r="L3119" s="2"/>
      <c r="M3119" s="2" t="s">
        <v>468</v>
      </c>
      <c r="N3119" s="2" t="s">
        <v>406</v>
      </c>
      <c r="O3119" s="3"/>
      <c r="Q3119" s="3">
        <v>0.0</v>
      </c>
      <c r="R3119" s="3">
        <v>0.5</v>
      </c>
      <c r="U3119" s="141"/>
      <c r="X3119" s="172"/>
      <c r="Y3119" s="172">
        <v>46085.93544836805</v>
      </c>
      <c r="Z3119" s="3">
        <v>46085.0</v>
      </c>
    </row>
    <row r="3120">
      <c r="A3120" s="3">
        <v>6.937414926595E12</v>
      </c>
      <c r="B3120" s="2" t="s">
        <v>12815</v>
      </c>
      <c r="C3120" s="2" t="s">
        <v>12816</v>
      </c>
      <c r="D3120" s="169">
        <v>46085.0</v>
      </c>
      <c r="E3120" s="2">
        <v>3.3361167E9</v>
      </c>
      <c r="F3120" s="2" t="s">
        <v>12817</v>
      </c>
      <c r="G3120" s="2" t="s">
        <v>506</v>
      </c>
      <c r="H3120" s="2">
        <v>3348.0</v>
      </c>
      <c r="I3120" s="2">
        <v>2.7120050022341E13</v>
      </c>
      <c r="J3120" s="3">
        <v>2.0</v>
      </c>
      <c r="K3120" s="2" t="s">
        <v>12818</v>
      </c>
      <c r="L3120" s="2" t="s">
        <v>296</v>
      </c>
      <c r="M3120" s="2" t="s">
        <v>409</v>
      </c>
      <c r="N3120" s="2" t="s">
        <v>462</v>
      </c>
      <c r="O3120" s="3"/>
      <c r="P3120" s="2" t="s">
        <v>73</v>
      </c>
      <c r="Q3120" s="3">
        <v>720.0</v>
      </c>
      <c r="R3120" s="3">
        <v>0.5</v>
      </c>
      <c r="T3120" s="2" t="s">
        <v>12069</v>
      </c>
      <c r="U3120" s="171">
        <v>3348.0</v>
      </c>
      <c r="V3120" s="172">
        <v>46094.0</v>
      </c>
      <c r="W3120" s="3">
        <v>334.0</v>
      </c>
      <c r="X3120" s="172">
        <v>46092.45769398148</v>
      </c>
      <c r="Y3120" s="172">
        <v>46085.93544836805</v>
      </c>
      <c r="Z3120" s="3">
        <v>46085.0</v>
      </c>
    </row>
    <row r="3121">
      <c r="A3121" s="3">
        <v>6.937578438915E12</v>
      </c>
      <c r="B3121" s="2" t="s">
        <v>12819</v>
      </c>
      <c r="C3121" s="2" t="s">
        <v>12820</v>
      </c>
      <c r="D3121" s="169">
        <v>46085.0</v>
      </c>
      <c r="E3121" s="173" t="s">
        <v>12821</v>
      </c>
      <c r="F3121" s="2" t="s">
        <v>12822</v>
      </c>
      <c r="G3121" s="2" t="s">
        <v>12823</v>
      </c>
      <c r="H3121" s="2">
        <v>249.0</v>
      </c>
      <c r="I3121" s="2">
        <v>1.73011806561E11</v>
      </c>
      <c r="J3121" s="3">
        <v>0.0</v>
      </c>
      <c r="K3121" s="2" t="s">
        <v>12824</v>
      </c>
      <c r="L3121" s="2"/>
      <c r="M3121" s="170" t="s">
        <v>455</v>
      </c>
      <c r="N3121" s="2" t="s">
        <v>406</v>
      </c>
      <c r="O3121" s="3"/>
      <c r="P3121" s="2" t="s">
        <v>501</v>
      </c>
      <c r="Q3121" s="3">
        <v>0.0</v>
      </c>
      <c r="R3121" s="3">
        <v>0.5</v>
      </c>
      <c r="U3121" s="141"/>
      <c r="X3121" s="172">
        <v>46122.08279930556</v>
      </c>
      <c r="Y3121" s="172">
        <v>46086.01879503472</v>
      </c>
      <c r="Z3121" s="3">
        <v>46085.0</v>
      </c>
    </row>
    <row r="3122">
      <c r="A3122" s="3">
        <v>6.937630277891E12</v>
      </c>
      <c r="B3122" s="2" t="s">
        <v>12825</v>
      </c>
      <c r="C3122" s="2" t="s">
        <v>12820</v>
      </c>
      <c r="D3122" s="169">
        <v>46086.0</v>
      </c>
      <c r="E3122" s="173" t="s">
        <v>12826</v>
      </c>
      <c r="F3122" s="2" t="s">
        <v>12822</v>
      </c>
      <c r="G3122" s="2" t="s">
        <v>12823</v>
      </c>
      <c r="H3122" s="2">
        <v>0.0</v>
      </c>
      <c r="J3122" s="3">
        <v>0.0</v>
      </c>
      <c r="K3122" s="2" t="s">
        <v>7954</v>
      </c>
      <c r="L3122" s="2"/>
      <c r="M3122" s="2" t="s">
        <v>468</v>
      </c>
      <c r="N3122" s="2" t="s">
        <v>406</v>
      </c>
      <c r="O3122" s="3"/>
      <c r="Q3122" s="3">
        <v>0.0</v>
      </c>
      <c r="R3122" s="3">
        <v>0.5</v>
      </c>
      <c r="U3122" s="141"/>
      <c r="X3122" s="172"/>
      <c r="Y3122" s="172">
        <v>46086.01879503472</v>
      </c>
      <c r="Z3122" s="3">
        <v>46086.0</v>
      </c>
    </row>
    <row r="3123">
      <c r="A3123" s="3">
        <v>6.937646989571E12</v>
      </c>
      <c r="B3123" s="2" t="s">
        <v>12827</v>
      </c>
      <c r="C3123" s="2" t="s">
        <v>12828</v>
      </c>
      <c r="D3123" s="169">
        <v>46086.0</v>
      </c>
      <c r="E3123" s="2">
        <v>3.007110808E9</v>
      </c>
      <c r="F3123" s="2" t="s">
        <v>12829</v>
      </c>
      <c r="G3123" s="2" t="s">
        <v>855</v>
      </c>
      <c r="H3123" s="2">
        <v>3348.0</v>
      </c>
      <c r="I3123" s="2">
        <v>2.512005002234E13</v>
      </c>
      <c r="J3123" s="3">
        <v>2.0</v>
      </c>
      <c r="K3123" s="2" t="s">
        <v>12238</v>
      </c>
      <c r="L3123" s="2" t="s">
        <v>50</v>
      </c>
      <c r="M3123" s="2" t="s">
        <v>409</v>
      </c>
      <c r="N3123" s="2" t="s">
        <v>462</v>
      </c>
      <c r="O3123" s="3"/>
      <c r="P3123" s="2" t="s">
        <v>73</v>
      </c>
      <c r="Q3123" s="3">
        <v>720.0</v>
      </c>
      <c r="R3123" s="3">
        <v>0.5</v>
      </c>
      <c r="T3123" s="2" t="s">
        <v>12156</v>
      </c>
      <c r="U3123" s="171">
        <v>3348.0</v>
      </c>
      <c r="V3123" s="172">
        <v>46091.0</v>
      </c>
      <c r="W3123" s="3">
        <v>334.0</v>
      </c>
      <c r="X3123" s="172">
        <v>46089.70766695602</v>
      </c>
      <c r="Y3123" s="172">
        <v>46086.0187950463</v>
      </c>
      <c r="Z3123" s="3">
        <v>46086.0</v>
      </c>
    </row>
    <row r="3124">
      <c r="A3124" s="3">
        <v>6.937761087747E12</v>
      </c>
      <c r="B3124" s="2" t="s">
        <v>12830</v>
      </c>
      <c r="C3124" s="2" t="s">
        <v>12713</v>
      </c>
      <c r="D3124" s="169">
        <v>46086.0</v>
      </c>
      <c r="E3124" s="173" t="s">
        <v>12831</v>
      </c>
      <c r="F3124" s="2" t="s">
        <v>12832</v>
      </c>
      <c r="G3124" s="2" t="s">
        <v>368</v>
      </c>
      <c r="H3124" s="2">
        <v>0.0</v>
      </c>
      <c r="J3124" s="3">
        <v>0.0</v>
      </c>
      <c r="K3124" s="2" t="s">
        <v>12833</v>
      </c>
      <c r="L3124" s="2"/>
      <c r="M3124" s="2" t="s">
        <v>468</v>
      </c>
      <c r="N3124" s="2" t="s">
        <v>406</v>
      </c>
      <c r="O3124" s="3"/>
      <c r="Q3124" s="3">
        <v>0.0</v>
      </c>
      <c r="R3124" s="3">
        <v>0.5</v>
      </c>
      <c r="U3124" s="141"/>
      <c r="X3124" s="172"/>
      <c r="Y3124" s="172">
        <v>46086.10210885417</v>
      </c>
      <c r="Z3124" s="3">
        <v>46086.0</v>
      </c>
    </row>
    <row r="3125">
      <c r="A3125" s="3">
        <v>6.937768067331E12</v>
      </c>
      <c r="B3125" s="2" t="s">
        <v>12834</v>
      </c>
      <c r="C3125" s="2" t="s">
        <v>12307</v>
      </c>
      <c r="D3125" s="169">
        <v>46086.0</v>
      </c>
      <c r="E3125" s="2">
        <v>3.00044601E9</v>
      </c>
      <c r="F3125" s="2" t="s">
        <v>12308</v>
      </c>
      <c r="G3125" s="2" t="s">
        <v>368</v>
      </c>
      <c r="H3125" s="2">
        <v>7900.0</v>
      </c>
      <c r="I3125" s="2" t="s">
        <v>12835</v>
      </c>
      <c r="J3125" s="3">
        <v>6.0</v>
      </c>
      <c r="K3125" s="2" t="s">
        <v>12836</v>
      </c>
      <c r="L3125" s="2" t="s">
        <v>12837</v>
      </c>
      <c r="M3125" s="2" t="s">
        <v>12838</v>
      </c>
      <c r="N3125" s="2" t="s">
        <v>406</v>
      </c>
      <c r="O3125" s="3"/>
      <c r="P3125" s="2"/>
      <c r="Q3125" s="3">
        <v>2160.0</v>
      </c>
      <c r="R3125" s="3">
        <v>0.5</v>
      </c>
      <c r="U3125" s="141"/>
      <c r="X3125" s="172">
        <v>46099.7493955324</v>
      </c>
      <c r="Y3125" s="172">
        <v>46086.10210885417</v>
      </c>
      <c r="Z3125" s="3">
        <v>46086.0</v>
      </c>
    </row>
    <row r="3126">
      <c r="A3126" s="3">
        <v>6.937980764419E12</v>
      </c>
      <c r="B3126" s="2" t="s">
        <v>12839</v>
      </c>
      <c r="C3126" s="2" t="s">
        <v>12840</v>
      </c>
      <c r="D3126" s="169">
        <v>46086.0</v>
      </c>
      <c r="E3126" s="2">
        <v>3.338225343E9</v>
      </c>
      <c r="F3126" s="2" t="s">
        <v>12841</v>
      </c>
      <c r="G3126" s="2" t="s">
        <v>368</v>
      </c>
      <c r="H3126" s="2">
        <v>249.0</v>
      </c>
      <c r="I3126" s="2">
        <v>2.6120050022324E13</v>
      </c>
      <c r="J3126" s="3">
        <v>0.0</v>
      </c>
      <c r="K3126" s="2" t="s">
        <v>12842</v>
      </c>
      <c r="L3126" s="2"/>
      <c r="M3126" s="170" t="s">
        <v>455</v>
      </c>
      <c r="N3126" s="2" t="s">
        <v>406</v>
      </c>
      <c r="O3126" s="3"/>
      <c r="P3126" s="2" t="s">
        <v>73</v>
      </c>
      <c r="Q3126" s="3">
        <v>0.0</v>
      </c>
      <c r="R3126" s="3">
        <v>0.5</v>
      </c>
      <c r="U3126" s="141"/>
      <c r="W3126" s="3">
        <v>107.0</v>
      </c>
      <c r="X3126" s="172">
        <v>46099.74939758102</v>
      </c>
      <c r="Y3126" s="172">
        <v>46086.227152928244</v>
      </c>
      <c r="Z3126" s="3">
        <v>46086.0</v>
      </c>
    </row>
    <row r="3127">
      <c r="A3127" s="3">
        <v>6.937988071683E12</v>
      </c>
      <c r="B3127" s="2" t="s">
        <v>12843</v>
      </c>
      <c r="C3127" s="2" t="s">
        <v>12844</v>
      </c>
      <c r="D3127" s="169">
        <v>46086.0</v>
      </c>
      <c r="E3127" s="2">
        <v>3.026863672E9</v>
      </c>
      <c r="F3127" s="2" t="s">
        <v>12845</v>
      </c>
      <c r="G3127" s="2" t="s">
        <v>12846</v>
      </c>
      <c r="H3127" s="2">
        <v>3348.0</v>
      </c>
      <c r="I3127" s="2">
        <v>2.5120050022323E13</v>
      </c>
      <c r="J3127" s="3">
        <v>2.0</v>
      </c>
      <c r="K3127" s="2" t="s">
        <v>12847</v>
      </c>
      <c r="L3127" s="2" t="s">
        <v>906</v>
      </c>
      <c r="M3127" s="2" t="s">
        <v>409</v>
      </c>
      <c r="N3127" s="2" t="s">
        <v>462</v>
      </c>
      <c r="O3127" s="3"/>
      <c r="P3127" s="2" t="s">
        <v>73</v>
      </c>
      <c r="Q3127" s="3">
        <v>720.0</v>
      </c>
      <c r="R3127" s="3">
        <v>0.5</v>
      </c>
      <c r="T3127" s="2" t="s">
        <v>12156</v>
      </c>
      <c r="U3127" s="171">
        <v>3348.0</v>
      </c>
      <c r="V3127" s="172">
        <v>46091.0</v>
      </c>
      <c r="W3127" s="3">
        <v>334.0</v>
      </c>
      <c r="X3127" s="172">
        <v>46088.74938015046</v>
      </c>
      <c r="Y3127" s="172">
        <v>46086.227152928244</v>
      </c>
      <c r="Z3127" s="3">
        <v>46086.0</v>
      </c>
    </row>
    <row r="3128">
      <c r="A3128" s="3">
        <v>6.937997508867E12</v>
      </c>
      <c r="B3128" s="2" t="s">
        <v>12848</v>
      </c>
      <c r="C3128" s="2" t="s">
        <v>11572</v>
      </c>
      <c r="D3128" s="169">
        <v>46086.0</v>
      </c>
      <c r="E3128" s="2">
        <v>3.44021772E9</v>
      </c>
      <c r="F3128" s="2" t="s">
        <v>12849</v>
      </c>
      <c r="G3128" s="2" t="s">
        <v>506</v>
      </c>
      <c r="H3128" s="2">
        <v>249.0</v>
      </c>
      <c r="I3128" s="2">
        <v>2.2120050022322E13</v>
      </c>
      <c r="J3128" s="3">
        <v>0.0</v>
      </c>
      <c r="K3128" s="2" t="s">
        <v>12850</v>
      </c>
      <c r="L3128" s="2"/>
      <c r="M3128" s="170" t="s">
        <v>455</v>
      </c>
      <c r="N3128" s="2" t="s">
        <v>406</v>
      </c>
      <c r="O3128" s="3"/>
      <c r="P3128" s="2" t="s">
        <v>73</v>
      </c>
      <c r="Q3128" s="3">
        <v>0.0</v>
      </c>
      <c r="R3128" s="3">
        <v>0.5</v>
      </c>
      <c r="U3128" s="141"/>
      <c r="W3128" s="3">
        <v>200.1</v>
      </c>
      <c r="X3128" s="172">
        <v>46119.08097811343</v>
      </c>
      <c r="Y3128" s="172">
        <v>46086.227152928244</v>
      </c>
      <c r="Z3128" s="3">
        <v>46086.0</v>
      </c>
    </row>
    <row r="3129">
      <c r="A3129" s="3">
        <v>6.938172162307E12</v>
      </c>
      <c r="B3129" s="2" t="s">
        <v>12851</v>
      </c>
      <c r="C3129" s="2" t="s">
        <v>12852</v>
      </c>
      <c r="D3129" s="169">
        <v>46086.0</v>
      </c>
      <c r="E3129" s="2">
        <v>3.322222014E9</v>
      </c>
      <c r="F3129" s="2" t="s">
        <v>12853</v>
      </c>
      <c r="G3129" s="2" t="s">
        <v>781</v>
      </c>
      <c r="H3129" s="2">
        <v>3348.0</v>
      </c>
      <c r="I3129" s="2">
        <v>2.1120050022321E13</v>
      </c>
      <c r="J3129" s="3">
        <v>2.0</v>
      </c>
      <c r="K3129" s="2" t="s">
        <v>12227</v>
      </c>
      <c r="L3129" s="2" t="s">
        <v>40</v>
      </c>
      <c r="M3129" s="2" t="s">
        <v>409</v>
      </c>
      <c r="N3129" s="2" t="s">
        <v>462</v>
      </c>
      <c r="O3129" s="3"/>
      <c r="P3129" s="2" t="s">
        <v>73</v>
      </c>
      <c r="Q3129" s="3">
        <v>720.0</v>
      </c>
      <c r="R3129" s="3">
        <v>0.5</v>
      </c>
      <c r="T3129" s="2" t="s">
        <v>12069</v>
      </c>
      <c r="U3129" s="171">
        <v>3348.0</v>
      </c>
      <c r="V3129" s="172">
        <v>46094.0</v>
      </c>
      <c r="W3129" s="3">
        <v>347.0</v>
      </c>
      <c r="X3129" s="172">
        <v>46093.52089895833</v>
      </c>
      <c r="Y3129" s="172">
        <v>46086.35208013889</v>
      </c>
      <c r="Z3129" s="3">
        <v>46086.0</v>
      </c>
    </row>
    <row r="3130">
      <c r="A3130" s="3">
        <v>6.938262208771E12</v>
      </c>
      <c r="B3130" s="2" t="s">
        <v>12854</v>
      </c>
      <c r="C3130" s="2" t="s">
        <v>12855</v>
      </c>
      <c r="D3130" s="169">
        <v>46086.0</v>
      </c>
      <c r="E3130" s="2">
        <v>3.225757806E9</v>
      </c>
      <c r="F3130" s="2" t="s">
        <v>12856</v>
      </c>
      <c r="G3130" s="2" t="s">
        <v>368</v>
      </c>
      <c r="H3130" s="2">
        <v>3348.0</v>
      </c>
      <c r="I3130" s="2">
        <v>2.512005002232E13</v>
      </c>
      <c r="J3130" s="3">
        <v>2.0</v>
      </c>
      <c r="K3130" s="2" t="s">
        <v>12238</v>
      </c>
      <c r="L3130" s="2" t="s">
        <v>27</v>
      </c>
      <c r="M3130" s="2" t="s">
        <v>409</v>
      </c>
      <c r="N3130" s="2" t="s">
        <v>462</v>
      </c>
      <c r="O3130" s="3"/>
      <c r="P3130" s="2" t="s">
        <v>73</v>
      </c>
      <c r="Q3130" s="3">
        <v>720.0</v>
      </c>
      <c r="R3130" s="3">
        <v>0.5</v>
      </c>
      <c r="T3130" s="2" t="s">
        <v>12156</v>
      </c>
      <c r="U3130" s="171">
        <v>3348.0</v>
      </c>
      <c r="V3130" s="172">
        <v>46091.0</v>
      </c>
      <c r="W3130" s="3">
        <v>241.0</v>
      </c>
      <c r="X3130" s="172">
        <v>46087.6661400463</v>
      </c>
      <c r="Y3130" s="172">
        <v>46086.43542501157</v>
      </c>
      <c r="Z3130" s="3">
        <v>46086.0</v>
      </c>
    </row>
    <row r="3131">
      <c r="A3131" s="3">
        <v>6.938271908099E12</v>
      </c>
      <c r="B3131" s="2" t="s">
        <v>12857</v>
      </c>
      <c r="C3131" s="2" t="s">
        <v>12858</v>
      </c>
      <c r="D3131" s="169">
        <v>46086.0</v>
      </c>
      <c r="E3131" s="2">
        <v>3.176450605E9</v>
      </c>
      <c r="F3131" s="2" t="s">
        <v>12859</v>
      </c>
      <c r="G3131" s="2" t="s">
        <v>3068</v>
      </c>
      <c r="H3131" s="2">
        <v>1799.0</v>
      </c>
      <c r="I3131" s="2">
        <v>2.4120050022319E13</v>
      </c>
      <c r="J3131" s="3">
        <v>1.0</v>
      </c>
      <c r="K3131" s="2" t="s">
        <v>12860</v>
      </c>
      <c r="L3131" s="2" t="s">
        <v>1720</v>
      </c>
      <c r="M3131" s="2" t="s">
        <v>409</v>
      </c>
      <c r="N3131" s="2" t="s">
        <v>462</v>
      </c>
      <c r="O3131" s="3"/>
      <c r="P3131" s="2" t="s">
        <v>73</v>
      </c>
      <c r="Q3131" s="3">
        <v>490.0</v>
      </c>
      <c r="R3131" s="3">
        <v>0.5</v>
      </c>
      <c r="T3131" s="2" t="s">
        <v>12069</v>
      </c>
      <c r="U3131" s="171">
        <v>1799.0</v>
      </c>
      <c r="V3131" s="172">
        <v>46094.0</v>
      </c>
      <c r="W3131" s="3">
        <v>272.0</v>
      </c>
      <c r="X3131" s="172">
        <v>46091.70771253472</v>
      </c>
      <c r="Y3131" s="172">
        <v>46086.43542502315</v>
      </c>
      <c r="Z3131" s="3">
        <v>46086.0</v>
      </c>
    </row>
    <row r="3132">
      <c r="A3132" s="3">
        <v>6.938283278595E12</v>
      </c>
      <c r="B3132" s="2" t="s">
        <v>12861</v>
      </c>
      <c r="C3132" s="2" t="s">
        <v>11834</v>
      </c>
      <c r="D3132" s="169">
        <v>46086.0</v>
      </c>
      <c r="E3132" s="2">
        <v>3.349646769E9</v>
      </c>
      <c r="F3132" s="2" t="s">
        <v>11835</v>
      </c>
      <c r="G3132" s="2" t="s">
        <v>4949</v>
      </c>
      <c r="H3132" s="2">
        <v>3347.0</v>
      </c>
      <c r="I3132" s="2">
        <v>2.3120050022302E13</v>
      </c>
      <c r="J3132" s="3">
        <v>2.0</v>
      </c>
      <c r="K3132" s="2" t="s">
        <v>12862</v>
      </c>
      <c r="L3132" s="2" t="s">
        <v>906</v>
      </c>
      <c r="M3132" s="2" t="s">
        <v>409</v>
      </c>
      <c r="N3132" s="2" t="s">
        <v>462</v>
      </c>
      <c r="O3132" s="3"/>
      <c r="P3132" s="2" t="s">
        <v>73</v>
      </c>
      <c r="Q3132" s="3">
        <v>720.0</v>
      </c>
      <c r="R3132" s="3">
        <v>0.5</v>
      </c>
      <c r="T3132" s="2" t="s">
        <v>12156</v>
      </c>
      <c r="U3132" s="171">
        <v>3347.0</v>
      </c>
      <c r="V3132" s="172">
        <v>46091.0</v>
      </c>
      <c r="W3132" s="3">
        <v>210.0</v>
      </c>
      <c r="X3132" s="172">
        <v>46088.62441134259</v>
      </c>
      <c r="Y3132" s="172">
        <v>46086.477133148146</v>
      </c>
      <c r="Z3132" s="3">
        <v>46086.0</v>
      </c>
    </row>
    <row r="3133">
      <c r="A3133" s="3">
        <v>6.938309492995E12</v>
      </c>
      <c r="B3133" s="2" t="s">
        <v>12863</v>
      </c>
      <c r="C3133" s="2" t="s">
        <v>12864</v>
      </c>
      <c r="D3133" s="169">
        <v>46086.0</v>
      </c>
      <c r="E3133" s="2">
        <v>3.426853874E9</v>
      </c>
      <c r="F3133" s="2" t="s">
        <v>12865</v>
      </c>
      <c r="G3133" s="2" t="s">
        <v>2807</v>
      </c>
      <c r="H3133" s="2">
        <v>3348.0</v>
      </c>
      <c r="I3133" s="2">
        <v>2.9120050022318E13</v>
      </c>
      <c r="J3133" s="3">
        <v>2.0</v>
      </c>
      <c r="K3133" s="2" t="s">
        <v>12227</v>
      </c>
      <c r="L3133" s="2" t="s">
        <v>228</v>
      </c>
      <c r="M3133" s="2" t="s">
        <v>409</v>
      </c>
      <c r="N3133" s="2" t="s">
        <v>462</v>
      </c>
      <c r="O3133" s="3"/>
      <c r="P3133" s="2" t="s">
        <v>73</v>
      </c>
      <c r="Q3133" s="3">
        <v>720.0</v>
      </c>
      <c r="R3133" s="3">
        <v>0.5</v>
      </c>
      <c r="T3133" s="2" t="s">
        <v>12069</v>
      </c>
      <c r="U3133" s="171">
        <v>3348.0</v>
      </c>
      <c r="V3133" s="172">
        <v>46094.0</v>
      </c>
      <c r="W3133" s="3">
        <v>334.0</v>
      </c>
      <c r="X3133" s="172">
        <v>46092.520905474536</v>
      </c>
      <c r="Y3133" s="172">
        <v>46086.47713315972</v>
      </c>
      <c r="Z3133" s="3">
        <v>46086.0</v>
      </c>
    </row>
    <row r="3134">
      <c r="A3134" s="3">
        <v>6.938345865475E12</v>
      </c>
      <c r="B3134" s="2" t="s">
        <v>12866</v>
      </c>
      <c r="C3134" s="2" t="s">
        <v>9359</v>
      </c>
      <c r="D3134" s="169">
        <v>46086.0</v>
      </c>
      <c r="E3134" s="2">
        <v>3.457564374E9</v>
      </c>
      <c r="F3134" s="2" t="s">
        <v>12867</v>
      </c>
      <c r="G3134" s="2" t="s">
        <v>374</v>
      </c>
      <c r="H3134" s="2">
        <v>5940.0</v>
      </c>
      <c r="I3134" s="2">
        <v>2.8120050022301E13</v>
      </c>
      <c r="J3134" s="3">
        <v>4.0</v>
      </c>
      <c r="K3134" s="2" t="s">
        <v>12806</v>
      </c>
      <c r="L3134" s="2" t="s">
        <v>12868</v>
      </c>
      <c r="M3134" s="2" t="s">
        <v>409</v>
      </c>
      <c r="N3134" s="2" t="s">
        <v>406</v>
      </c>
      <c r="O3134" s="3"/>
      <c r="P3134" s="2" t="s">
        <v>73</v>
      </c>
      <c r="Q3134" s="3">
        <v>2200.0</v>
      </c>
      <c r="R3134" s="3">
        <v>0.5</v>
      </c>
      <c r="U3134" s="141"/>
      <c r="X3134" s="172">
        <v>46087.95790141204</v>
      </c>
      <c r="Y3134" s="172">
        <v>46086.518760011575</v>
      </c>
      <c r="Z3134" s="3">
        <v>46086.0</v>
      </c>
    </row>
    <row r="3135">
      <c r="A3135" s="3">
        <v>6.938388955395E12</v>
      </c>
      <c r="B3135" s="2" t="s">
        <v>12869</v>
      </c>
      <c r="C3135" s="2" t="s">
        <v>12870</v>
      </c>
      <c r="D3135" s="169">
        <v>46086.0</v>
      </c>
      <c r="E3135" s="173" t="s">
        <v>12871</v>
      </c>
      <c r="F3135" s="2" t="s">
        <v>12872</v>
      </c>
      <c r="G3135" s="2" t="s">
        <v>12873</v>
      </c>
      <c r="H3135" s="2">
        <v>249.0</v>
      </c>
      <c r="I3135" s="2">
        <v>2.11200500223E13</v>
      </c>
      <c r="J3135" s="3">
        <v>0.0</v>
      </c>
      <c r="K3135" s="2" t="s">
        <v>12874</v>
      </c>
      <c r="L3135" s="2"/>
      <c r="M3135" s="170" t="s">
        <v>455</v>
      </c>
      <c r="N3135" s="2" t="s">
        <v>406</v>
      </c>
      <c r="O3135" s="3"/>
      <c r="P3135" s="2" t="s">
        <v>73</v>
      </c>
      <c r="Q3135" s="3">
        <v>0.0</v>
      </c>
      <c r="R3135" s="3">
        <v>0.5</v>
      </c>
      <c r="U3135" s="141"/>
      <c r="W3135" s="3">
        <v>220.0</v>
      </c>
      <c r="X3135" s="172">
        <v>46099.74940010416</v>
      </c>
      <c r="Y3135" s="172">
        <v>46086.56044608796</v>
      </c>
      <c r="Z3135" s="3">
        <v>46086.0</v>
      </c>
    </row>
    <row r="3136">
      <c r="A3136" s="3">
        <v>6.938403799299E12</v>
      </c>
      <c r="B3136" s="2" t="s">
        <v>12875</v>
      </c>
      <c r="C3136" s="2" t="s">
        <v>12876</v>
      </c>
      <c r="D3136" s="169">
        <v>46086.0</v>
      </c>
      <c r="E3136" s="173" t="s">
        <v>12877</v>
      </c>
      <c r="F3136" s="2" t="s">
        <v>12878</v>
      </c>
      <c r="G3136" s="2" t="s">
        <v>12879</v>
      </c>
      <c r="H3136" s="2">
        <v>3348.0</v>
      </c>
      <c r="I3136" s="2">
        <v>2.4120050022299E13</v>
      </c>
      <c r="J3136" s="3">
        <v>2.0</v>
      </c>
      <c r="K3136" s="2" t="s">
        <v>12880</v>
      </c>
      <c r="L3136" s="2" t="s">
        <v>12881</v>
      </c>
      <c r="M3136" s="2" t="s">
        <v>409</v>
      </c>
      <c r="N3136" s="2" t="s">
        <v>406</v>
      </c>
      <c r="O3136" s="3"/>
      <c r="P3136" s="2" t="s">
        <v>73</v>
      </c>
      <c r="Q3136" s="3">
        <v>840.0</v>
      </c>
      <c r="R3136" s="3">
        <v>0.5</v>
      </c>
      <c r="U3136" s="141"/>
      <c r="X3136" s="172">
        <v>46090.52086453704</v>
      </c>
      <c r="Y3136" s="172">
        <v>46086.56044608796</v>
      </c>
      <c r="Z3136" s="3">
        <v>46086.0</v>
      </c>
    </row>
    <row r="3137">
      <c r="A3137" s="3">
        <v>6.938520387843E12</v>
      </c>
      <c r="B3137" s="2" t="s">
        <v>12882</v>
      </c>
      <c r="C3137" s="2" t="s">
        <v>12883</v>
      </c>
      <c r="D3137" s="169">
        <v>46086.0</v>
      </c>
      <c r="E3137" s="2">
        <v>3.144460545E9</v>
      </c>
      <c r="F3137" s="2" t="s">
        <v>12884</v>
      </c>
      <c r="G3137" s="2" t="s">
        <v>1257</v>
      </c>
      <c r="H3137" s="2">
        <v>3149.0</v>
      </c>
      <c r="I3137" s="2">
        <v>2.9120050022368E13</v>
      </c>
      <c r="J3137" s="3">
        <v>2.0</v>
      </c>
      <c r="K3137" s="2" t="s">
        <v>12885</v>
      </c>
      <c r="L3137" s="2" t="s">
        <v>40</v>
      </c>
      <c r="M3137" s="2" t="s">
        <v>409</v>
      </c>
      <c r="N3137" s="2" t="s">
        <v>462</v>
      </c>
      <c r="O3137" s="3"/>
      <c r="P3137" s="2" t="s">
        <v>73</v>
      </c>
      <c r="Q3137" s="3">
        <v>720.0</v>
      </c>
      <c r="R3137" s="3">
        <v>0.5</v>
      </c>
      <c r="T3137" s="2" t="s">
        <v>12069</v>
      </c>
      <c r="U3137" s="171">
        <v>3149.0</v>
      </c>
      <c r="V3137" s="172">
        <v>46094.0</v>
      </c>
      <c r="W3137" s="3">
        <v>326.0</v>
      </c>
      <c r="X3137" s="172">
        <v>46093.520898981486</v>
      </c>
      <c r="Y3137" s="172">
        <v>46086.64375387732</v>
      </c>
      <c r="Z3137" s="3">
        <v>46086.0</v>
      </c>
    </row>
    <row r="3138">
      <c r="A3138" s="3">
        <v>6.938520518915E12</v>
      </c>
      <c r="B3138" s="2" t="s">
        <v>12886</v>
      </c>
      <c r="C3138" s="2" t="s">
        <v>12887</v>
      </c>
      <c r="D3138" s="169">
        <v>46086.0</v>
      </c>
      <c r="E3138" s="2">
        <v>3.218615649E9</v>
      </c>
      <c r="F3138" s="2" t="s">
        <v>12888</v>
      </c>
      <c r="G3138" s="2" t="s">
        <v>688</v>
      </c>
      <c r="H3138" s="2">
        <v>3348.0</v>
      </c>
      <c r="I3138" s="2">
        <v>2.4120050022363E13</v>
      </c>
      <c r="J3138" s="3">
        <v>2.0</v>
      </c>
      <c r="K3138" s="2" t="s">
        <v>12227</v>
      </c>
      <c r="L3138" s="2" t="s">
        <v>40</v>
      </c>
      <c r="M3138" s="2" t="s">
        <v>409</v>
      </c>
      <c r="N3138" s="2" t="s">
        <v>462</v>
      </c>
      <c r="O3138" s="3"/>
      <c r="P3138" s="2" t="s">
        <v>73</v>
      </c>
      <c r="Q3138" s="3">
        <v>720.0</v>
      </c>
      <c r="R3138" s="3">
        <v>0.5</v>
      </c>
      <c r="T3138" s="2" t="s">
        <v>12069</v>
      </c>
      <c r="U3138" s="171">
        <v>3348.0</v>
      </c>
      <c r="V3138" s="172">
        <v>46094.0</v>
      </c>
      <c r="W3138" s="3">
        <v>334.0</v>
      </c>
      <c r="X3138" s="172">
        <v>46091.52091559028</v>
      </c>
      <c r="Y3138" s="172">
        <v>46086.64375387732</v>
      </c>
      <c r="Z3138" s="3">
        <v>46086.0</v>
      </c>
    </row>
    <row r="3139">
      <c r="A3139" s="3">
        <v>6.938539393283E12</v>
      </c>
      <c r="B3139" s="2" t="s">
        <v>12889</v>
      </c>
      <c r="C3139" s="2" t="s">
        <v>12890</v>
      </c>
      <c r="D3139" s="169">
        <v>46086.0</v>
      </c>
      <c r="E3139" s="173" t="s">
        <v>12891</v>
      </c>
      <c r="F3139" s="2" t="s">
        <v>12892</v>
      </c>
      <c r="G3139" s="2" t="s">
        <v>12893</v>
      </c>
      <c r="H3139" s="2">
        <v>2675.0</v>
      </c>
      <c r="I3139" s="2">
        <v>2.9120050022362E13</v>
      </c>
      <c r="J3139" s="3">
        <v>2.0</v>
      </c>
      <c r="K3139" s="2" t="s">
        <v>12894</v>
      </c>
      <c r="L3139" s="2" t="s">
        <v>926</v>
      </c>
      <c r="M3139" s="2" t="s">
        <v>409</v>
      </c>
      <c r="N3139" s="2" t="s">
        <v>462</v>
      </c>
      <c r="O3139" s="3"/>
      <c r="P3139" s="2" t="s">
        <v>73</v>
      </c>
      <c r="Q3139" s="3">
        <v>980.0</v>
      </c>
      <c r="R3139" s="3">
        <v>0.5</v>
      </c>
      <c r="T3139" s="2" t="s">
        <v>12069</v>
      </c>
      <c r="U3139" s="171">
        <v>2675.0</v>
      </c>
      <c r="V3139" s="172">
        <v>46094.0</v>
      </c>
      <c r="W3139" s="3">
        <v>307.0</v>
      </c>
      <c r="X3139" s="172">
        <v>46092.74956611111</v>
      </c>
      <c r="Y3139" s="172">
        <v>46086.64375387732</v>
      </c>
      <c r="Z3139" s="3">
        <v>46086.0</v>
      </c>
    </row>
    <row r="3140">
      <c r="A3140" s="3">
        <v>6.938545520899E12</v>
      </c>
      <c r="B3140" s="2" t="s">
        <v>12895</v>
      </c>
      <c r="C3140" s="2" t="s">
        <v>12896</v>
      </c>
      <c r="D3140" s="169">
        <v>46086.0</v>
      </c>
      <c r="E3140" s="2">
        <v>3.464456811E9</v>
      </c>
      <c r="F3140" s="2" t="s">
        <v>12897</v>
      </c>
      <c r="G3140" s="2" t="s">
        <v>12898</v>
      </c>
      <c r="H3140" s="2">
        <v>249.0</v>
      </c>
      <c r="I3140" s="2">
        <v>2.4120050022361E13</v>
      </c>
      <c r="J3140" s="3">
        <v>0.0</v>
      </c>
      <c r="K3140" s="2" t="s">
        <v>12274</v>
      </c>
      <c r="L3140" s="2"/>
      <c r="M3140" s="170" t="s">
        <v>455</v>
      </c>
      <c r="N3140" s="2" t="s">
        <v>406</v>
      </c>
      <c r="O3140" s="3"/>
      <c r="P3140" s="2" t="s">
        <v>73</v>
      </c>
      <c r="Q3140" s="3">
        <v>0.0</v>
      </c>
      <c r="R3140" s="3">
        <v>0.5</v>
      </c>
      <c r="U3140" s="141"/>
      <c r="W3140" s="3">
        <v>200.0</v>
      </c>
      <c r="X3140" s="172">
        <v>46098.707635150466</v>
      </c>
      <c r="Y3140" s="172">
        <v>46086.64375387732</v>
      </c>
      <c r="Z3140" s="3">
        <v>46086.0</v>
      </c>
    </row>
    <row r="3141">
      <c r="A3141" s="3">
        <v>6.938585235715E12</v>
      </c>
      <c r="B3141" s="2" t="s">
        <v>12899</v>
      </c>
      <c r="C3141" s="2" t="s">
        <v>12900</v>
      </c>
      <c r="D3141" s="169">
        <v>46086.0</v>
      </c>
      <c r="E3141" s="173" t="s">
        <v>12901</v>
      </c>
      <c r="F3141" s="2" t="s">
        <v>12902</v>
      </c>
      <c r="G3141" s="2" t="s">
        <v>506</v>
      </c>
      <c r="H3141" s="2">
        <v>2849.0</v>
      </c>
      <c r="I3141" s="2">
        <v>2.4120050022367E13</v>
      </c>
      <c r="J3141" s="3">
        <v>2.0</v>
      </c>
      <c r="K3141" s="2" t="s">
        <v>12903</v>
      </c>
      <c r="L3141" s="2" t="s">
        <v>4209</v>
      </c>
      <c r="M3141" s="2" t="s">
        <v>409</v>
      </c>
      <c r="N3141" s="2" t="s">
        <v>462</v>
      </c>
      <c r="O3141" s="3"/>
      <c r="P3141" s="2" t="s">
        <v>73</v>
      </c>
      <c r="Q3141" s="3">
        <v>720.0</v>
      </c>
      <c r="R3141" s="3">
        <v>0.5</v>
      </c>
      <c r="T3141" s="2" t="s">
        <v>12069</v>
      </c>
      <c r="U3141" s="171">
        <v>2849.0</v>
      </c>
      <c r="V3141" s="172">
        <v>46094.0</v>
      </c>
      <c r="W3141" s="3">
        <v>314.0</v>
      </c>
      <c r="X3141" s="172">
        <v>46091.70771260417</v>
      </c>
      <c r="Y3141" s="172">
        <v>46086.6854383912</v>
      </c>
      <c r="Z3141" s="3">
        <v>46086.0</v>
      </c>
    </row>
    <row r="3142">
      <c r="A3142" s="3">
        <v>6.938607485187E12</v>
      </c>
      <c r="B3142" s="2" t="s">
        <v>12904</v>
      </c>
      <c r="C3142" s="2" t="s">
        <v>12905</v>
      </c>
      <c r="D3142" s="169">
        <v>46086.0</v>
      </c>
      <c r="E3142" s="2">
        <v>3.077807804E9</v>
      </c>
      <c r="F3142" s="2" t="s">
        <v>12906</v>
      </c>
      <c r="G3142" s="2" t="s">
        <v>12907</v>
      </c>
      <c r="H3142" s="2">
        <v>249.0</v>
      </c>
      <c r="I3142" s="2">
        <v>2.312005002236E13</v>
      </c>
      <c r="J3142" s="3">
        <v>0.0</v>
      </c>
      <c r="K3142" s="2" t="s">
        <v>12908</v>
      </c>
      <c r="L3142" s="2"/>
      <c r="M3142" s="170" t="s">
        <v>455</v>
      </c>
      <c r="N3142" s="2" t="s">
        <v>406</v>
      </c>
      <c r="O3142" s="3"/>
      <c r="P3142" s="2" t="s">
        <v>73</v>
      </c>
      <c r="Q3142" s="3">
        <v>0.0</v>
      </c>
      <c r="R3142" s="3">
        <v>0.5</v>
      </c>
      <c r="U3142" s="141"/>
      <c r="W3142" s="3">
        <v>107.0</v>
      </c>
      <c r="X3142" s="172">
        <v>46093.749415046295</v>
      </c>
      <c r="Y3142" s="172">
        <v>46086.6854383912</v>
      </c>
      <c r="Z3142" s="3">
        <v>46086.0</v>
      </c>
    </row>
    <row r="3143">
      <c r="A3143" s="3">
        <v>6.938613186819E12</v>
      </c>
      <c r="B3143" s="2" t="s">
        <v>12909</v>
      </c>
      <c r="C3143" s="2" t="s">
        <v>3694</v>
      </c>
      <c r="D3143" s="169">
        <v>46086.0</v>
      </c>
      <c r="E3143" s="2">
        <v>3.009678425E9</v>
      </c>
      <c r="F3143" s="2" t="s">
        <v>12910</v>
      </c>
      <c r="G3143" s="2" t="s">
        <v>368</v>
      </c>
      <c r="H3143" s="2">
        <v>0.0</v>
      </c>
      <c r="J3143" s="3">
        <v>0.0</v>
      </c>
      <c r="K3143" s="2" t="s">
        <v>12911</v>
      </c>
      <c r="L3143" s="2"/>
      <c r="M3143" s="2" t="s">
        <v>468</v>
      </c>
      <c r="N3143" s="2" t="s">
        <v>406</v>
      </c>
      <c r="O3143" s="3"/>
      <c r="Q3143" s="3">
        <v>0.0</v>
      </c>
      <c r="R3143" s="3">
        <v>0.5</v>
      </c>
      <c r="U3143" s="141"/>
      <c r="X3143" s="172"/>
      <c r="Y3143" s="172">
        <v>46086.6854383912</v>
      </c>
      <c r="Z3143" s="3">
        <v>46086.0</v>
      </c>
    </row>
    <row r="3144">
      <c r="A3144" s="3">
        <v>6.938626228483E12</v>
      </c>
      <c r="B3144" s="2" t="s">
        <v>12912</v>
      </c>
      <c r="C3144" s="2" t="s">
        <v>5094</v>
      </c>
      <c r="D3144" s="169">
        <v>46086.0</v>
      </c>
      <c r="E3144" s="2">
        <v>3.352636109E9</v>
      </c>
      <c r="F3144" s="2" t="s">
        <v>5095</v>
      </c>
      <c r="G3144" s="2" t="s">
        <v>493</v>
      </c>
      <c r="H3144" s="2">
        <v>1844.0</v>
      </c>
      <c r="I3144" s="2">
        <v>2.9120050022366E13</v>
      </c>
      <c r="J3144" s="3">
        <v>1.0</v>
      </c>
      <c r="K3144" s="2" t="s">
        <v>12913</v>
      </c>
      <c r="L3144" s="2" t="s">
        <v>220</v>
      </c>
      <c r="M3144" s="2" t="s">
        <v>409</v>
      </c>
      <c r="N3144" s="2" t="s">
        <v>406</v>
      </c>
      <c r="O3144" s="3"/>
      <c r="P3144" s="2" t="s">
        <v>73</v>
      </c>
      <c r="Q3144" s="3">
        <v>360.0</v>
      </c>
      <c r="R3144" s="3">
        <v>0.5</v>
      </c>
      <c r="U3144" s="141"/>
      <c r="X3144" s="172">
        <v>46091.77089612269</v>
      </c>
      <c r="Y3144" s="172">
        <v>46086.6854383912</v>
      </c>
      <c r="Z3144" s="3">
        <v>46086.0</v>
      </c>
    </row>
    <row r="3145">
      <c r="A3145" s="3">
        <v>6.938669318403E12</v>
      </c>
      <c r="B3145" s="2" t="s">
        <v>12914</v>
      </c>
      <c r="C3145" s="2" t="s">
        <v>12915</v>
      </c>
      <c r="D3145" s="169">
        <v>46086.0</v>
      </c>
      <c r="E3145" s="2">
        <v>3.072222385E9</v>
      </c>
      <c r="F3145" s="2" t="s">
        <v>12916</v>
      </c>
      <c r="G3145" s="2" t="s">
        <v>693</v>
      </c>
      <c r="H3145" s="2">
        <v>0.0</v>
      </c>
      <c r="J3145" s="3">
        <v>0.0</v>
      </c>
      <c r="K3145" s="2" t="s">
        <v>12917</v>
      </c>
      <c r="L3145" s="2"/>
      <c r="M3145" s="2" t="s">
        <v>468</v>
      </c>
      <c r="N3145" s="2" t="s">
        <v>406</v>
      </c>
      <c r="O3145" s="3"/>
      <c r="Q3145" s="3">
        <v>0.0</v>
      </c>
      <c r="R3145" s="3">
        <v>0.5</v>
      </c>
      <c r="U3145" s="141"/>
      <c r="X3145" s="172"/>
      <c r="Y3145" s="172">
        <v>46086.72707670139</v>
      </c>
      <c r="Z3145" s="3">
        <v>46086.0</v>
      </c>
    </row>
    <row r="3146">
      <c r="A3146" s="3">
        <v>6.938720993539E12</v>
      </c>
      <c r="B3146" s="2" t="s">
        <v>12918</v>
      </c>
      <c r="C3146" s="2" t="s">
        <v>12919</v>
      </c>
      <c r="D3146" s="169">
        <v>46086.0</v>
      </c>
      <c r="E3146" s="2">
        <v>3.008255115E9</v>
      </c>
      <c r="F3146" s="2" t="s">
        <v>12920</v>
      </c>
      <c r="G3146" s="2" t="s">
        <v>667</v>
      </c>
      <c r="H3146" s="2">
        <v>2849.0</v>
      </c>
      <c r="I3146" s="2">
        <v>2.8120050022359E13</v>
      </c>
      <c r="J3146" s="3">
        <v>2.0</v>
      </c>
      <c r="K3146" s="2" t="s">
        <v>12921</v>
      </c>
      <c r="L3146" s="2" t="s">
        <v>5916</v>
      </c>
      <c r="M3146" s="2" t="s">
        <v>409</v>
      </c>
      <c r="N3146" s="2" t="s">
        <v>462</v>
      </c>
      <c r="O3146" s="3"/>
      <c r="P3146" s="2" t="s">
        <v>73</v>
      </c>
      <c r="Q3146" s="3">
        <v>800.0</v>
      </c>
      <c r="R3146" s="3">
        <v>0.5</v>
      </c>
      <c r="T3146" s="2" t="s">
        <v>12069</v>
      </c>
      <c r="U3146" s="171">
        <v>2849.0</v>
      </c>
      <c r="V3146" s="172">
        <v>46094.0</v>
      </c>
      <c r="W3146" s="3">
        <v>327.0</v>
      </c>
      <c r="X3146" s="172">
        <v>46093.87427885417</v>
      </c>
      <c r="Y3146" s="172">
        <v>46086.72707670139</v>
      </c>
      <c r="Z3146" s="3">
        <v>46086.0</v>
      </c>
    </row>
    <row r="3147">
      <c r="A3147" s="3">
        <v>6.938768638211E12</v>
      </c>
      <c r="B3147" s="2" t="s">
        <v>12922</v>
      </c>
      <c r="C3147" s="2" t="s">
        <v>12923</v>
      </c>
      <c r="D3147" s="169">
        <v>46086.0</v>
      </c>
      <c r="E3147" s="2">
        <v>3.044608189E9</v>
      </c>
      <c r="F3147" s="2" t="s">
        <v>12924</v>
      </c>
      <c r="G3147" s="2" t="s">
        <v>368</v>
      </c>
      <c r="H3147" s="2">
        <v>1499.0</v>
      </c>
      <c r="I3147" s="2">
        <v>2.8120050022358E13</v>
      </c>
      <c r="J3147" s="3">
        <v>1.0</v>
      </c>
      <c r="K3147" s="2" t="s">
        <v>12925</v>
      </c>
      <c r="L3147" s="2" t="s">
        <v>12926</v>
      </c>
      <c r="M3147" s="2" t="s">
        <v>409</v>
      </c>
      <c r="N3147" s="2" t="s">
        <v>462</v>
      </c>
      <c r="O3147" s="3"/>
      <c r="P3147" s="2" t="s">
        <v>73</v>
      </c>
      <c r="Q3147" s="3">
        <v>750.0</v>
      </c>
      <c r="R3147" s="3">
        <v>0.5</v>
      </c>
      <c r="T3147" s="2" t="s">
        <v>12156</v>
      </c>
      <c r="U3147" s="171">
        <v>1499.0</v>
      </c>
      <c r="V3147" s="172">
        <v>46091.0</v>
      </c>
      <c r="W3147" s="3">
        <v>167.0</v>
      </c>
      <c r="X3147" s="172">
        <v>46091.04103518519</v>
      </c>
      <c r="Y3147" s="172">
        <v>46086.7687615162</v>
      </c>
      <c r="Z3147" s="3">
        <v>46086.0</v>
      </c>
    </row>
    <row r="3148">
      <c r="A3148" s="3">
        <v>6.938774438147E12</v>
      </c>
      <c r="B3148" s="2" t="s">
        <v>12927</v>
      </c>
      <c r="C3148" s="2" t="s">
        <v>12928</v>
      </c>
      <c r="D3148" s="169">
        <v>46086.0</v>
      </c>
      <c r="E3148" s="2">
        <v>3.337270967E9</v>
      </c>
      <c r="F3148" s="2" t="s">
        <v>12929</v>
      </c>
      <c r="G3148" s="2" t="s">
        <v>3295</v>
      </c>
      <c r="H3148" s="2">
        <v>0.0</v>
      </c>
      <c r="J3148" s="3">
        <v>0.0</v>
      </c>
      <c r="K3148" s="2" t="s">
        <v>7954</v>
      </c>
      <c r="L3148" s="2"/>
      <c r="M3148" s="2" t="s">
        <v>468</v>
      </c>
      <c r="N3148" s="2" t="s">
        <v>406</v>
      </c>
      <c r="O3148" s="3"/>
      <c r="Q3148" s="3">
        <v>0.0</v>
      </c>
      <c r="R3148" s="3">
        <v>0.5</v>
      </c>
      <c r="U3148" s="141"/>
      <c r="X3148" s="172"/>
      <c r="Y3148" s="172">
        <v>46086.7687615162</v>
      </c>
      <c r="Z3148" s="3">
        <v>46086.0</v>
      </c>
    </row>
    <row r="3149">
      <c r="A3149" s="3">
        <v>6.938812907779E12</v>
      </c>
      <c r="B3149" s="2" t="s">
        <v>12930</v>
      </c>
      <c r="C3149" s="2" t="s">
        <v>12928</v>
      </c>
      <c r="D3149" s="169">
        <v>46086.0</v>
      </c>
      <c r="E3149" s="173" t="s">
        <v>12931</v>
      </c>
      <c r="F3149" s="2" t="s">
        <v>12929</v>
      </c>
      <c r="G3149" s="2" t="s">
        <v>3295</v>
      </c>
      <c r="H3149" s="2">
        <v>2924.0</v>
      </c>
      <c r="I3149" s="2">
        <v>2.1120050022405E13</v>
      </c>
      <c r="J3149" s="3">
        <v>2.0</v>
      </c>
      <c r="K3149" s="2" t="s">
        <v>12932</v>
      </c>
      <c r="L3149" s="2" t="s">
        <v>35</v>
      </c>
      <c r="M3149" s="2" t="s">
        <v>409</v>
      </c>
      <c r="N3149" s="2" t="s">
        <v>462</v>
      </c>
      <c r="O3149" s="3"/>
      <c r="P3149" s="2" t="s">
        <v>73</v>
      </c>
      <c r="Q3149" s="3">
        <v>980.0</v>
      </c>
      <c r="R3149" s="3">
        <v>0.5</v>
      </c>
      <c r="T3149" s="2" t="s">
        <v>12069</v>
      </c>
      <c r="U3149" s="171">
        <v>2924.0</v>
      </c>
      <c r="V3149" s="172">
        <v>46094.0</v>
      </c>
      <c r="W3149" s="3">
        <v>330.0</v>
      </c>
      <c r="X3149" s="172">
        <v>46092.6660528125</v>
      </c>
      <c r="Y3149" s="172">
        <v>46086.7687615162</v>
      </c>
      <c r="Z3149" s="3">
        <v>46086.0</v>
      </c>
    </row>
    <row r="3150">
      <c r="A3150" s="3">
        <v>6.939066040579E12</v>
      </c>
      <c r="B3150" s="2" t="s">
        <v>12933</v>
      </c>
      <c r="C3150" s="2" t="s">
        <v>12934</v>
      </c>
      <c r="D3150" s="169">
        <v>46086.0</v>
      </c>
      <c r="E3150" s="2">
        <v>3.008737163E9</v>
      </c>
      <c r="F3150" s="2" t="s">
        <v>12935</v>
      </c>
      <c r="G3150" s="2" t="s">
        <v>855</v>
      </c>
      <c r="H3150" s="2">
        <v>0.0</v>
      </c>
      <c r="I3150" s="2">
        <v>2.3120050022357E13</v>
      </c>
      <c r="J3150" s="3">
        <v>0.0</v>
      </c>
      <c r="K3150" s="2" t="s">
        <v>12936</v>
      </c>
      <c r="L3150" s="2"/>
      <c r="M3150" s="2" t="s">
        <v>409</v>
      </c>
      <c r="N3150" s="2" t="s">
        <v>406</v>
      </c>
      <c r="O3150" s="3"/>
      <c r="P3150" s="2" t="s">
        <v>73</v>
      </c>
      <c r="Q3150" s="3">
        <v>0.0</v>
      </c>
      <c r="R3150" s="3">
        <v>0.5</v>
      </c>
      <c r="T3150" s="2" t="s">
        <v>12156</v>
      </c>
      <c r="U3150" s="171">
        <v>7500.0</v>
      </c>
      <c r="V3150" s="172">
        <v>46091.0</v>
      </c>
      <c r="W3150" s="3">
        <v>520.0</v>
      </c>
      <c r="X3150" s="172">
        <v>46089.70770900463</v>
      </c>
      <c r="Y3150" s="172">
        <v>46086.89378644676</v>
      </c>
      <c r="Z3150" s="3">
        <v>46086.0</v>
      </c>
    </row>
    <row r="3151">
      <c r="A3151" s="3">
        <v>6.939200782595E12</v>
      </c>
      <c r="B3151" s="2" t="s">
        <v>12937</v>
      </c>
      <c r="C3151" s="2" t="s">
        <v>12938</v>
      </c>
      <c r="D3151" s="169">
        <v>46086.0</v>
      </c>
      <c r="E3151" s="2">
        <v>3.064252071E9</v>
      </c>
      <c r="F3151" s="2" t="s">
        <v>12939</v>
      </c>
      <c r="G3151" s="2" t="s">
        <v>368</v>
      </c>
      <c r="H3151" s="2">
        <v>5350.0</v>
      </c>
      <c r="I3151" s="2">
        <v>2.2120050022356E13</v>
      </c>
      <c r="J3151" s="3">
        <v>3.0</v>
      </c>
      <c r="K3151" s="2" t="s">
        <v>12940</v>
      </c>
      <c r="L3151" s="2" t="s">
        <v>12941</v>
      </c>
      <c r="M3151" s="2" t="s">
        <v>409</v>
      </c>
      <c r="N3151" s="2" t="s">
        <v>462</v>
      </c>
      <c r="O3151" s="3"/>
      <c r="P3151" s="2" t="s">
        <v>73</v>
      </c>
      <c r="Q3151" s="3">
        <v>2900.0</v>
      </c>
      <c r="R3151" s="3">
        <v>0.5</v>
      </c>
      <c r="T3151" s="2" t="s">
        <v>12156</v>
      </c>
      <c r="U3151" s="171">
        <v>5350.0</v>
      </c>
      <c r="V3151" s="172">
        <v>46091.0</v>
      </c>
      <c r="W3151" s="3">
        <v>334.0</v>
      </c>
      <c r="X3151" s="172">
        <v>46088.62441232639</v>
      </c>
      <c r="Y3151" s="172">
        <v>46086.93553502315</v>
      </c>
      <c r="Z3151" s="3">
        <v>46086.0</v>
      </c>
    </row>
    <row r="3152">
      <c r="A3152" s="3">
        <v>6.939214184707E12</v>
      </c>
      <c r="B3152" s="2" t="s">
        <v>12942</v>
      </c>
      <c r="C3152" s="2" t="s">
        <v>12943</v>
      </c>
      <c r="D3152" s="169">
        <v>46086.0</v>
      </c>
      <c r="E3152" s="173" t="s">
        <v>12944</v>
      </c>
      <c r="F3152" s="2" t="s">
        <v>12945</v>
      </c>
      <c r="G3152" s="2" t="s">
        <v>12946</v>
      </c>
      <c r="H3152" s="2">
        <v>249.0</v>
      </c>
      <c r="I3152" s="2">
        <v>2.2120050022355E13</v>
      </c>
      <c r="J3152" s="3">
        <v>0.0</v>
      </c>
      <c r="K3152" s="2" t="s">
        <v>12947</v>
      </c>
      <c r="L3152" s="2"/>
      <c r="M3152" s="170" t="s">
        <v>455</v>
      </c>
      <c r="N3152" s="2" t="s">
        <v>406</v>
      </c>
      <c r="O3152" s="3"/>
      <c r="P3152" s="2" t="s">
        <v>73</v>
      </c>
      <c r="Q3152" s="3">
        <v>0.0</v>
      </c>
      <c r="R3152" s="3">
        <v>0.5</v>
      </c>
      <c r="U3152" s="141"/>
      <c r="W3152" s="3">
        <v>200.0</v>
      </c>
      <c r="X3152" s="172">
        <v>46095.77090880787</v>
      </c>
      <c r="Y3152" s="172">
        <v>46086.93553502315</v>
      </c>
      <c r="Z3152" s="3">
        <v>46086.0</v>
      </c>
    </row>
    <row r="3153">
      <c r="A3153" s="3">
        <v>6.939257274627E12</v>
      </c>
      <c r="B3153" s="2" t="s">
        <v>12948</v>
      </c>
      <c r="C3153" s="2" t="s">
        <v>12949</v>
      </c>
      <c r="D3153" s="169">
        <v>46086.0</v>
      </c>
      <c r="E3153" s="2">
        <v>3.141465119E9</v>
      </c>
      <c r="F3153" s="2" t="s">
        <v>12950</v>
      </c>
      <c r="G3153" s="2" t="s">
        <v>1224</v>
      </c>
      <c r="H3153" s="2">
        <v>3348.0</v>
      </c>
      <c r="I3153" s="2">
        <v>2.0120050022378E13</v>
      </c>
      <c r="J3153" s="3">
        <v>2.0</v>
      </c>
      <c r="K3153" s="2" t="s">
        <v>12223</v>
      </c>
      <c r="L3153" s="2" t="s">
        <v>50</v>
      </c>
      <c r="M3153" s="2" t="s">
        <v>409</v>
      </c>
      <c r="N3153" s="2" t="s">
        <v>462</v>
      </c>
      <c r="O3153" s="3"/>
      <c r="P3153" s="2" t="s">
        <v>73</v>
      </c>
      <c r="Q3153" s="3">
        <v>720.0</v>
      </c>
      <c r="R3153" s="3">
        <v>0.5</v>
      </c>
      <c r="T3153" s="2" t="s">
        <v>11534</v>
      </c>
      <c r="U3153" s="171">
        <v>3348.0</v>
      </c>
      <c r="V3153" s="172">
        <v>46097.0</v>
      </c>
      <c r="W3153" s="3">
        <v>347.0</v>
      </c>
      <c r="X3153" s="172">
        <v>46096.74930207176</v>
      </c>
      <c r="Y3153" s="172">
        <v>46086.977082673606</v>
      </c>
      <c r="Z3153" s="3">
        <v>46086.0</v>
      </c>
    </row>
    <row r="3154">
      <c r="A3154" s="3">
        <v>6.939380089091E12</v>
      </c>
      <c r="B3154" s="2" t="s">
        <v>12951</v>
      </c>
      <c r="C3154" s="2" t="s">
        <v>12952</v>
      </c>
      <c r="D3154" s="169">
        <v>46087.0</v>
      </c>
      <c r="E3154" s="2">
        <v>3.135219594E9</v>
      </c>
      <c r="F3154" s="2" t="s">
        <v>12953</v>
      </c>
      <c r="G3154" s="2" t="s">
        <v>506</v>
      </c>
      <c r="H3154" s="2">
        <v>2849.0</v>
      </c>
      <c r="I3154" s="2">
        <v>2.0120050022354E13</v>
      </c>
      <c r="J3154" s="3">
        <v>2.0</v>
      </c>
      <c r="K3154" s="2" t="s">
        <v>12903</v>
      </c>
      <c r="L3154" s="2" t="s">
        <v>5916</v>
      </c>
      <c r="M3154" s="2" t="s">
        <v>409</v>
      </c>
      <c r="N3154" s="2" t="s">
        <v>462</v>
      </c>
      <c r="O3154" s="3"/>
      <c r="P3154" s="2" t="s">
        <v>73</v>
      </c>
      <c r="Q3154" s="3">
        <v>800.0</v>
      </c>
      <c r="R3154" s="3">
        <v>0.5</v>
      </c>
      <c r="T3154" s="2" t="s">
        <v>12069</v>
      </c>
      <c r="U3154" s="171">
        <v>2849.0</v>
      </c>
      <c r="V3154" s="172">
        <v>46094.0</v>
      </c>
      <c r="W3154" s="3">
        <v>314.0</v>
      </c>
      <c r="X3154" s="172">
        <v>46092.771389710644</v>
      </c>
      <c r="Y3154" s="172">
        <v>46087.060422372684</v>
      </c>
      <c r="Z3154" s="3">
        <v>46087.0</v>
      </c>
    </row>
    <row r="3155">
      <c r="A3155" s="3">
        <v>6.939431534851E12</v>
      </c>
      <c r="B3155" s="2" t="s">
        <v>12954</v>
      </c>
      <c r="C3155" s="2" t="s">
        <v>12955</v>
      </c>
      <c r="D3155" s="169">
        <v>46087.0</v>
      </c>
      <c r="E3155" s="2">
        <v>3.706623944E9</v>
      </c>
      <c r="F3155" s="2" t="s">
        <v>12956</v>
      </c>
      <c r="G3155" s="2" t="s">
        <v>493</v>
      </c>
      <c r="H3155" s="2">
        <v>3348.0</v>
      </c>
      <c r="I3155" s="2">
        <v>2.5120050022404E13</v>
      </c>
      <c r="J3155" s="3">
        <v>2.0</v>
      </c>
      <c r="K3155" s="2" t="s">
        <v>12957</v>
      </c>
      <c r="L3155" s="2" t="s">
        <v>27</v>
      </c>
      <c r="M3155" s="2" t="s">
        <v>409</v>
      </c>
      <c r="N3155" s="2" t="s">
        <v>462</v>
      </c>
      <c r="O3155" s="3"/>
      <c r="P3155" s="2" t="s">
        <v>73</v>
      </c>
      <c r="Q3155" s="3">
        <v>720.0</v>
      </c>
      <c r="R3155" s="3">
        <v>0.5</v>
      </c>
      <c r="T3155" s="2" t="s">
        <v>11534</v>
      </c>
      <c r="U3155" s="171">
        <v>3348.0</v>
      </c>
      <c r="V3155" s="172">
        <v>46097.0</v>
      </c>
      <c r="W3155" s="3">
        <v>333.0</v>
      </c>
      <c r="X3155" s="172">
        <v>46094.83266035879</v>
      </c>
      <c r="Y3155" s="172">
        <v>46087.060422372684</v>
      </c>
      <c r="Z3155" s="3">
        <v>46087.0</v>
      </c>
    </row>
    <row r="3156">
      <c r="A3156" s="3">
        <v>6.939437728003E12</v>
      </c>
      <c r="B3156" s="2" t="s">
        <v>12958</v>
      </c>
      <c r="C3156" s="2" t="s">
        <v>12959</v>
      </c>
      <c r="D3156" s="169">
        <v>46087.0</v>
      </c>
      <c r="E3156" s="2">
        <v>3.004012288E9</v>
      </c>
      <c r="F3156" s="2" t="s">
        <v>12960</v>
      </c>
      <c r="G3156" s="2" t="s">
        <v>368</v>
      </c>
      <c r="H3156" s="2">
        <v>1799.0</v>
      </c>
      <c r="I3156" s="2">
        <v>2.7120050022483E13</v>
      </c>
      <c r="J3156" s="3">
        <v>1.0</v>
      </c>
      <c r="K3156" s="2" t="s">
        <v>12860</v>
      </c>
      <c r="L3156" s="2" t="s">
        <v>4872</v>
      </c>
      <c r="M3156" s="2" t="s">
        <v>409</v>
      </c>
      <c r="N3156" s="2" t="s">
        <v>462</v>
      </c>
      <c r="O3156" s="3"/>
      <c r="P3156" s="2" t="s">
        <v>73</v>
      </c>
      <c r="Q3156" s="3">
        <v>490.0</v>
      </c>
      <c r="R3156" s="3">
        <v>0.5</v>
      </c>
      <c r="T3156" s="2" t="s">
        <v>12069</v>
      </c>
      <c r="U3156" s="171">
        <v>1799.0</v>
      </c>
      <c r="V3156" s="172">
        <v>46094.0</v>
      </c>
      <c r="W3156" s="3">
        <v>179.0</v>
      </c>
      <c r="X3156" s="172">
        <v>46092.70770021991</v>
      </c>
      <c r="Y3156" s="172">
        <v>46087.060422372684</v>
      </c>
      <c r="Z3156" s="3">
        <v>46087.0</v>
      </c>
    </row>
    <row r="3157">
      <c r="A3157" s="3">
        <v>6.939511324931E12</v>
      </c>
      <c r="B3157" s="2" t="s">
        <v>12961</v>
      </c>
      <c r="C3157" s="2" t="s">
        <v>12962</v>
      </c>
      <c r="D3157" s="169">
        <v>46087.0</v>
      </c>
      <c r="E3157" s="173" t="s">
        <v>12963</v>
      </c>
      <c r="F3157" s="2" t="s">
        <v>12964</v>
      </c>
      <c r="G3157" s="2" t="s">
        <v>1323</v>
      </c>
      <c r="H3157" s="2">
        <v>3348.0</v>
      </c>
      <c r="I3157" s="2">
        <v>2.7120050022353E13</v>
      </c>
      <c r="J3157" s="3">
        <v>2.0</v>
      </c>
      <c r="K3157" s="2" t="s">
        <v>12238</v>
      </c>
      <c r="L3157" s="2" t="s">
        <v>906</v>
      </c>
      <c r="M3157" s="2" t="s">
        <v>409</v>
      </c>
      <c r="N3157" s="2" t="s">
        <v>462</v>
      </c>
      <c r="O3157" s="3"/>
      <c r="P3157" s="2" t="s">
        <v>73</v>
      </c>
      <c r="Q3157" s="3">
        <v>720.0</v>
      </c>
      <c r="R3157" s="3">
        <v>0.5</v>
      </c>
      <c r="T3157" s="2" t="s">
        <v>12156</v>
      </c>
      <c r="U3157" s="171">
        <v>3348.0</v>
      </c>
      <c r="V3157" s="172">
        <v>46091.0</v>
      </c>
      <c r="W3157" s="3">
        <v>334.0</v>
      </c>
      <c r="X3157" s="172">
        <v>46088.58266997685</v>
      </c>
      <c r="Y3157" s="172">
        <v>46087.10208074074</v>
      </c>
      <c r="Z3157" s="3">
        <v>46087.0</v>
      </c>
    </row>
    <row r="3158">
      <c r="A3158" s="3">
        <v>6.939547173123E12</v>
      </c>
      <c r="B3158" s="2" t="s">
        <v>12965</v>
      </c>
      <c r="C3158" s="2" t="s">
        <v>12966</v>
      </c>
      <c r="D3158" s="169">
        <v>46087.0</v>
      </c>
      <c r="E3158" s="2">
        <v>3.233000566E9</v>
      </c>
      <c r="F3158" s="2" t="s">
        <v>12967</v>
      </c>
      <c r="G3158" s="2" t="s">
        <v>368</v>
      </c>
      <c r="H3158" s="2">
        <v>0.0</v>
      </c>
      <c r="J3158" s="3">
        <v>0.0</v>
      </c>
      <c r="K3158" s="2" t="s">
        <v>12968</v>
      </c>
      <c r="L3158" s="2"/>
      <c r="M3158" s="2" t="s">
        <v>468</v>
      </c>
      <c r="N3158" s="2" t="s">
        <v>406</v>
      </c>
      <c r="O3158" s="3"/>
      <c r="Q3158" s="3">
        <v>0.0</v>
      </c>
      <c r="R3158" s="3">
        <v>0.5</v>
      </c>
      <c r="U3158" s="141"/>
      <c r="X3158" s="172"/>
      <c r="Y3158" s="172">
        <v>46087.14375768519</v>
      </c>
      <c r="Z3158" s="3">
        <v>46087.0</v>
      </c>
    </row>
    <row r="3159">
      <c r="A3159" s="3">
        <v>6.939552088323E12</v>
      </c>
      <c r="B3159" s="2" t="s">
        <v>12969</v>
      </c>
      <c r="C3159" s="2" t="s">
        <v>12970</v>
      </c>
      <c r="D3159" s="169">
        <v>46087.0</v>
      </c>
      <c r="E3159" s="2">
        <v>3.212024349E9</v>
      </c>
      <c r="F3159" s="2" t="s">
        <v>12971</v>
      </c>
      <c r="G3159" s="2" t="s">
        <v>493</v>
      </c>
      <c r="H3159" s="2">
        <v>3348.0</v>
      </c>
      <c r="I3159" s="2">
        <v>2.3120050022352E13</v>
      </c>
      <c r="J3159" s="3">
        <v>2.0</v>
      </c>
      <c r="K3159" s="2" t="s">
        <v>12227</v>
      </c>
      <c r="L3159" s="2" t="s">
        <v>27</v>
      </c>
      <c r="M3159" s="2" t="s">
        <v>409</v>
      </c>
      <c r="N3159" s="2" t="s">
        <v>462</v>
      </c>
      <c r="O3159" s="3"/>
      <c r="P3159" s="2" t="s">
        <v>73</v>
      </c>
      <c r="Q3159" s="3">
        <v>720.0</v>
      </c>
      <c r="R3159" s="3">
        <v>0.5</v>
      </c>
      <c r="T3159" s="2" t="s">
        <v>12069</v>
      </c>
      <c r="U3159" s="171">
        <v>3348.0</v>
      </c>
      <c r="V3159" s="172">
        <v>46094.0</v>
      </c>
      <c r="W3159" s="3">
        <v>347.0</v>
      </c>
      <c r="X3159" s="172">
        <v>46091.624382141206</v>
      </c>
      <c r="Y3159" s="172">
        <v>46087.14375768519</v>
      </c>
      <c r="Z3159" s="3">
        <v>46087.0</v>
      </c>
    </row>
    <row r="3160">
      <c r="A3160" s="3">
        <v>6.939577319683E12</v>
      </c>
      <c r="B3160" s="2" t="s">
        <v>12972</v>
      </c>
      <c r="C3160" s="2" t="s">
        <v>12973</v>
      </c>
      <c r="D3160" s="169">
        <v>46087.0</v>
      </c>
      <c r="E3160" s="2">
        <v>3.306668443E9</v>
      </c>
      <c r="F3160" s="2" t="s">
        <v>12974</v>
      </c>
      <c r="G3160" s="2" t="s">
        <v>368</v>
      </c>
      <c r="H3160" s="2">
        <v>2849.0</v>
      </c>
      <c r="I3160" s="2">
        <v>2.9120050022351E13</v>
      </c>
      <c r="J3160" s="3">
        <v>2.0</v>
      </c>
      <c r="K3160" s="2" t="s">
        <v>12975</v>
      </c>
      <c r="L3160" s="2" t="s">
        <v>1446</v>
      </c>
      <c r="M3160" s="2" t="s">
        <v>409</v>
      </c>
      <c r="N3160" s="2" t="s">
        <v>462</v>
      </c>
      <c r="O3160" s="3"/>
      <c r="P3160" s="2" t="s">
        <v>73</v>
      </c>
      <c r="Q3160" s="3">
        <v>720.0</v>
      </c>
      <c r="R3160" s="3">
        <v>0.5</v>
      </c>
      <c r="T3160" s="2" t="s">
        <v>12156</v>
      </c>
      <c r="U3160" s="171">
        <v>2849.0</v>
      </c>
      <c r="V3160" s="172">
        <v>46091.0</v>
      </c>
      <c r="W3160" s="3">
        <v>221.0</v>
      </c>
      <c r="X3160" s="172">
        <v>46088.52094805556</v>
      </c>
      <c r="Y3160" s="172">
        <v>46087.14375768519</v>
      </c>
      <c r="Z3160" s="3">
        <v>46087.0</v>
      </c>
    </row>
    <row r="3161">
      <c r="A3161" s="3">
        <v>6.939653898499E12</v>
      </c>
      <c r="B3161" s="2" t="s">
        <v>12976</v>
      </c>
      <c r="C3161" s="2" t="s">
        <v>12977</v>
      </c>
      <c r="D3161" s="169">
        <v>46087.0</v>
      </c>
      <c r="E3161" s="173" t="s">
        <v>12978</v>
      </c>
      <c r="F3161" s="2" t="s">
        <v>12979</v>
      </c>
      <c r="G3161" s="2" t="s">
        <v>368</v>
      </c>
      <c r="H3161" s="2">
        <v>2849.0</v>
      </c>
      <c r="I3161" s="2">
        <v>2.712005002235E13</v>
      </c>
      <c r="J3161" s="3">
        <v>2.0</v>
      </c>
      <c r="K3161" s="2" t="s">
        <v>12975</v>
      </c>
      <c r="L3161" s="2" t="s">
        <v>2324</v>
      </c>
      <c r="M3161" s="2" t="s">
        <v>409</v>
      </c>
      <c r="N3161" s="2" t="s">
        <v>462</v>
      </c>
      <c r="O3161" s="3"/>
      <c r="P3161" s="2" t="s">
        <v>73</v>
      </c>
      <c r="Q3161" s="3">
        <v>720.0</v>
      </c>
      <c r="R3161" s="3">
        <v>0.5</v>
      </c>
      <c r="T3161" s="2" t="s">
        <v>12156</v>
      </c>
      <c r="U3161" s="171">
        <v>2849.0</v>
      </c>
      <c r="V3161" s="172">
        <v>46091.0</v>
      </c>
      <c r="W3161" s="3">
        <v>221.0</v>
      </c>
      <c r="X3161" s="172">
        <v>46088.749380486115</v>
      </c>
      <c r="Y3161" s="172">
        <v>46087.18540728009</v>
      </c>
      <c r="Z3161" s="3">
        <v>46087.0</v>
      </c>
    </row>
    <row r="3162">
      <c r="A3162" s="3">
        <v>6.939700003075E12</v>
      </c>
      <c r="B3162" s="2" t="s">
        <v>12980</v>
      </c>
      <c r="C3162" s="2" t="s">
        <v>12981</v>
      </c>
      <c r="D3162" s="169">
        <v>46087.0</v>
      </c>
      <c r="E3162" s="2">
        <v>3.148458661E9</v>
      </c>
      <c r="F3162" s="2" t="s">
        <v>12982</v>
      </c>
      <c r="G3162" s="2" t="s">
        <v>12983</v>
      </c>
      <c r="H3162" s="2">
        <v>3348.0</v>
      </c>
      <c r="I3162" s="2">
        <v>2.9120050022349E13</v>
      </c>
      <c r="J3162" s="3">
        <v>2.0</v>
      </c>
      <c r="K3162" s="2" t="s">
        <v>12227</v>
      </c>
      <c r="L3162" s="2" t="s">
        <v>27</v>
      </c>
      <c r="M3162" s="2" t="s">
        <v>409</v>
      </c>
      <c r="N3162" s="2" t="s">
        <v>462</v>
      </c>
      <c r="O3162" s="3"/>
      <c r="P3162" s="2" t="s">
        <v>73</v>
      </c>
      <c r="Q3162" s="3">
        <v>720.0</v>
      </c>
      <c r="R3162" s="3">
        <v>0.5</v>
      </c>
      <c r="T3162" s="2" t="s">
        <v>12069</v>
      </c>
      <c r="U3162" s="171">
        <v>3348.0</v>
      </c>
      <c r="V3162" s="172">
        <v>46094.0</v>
      </c>
      <c r="W3162" s="3">
        <v>347.0</v>
      </c>
      <c r="X3162" s="172">
        <v>46091.62438217593</v>
      </c>
      <c r="Y3162" s="172">
        <v>46087.227125694444</v>
      </c>
      <c r="Z3162" s="3">
        <v>46087.0</v>
      </c>
    </row>
    <row r="3163">
      <c r="A3163" s="3">
        <v>6.939700232451E12</v>
      </c>
      <c r="B3163" s="2" t="s">
        <v>12984</v>
      </c>
      <c r="C3163" s="2" t="s">
        <v>12985</v>
      </c>
      <c r="D3163" s="169">
        <v>46087.0</v>
      </c>
      <c r="E3163" s="173" t="s">
        <v>12986</v>
      </c>
      <c r="F3163" s="2" t="s">
        <v>12987</v>
      </c>
      <c r="G3163" s="2" t="s">
        <v>672</v>
      </c>
      <c r="H3163" s="2">
        <v>3348.0</v>
      </c>
      <c r="I3163" s="2">
        <v>2.5120050022348E13</v>
      </c>
      <c r="J3163" s="3">
        <v>2.0</v>
      </c>
      <c r="K3163" s="2" t="s">
        <v>12227</v>
      </c>
      <c r="L3163" s="2" t="s">
        <v>228</v>
      </c>
      <c r="M3163" s="2" t="s">
        <v>409</v>
      </c>
      <c r="N3163" s="2" t="s">
        <v>462</v>
      </c>
      <c r="O3163" s="3"/>
      <c r="P3163" s="2" t="s">
        <v>73</v>
      </c>
      <c r="Q3163" s="3">
        <v>720.0</v>
      </c>
      <c r="R3163" s="3">
        <v>0.5</v>
      </c>
      <c r="T3163" s="2" t="s">
        <v>12069</v>
      </c>
      <c r="U3163" s="171">
        <v>3348.0</v>
      </c>
      <c r="V3163" s="172">
        <v>46094.0</v>
      </c>
      <c r="W3163" s="3">
        <v>347.0</v>
      </c>
      <c r="X3163" s="172">
        <v>46093.52090015046</v>
      </c>
      <c r="Y3163" s="172">
        <v>46087.227125694444</v>
      </c>
      <c r="Z3163" s="3">
        <v>46087.0</v>
      </c>
    </row>
    <row r="3164">
      <c r="A3164" s="3">
        <v>6.939700265219E12</v>
      </c>
      <c r="B3164" s="2" t="s">
        <v>12988</v>
      </c>
      <c r="C3164" s="2" t="s">
        <v>12989</v>
      </c>
      <c r="D3164" s="169">
        <v>46087.0</v>
      </c>
      <c r="E3164" s="2">
        <v>3.104888937E9</v>
      </c>
      <c r="F3164" s="2" t="s">
        <v>12990</v>
      </c>
      <c r="G3164" s="2" t="s">
        <v>368</v>
      </c>
      <c r="H3164" s="2">
        <v>3348.0</v>
      </c>
      <c r="I3164" s="2">
        <v>2.7120050022347E13</v>
      </c>
      <c r="J3164" s="3">
        <v>2.0</v>
      </c>
      <c r="K3164" s="2" t="s">
        <v>12991</v>
      </c>
      <c r="L3164" s="2" t="s">
        <v>906</v>
      </c>
      <c r="M3164" s="2" t="s">
        <v>409</v>
      </c>
      <c r="N3164" s="2" t="s">
        <v>462</v>
      </c>
      <c r="O3164" s="3"/>
      <c r="P3164" s="2" t="s">
        <v>73</v>
      </c>
      <c r="Q3164" s="3">
        <v>720.0</v>
      </c>
      <c r="R3164" s="3">
        <v>0.5</v>
      </c>
      <c r="T3164" s="2" t="s">
        <v>12069</v>
      </c>
      <c r="U3164" s="171">
        <v>3348.0</v>
      </c>
      <c r="V3164" s="172">
        <v>46094.0</v>
      </c>
      <c r="W3164" s="3">
        <v>241.0</v>
      </c>
      <c r="X3164" s="172">
        <v>46091.541009629625</v>
      </c>
      <c r="Y3164" s="172">
        <v>46087.227125694444</v>
      </c>
      <c r="Z3164" s="3">
        <v>46087.0</v>
      </c>
    </row>
    <row r="3165">
      <c r="A3165" s="3">
        <v>6.939721498883E12</v>
      </c>
      <c r="B3165" s="2" t="s">
        <v>12992</v>
      </c>
      <c r="C3165" s="2" t="s">
        <v>12993</v>
      </c>
      <c r="D3165" s="169">
        <v>46087.0</v>
      </c>
      <c r="E3165" s="2">
        <v>3.13596408E9</v>
      </c>
      <c r="F3165" s="2" t="s">
        <v>12994</v>
      </c>
      <c r="G3165" s="2" t="s">
        <v>366</v>
      </c>
      <c r="H3165" s="2">
        <v>6998.0</v>
      </c>
      <c r="I3165" s="2">
        <v>2.3120050022346E13</v>
      </c>
      <c r="J3165" s="3">
        <v>3.0</v>
      </c>
      <c r="K3165" s="2" t="s">
        <v>12995</v>
      </c>
      <c r="L3165" s="2" t="s">
        <v>12996</v>
      </c>
      <c r="M3165" s="2" t="s">
        <v>409</v>
      </c>
      <c r="N3165" s="2" t="s">
        <v>462</v>
      </c>
      <c r="O3165" s="3"/>
      <c r="P3165" s="2" t="s">
        <v>73</v>
      </c>
      <c r="Q3165" s="3">
        <v>2320.0</v>
      </c>
      <c r="R3165" s="3">
        <v>0.5</v>
      </c>
      <c r="T3165" s="2" t="s">
        <v>12156</v>
      </c>
      <c r="U3165" s="171">
        <v>6998.0</v>
      </c>
      <c r="V3165" s="172">
        <v>46091.0</v>
      </c>
      <c r="W3165" s="3">
        <v>500.0</v>
      </c>
      <c r="X3165" s="172">
        <v>46089.749495462966</v>
      </c>
      <c r="Y3165" s="172">
        <v>46087.227125694444</v>
      </c>
      <c r="Z3165" s="3">
        <v>46087.0</v>
      </c>
    </row>
    <row r="3166">
      <c r="A3166" s="3">
        <v>6.939741815043E12</v>
      </c>
      <c r="B3166" s="2" t="s">
        <v>12997</v>
      </c>
      <c r="C3166" s="2" t="s">
        <v>1431</v>
      </c>
      <c r="D3166" s="169">
        <v>46087.0</v>
      </c>
      <c r="E3166" s="173" t="s">
        <v>12998</v>
      </c>
      <c r="F3166" s="2" t="s">
        <v>12999</v>
      </c>
      <c r="G3166" s="2" t="s">
        <v>368</v>
      </c>
      <c r="H3166" s="2">
        <v>249.0</v>
      </c>
      <c r="I3166" s="2">
        <v>2.2120050022345E13</v>
      </c>
      <c r="J3166" s="3">
        <v>0.0</v>
      </c>
      <c r="K3166" s="2" t="s">
        <v>13000</v>
      </c>
      <c r="L3166" s="2"/>
      <c r="M3166" s="2" t="s">
        <v>409</v>
      </c>
      <c r="N3166" s="2" t="s">
        <v>462</v>
      </c>
      <c r="O3166" s="3"/>
      <c r="P3166" s="2" t="s">
        <v>73</v>
      </c>
      <c r="Q3166" s="3">
        <v>0.0</v>
      </c>
      <c r="R3166" s="3">
        <v>0.5</v>
      </c>
      <c r="T3166" s="2" t="s">
        <v>12069</v>
      </c>
      <c r="U3166" s="171">
        <v>249.0</v>
      </c>
      <c r="V3166" s="172">
        <v>46094.0</v>
      </c>
      <c r="W3166" s="3">
        <v>241.0</v>
      </c>
      <c r="X3166" s="172">
        <v>46091.66602502315</v>
      </c>
      <c r="Y3166" s="172">
        <v>46087.26880298612</v>
      </c>
      <c r="Z3166" s="3">
        <v>46087.0</v>
      </c>
    </row>
    <row r="3167">
      <c r="A3167" s="3">
        <v>6.939879375107E12</v>
      </c>
      <c r="B3167" s="2" t="s">
        <v>13001</v>
      </c>
      <c r="C3167" s="2" t="s">
        <v>13002</v>
      </c>
      <c r="D3167" s="169">
        <v>46087.0</v>
      </c>
      <c r="E3167" s="2">
        <v>3.024778663E9</v>
      </c>
      <c r="F3167" s="2" t="s">
        <v>13003</v>
      </c>
      <c r="G3167" s="2" t="s">
        <v>850</v>
      </c>
      <c r="H3167" s="2">
        <v>249.0</v>
      </c>
      <c r="I3167" s="2">
        <v>2.5120050022339E13</v>
      </c>
      <c r="J3167" s="3">
        <v>0.0</v>
      </c>
      <c r="K3167" s="2" t="s">
        <v>13004</v>
      </c>
      <c r="L3167" s="2"/>
      <c r="M3167" s="170" t="s">
        <v>455</v>
      </c>
      <c r="N3167" s="2" t="s">
        <v>406</v>
      </c>
      <c r="O3167" s="3"/>
      <c r="P3167" s="2" t="s">
        <v>73</v>
      </c>
      <c r="Q3167" s="3">
        <v>0.0</v>
      </c>
      <c r="R3167" s="3">
        <v>0.5</v>
      </c>
      <c r="U3167" s="141"/>
      <c r="W3167" s="3">
        <v>200.0</v>
      </c>
      <c r="X3167" s="172">
        <v>46095.77091021991</v>
      </c>
      <c r="Y3167" s="172">
        <v>46087.35211709491</v>
      </c>
      <c r="Z3167" s="3">
        <v>46087.0</v>
      </c>
    </row>
    <row r="3168">
      <c r="A3168" s="3">
        <v>6.939889074435E12</v>
      </c>
      <c r="B3168" s="2" t="s">
        <v>13005</v>
      </c>
      <c r="C3168" s="2" t="s">
        <v>13006</v>
      </c>
      <c r="D3168" s="169">
        <v>46087.0</v>
      </c>
      <c r="E3168" s="2">
        <v>3.488431505E9</v>
      </c>
      <c r="F3168" s="2" t="s">
        <v>13007</v>
      </c>
      <c r="G3168" s="2" t="s">
        <v>1180</v>
      </c>
      <c r="H3168" s="2">
        <v>3348.0</v>
      </c>
      <c r="I3168" s="2">
        <v>2.9120050022338E13</v>
      </c>
      <c r="J3168" s="3">
        <v>2.0</v>
      </c>
      <c r="K3168" s="2" t="s">
        <v>12223</v>
      </c>
      <c r="L3168" s="2" t="s">
        <v>50</v>
      </c>
      <c r="M3168" s="2" t="s">
        <v>409</v>
      </c>
      <c r="N3168" s="2" t="s">
        <v>462</v>
      </c>
      <c r="O3168" s="3"/>
      <c r="P3168" s="2" t="s">
        <v>73</v>
      </c>
      <c r="Q3168" s="3">
        <v>720.0</v>
      </c>
      <c r="R3168" s="3">
        <v>0.5</v>
      </c>
      <c r="T3168" s="2" t="s">
        <v>11534</v>
      </c>
      <c r="U3168" s="171">
        <v>3348.0</v>
      </c>
      <c r="V3168" s="172">
        <v>46097.0</v>
      </c>
      <c r="W3168" s="3">
        <v>347.0</v>
      </c>
      <c r="X3168" s="172">
        <v>46094.707717199075</v>
      </c>
      <c r="Y3168" s="172">
        <v>46087.35211709491</v>
      </c>
      <c r="Z3168" s="3">
        <v>46087.0</v>
      </c>
    </row>
    <row r="3169">
      <c r="A3169" s="3">
        <v>6.939955298563E12</v>
      </c>
      <c r="B3169" s="2" t="s">
        <v>13008</v>
      </c>
      <c r="C3169" s="2" t="s">
        <v>13009</v>
      </c>
      <c r="D3169" s="169">
        <v>46087.0</v>
      </c>
      <c r="E3169" s="2">
        <v>3.219473899E9</v>
      </c>
      <c r="F3169" s="2" t="s">
        <v>13010</v>
      </c>
      <c r="G3169" s="2" t="s">
        <v>368</v>
      </c>
      <c r="H3169" s="2">
        <v>1899.0</v>
      </c>
      <c r="I3169" s="2">
        <v>2.4120050022337E13</v>
      </c>
      <c r="J3169" s="3">
        <v>1.0</v>
      </c>
      <c r="K3169" s="2" t="s">
        <v>13011</v>
      </c>
      <c r="L3169" s="2" t="s">
        <v>13012</v>
      </c>
      <c r="M3169" s="2" t="s">
        <v>409</v>
      </c>
      <c r="N3169" s="2" t="s">
        <v>462</v>
      </c>
      <c r="O3169" s="3"/>
      <c r="P3169" s="2" t="s">
        <v>73</v>
      </c>
      <c r="Q3169" s="3">
        <v>550.0</v>
      </c>
      <c r="R3169" s="3">
        <v>0.5</v>
      </c>
      <c r="T3169" s="2" t="s">
        <v>12156</v>
      </c>
      <c r="U3169" s="171">
        <v>1899.0</v>
      </c>
      <c r="V3169" s="172">
        <v>46091.0</v>
      </c>
      <c r="W3169" s="3">
        <v>183.0</v>
      </c>
      <c r="X3169" s="172">
        <v>46089.66610054398</v>
      </c>
      <c r="Y3169" s="172">
        <v>46087.393745231486</v>
      </c>
      <c r="Z3169" s="3">
        <v>46087.0</v>
      </c>
    </row>
    <row r="3170">
      <c r="A3170" s="3">
        <v>6.939975647491E12</v>
      </c>
      <c r="B3170" s="2" t="s">
        <v>13013</v>
      </c>
      <c r="C3170" s="2" t="s">
        <v>13014</v>
      </c>
      <c r="D3170" s="169">
        <v>46087.0</v>
      </c>
      <c r="E3170" s="2">
        <v>3.009685322E9</v>
      </c>
      <c r="F3170" s="2" t="s">
        <v>13015</v>
      </c>
      <c r="G3170" s="2" t="s">
        <v>1016</v>
      </c>
      <c r="H3170" s="2">
        <v>249.0</v>
      </c>
      <c r="I3170" s="2">
        <v>2.7120050022336E13</v>
      </c>
      <c r="J3170" s="3">
        <v>0.0</v>
      </c>
      <c r="K3170" s="2" t="s">
        <v>13016</v>
      </c>
      <c r="L3170" s="2"/>
      <c r="M3170" s="170" t="s">
        <v>455</v>
      </c>
      <c r="N3170" s="2" t="s">
        <v>406</v>
      </c>
      <c r="O3170" s="3"/>
      <c r="P3170" s="2" t="s">
        <v>73</v>
      </c>
      <c r="Q3170" s="3">
        <v>0.0</v>
      </c>
      <c r="R3170" s="3">
        <v>0.5</v>
      </c>
      <c r="U3170" s="141"/>
      <c r="W3170" s="3">
        <v>200.0</v>
      </c>
      <c r="X3170" s="172">
        <v>46097.8743524537</v>
      </c>
      <c r="Y3170" s="172">
        <v>46087.435441608795</v>
      </c>
      <c r="Z3170" s="3">
        <v>46087.0</v>
      </c>
    </row>
    <row r="3171">
      <c r="A3171" s="3">
        <v>6.939979743491E12</v>
      </c>
      <c r="B3171" s="2" t="s">
        <v>13017</v>
      </c>
      <c r="C3171" s="2" t="s">
        <v>13018</v>
      </c>
      <c r="D3171" s="169">
        <v>46087.0</v>
      </c>
      <c r="E3171" s="2">
        <v>3.45172574E9</v>
      </c>
      <c r="F3171" s="2" t="s">
        <v>13019</v>
      </c>
      <c r="G3171" s="2" t="s">
        <v>1055</v>
      </c>
      <c r="H3171" s="2">
        <v>249.0</v>
      </c>
      <c r="I3171" s="2">
        <v>2.2120050022326E13</v>
      </c>
      <c r="J3171" s="3">
        <v>0.0</v>
      </c>
      <c r="K3171" s="2" t="s">
        <v>13020</v>
      </c>
      <c r="L3171" s="2"/>
      <c r="M3171" s="170" t="s">
        <v>455</v>
      </c>
      <c r="N3171" s="2" t="s">
        <v>406</v>
      </c>
      <c r="O3171" s="3"/>
      <c r="P3171" s="2" t="s">
        <v>73</v>
      </c>
      <c r="Q3171" s="3">
        <v>0.0</v>
      </c>
      <c r="R3171" s="3">
        <v>0.5</v>
      </c>
      <c r="U3171" s="141"/>
      <c r="W3171" s="3">
        <v>200.0</v>
      </c>
      <c r="X3171" s="172">
        <v>46099.74940141204</v>
      </c>
      <c r="Y3171" s="172">
        <v>46087.435441608795</v>
      </c>
      <c r="Z3171" s="3">
        <v>46087.0</v>
      </c>
    </row>
    <row r="3172">
      <c r="A3172" s="3">
        <v>6.939991671043E12</v>
      </c>
      <c r="B3172" s="2" t="s">
        <v>13021</v>
      </c>
      <c r="C3172" s="2" t="s">
        <v>13022</v>
      </c>
      <c r="D3172" s="169">
        <v>46087.0</v>
      </c>
      <c r="E3172" s="2">
        <v>3.43437432E9</v>
      </c>
      <c r="F3172" s="2" t="s">
        <v>13023</v>
      </c>
      <c r="G3172" s="2" t="s">
        <v>368</v>
      </c>
      <c r="H3172" s="2">
        <v>2849.0</v>
      </c>
      <c r="I3172" s="2">
        <v>2.3120050022335E13</v>
      </c>
      <c r="J3172" s="3">
        <v>2.0</v>
      </c>
      <c r="K3172" s="2" t="s">
        <v>12975</v>
      </c>
      <c r="L3172" s="2" t="s">
        <v>2906</v>
      </c>
      <c r="M3172" s="2" t="s">
        <v>409</v>
      </c>
      <c r="N3172" s="2" t="s">
        <v>462</v>
      </c>
      <c r="O3172" s="3"/>
      <c r="P3172" s="2" t="s">
        <v>73</v>
      </c>
      <c r="Q3172" s="3">
        <v>800.0</v>
      </c>
      <c r="R3172" s="3">
        <v>0.5</v>
      </c>
      <c r="T3172" s="2" t="s">
        <v>12156</v>
      </c>
      <c r="U3172" s="171">
        <v>2849.0</v>
      </c>
      <c r="V3172" s="172">
        <v>46091.0</v>
      </c>
      <c r="W3172" s="3">
        <v>221.0</v>
      </c>
      <c r="X3172" s="172">
        <v>46089.666100856484</v>
      </c>
      <c r="Y3172" s="172">
        <v>46087.435441608795</v>
      </c>
      <c r="Z3172" s="3">
        <v>46087.0</v>
      </c>
    </row>
    <row r="3173">
      <c r="A3173" s="3">
        <v>6.940027584771E12</v>
      </c>
      <c r="B3173" s="2" t="s">
        <v>13024</v>
      </c>
      <c r="C3173" s="2" t="s">
        <v>13025</v>
      </c>
      <c r="D3173" s="169">
        <v>46087.0</v>
      </c>
      <c r="E3173" s="2">
        <v>3.205887127E9</v>
      </c>
      <c r="F3173" s="2" t="s">
        <v>13026</v>
      </c>
      <c r="G3173" s="2" t="s">
        <v>9007</v>
      </c>
      <c r="H3173" s="2">
        <v>249.0</v>
      </c>
      <c r="I3173" s="2">
        <v>1.7301162032E11</v>
      </c>
      <c r="J3173" s="3">
        <v>0.0</v>
      </c>
      <c r="K3173" s="2" t="s">
        <v>13027</v>
      </c>
      <c r="L3173" s="2"/>
      <c r="M3173" s="170" t="s">
        <v>455</v>
      </c>
      <c r="N3173" s="2" t="s">
        <v>406</v>
      </c>
      <c r="O3173" s="3"/>
      <c r="P3173" s="2" t="s">
        <v>501</v>
      </c>
      <c r="Q3173" s="3">
        <v>0.0</v>
      </c>
      <c r="R3173" s="3">
        <v>0.5</v>
      </c>
      <c r="U3173" s="141"/>
      <c r="X3173" s="172">
        <v>46122.08279935185</v>
      </c>
      <c r="Y3173" s="172">
        <v>46087.47710822917</v>
      </c>
      <c r="Z3173" s="3">
        <v>46087.0</v>
      </c>
    </row>
    <row r="3174">
      <c r="A3174" s="3">
        <v>6.940099182851E12</v>
      </c>
      <c r="B3174" s="2" t="s">
        <v>13028</v>
      </c>
      <c r="C3174" s="2" t="s">
        <v>13029</v>
      </c>
      <c r="D3174" s="169">
        <v>46087.0</v>
      </c>
      <c r="E3174" s="2">
        <v>3.216604614E9</v>
      </c>
      <c r="F3174" s="2" t="s">
        <v>13030</v>
      </c>
      <c r="G3174" s="2" t="s">
        <v>368</v>
      </c>
      <c r="H3174" s="2">
        <v>5300.0</v>
      </c>
      <c r="I3174" s="2">
        <v>2.3120050022325E13</v>
      </c>
      <c r="J3174" s="3">
        <v>3.0</v>
      </c>
      <c r="K3174" s="2" t="s">
        <v>13031</v>
      </c>
      <c r="L3174" s="2" t="s">
        <v>13032</v>
      </c>
      <c r="M3174" s="2" t="s">
        <v>409</v>
      </c>
      <c r="N3174" s="2" t="s">
        <v>462</v>
      </c>
      <c r="O3174" s="3"/>
      <c r="P3174" s="2" t="s">
        <v>73</v>
      </c>
      <c r="Q3174" s="3">
        <v>1760.0</v>
      </c>
      <c r="R3174" s="3">
        <v>0.5</v>
      </c>
      <c r="T3174" s="2" t="s">
        <v>12069</v>
      </c>
      <c r="U3174" s="171">
        <v>5300.0</v>
      </c>
      <c r="V3174" s="172">
        <v>46094.0</v>
      </c>
      <c r="W3174" s="3">
        <v>332.0</v>
      </c>
      <c r="X3174" s="172">
        <v>46092.87457774306</v>
      </c>
      <c r="Y3174" s="172">
        <v>46087.51875471065</v>
      </c>
      <c r="Z3174" s="3">
        <v>46087.0</v>
      </c>
    </row>
    <row r="3175">
      <c r="A3175" s="3">
        <v>6.940105670915E12</v>
      </c>
      <c r="B3175" s="2" t="s">
        <v>13033</v>
      </c>
      <c r="C3175" s="2" t="s">
        <v>5193</v>
      </c>
      <c r="D3175" s="169">
        <v>46087.0</v>
      </c>
      <c r="E3175" s="2">
        <v>3.200889005E9</v>
      </c>
      <c r="F3175" s="2" t="s">
        <v>13034</v>
      </c>
      <c r="G3175" s="2" t="s">
        <v>368</v>
      </c>
      <c r="H3175" s="2">
        <v>249.0</v>
      </c>
      <c r="I3175" s="2">
        <v>2.0120050022334E13</v>
      </c>
      <c r="J3175" s="3">
        <v>0.0</v>
      </c>
      <c r="K3175" s="2" t="s">
        <v>12346</v>
      </c>
      <c r="L3175" s="2"/>
      <c r="M3175" s="2" t="s">
        <v>409</v>
      </c>
      <c r="N3175" s="2" t="s">
        <v>406</v>
      </c>
      <c r="O3175" s="3"/>
      <c r="P3175" s="2" t="s">
        <v>73</v>
      </c>
      <c r="Q3175" s="3">
        <v>0.0</v>
      </c>
      <c r="R3175" s="3">
        <v>0.5</v>
      </c>
      <c r="T3175" s="2" t="s">
        <v>12156</v>
      </c>
      <c r="U3175" s="171">
        <v>249.0</v>
      </c>
      <c r="V3175" s="172">
        <v>46091.0</v>
      </c>
      <c r="W3175" s="3">
        <v>217.0</v>
      </c>
      <c r="X3175" s="172">
        <v>46088.83272528935</v>
      </c>
      <c r="Y3175" s="172">
        <v>46087.51875471065</v>
      </c>
      <c r="Z3175" s="3">
        <v>46087.0</v>
      </c>
    </row>
    <row r="3176">
      <c r="A3176" s="3">
        <v>6.940112584963E12</v>
      </c>
      <c r="B3176" s="2" t="s">
        <v>13035</v>
      </c>
      <c r="C3176" s="2" t="s">
        <v>235</v>
      </c>
      <c r="D3176" s="169">
        <v>46087.0</v>
      </c>
      <c r="E3176" s="2">
        <v>3.214441388E9</v>
      </c>
      <c r="F3176" s="2" t="s">
        <v>13036</v>
      </c>
      <c r="G3176" s="2" t="s">
        <v>1619</v>
      </c>
      <c r="H3176" s="2">
        <v>3348.0</v>
      </c>
      <c r="I3176" s="2">
        <v>2.8120050022333E13</v>
      </c>
      <c r="J3176" s="3">
        <v>2.0</v>
      </c>
      <c r="K3176" s="2" t="s">
        <v>13037</v>
      </c>
      <c r="L3176" s="2" t="s">
        <v>27</v>
      </c>
      <c r="M3176" s="2" t="s">
        <v>409</v>
      </c>
      <c r="N3176" s="2" t="s">
        <v>462</v>
      </c>
      <c r="O3176" s="3"/>
      <c r="P3176" s="2" t="s">
        <v>73</v>
      </c>
      <c r="Q3176" s="3">
        <v>720.0</v>
      </c>
      <c r="R3176" s="3">
        <v>0.5</v>
      </c>
      <c r="T3176" s="2" t="s">
        <v>12156</v>
      </c>
      <c r="U3176" s="171">
        <v>3348.0</v>
      </c>
      <c r="V3176" s="172">
        <v>46091.0</v>
      </c>
      <c r="W3176" s="3">
        <v>241.0</v>
      </c>
      <c r="X3176" s="172">
        <v>46089.62441618055</v>
      </c>
      <c r="Y3176" s="172">
        <v>46087.51875471065</v>
      </c>
      <c r="Z3176" s="3">
        <v>46087.0</v>
      </c>
    </row>
    <row r="3177">
      <c r="A3177" s="3">
        <v>6.940123070723E12</v>
      </c>
      <c r="B3177" s="2" t="s">
        <v>13038</v>
      </c>
      <c r="C3177" s="2" t="s">
        <v>12120</v>
      </c>
      <c r="D3177" s="169">
        <v>46087.0</v>
      </c>
      <c r="E3177" s="2">
        <v>3.46244244E9</v>
      </c>
      <c r="F3177" s="2" t="s">
        <v>12121</v>
      </c>
      <c r="G3177" s="2" t="s">
        <v>4591</v>
      </c>
      <c r="H3177" s="2">
        <v>3347.0</v>
      </c>
      <c r="I3177" s="2">
        <v>2.3120050022328E13</v>
      </c>
      <c r="J3177" s="3">
        <v>2.0</v>
      </c>
      <c r="K3177" s="2" t="s">
        <v>13039</v>
      </c>
      <c r="L3177" s="2" t="s">
        <v>40</v>
      </c>
      <c r="M3177" s="2" t="s">
        <v>409</v>
      </c>
      <c r="N3177" s="2" t="s">
        <v>462</v>
      </c>
      <c r="O3177" s="3"/>
      <c r="P3177" s="2" t="s">
        <v>73</v>
      </c>
      <c r="Q3177" s="3">
        <v>720.0</v>
      </c>
      <c r="R3177" s="3">
        <v>0.5</v>
      </c>
      <c r="T3177" s="2" t="s">
        <v>12069</v>
      </c>
      <c r="U3177" s="171">
        <v>3347.0</v>
      </c>
      <c r="V3177" s="172">
        <v>46094.0</v>
      </c>
      <c r="W3177" s="3">
        <v>223.0</v>
      </c>
      <c r="X3177" s="172">
        <v>46092.6243468287</v>
      </c>
      <c r="Y3177" s="172">
        <v>46087.535297916664</v>
      </c>
      <c r="Z3177" s="3">
        <v>46087.0</v>
      </c>
    </row>
    <row r="3178">
      <c r="A3178" s="3">
        <v>6.940126314755E12</v>
      </c>
      <c r="B3178" s="2" t="s">
        <v>13040</v>
      </c>
      <c r="C3178" s="2" t="s">
        <v>5310</v>
      </c>
      <c r="D3178" s="169">
        <v>46087.0</v>
      </c>
      <c r="E3178" s="173" t="s">
        <v>13041</v>
      </c>
      <c r="F3178" s="2" t="s">
        <v>13042</v>
      </c>
      <c r="G3178" s="2" t="s">
        <v>5313</v>
      </c>
      <c r="H3178" s="2">
        <v>2749.0</v>
      </c>
      <c r="I3178" s="2">
        <v>2.2120050022332E13</v>
      </c>
      <c r="J3178" s="3">
        <v>1.0</v>
      </c>
      <c r="K3178" s="2" t="s">
        <v>13043</v>
      </c>
      <c r="L3178" s="2" t="s">
        <v>13044</v>
      </c>
      <c r="M3178" s="2" t="s">
        <v>409</v>
      </c>
      <c r="N3178" s="2" t="s">
        <v>462</v>
      </c>
      <c r="O3178" s="3"/>
      <c r="P3178" s="2" t="s">
        <v>73</v>
      </c>
      <c r="Q3178" s="3">
        <v>1400.0</v>
      </c>
      <c r="R3178" s="3">
        <v>0.5</v>
      </c>
      <c r="T3178" s="2" t="s">
        <v>12156</v>
      </c>
      <c r="U3178" s="171">
        <v>2749.0</v>
      </c>
      <c r="V3178" s="172">
        <v>46091.0</v>
      </c>
      <c r="W3178" s="3">
        <v>310.0</v>
      </c>
      <c r="X3178" s="172">
        <v>46089.70770914352</v>
      </c>
      <c r="Y3178" s="172">
        <v>46087.535297916664</v>
      </c>
      <c r="Z3178" s="3">
        <v>46087.0</v>
      </c>
    </row>
    <row r="3179">
      <c r="A3179" s="3">
        <v>6.940130607363E12</v>
      </c>
      <c r="B3179" s="2" t="s">
        <v>13045</v>
      </c>
      <c r="C3179" s="2" t="s">
        <v>13046</v>
      </c>
      <c r="D3179" s="169">
        <v>46087.0</v>
      </c>
      <c r="E3179" s="173" t="s">
        <v>13047</v>
      </c>
      <c r="F3179" s="2" t="s">
        <v>13048</v>
      </c>
      <c r="G3179" s="2" t="s">
        <v>1619</v>
      </c>
      <c r="H3179" s="2">
        <v>4525.0</v>
      </c>
      <c r="I3179" s="2">
        <v>2.0120050022331E13</v>
      </c>
      <c r="J3179" s="3">
        <v>3.0</v>
      </c>
      <c r="K3179" s="2" t="s">
        <v>13049</v>
      </c>
      <c r="L3179" s="2" t="s">
        <v>13050</v>
      </c>
      <c r="M3179" s="2" t="s">
        <v>409</v>
      </c>
      <c r="N3179" s="2" t="s">
        <v>462</v>
      </c>
      <c r="O3179" s="3"/>
      <c r="P3179" s="2" t="s">
        <v>73</v>
      </c>
      <c r="Q3179" s="3">
        <v>1200.0</v>
      </c>
      <c r="R3179" s="3">
        <v>0.5</v>
      </c>
      <c r="T3179" s="2" t="s">
        <v>12156</v>
      </c>
      <c r="U3179" s="171">
        <v>4525.0</v>
      </c>
      <c r="V3179" s="172">
        <v>46091.0</v>
      </c>
      <c r="W3179" s="3">
        <v>288.0</v>
      </c>
      <c r="X3179" s="172">
        <v>46088.62441326389</v>
      </c>
      <c r="Y3179" s="172">
        <v>46087.535297916664</v>
      </c>
      <c r="Z3179" s="3">
        <v>46087.0</v>
      </c>
    </row>
    <row r="3180">
      <c r="A3180" s="3">
        <v>6.940141551875E12</v>
      </c>
      <c r="B3180" s="2" t="s">
        <v>13051</v>
      </c>
      <c r="C3180" s="2" t="s">
        <v>11823</v>
      </c>
      <c r="D3180" s="169">
        <v>46087.0</v>
      </c>
      <c r="E3180" s="2">
        <v>3.007850066E9</v>
      </c>
      <c r="F3180" s="2" t="s">
        <v>11824</v>
      </c>
      <c r="G3180" s="2" t="s">
        <v>9768</v>
      </c>
      <c r="H3180" s="2">
        <v>3100.0</v>
      </c>
      <c r="I3180" s="2">
        <v>2.7120050022327E13</v>
      </c>
      <c r="J3180" s="3">
        <v>2.0</v>
      </c>
      <c r="K3180" s="2" t="s">
        <v>13052</v>
      </c>
      <c r="L3180" s="2" t="s">
        <v>50</v>
      </c>
      <c r="M3180" s="2" t="s">
        <v>409</v>
      </c>
      <c r="N3180" s="2" t="s">
        <v>462</v>
      </c>
      <c r="O3180" s="3"/>
      <c r="P3180" s="2" t="s">
        <v>73</v>
      </c>
      <c r="Q3180" s="3">
        <v>720.0</v>
      </c>
      <c r="R3180" s="3">
        <v>0.5</v>
      </c>
      <c r="T3180" s="2" t="s">
        <v>12156</v>
      </c>
      <c r="U3180" s="171">
        <v>3100.0</v>
      </c>
      <c r="V3180" s="172">
        <v>46091.0</v>
      </c>
      <c r="W3180" s="3">
        <v>210.0</v>
      </c>
      <c r="X3180" s="172">
        <v>46090.874621469906</v>
      </c>
      <c r="Y3180" s="172">
        <v>46087.5604131713</v>
      </c>
      <c r="Z3180" s="3">
        <v>46087.0</v>
      </c>
    </row>
    <row r="3181">
      <c r="A3181" s="3">
        <v>6.940164948227E12</v>
      </c>
      <c r="B3181" s="2" t="s">
        <v>13053</v>
      </c>
      <c r="C3181" s="2" t="s">
        <v>13054</v>
      </c>
      <c r="D3181" s="169">
        <v>46087.0</v>
      </c>
      <c r="E3181" s="2">
        <v>3.094402222E9</v>
      </c>
      <c r="F3181" s="2" t="s">
        <v>13055</v>
      </c>
      <c r="G3181" s="2" t="s">
        <v>368</v>
      </c>
      <c r="H3181" s="2">
        <v>0.0</v>
      </c>
      <c r="J3181" s="3">
        <v>0.0</v>
      </c>
      <c r="K3181" s="2" t="s">
        <v>13056</v>
      </c>
      <c r="L3181" s="2"/>
      <c r="M3181" s="2" t="s">
        <v>468</v>
      </c>
      <c r="N3181" s="2" t="s">
        <v>406</v>
      </c>
      <c r="O3181" s="3"/>
      <c r="Q3181" s="3">
        <v>0.0</v>
      </c>
      <c r="R3181" s="3">
        <v>0.5</v>
      </c>
      <c r="U3181" s="141"/>
      <c r="X3181" s="172"/>
      <c r="Y3181" s="172">
        <v>46087.60209825232</v>
      </c>
      <c r="Z3181" s="3">
        <v>46087.0</v>
      </c>
    </row>
    <row r="3182">
      <c r="A3182" s="3">
        <v>6.940189982979E12</v>
      </c>
      <c r="B3182" s="2" t="s">
        <v>13057</v>
      </c>
      <c r="C3182" s="2" t="s">
        <v>2072</v>
      </c>
      <c r="D3182" s="169">
        <v>46087.0</v>
      </c>
      <c r="E3182" s="173" t="s">
        <v>13058</v>
      </c>
      <c r="F3182" s="2" t="s">
        <v>13059</v>
      </c>
      <c r="G3182" s="2" t="s">
        <v>10429</v>
      </c>
      <c r="H3182" s="2">
        <v>3348.0</v>
      </c>
      <c r="I3182" s="2">
        <v>2.5120050022344E13</v>
      </c>
      <c r="J3182" s="3">
        <v>2.0</v>
      </c>
      <c r="K3182" s="2" t="s">
        <v>12227</v>
      </c>
      <c r="L3182" s="2" t="s">
        <v>40</v>
      </c>
      <c r="M3182" s="2" t="s">
        <v>409</v>
      </c>
      <c r="N3182" s="2" t="s">
        <v>462</v>
      </c>
      <c r="O3182" s="3"/>
      <c r="P3182" s="2" t="s">
        <v>73</v>
      </c>
      <c r="Q3182" s="3">
        <v>720.0</v>
      </c>
      <c r="R3182" s="3">
        <v>0.5</v>
      </c>
      <c r="T3182" s="2" t="s">
        <v>12069</v>
      </c>
      <c r="U3182" s="171">
        <v>3348.0</v>
      </c>
      <c r="V3182" s="172">
        <v>46094.0</v>
      </c>
      <c r="W3182" s="3">
        <v>334.0</v>
      </c>
      <c r="X3182" s="172">
        <v>46091.49939681713</v>
      </c>
      <c r="Y3182" s="172">
        <v>46087.60209825232</v>
      </c>
      <c r="Z3182" s="3">
        <v>46087.0</v>
      </c>
    </row>
    <row r="3183">
      <c r="A3183" s="3">
        <v>6.940190310659E12</v>
      </c>
      <c r="B3183" s="2" t="s">
        <v>13060</v>
      </c>
      <c r="C3183" s="2" t="s">
        <v>12212</v>
      </c>
      <c r="D3183" s="169">
        <v>46087.0</v>
      </c>
      <c r="E3183" s="2">
        <v>3.479696324E9</v>
      </c>
      <c r="F3183" s="2" t="s">
        <v>12213</v>
      </c>
      <c r="G3183" s="2" t="s">
        <v>12214</v>
      </c>
      <c r="H3183" s="2">
        <v>1449.0</v>
      </c>
      <c r="I3183" s="2">
        <v>2.012005002249E13</v>
      </c>
      <c r="J3183" s="3">
        <v>1.0</v>
      </c>
      <c r="K3183" s="2" t="s">
        <v>13061</v>
      </c>
      <c r="L3183" s="2" t="s">
        <v>13062</v>
      </c>
      <c r="M3183" s="2" t="s">
        <v>409</v>
      </c>
      <c r="N3183" s="2" t="s">
        <v>462</v>
      </c>
      <c r="O3183" s="3"/>
      <c r="P3183" s="2" t="s">
        <v>73</v>
      </c>
      <c r="Q3183" s="3">
        <v>550.0</v>
      </c>
      <c r="R3183" s="3">
        <v>0.5</v>
      </c>
      <c r="T3183" s="2" t="s">
        <v>12069</v>
      </c>
      <c r="U3183" s="171">
        <v>1449.0</v>
      </c>
      <c r="V3183" s="172">
        <v>46094.0</v>
      </c>
      <c r="W3183" s="3">
        <v>223.0</v>
      </c>
      <c r="X3183" s="172">
        <v>46093.62434913195</v>
      </c>
      <c r="Y3183" s="172">
        <v>46087.60209825232</v>
      </c>
      <c r="Z3183" s="3">
        <v>46087.0</v>
      </c>
    </row>
    <row r="3184">
      <c r="A3184" s="3">
        <v>6.940199584003E12</v>
      </c>
      <c r="B3184" s="2" t="s">
        <v>13063</v>
      </c>
      <c r="C3184" s="2" t="s">
        <v>13064</v>
      </c>
      <c r="D3184" s="169">
        <v>46087.0</v>
      </c>
      <c r="E3184" s="2">
        <v>3.345404465E9</v>
      </c>
      <c r="F3184" s="2" t="s">
        <v>13065</v>
      </c>
      <c r="G3184" s="2" t="s">
        <v>366</v>
      </c>
      <c r="H3184" s="2">
        <v>3348.0</v>
      </c>
      <c r="I3184" s="2">
        <v>2.6120050022402E13</v>
      </c>
      <c r="J3184" s="3">
        <v>2.0</v>
      </c>
      <c r="K3184" s="2" t="s">
        <v>12227</v>
      </c>
      <c r="L3184" s="2" t="s">
        <v>7787</v>
      </c>
      <c r="M3184" s="2" t="s">
        <v>409</v>
      </c>
      <c r="N3184" s="2" t="s">
        <v>462</v>
      </c>
      <c r="O3184" s="3"/>
      <c r="P3184" s="2" t="s">
        <v>73</v>
      </c>
      <c r="Q3184" s="3">
        <v>800.0</v>
      </c>
      <c r="R3184" s="3">
        <v>0.5</v>
      </c>
      <c r="T3184" s="2" t="s">
        <v>12069</v>
      </c>
      <c r="U3184" s="171">
        <v>3348.0</v>
      </c>
      <c r="V3184" s="172">
        <v>46094.0</v>
      </c>
      <c r="W3184" s="3">
        <v>334.0</v>
      </c>
      <c r="X3184" s="172">
        <v>46092.66605417824</v>
      </c>
      <c r="Y3184" s="172">
        <v>46087.643759513885</v>
      </c>
      <c r="Z3184" s="3">
        <v>46087.0</v>
      </c>
    </row>
    <row r="3185">
      <c r="A3185" s="3">
        <v>6.940207481091E12</v>
      </c>
      <c r="B3185" s="2" t="s">
        <v>13066</v>
      </c>
      <c r="C3185" s="2" t="s">
        <v>13067</v>
      </c>
      <c r="D3185" s="169">
        <v>46087.0</v>
      </c>
      <c r="E3185" s="2">
        <v>3.00869212E9</v>
      </c>
      <c r="F3185" s="2" t="s">
        <v>13068</v>
      </c>
      <c r="G3185" s="2" t="s">
        <v>541</v>
      </c>
      <c r="H3185" s="2">
        <v>0.0</v>
      </c>
      <c r="J3185" s="3">
        <v>0.0</v>
      </c>
      <c r="K3185" s="2" t="s">
        <v>13069</v>
      </c>
      <c r="L3185" s="2"/>
      <c r="M3185" s="2" t="s">
        <v>468</v>
      </c>
      <c r="N3185" s="2" t="s">
        <v>406</v>
      </c>
      <c r="O3185" s="3"/>
      <c r="Q3185" s="3">
        <v>0.0</v>
      </c>
      <c r="R3185" s="3">
        <v>0.5</v>
      </c>
      <c r="U3185" s="141"/>
      <c r="X3185" s="172"/>
      <c r="Y3185" s="172">
        <v>46087.643759513885</v>
      </c>
      <c r="Z3185" s="3">
        <v>46087.0</v>
      </c>
    </row>
    <row r="3186">
      <c r="A3186" s="3">
        <v>6.940218818819E12</v>
      </c>
      <c r="B3186" s="2" t="s">
        <v>13070</v>
      </c>
      <c r="C3186" s="2" t="s">
        <v>12583</v>
      </c>
      <c r="D3186" s="169">
        <v>46087.0</v>
      </c>
      <c r="E3186" s="2">
        <v>3.013194636E9</v>
      </c>
      <c r="F3186" s="2" t="s">
        <v>13071</v>
      </c>
      <c r="G3186" s="2" t="s">
        <v>541</v>
      </c>
      <c r="H3186" s="2">
        <v>3348.0</v>
      </c>
      <c r="I3186" s="2">
        <v>2.4120050022401E13</v>
      </c>
      <c r="J3186" s="3">
        <v>2.0</v>
      </c>
      <c r="K3186" s="2" t="s">
        <v>13072</v>
      </c>
      <c r="L3186" s="2" t="s">
        <v>50</v>
      </c>
      <c r="M3186" s="2" t="s">
        <v>409</v>
      </c>
      <c r="N3186" s="2" t="s">
        <v>462</v>
      </c>
      <c r="O3186" s="3"/>
      <c r="P3186" s="2" t="s">
        <v>73</v>
      </c>
      <c r="Q3186" s="3">
        <v>720.0</v>
      </c>
      <c r="R3186" s="3">
        <v>0.5</v>
      </c>
      <c r="T3186" s="2" t="s">
        <v>12177</v>
      </c>
      <c r="U3186" s="171">
        <v>3348.0</v>
      </c>
      <c r="V3186" s="172">
        <v>46105.0</v>
      </c>
      <c r="W3186" s="3">
        <v>334.0</v>
      </c>
      <c r="X3186" s="172">
        <v>46097.70770503472</v>
      </c>
      <c r="Y3186" s="172">
        <v>46087.643759513885</v>
      </c>
      <c r="Z3186" s="3">
        <v>46087.0</v>
      </c>
    </row>
    <row r="3187">
      <c r="A3187" s="3">
        <v>6.940253913347E12</v>
      </c>
      <c r="B3187" s="2" t="s">
        <v>13073</v>
      </c>
      <c r="C3187" s="2" t="s">
        <v>13074</v>
      </c>
      <c r="D3187" s="169">
        <v>46087.0</v>
      </c>
      <c r="E3187" s="2">
        <v>3.197915307E9</v>
      </c>
      <c r="F3187" s="2" t="s">
        <v>13075</v>
      </c>
      <c r="G3187" s="2" t="s">
        <v>13076</v>
      </c>
      <c r="H3187" s="2">
        <v>0.0</v>
      </c>
      <c r="J3187" s="3">
        <v>0.0</v>
      </c>
      <c r="K3187" s="2" t="s">
        <v>7954</v>
      </c>
      <c r="L3187" s="2"/>
      <c r="M3187" s="2" t="s">
        <v>468</v>
      </c>
      <c r="N3187" s="2" t="s">
        <v>406</v>
      </c>
      <c r="O3187" s="3"/>
      <c r="Q3187" s="3">
        <v>0.0</v>
      </c>
      <c r="R3187" s="3">
        <v>0.5</v>
      </c>
      <c r="U3187" s="141"/>
      <c r="X3187" s="172"/>
      <c r="Y3187" s="172">
        <v>46087.685419745365</v>
      </c>
      <c r="Z3187" s="3">
        <v>46087.0</v>
      </c>
    </row>
    <row r="3188">
      <c r="A3188" s="3">
        <v>6.940255191299E12</v>
      </c>
      <c r="B3188" s="2" t="s">
        <v>13077</v>
      </c>
      <c r="C3188" s="2" t="s">
        <v>13074</v>
      </c>
      <c r="D3188" s="169">
        <v>46087.0</v>
      </c>
      <c r="E3188" s="173" t="s">
        <v>13078</v>
      </c>
      <c r="F3188" s="2" t="s">
        <v>13075</v>
      </c>
      <c r="G3188" s="2" t="s">
        <v>13076</v>
      </c>
      <c r="H3188" s="2">
        <v>0.0</v>
      </c>
      <c r="J3188" s="3">
        <v>0.0</v>
      </c>
      <c r="K3188" s="2" t="s">
        <v>7954</v>
      </c>
      <c r="L3188" s="2"/>
      <c r="M3188" s="2" t="s">
        <v>468</v>
      </c>
      <c r="N3188" s="2" t="s">
        <v>406</v>
      </c>
      <c r="O3188" s="3"/>
      <c r="Q3188" s="3">
        <v>0.0</v>
      </c>
      <c r="R3188" s="3">
        <v>0.5</v>
      </c>
      <c r="U3188" s="141"/>
      <c r="X3188" s="172"/>
      <c r="Y3188" s="172">
        <v>46087.685419745365</v>
      </c>
      <c r="Z3188" s="3">
        <v>46087.0</v>
      </c>
    </row>
    <row r="3189">
      <c r="A3189" s="3">
        <v>6.940256338179E12</v>
      </c>
      <c r="B3189" s="2" t="s">
        <v>13079</v>
      </c>
      <c r="C3189" s="2" t="s">
        <v>13074</v>
      </c>
      <c r="D3189" s="169">
        <v>46087.0</v>
      </c>
      <c r="E3189" s="173" t="s">
        <v>13078</v>
      </c>
      <c r="F3189" s="2" t="s">
        <v>13075</v>
      </c>
      <c r="G3189" s="2" t="s">
        <v>13076</v>
      </c>
      <c r="H3189" s="2">
        <v>8649.0</v>
      </c>
      <c r="I3189" s="2">
        <v>2.5120050022365E13</v>
      </c>
      <c r="J3189" s="3">
        <v>5.0</v>
      </c>
      <c r="K3189" s="2" t="s">
        <v>13080</v>
      </c>
      <c r="L3189" s="2" t="s">
        <v>13081</v>
      </c>
      <c r="M3189" s="2" t="s">
        <v>409</v>
      </c>
      <c r="N3189" s="2" t="s">
        <v>462</v>
      </c>
      <c r="O3189" s="3"/>
      <c r="P3189" s="2" t="s">
        <v>73</v>
      </c>
      <c r="Q3189" s="3">
        <v>3385.0</v>
      </c>
      <c r="R3189" s="3">
        <v>0.5</v>
      </c>
      <c r="T3189" s="2" t="s">
        <v>12177</v>
      </c>
      <c r="U3189" s="171">
        <v>8649.0</v>
      </c>
      <c r="V3189" s="172">
        <v>46105.0</v>
      </c>
      <c r="W3189" s="3">
        <v>666.0</v>
      </c>
      <c r="X3189" s="172">
        <v>46097.52088398148</v>
      </c>
      <c r="Y3189" s="172">
        <v>46087.685419745365</v>
      </c>
      <c r="Z3189" s="3">
        <v>46087.0</v>
      </c>
    </row>
    <row r="3190">
      <c r="A3190" s="3">
        <v>6.940261253379E12</v>
      </c>
      <c r="B3190" s="2" t="s">
        <v>13082</v>
      </c>
      <c r="C3190" s="2" t="s">
        <v>13083</v>
      </c>
      <c r="D3190" s="169">
        <v>46087.0</v>
      </c>
      <c r="E3190" s="173" t="s">
        <v>13084</v>
      </c>
      <c r="F3190" s="2" t="s">
        <v>13085</v>
      </c>
      <c r="G3190" s="2" t="s">
        <v>1044</v>
      </c>
      <c r="H3190" s="2">
        <v>3347.5</v>
      </c>
      <c r="I3190" s="2">
        <v>2.2120050022383E13</v>
      </c>
      <c r="J3190" s="3">
        <v>2.0</v>
      </c>
      <c r="K3190" s="2" t="s">
        <v>12803</v>
      </c>
      <c r="L3190" s="2" t="s">
        <v>13086</v>
      </c>
      <c r="M3190" s="2" t="s">
        <v>409</v>
      </c>
      <c r="N3190" s="2" t="s">
        <v>406</v>
      </c>
      <c r="O3190" s="3"/>
      <c r="P3190" s="2" t="s">
        <v>73</v>
      </c>
      <c r="Q3190" s="3">
        <v>800.0</v>
      </c>
      <c r="R3190" s="3">
        <v>0.5</v>
      </c>
      <c r="T3190" s="2" t="s">
        <v>12069</v>
      </c>
      <c r="U3190" s="171">
        <v>3347.5</v>
      </c>
      <c r="V3190" s="172">
        <v>46094.0</v>
      </c>
      <c r="W3190" s="3">
        <v>334.0</v>
      </c>
      <c r="X3190" s="172">
        <v>46092.70770032407</v>
      </c>
      <c r="Y3190" s="172">
        <v>46087.685419745365</v>
      </c>
      <c r="Z3190" s="3">
        <v>46087.0</v>
      </c>
    </row>
    <row r="3191">
      <c r="A3191" s="3">
        <v>6.940296708355E12</v>
      </c>
      <c r="B3191" s="2" t="s">
        <v>13087</v>
      </c>
      <c r="C3191" s="2" t="s">
        <v>13088</v>
      </c>
      <c r="D3191" s="169">
        <v>46087.0</v>
      </c>
      <c r="E3191" s="2">
        <v>3.335352044E9</v>
      </c>
      <c r="F3191" s="2" t="s">
        <v>13089</v>
      </c>
      <c r="G3191" s="2" t="s">
        <v>13090</v>
      </c>
      <c r="H3191" s="2">
        <v>2049.0</v>
      </c>
      <c r="I3191" s="2">
        <v>2.71200500224E13</v>
      </c>
      <c r="J3191" s="3">
        <v>1.0</v>
      </c>
      <c r="K3191" s="2" t="s">
        <v>13091</v>
      </c>
      <c r="L3191" s="2" t="s">
        <v>13092</v>
      </c>
      <c r="M3191" s="2" t="s">
        <v>409</v>
      </c>
      <c r="N3191" s="2" t="s">
        <v>462</v>
      </c>
      <c r="O3191" s="3"/>
      <c r="P3191" s="2" t="s">
        <v>73</v>
      </c>
      <c r="Q3191" s="3">
        <v>400.0</v>
      </c>
      <c r="R3191" s="3">
        <v>0.5</v>
      </c>
      <c r="T3191" s="2" t="s">
        <v>12069</v>
      </c>
      <c r="U3191" s="171">
        <v>2049.0</v>
      </c>
      <c r="V3191" s="172">
        <v>46094.0</v>
      </c>
      <c r="W3191" s="3">
        <v>295.0</v>
      </c>
      <c r="X3191" s="172">
        <v>46092.624346875</v>
      </c>
      <c r="Y3191" s="172">
        <v>46087.72710534722</v>
      </c>
      <c r="Z3191" s="3">
        <v>46087.0</v>
      </c>
    </row>
    <row r="3192">
      <c r="A3192" s="3">
        <v>6.940314534147E12</v>
      </c>
      <c r="B3192" s="2" t="s">
        <v>13093</v>
      </c>
      <c r="C3192" s="2" t="s">
        <v>13094</v>
      </c>
      <c r="D3192" s="169">
        <v>46087.0</v>
      </c>
      <c r="E3192" s="2">
        <v>3.20857269E9</v>
      </c>
      <c r="F3192" s="2" t="s">
        <v>13095</v>
      </c>
      <c r="G3192" s="2" t="s">
        <v>1257</v>
      </c>
      <c r="H3192" s="2">
        <v>2749.0</v>
      </c>
      <c r="I3192" s="2">
        <v>2.6120050022382E13</v>
      </c>
      <c r="J3192" s="3">
        <v>1.0</v>
      </c>
      <c r="K3192" s="2" t="s">
        <v>13096</v>
      </c>
      <c r="L3192" s="2" t="s">
        <v>542</v>
      </c>
      <c r="M3192" s="2" t="s">
        <v>409</v>
      </c>
      <c r="N3192" s="2" t="s">
        <v>406</v>
      </c>
      <c r="O3192" s="3"/>
      <c r="P3192" s="2" t="s">
        <v>73</v>
      </c>
      <c r="Q3192" s="3">
        <v>610.0</v>
      </c>
      <c r="R3192" s="3">
        <v>0.5</v>
      </c>
      <c r="U3192" s="141"/>
      <c r="X3192" s="172">
        <v>46092.49939045139</v>
      </c>
      <c r="Y3192" s="172">
        <v>46087.768836550924</v>
      </c>
      <c r="Z3192" s="3">
        <v>46087.0</v>
      </c>
    </row>
    <row r="3193">
      <c r="A3193" s="3">
        <v>6.940343140611E12</v>
      </c>
      <c r="B3193" s="2" t="s">
        <v>13097</v>
      </c>
      <c r="C3193" s="2" t="s">
        <v>13098</v>
      </c>
      <c r="D3193" s="169">
        <v>46087.0</v>
      </c>
      <c r="E3193" s="2">
        <v>3.485438722E9</v>
      </c>
      <c r="F3193" s="2" t="s">
        <v>13099</v>
      </c>
      <c r="G3193" s="2" t="s">
        <v>366</v>
      </c>
      <c r="H3193" s="2">
        <v>3348.0</v>
      </c>
      <c r="I3193" s="2">
        <v>2.2120050022399E13</v>
      </c>
      <c r="J3193" s="3">
        <v>2.0</v>
      </c>
      <c r="K3193" s="2" t="s">
        <v>13100</v>
      </c>
      <c r="L3193" s="2" t="s">
        <v>296</v>
      </c>
      <c r="M3193" s="2" t="s">
        <v>409</v>
      </c>
      <c r="N3193" s="2" t="s">
        <v>462</v>
      </c>
      <c r="O3193" s="3"/>
      <c r="P3193" s="2" t="s">
        <v>73</v>
      </c>
      <c r="Q3193" s="3">
        <v>720.0</v>
      </c>
      <c r="R3193" s="3">
        <v>0.5</v>
      </c>
      <c r="T3193" s="2" t="s">
        <v>12177</v>
      </c>
      <c r="U3193" s="171">
        <v>3348.0</v>
      </c>
      <c r="V3193" s="172">
        <v>46105.0</v>
      </c>
      <c r="W3193" s="3">
        <v>334.0</v>
      </c>
      <c r="X3193" s="172">
        <v>46099.74940215278</v>
      </c>
      <c r="Y3193" s="172">
        <v>46087.768836550924</v>
      </c>
      <c r="Z3193" s="3">
        <v>46087.0</v>
      </c>
    </row>
    <row r="3194">
      <c r="A3194" s="3">
        <v>6.940503769347E12</v>
      </c>
      <c r="B3194" s="2" t="s">
        <v>13101</v>
      </c>
      <c r="C3194" s="2" t="s">
        <v>13102</v>
      </c>
      <c r="D3194" s="169">
        <v>46087.0</v>
      </c>
      <c r="E3194" s="2">
        <v>3.024961721E9</v>
      </c>
      <c r="F3194" s="2" t="s">
        <v>13103</v>
      </c>
      <c r="G3194" s="2" t="s">
        <v>1587</v>
      </c>
      <c r="H3194" s="2">
        <v>2849.0</v>
      </c>
      <c r="I3194" s="2">
        <v>2.1120050022398E13</v>
      </c>
      <c r="J3194" s="3">
        <v>2.0</v>
      </c>
      <c r="K3194" s="2" t="s">
        <v>13104</v>
      </c>
      <c r="L3194" s="2" t="s">
        <v>4209</v>
      </c>
      <c r="M3194" s="2" t="s">
        <v>409</v>
      </c>
      <c r="N3194" s="2" t="s">
        <v>462</v>
      </c>
      <c r="O3194" s="3"/>
      <c r="P3194" s="2" t="s">
        <v>73</v>
      </c>
      <c r="Q3194" s="3">
        <v>720.0</v>
      </c>
      <c r="R3194" s="3">
        <v>0.5</v>
      </c>
      <c r="T3194" s="2" t="s">
        <v>12069</v>
      </c>
      <c r="U3194" s="171">
        <v>2849.0</v>
      </c>
      <c r="V3194" s="172">
        <v>46094.0</v>
      </c>
      <c r="W3194" s="3">
        <v>314.0</v>
      </c>
      <c r="X3194" s="172">
        <v>46091.83272831018</v>
      </c>
      <c r="Y3194" s="172">
        <v>46087.85216943287</v>
      </c>
      <c r="Z3194" s="3">
        <v>46087.0</v>
      </c>
    </row>
    <row r="3195">
      <c r="A3195" s="3">
        <v>6.940675801347E12</v>
      </c>
      <c r="B3195" s="2" t="s">
        <v>13105</v>
      </c>
      <c r="C3195" s="2" t="s">
        <v>13106</v>
      </c>
      <c r="D3195" s="169">
        <v>46087.0</v>
      </c>
      <c r="E3195" s="173" t="s">
        <v>13107</v>
      </c>
      <c r="F3195" s="2" t="s">
        <v>13108</v>
      </c>
      <c r="G3195" s="2" t="s">
        <v>366</v>
      </c>
      <c r="H3195" s="2">
        <v>3348.0</v>
      </c>
      <c r="I3195" s="2">
        <v>2.6120050022397E13</v>
      </c>
      <c r="J3195" s="3">
        <v>2.0</v>
      </c>
      <c r="K3195" s="2" t="s">
        <v>12227</v>
      </c>
      <c r="L3195" s="2" t="s">
        <v>296</v>
      </c>
      <c r="M3195" s="2" t="s">
        <v>409</v>
      </c>
      <c r="N3195" s="2" t="s">
        <v>462</v>
      </c>
      <c r="O3195" s="3"/>
      <c r="P3195" s="2" t="s">
        <v>73</v>
      </c>
      <c r="Q3195" s="3">
        <v>720.0</v>
      </c>
      <c r="R3195" s="3">
        <v>0.5</v>
      </c>
      <c r="T3195" s="2" t="s">
        <v>12069</v>
      </c>
      <c r="U3195" s="171">
        <v>3348.0</v>
      </c>
      <c r="V3195" s="172">
        <v>46094.0</v>
      </c>
      <c r="W3195" s="3">
        <v>334.0</v>
      </c>
      <c r="X3195" s="172">
        <v>46092.99942314815</v>
      </c>
      <c r="Y3195" s="172">
        <v>46087.893752118056</v>
      </c>
      <c r="Z3195" s="3">
        <v>46087.0</v>
      </c>
    </row>
    <row r="3196">
      <c r="A3196" s="3">
        <v>6.940704342275E12</v>
      </c>
      <c r="B3196" s="2" t="s">
        <v>13109</v>
      </c>
      <c r="C3196" s="2" t="s">
        <v>3414</v>
      </c>
      <c r="D3196" s="169">
        <v>46087.0</v>
      </c>
      <c r="E3196" s="2">
        <v>3.167859577E9</v>
      </c>
      <c r="F3196" s="2" t="s">
        <v>13110</v>
      </c>
      <c r="G3196" s="2" t="s">
        <v>3739</v>
      </c>
      <c r="H3196" s="2">
        <v>3348.0</v>
      </c>
      <c r="I3196" s="2">
        <v>2.7120050022396E13</v>
      </c>
      <c r="J3196" s="3">
        <v>2.0</v>
      </c>
      <c r="K3196" s="2" t="s">
        <v>12227</v>
      </c>
      <c r="L3196" s="2" t="s">
        <v>228</v>
      </c>
      <c r="M3196" s="2" t="s">
        <v>409</v>
      </c>
      <c r="N3196" s="2" t="s">
        <v>462</v>
      </c>
      <c r="O3196" s="3"/>
      <c r="P3196" s="2" t="s">
        <v>73</v>
      </c>
      <c r="Q3196" s="3">
        <v>720.0</v>
      </c>
      <c r="R3196" s="3">
        <v>0.5</v>
      </c>
      <c r="T3196" s="2" t="s">
        <v>12069</v>
      </c>
      <c r="U3196" s="171">
        <v>3348.0</v>
      </c>
      <c r="V3196" s="172">
        <v>46094.0</v>
      </c>
      <c r="W3196" s="3">
        <v>334.0</v>
      </c>
      <c r="X3196" s="172">
        <v>46092.49939172454</v>
      </c>
      <c r="Y3196" s="172">
        <v>46087.893752118056</v>
      </c>
      <c r="Z3196" s="3">
        <v>46087.0</v>
      </c>
    </row>
    <row r="3197">
      <c r="A3197" s="3">
        <v>6.940751429891E12</v>
      </c>
      <c r="B3197" s="2" t="s">
        <v>13111</v>
      </c>
      <c r="C3197" s="2" t="s">
        <v>13112</v>
      </c>
      <c r="D3197" s="169">
        <v>46087.0</v>
      </c>
      <c r="E3197" s="2">
        <v>3.702434679E9</v>
      </c>
      <c r="F3197" s="2" t="s">
        <v>13113</v>
      </c>
      <c r="G3197" s="2" t="s">
        <v>13114</v>
      </c>
      <c r="H3197" s="2">
        <v>249.0</v>
      </c>
      <c r="I3197" s="2">
        <v>2.9120050022395E13</v>
      </c>
      <c r="J3197" s="3">
        <v>0.0</v>
      </c>
      <c r="K3197" s="2" t="s">
        <v>13115</v>
      </c>
      <c r="L3197" s="2"/>
      <c r="M3197" s="170" t="s">
        <v>455</v>
      </c>
      <c r="N3197" s="2" t="s">
        <v>406</v>
      </c>
      <c r="O3197" s="3"/>
      <c r="P3197" s="2" t="s">
        <v>73</v>
      </c>
      <c r="Q3197" s="3">
        <v>0.0</v>
      </c>
      <c r="R3197" s="3">
        <v>0.5</v>
      </c>
      <c r="U3197" s="141"/>
      <c r="W3197" s="3">
        <v>213.0</v>
      </c>
      <c r="X3197" s="172">
        <v>46108.83322697917</v>
      </c>
      <c r="Y3197" s="172">
        <v>46087.935425648146</v>
      </c>
      <c r="Z3197" s="3">
        <v>46087.0</v>
      </c>
    </row>
    <row r="3198">
      <c r="A3198" s="3">
        <v>6.940768403715E12</v>
      </c>
      <c r="B3198" s="2" t="s">
        <v>13116</v>
      </c>
      <c r="C3198" s="2" t="s">
        <v>13117</v>
      </c>
      <c r="D3198" s="169">
        <v>46087.0</v>
      </c>
      <c r="E3198" s="2">
        <v>3.341047317E9</v>
      </c>
      <c r="F3198" s="2" t="s">
        <v>13118</v>
      </c>
      <c r="G3198" s="2" t="s">
        <v>368</v>
      </c>
      <c r="H3198" s="2">
        <v>2924.0</v>
      </c>
      <c r="I3198" s="2">
        <v>2.4120050022394E13</v>
      </c>
      <c r="J3198" s="3">
        <v>2.0</v>
      </c>
      <c r="K3198" s="2" t="s">
        <v>13119</v>
      </c>
      <c r="L3198" s="2" t="s">
        <v>35</v>
      </c>
      <c r="M3198" s="2" t="s">
        <v>409</v>
      </c>
      <c r="N3198" s="2" t="s">
        <v>462</v>
      </c>
      <c r="O3198" s="3"/>
      <c r="P3198" s="2" t="s">
        <v>73</v>
      </c>
      <c r="Q3198" s="3">
        <v>980.0</v>
      </c>
      <c r="R3198" s="3">
        <v>0.5</v>
      </c>
      <c r="T3198" s="2" t="s">
        <v>12069</v>
      </c>
      <c r="U3198" s="171">
        <v>2924.0</v>
      </c>
      <c r="V3198" s="172">
        <v>46094.0</v>
      </c>
      <c r="W3198" s="3">
        <v>224.0</v>
      </c>
      <c r="X3198" s="172">
        <v>46091.70776394676</v>
      </c>
      <c r="Y3198" s="172">
        <v>46087.935425648146</v>
      </c>
      <c r="Z3198" s="3">
        <v>46087.0</v>
      </c>
    </row>
    <row r="3199">
      <c r="A3199" s="3">
        <v>6.940799467779E12</v>
      </c>
      <c r="B3199" s="2" t="s">
        <v>13120</v>
      </c>
      <c r="C3199" s="2" t="s">
        <v>3811</v>
      </c>
      <c r="D3199" s="169">
        <v>46087.0</v>
      </c>
      <c r="E3199" s="2">
        <v>3.098907084E9</v>
      </c>
      <c r="F3199" s="2" t="s">
        <v>13121</v>
      </c>
      <c r="G3199" s="2" t="s">
        <v>13122</v>
      </c>
      <c r="H3199" s="2">
        <v>2849.0</v>
      </c>
      <c r="I3199" s="2">
        <v>2.3120050022429E13</v>
      </c>
      <c r="J3199" s="3">
        <v>2.0</v>
      </c>
      <c r="K3199" s="2" t="s">
        <v>13123</v>
      </c>
      <c r="L3199" s="2" t="s">
        <v>4209</v>
      </c>
      <c r="M3199" s="2" t="s">
        <v>409</v>
      </c>
      <c r="N3199" s="2" t="s">
        <v>462</v>
      </c>
      <c r="O3199" s="3"/>
      <c r="P3199" s="2" t="s">
        <v>73</v>
      </c>
      <c r="Q3199" s="3">
        <v>720.0</v>
      </c>
      <c r="R3199" s="3">
        <v>0.5</v>
      </c>
      <c r="T3199" s="2" t="s">
        <v>12069</v>
      </c>
      <c r="U3199" s="171">
        <v>2849.0</v>
      </c>
      <c r="V3199" s="172">
        <v>46094.0</v>
      </c>
      <c r="W3199" s="3">
        <v>314.0</v>
      </c>
      <c r="X3199" s="172">
        <v>46092.624346909724</v>
      </c>
      <c r="Y3199" s="172">
        <v>46087.935425648146</v>
      </c>
      <c r="Z3199" s="3">
        <v>46087.0</v>
      </c>
    </row>
    <row r="3200">
      <c r="A3200" s="3">
        <v>6.940819292419E12</v>
      </c>
      <c r="B3200" s="2" t="s">
        <v>13124</v>
      </c>
      <c r="C3200" s="2" t="s">
        <v>13125</v>
      </c>
      <c r="D3200" s="169">
        <v>46087.0</v>
      </c>
      <c r="E3200" s="2">
        <v>3.224917145E9</v>
      </c>
      <c r="F3200" s="2" t="s">
        <v>13126</v>
      </c>
      <c r="G3200" s="2" t="s">
        <v>368</v>
      </c>
      <c r="H3200" s="2">
        <v>3348.0</v>
      </c>
      <c r="I3200" s="2">
        <v>2.7120050022393E13</v>
      </c>
      <c r="J3200" s="3">
        <v>2.0</v>
      </c>
      <c r="K3200" s="2" t="s">
        <v>12227</v>
      </c>
      <c r="L3200" s="2" t="s">
        <v>13127</v>
      </c>
      <c r="M3200" s="2" t="s">
        <v>409</v>
      </c>
      <c r="N3200" s="2" t="s">
        <v>462</v>
      </c>
      <c r="O3200" s="3"/>
      <c r="P3200" s="2" t="s">
        <v>73</v>
      </c>
      <c r="Q3200" s="3">
        <v>800.0</v>
      </c>
      <c r="R3200" s="3">
        <v>0.5</v>
      </c>
      <c r="T3200" s="2" t="s">
        <v>12069</v>
      </c>
      <c r="U3200" s="171">
        <v>3348.0</v>
      </c>
      <c r="V3200" s="172">
        <v>46094.0</v>
      </c>
      <c r="W3200" s="3">
        <v>241.0</v>
      </c>
      <c r="X3200" s="172">
        <v>46091.66608516204</v>
      </c>
      <c r="Y3200" s="172">
        <v>46087.97708722222</v>
      </c>
      <c r="Z3200" s="3">
        <v>46087.0</v>
      </c>
    </row>
    <row r="3201">
      <c r="A3201" s="3">
        <v>6.940876538115E12</v>
      </c>
      <c r="B3201" s="2" t="s">
        <v>13128</v>
      </c>
      <c r="C3201" s="2" t="s">
        <v>13129</v>
      </c>
      <c r="D3201" s="169">
        <v>46087.0</v>
      </c>
      <c r="E3201" s="2">
        <v>3.012957317E9</v>
      </c>
      <c r="F3201" s="2" t="s">
        <v>13130</v>
      </c>
      <c r="G3201" s="2" t="s">
        <v>13131</v>
      </c>
      <c r="H3201" s="2">
        <v>249.0</v>
      </c>
      <c r="I3201" s="2">
        <v>1.73011620325E11</v>
      </c>
      <c r="J3201" s="3">
        <v>0.0</v>
      </c>
      <c r="K3201" s="2" t="s">
        <v>13132</v>
      </c>
      <c r="L3201" s="2"/>
      <c r="M3201" s="170" t="s">
        <v>455</v>
      </c>
      <c r="N3201" s="2" t="s">
        <v>406</v>
      </c>
      <c r="O3201" s="3"/>
      <c r="P3201" s="2" t="s">
        <v>501</v>
      </c>
      <c r="Q3201" s="3">
        <v>0.0</v>
      </c>
      <c r="R3201" s="3">
        <v>0.5</v>
      </c>
      <c r="U3201" s="141"/>
      <c r="X3201" s="172">
        <v>46122.08279936343</v>
      </c>
      <c r="Y3201" s="172">
        <v>46087.97708722222</v>
      </c>
      <c r="Z3201" s="3">
        <v>46087.0</v>
      </c>
    </row>
    <row r="3202">
      <c r="A3202" s="3">
        <v>6.940930146563E12</v>
      </c>
      <c r="B3202" s="2" t="s">
        <v>13133</v>
      </c>
      <c r="C3202" s="2" t="s">
        <v>13134</v>
      </c>
      <c r="D3202" s="169">
        <v>46087.0</v>
      </c>
      <c r="E3202" s="173" t="s">
        <v>13135</v>
      </c>
      <c r="F3202" s="2" t="s">
        <v>13136</v>
      </c>
      <c r="G3202" s="2" t="s">
        <v>366</v>
      </c>
      <c r="H3202" s="2">
        <v>0.0</v>
      </c>
      <c r="J3202" s="3">
        <v>0.0</v>
      </c>
      <c r="K3202" s="2" t="s">
        <v>13137</v>
      </c>
      <c r="L3202" s="2"/>
      <c r="M3202" s="2" t="s">
        <v>468</v>
      </c>
      <c r="N3202" s="2" t="s">
        <v>406</v>
      </c>
      <c r="O3202" s="3"/>
      <c r="Q3202" s="3">
        <v>0.0</v>
      </c>
      <c r="R3202" s="3">
        <v>0.5</v>
      </c>
      <c r="U3202" s="141"/>
      <c r="X3202" s="172"/>
      <c r="Y3202" s="172">
        <v>46088.01875876157</v>
      </c>
      <c r="Z3202" s="3">
        <v>46087.0</v>
      </c>
    </row>
    <row r="3203">
      <c r="A3203" s="3">
        <v>6.940971499779E12</v>
      </c>
      <c r="B3203" s="2" t="s">
        <v>13138</v>
      </c>
      <c r="C3203" s="2" t="s">
        <v>13139</v>
      </c>
      <c r="D3203" s="169">
        <v>46088.0</v>
      </c>
      <c r="E3203" s="2">
        <v>3.234110852E9</v>
      </c>
      <c r="F3203" s="2" t="s">
        <v>13140</v>
      </c>
      <c r="G3203" s="2" t="s">
        <v>366</v>
      </c>
      <c r="H3203" s="2">
        <v>6446.0</v>
      </c>
      <c r="I3203" s="2">
        <v>2.2120050022381E13</v>
      </c>
      <c r="J3203" s="3">
        <v>4.0</v>
      </c>
      <c r="K3203" s="2" t="s">
        <v>13141</v>
      </c>
      <c r="L3203" s="2" t="s">
        <v>13142</v>
      </c>
      <c r="M3203" s="2" t="s">
        <v>409</v>
      </c>
      <c r="N3203" s="2" t="s">
        <v>462</v>
      </c>
      <c r="O3203" s="3"/>
      <c r="P3203" s="2" t="s">
        <v>73</v>
      </c>
      <c r="Q3203" s="3">
        <v>1440.0</v>
      </c>
      <c r="R3203" s="3">
        <v>0.5</v>
      </c>
      <c r="T3203" s="2" t="s">
        <v>12069</v>
      </c>
      <c r="U3203" s="171">
        <v>6446.0</v>
      </c>
      <c r="V3203" s="172">
        <v>46094.0</v>
      </c>
      <c r="W3203" s="3">
        <v>478.0</v>
      </c>
      <c r="X3203" s="172">
        <v>46093.624350474536</v>
      </c>
      <c r="Y3203" s="172">
        <v>46088.060439340275</v>
      </c>
      <c r="Z3203" s="3">
        <v>46088.0</v>
      </c>
    </row>
    <row r="3204">
      <c r="A3204" s="3">
        <v>6.940973302019E12</v>
      </c>
      <c r="B3204" s="2" t="s">
        <v>13143</v>
      </c>
      <c r="C3204" s="2" t="s">
        <v>7313</v>
      </c>
      <c r="D3204" s="169">
        <v>46088.0</v>
      </c>
      <c r="E3204" s="2">
        <v>3.009489496E9</v>
      </c>
      <c r="F3204" s="2" t="s">
        <v>7314</v>
      </c>
      <c r="G3204" s="2" t="s">
        <v>368</v>
      </c>
      <c r="H3204" s="2">
        <v>3348.0</v>
      </c>
      <c r="I3204" s="2">
        <v>2.7120050022482E13</v>
      </c>
      <c r="J3204" s="3">
        <v>2.0</v>
      </c>
      <c r="K3204" s="2" t="s">
        <v>12227</v>
      </c>
      <c r="L3204" s="2" t="s">
        <v>296</v>
      </c>
      <c r="M3204" s="2" t="s">
        <v>409</v>
      </c>
      <c r="N3204" s="2" t="s">
        <v>462</v>
      </c>
      <c r="O3204" s="3"/>
      <c r="P3204" s="2" t="s">
        <v>73</v>
      </c>
      <c r="Q3204" s="3">
        <v>720.0</v>
      </c>
      <c r="R3204" s="3">
        <v>0.5</v>
      </c>
      <c r="T3204" s="2" t="s">
        <v>12069</v>
      </c>
      <c r="U3204" s="171">
        <v>3348.0</v>
      </c>
      <c r="V3204" s="172">
        <v>46094.0</v>
      </c>
      <c r="W3204" s="3">
        <v>241.0</v>
      </c>
      <c r="X3204" s="172">
        <v>46092.624346944445</v>
      </c>
      <c r="Y3204" s="172">
        <v>46088.060439340275</v>
      </c>
      <c r="Z3204" s="3">
        <v>46088.0</v>
      </c>
    </row>
    <row r="3205">
      <c r="A3205" s="3">
        <v>6.940976873731E12</v>
      </c>
      <c r="B3205" s="2" t="s">
        <v>13144</v>
      </c>
      <c r="C3205" s="2" t="s">
        <v>13139</v>
      </c>
      <c r="D3205" s="169">
        <v>46088.0</v>
      </c>
      <c r="E3205" s="173" t="s">
        <v>13145</v>
      </c>
      <c r="F3205" s="2" t="s">
        <v>13140</v>
      </c>
      <c r="G3205" s="2" t="s">
        <v>366</v>
      </c>
      <c r="H3205" s="2">
        <v>0.0</v>
      </c>
      <c r="J3205" s="3">
        <v>0.0</v>
      </c>
      <c r="K3205" s="2" t="s">
        <v>7954</v>
      </c>
      <c r="L3205" s="2"/>
      <c r="M3205" s="2" t="s">
        <v>468</v>
      </c>
      <c r="N3205" s="2" t="s">
        <v>406</v>
      </c>
      <c r="O3205" s="3"/>
      <c r="Q3205" s="3">
        <v>0.0</v>
      </c>
      <c r="R3205" s="3">
        <v>0.5</v>
      </c>
      <c r="U3205" s="141"/>
      <c r="X3205" s="172"/>
      <c r="Y3205" s="172">
        <v>46088.060439340275</v>
      </c>
      <c r="Z3205" s="3">
        <v>46088.0</v>
      </c>
    </row>
    <row r="3206">
      <c r="A3206" s="3">
        <v>6.941041918211E12</v>
      </c>
      <c r="B3206" s="2" t="s">
        <v>13146</v>
      </c>
      <c r="C3206" s="2" t="s">
        <v>13147</v>
      </c>
      <c r="D3206" s="169">
        <v>46088.0</v>
      </c>
      <c r="E3206" s="173" t="s">
        <v>13148</v>
      </c>
      <c r="F3206" s="2" t="s">
        <v>13149</v>
      </c>
      <c r="G3206" s="2" t="s">
        <v>493</v>
      </c>
      <c r="H3206" s="2">
        <v>2924.0</v>
      </c>
      <c r="I3206" s="2">
        <v>2.4120050022377E13</v>
      </c>
      <c r="J3206" s="3">
        <v>2.0</v>
      </c>
      <c r="K3206" s="2" t="s">
        <v>13119</v>
      </c>
      <c r="L3206" s="2" t="s">
        <v>35</v>
      </c>
      <c r="M3206" s="2" t="s">
        <v>409</v>
      </c>
      <c r="N3206" s="2" t="s">
        <v>462</v>
      </c>
      <c r="O3206" s="3"/>
      <c r="P3206" s="2" t="s">
        <v>73</v>
      </c>
      <c r="Q3206" s="3">
        <v>980.0</v>
      </c>
      <c r="R3206" s="3">
        <v>0.5</v>
      </c>
      <c r="T3206" s="2" t="s">
        <v>12069</v>
      </c>
      <c r="U3206" s="171">
        <v>2924.0</v>
      </c>
      <c r="V3206" s="172">
        <v>46094.0</v>
      </c>
      <c r="W3206" s="3">
        <v>330.0</v>
      </c>
      <c r="X3206" s="172">
        <v>46091.62445420139</v>
      </c>
      <c r="Y3206" s="172">
        <v>46088.060439340275</v>
      </c>
      <c r="Z3206" s="3">
        <v>46088.0</v>
      </c>
    </row>
    <row r="3207">
      <c r="A3207" s="3">
        <v>6.941129310467E12</v>
      </c>
      <c r="B3207" s="2" t="s">
        <v>13150</v>
      </c>
      <c r="C3207" s="2" t="s">
        <v>13151</v>
      </c>
      <c r="D3207" s="169">
        <v>46088.0</v>
      </c>
      <c r="E3207" s="2">
        <v>3.073664207E9</v>
      </c>
      <c r="F3207" s="2" t="s">
        <v>13152</v>
      </c>
      <c r="G3207" s="2" t="s">
        <v>1044</v>
      </c>
      <c r="H3207" s="2">
        <v>3348.0</v>
      </c>
      <c r="I3207" s="2">
        <v>2.7120050022376E13</v>
      </c>
      <c r="J3207" s="3">
        <v>2.0</v>
      </c>
      <c r="K3207" s="2" t="s">
        <v>12227</v>
      </c>
      <c r="L3207" s="2" t="s">
        <v>296</v>
      </c>
      <c r="M3207" s="2" t="s">
        <v>409</v>
      </c>
      <c r="N3207" s="2" t="s">
        <v>462</v>
      </c>
      <c r="O3207" s="3"/>
      <c r="P3207" s="2" t="s">
        <v>73</v>
      </c>
      <c r="Q3207" s="3">
        <v>720.0</v>
      </c>
      <c r="R3207" s="3">
        <v>0.5</v>
      </c>
      <c r="T3207" s="2" t="s">
        <v>12069</v>
      </c>
      <c r="U3207" s="171">
        <v>3348.0</v>
      </c>
      <c r="V3207" s="172">
        <v>46094.0</v>
      </c>
      <c r="W3207" s="3">
        <v>334.0</v>
      </c>
      <c r="X3207" s="172">
        <v>46093.771076840276</v>
      </c>
      <c r="Y3207" s="172">
        <v>46088.143802060185</v>
      </c>
      <c r="Z3207" s="3">
        <v>46088.0</v>
      </c>
    </row>
    <row r="3208">
      <c r="A3208" s="3">
        <v>6.941132783875E12</v>
      </c>
      <c r="B3208" s="2" t="s">
        <v>13153</v>
      </c>
      <c r="C3208" s="2" t="s">
        <v>13154</v>
      </c>
      <c r="D3208" s="169">
        <v>46088.0</v>
      </c>
      <c r="E3208" s="2">
        <v>3.362735404E9</v>
      </c>
      <c r="F3208" s="2" t="s">
        <v>13155</v>
      </c>
      <c r="G3208" s="2" t="s">
        <v>945</v>
      </c>
      <c r="H3208" s="2">
        <v>3348.0</v>
      </c>
      <c r="I3208" s="2">
        <v>2.6120050022375E13</v>
      </c>
      <c r="J3208" s="3">
        <v>2.0</v>
      </c>
      <c r="K3208" s="2" t="s">
        <v>12487</v>
      </c>
      <c r="L3208" s="2" t="s">
        <v>27</v>
      </c>
      <c r="M3208" s="2" t="s">
        <v>409</v>
      </c>
      <c r="N3208" s="2" t="s">
        <v>462</v>
      </c>
      <c r="O3208" s="3"/>
      <c r="P3208" s="2" t="s">
        <v>73</v>
      </c>
      <c r="Q3208" s="3">
        <v>720.0</v>
      </c>
      <c r="R3208" s="3">
        <v>0.5</v>
      </c>
      <c r="T3208" s="2" t="s">
        <v>12156</v>
      </c>
      <c r="U3208" s="171">
        <v>3348.0</v>
      </c>
      <c r="V3208" s="172">
        <v>46091.0</v>
      </c>
      <c r="W3208" s="3">
        <v>347.0</v>
      </c>
      <c r="X3208" s="172">
        <v>46090.54111273148</v>
      </c>
      <c r="Y3208" s="172">
        <v>46088.143802060185</v>
      </c>
      <c r="Z3208" s="3">
        <v>46088.0</v>
      </c>
    </row>
    <row r="3209">
      <c r="A3209" s="3">
        <v>6.941201006851E12</v>
      </c>
      <c r="B3209" s="2" t="s">
        <v>13156</v>
      </c>
      <c r="C3209" s="2" t="s">
        <v>11639</v>
      </c>
      <c r="D3209" s="169">
        <v>46088.0</v>
      </c>
      <c r="E3209" s="2">
        <v>9.23424830451E11</v>
      </c>
      <c r="F3209" s="2" t="s">
        <v>13157</v>
      </c>
      <c r="G3209" s="2" t="s">
        <v>13158</v>
      </c>
      <c r="H3209" s="2">
        <v>0.0</v>
      </c>
      <c r="J3209" s="3">
        <v>0.0</v>
      </c>
      <c r="K3209" s="2" t="s">
        <v>13159</v>
      </c>
      <c r="L3209" s="2"/>
      <c r="M3209" s="2" t="s">
        <v>468</v>
      </c>
      <c r="N3209" s="2" t="s">
        <v>406</v>
      </c>
      <c r="O3209" s="3"/>
      <c r="Q3209" s="3">
        <v>0.0</v>
      </c>
      <c r="R3209" s="3">
        <v>0.5</v>
      </c>
      <c r="U3209" s="141"/>
      <c r="X3209" s="172"/>
      <c r="Y3209" s="172">
        <v>46088.18542677083</v>
      </c>
      <c r="Z3209" s="3">
        <v>46088.0</v>
      </c>
    </row>
    <row r="3210">
      <c r="A3210" s="3">
        <v>6.941298131203E12</v>
      </c>
      <c r="B3210" s="2" t="s">
        <v>13160</v>
      </c>
      <c r="C3210" s="2" t="s">
        <v>13161</v>
      </c>
      <c r="D3210" s="169">
        <v>46088.0</v>
      </c>
      <c r="E3210" s="2">
        <v>3.126354123E9</v>
      </c>
      <c r="F3210" s="2" t="s">
        <v>13162</v>
      </c>
      <c r="G3210" s="2" t="s">
        <v>13163</v>
      </c>
      <c r="H3210" s="2">
        <v>249.0</v>
      </c>
      <c r="I3210" s="2" t="s">
        <v>13164</v>
      </c>
      <c r="J3210" s="3">
        <v>0.0</v>
      </c>
      <c r="K3210" s="2" t="s">
        <v>13165</v>
      </c>
      <c r="L3210" s="2"/>
      <c r="M3210" s="170" t="s">
        <v>455</v>
      </c>
      <c r="N3210" s="2" t="s">
        <v>406</v>
      </c>
      <c r="O3210" s="3"/>
      <c r="P3210" s="2" t="s">
        <v>640</v>
      </c>
      <c r="Q3210" s="3">
        <v>0.0</v>
      </c>
      <c r="R3210" s="3">
        <v>0.5</v>
      </c>
      <c r="U3210" s="141"/>
      <c r="X3210" s="172">
        <v>46122.0827587963</v>
      </c>
      <c r="Y3210" s="172">
        <v>46088.22713138889</v>
      </c>
      <c r="Z3210" s="3">
        <v>46088.0</v>
      </c>
    </row>
    <row r="3211">
      <c r="A3211" s="3">
        <v>6.941359702275E12</v>
      </c>
      <c r="B3211" s="2" t="s">
        <v>13166</v>
      </c>
      <c r="C3211" s="2" t="s">
        <v>13167</v>
      </c>
      <c r="D3211" s="169">
        <v>46088.0</v>
      </c>
      <c r="E3211" s="2">
        <v>3.2164487E9</v>
      </c>
      <c r="F3211" s="2" t="s">
        <v>13168</v>
      </c>
      <c r="G3211" s="2" t="s">
        <v>855</v>
      </c>
      <c r="H3211" s="2">
        <v>0.0</v>
      </c>
      <c r="J3211" s="3">
        <v>0.0</v>
      </c>
      <c r="K3211" s="2" t="s">
        <v>13169</v>
      </c>
      <c r="L3211" s="2"/>
      <c r="M3211" s="2" t="s">
        <v>468</v>
      </c>
      <c r="N3211" s="2" t="s">
        <v>406</v>
      </c>
      <c r="O3211" s="3"/>
      <c r="Q3211" s="3">
        <v>0.0</v>
      </c>
      <c r="R3211" s="3">
        <v>0.5</v>
      </c>
      <c r="U3211" s="141"/>
      <c r="X3211" s="172"/>
      <c r="Y3211" s="172">
        <v>46088.268750752315</v>
      </c>
      <c r="Z3211" s="3">
        <v>46088.0</v>
      </c>
    </row>
    <row r="3212">
      <c r="A3212" s="3">
        <v>6.941398532355E12</v>
      </c>
      <c r="B3212" s="2" t="s">
        <v>13170</v>
      </c>
      <c r="C3212" s="2" t="s">
        <v>13171</v>
      </c>
      <c r="D3212" s="169">
        <v>46088.0</v>
      </c>
      <c r="E3212" s="2">
        <v>3.056427666E9</v>
      </c>
      <c r="F3212" s="2" t="s">
        <v>13172</v>
      </c>
      <c r="G3212" s="2" t="s">
        <v>506</v>
      </c>
      <c r="H3212" s="2">
        <v>2849.0</v>
      </c>
      <c r="I3212" s="2">
        <v>2.3120050022374E13</v>
      </c>
      <c r="J3212" s="3">
        <v>2.0</v>
      </c>
      <c r="K3212" s="2" t="s">
        <v>13104</v>
      </c>
      <c r="L3212" s="2" t="s">
        <v>2906</v>
      </c>
      <c r="M3212" s="2" t="s">
        <v>409</v>
      </c>
      <c r="N3212" s="2" t="s">
        <v>462</v>
      </c>
      <c r="O3212" s="3"/>
      <c r="P3212" s="2" t="s">
        <v>73</v>
      </c>
      <c r="Q3212" s="3">
        <v>800.0</v>
      </c>
      <c r="R3212" s="3">
        <v>0.5</v>
      </c>
      <c r="T3212" s="2" t="s">
        <v>12069</v>
      </c>
      <c r="U3212" s="171">
        <v>2849.0</v>
      </c>
      <c r="V3212" s="172">
        <v>46094.0</v>
      </c>
      <c r="W3212" s="3">
        <v>314.0</v>
      </c>
      <c r="X3212" s="172">
        <v>46092.62440028935</v>
      </c>
      <c r="Y3212" s="172">
        <v>46088.31041653935</v>
      </c>
      <c r="Z3212" s="3">
        <v>46088.0</v>
      </c>
    </row>
    <row r="3213">
      <c r="A3213" s="3">
        <v>6.941433200899E12</v>
      </c>
      <c r="B3213" s="2" t="s">
        <v>13173</v>
      </c>
      <c r="C3213" s="2" t="s">
        <v>1892</v>
      </c>
      <c r="D3213" s="169">
        <v>46088.0</v>
      </c>
      <c r="E3213" s="2">
        <v>3.295232967E9</v>
      </c>
      <c r="F3213" s="2" t="s">
        <v>13174</v>
      </c>
      <c r="G3213" s="2" t="s">
        <v>10292</v>
      </c>
      <c r="H3213" s="2">
        <v>249.0</v>
      </c>
      <c r="I3213" s="2">
        <v>1.73011620331E11</v>
      </c>
      <c r="J3213" s="3">
        <v>0.0</v>
      </c>
      <c r="K3213" s="2" t="s">
        <v>13175</v>
      </c>
      <c r="L3213" s="2"/>
      <c r="M3213" s="170" t="s">
        <v>455</v>
      </c>
      <c r="N3213" s="2" t="s">
        <v>406</v>
      </c>
      <c r="O3213" s="3"/>
      <c r="P3213" s="2" t="s">
        <v>501</v>
      </c>
      <c r="Q3213" s="3">
        <v>0.0</v>
      </c>
      <c r="R3213" s="3">
        <v>0.5</v>
      </c>
      <c r="U3213" s="141"/>
      <c r="X3213" s="172">
        <v>46122.082799375</v>
      </c>
      <c r="Y3213" s="172">
        <v>46088.31041653935</v>
      </c>
      <c r="Z3213" s="3">
        <v>46088.0</v>
      </c>
    </row>
    <row r="3214">
      <c r="A3214" s="3">
        <v>6.941554180355E12</v>
      </c>
      <c r="B3214" s="2" t="s">
        <v>13176</v>
      </c>
      <c r="C3214" s="2" t="s">
        <v>13177</v>
      </c>
      <c r="D3214" s="169">
        <v>46088.0</v>
      </c>
      <c r="E3214" s="2">
        <v>3.120046085E9</v>
      </c>
      <c r="F3214" s="2" t="s">
        <v>13178</v>
      </c>
      <c r="G3214" s="2" t="s">
        <v>940</v>
      </c>
      <c r="H3214" s="2">
        <v>2924.0</v>
      </c>
      <c r="I3214" s="2">
        <v>2.3120050022373E13</v>
      </c>
      <c r="J3214" s="3">
        <v>2.0</v>
      </c>
      <c r="K3214" s="2" t="s">
        <v>13179</v>
      </c>
      <c r="L3214" s="2" t="s">
        <v>926</v>
      </c>
      <c r="M3214" s="2" t="s">
        <v>409</v>
      </c>
      <c r="N3214" s="2" t="s">
        <v>462</v>
      </c>
      <c r="O3214" s="3"/>
      <c r="P3214" s="2" t="s">
        <v>73</v>
      </c>
      <c r="Q3214" s="3">
        <v>980.0</v>
      </c>
      <c r="R3214" s="3">
        <v>0.5</v>
      </c>
      <c r="T3214" s="2" t="s">
        <v>11534</v>
      </c>
      <c r="U3214" s="171">
        <v>2924.0</v>
      </c>
      <c r="V3214" s="172">
        <v>46097.0</v>
      </c>
      <c r="W3214" s="3">
        <v>317.0</v>
      </c>
      <c r="X3214" s="172">
        <v>46095.58269005787</v>
      </c>
      <c r="Y3214" s="172">
        <v>46088.43543322917</v>
      </c>
      <c r="Z3214" s="3">
        <v>46088.0</v>
      </c>
    </row>
    <row r="3215">
      <c r="A3215" s="3">
        <v>6.941604053251E12</v>
      </c>
      <c r="B3215" s="2" t="s">
        <v>13180</v>
      </c>
      <c r="C3215" s="2" t="s">
        <v>13181</v>
      </c>
      <c r="D3215" s="169">
        <v>46088.0</v>
      </c>
      <c r="E3215" s="2">
        <v>3.205412006E9</v>
      </c>
      <c r="F3215" s="2" t="s">
        <v>13182</v>
      </c>
      <c r="G3215" s="2" t="s">
        <v>855</v>
      </c>
      <c r="H3215" s="2">
        <v>2849.0</v>
      </c>
      <c r="I3215" s="2">
        <v>2.7120050022372E13</v>
      </c>
      <c r="J3215" s="3">
        <v>2.0</v>
      </c>
      <c r="K3215" s="2" t="s">
        <v>12975</v>
      </c>
      <c r="L3215" s="2" t="s">
        <v>2906</v>
      </c>
      <c r="M3215" s="2" t="s">
        <v>409</v>
      </c>
      <c r="N3215" s="2" t="s">
        <v>462</v>
      </c>
      <c r="O3215" s="3"/>
      <c r="P3215" s="2" t="s">
        <v>73</v>
      </c>
      <c r="Q3215" s="3">
        <v>800.0</v>
      </c>
      <c r="R3215" s="3">
        <v>0.5</v>
      </c>
      <c r="T3215" s="2" t="s">
        <v>12156</v>
      </c>
      <c r="U3215" s="171">
        <v>2849.0</v>
      </c>
      <c r="V3215" s="172">
        <v>46091.0</v>
      </c>
      <c r="W3215" s="3">
        <v>314.0</v>
      </c>
      <c r="X3215" s="172">
        <v>46090.54111384259</v>
      </c>
      <c r="Y3215" s="172">
        <v>46088.47710068287</v>
      </c>
      <c r="Z3215" s="3">
        <v>46088.0</v>
      </c>
    </row>
    <row r="3216">
      <c r="A3216" s="3">
        <v>6.941619388675E12</v>
      </c>
      <c r="B3216" s="2" t="s">
        <v>13183</v>
      </c>
      <c r="C3216" s="2" t="s">
        <v>13184</v>
      </c>
      <c r="D3216" s="169">
        <v>46088.0</v>
      </c>
      <c r="E3216" s="2">
        <v>3.214275511E9</v>
      </c>
      <c r="F3216" s="2" t="s">
        <v>13185</v>
      </c>
      <c r="G3216" s="2" t="s">
        <v>368</v>
      </c>
      <c r="H3216" s="2">
        <v>2749.0</v>
      </c>
      <c r="I3216" s="2">
        <v>2.4120050022371E13</v>
      </c>
      <c r="J3216" s="3">
        <v>2.0</v>
      </c>
      <c r="K3216" s="2" t="s">
        <v>13186</v>
      </c>
      <c r="L3216" s="2" t="s">
        <v>13187</v>
      </c>
      <c r="M3216" s="2" t="s">
        <v>409</v>
      </c>
      <c r="N3216" s="2" t="s">
        <v>462</v>
      </c>
      <c r="O3216" s="3"/>
      <c r="P3216" s="2" t="s">
        <v>73</v>
      </c>
      <c r="Q3216" s="3">
        <v>750.0</v>
      </c>
      <c r="R3216" s="3">
        <v>0.5</v>
      </c>
      <c r="T3216" s="2" t="s">
        <v>12069</v>
      </c>
      <c r="U3216" s="171">
        <v>2749.0</v>
      </c>
      <c r="V3216" s="172">
        <v>46094.0</v>
      </c>
      <c r="W3216" s="3">
        <v>217.0</v>
      </c>
      <c r="X3216" s="172">
        <v>46092.499450034724</v>
      </c>
      <c r="Y3216" s="172">
        <v>46088.47710068287</v>
      </c>
      <c r="Z3216" s="3">
        <v>46088.0</v>
      </c>
    </row>
    <row r="3217">
      <c r="A3217" s="3">
        <v>6.941673947395E12</v>
      </c>
      <c r="B3217" s="2" t="s">
        <v>13188</v>
      </c>
      <c r="C3217" s="2" t="s">
        <v>13189</v>
      </c>
      <c r="D3217" s="169">
        <v>46088.0</v>
      </c>
      <c r="E3217" s="2">
        <v>3.008430834E9</v>
      </c>
      <c r="F3217" s="2" t="s">
        <v>13190</v>
      </c>
      <c r="G3217" s="2" t="s">
        <v>368</v>
      </c>
      <c r="H3217" s="2">
        <v>3348.0</v>
      </c>
      <c r="I3217" s="2">
        <v>2.912005002238E13</v>
      </c>
      <c r="J3217" s="3">
        <v>2.0</v>
      </c>
      <c r="K3217" s="2" t="s">
        <v>13191</v>
      </c>
      <c r="L3217" s="2" t="s">
        <v>40</v>
      </c>
      <c r="M3217" s="2" t="s">
        <v>409</v>
      </c>
      <c r="N3217" s="2" t="s">
        <v>462</v>
      </c>
      <c r="O3217" s="3"/>
      <c r="P3217" s="2" t="s">
        <v>73</v>
      </c>
      <c r="Q3217" s="3">
        <v>720.0</v>
      </c>
      <c r="R3217" s="3">
        <v>0.5</v>
      </c>
      <c r="T3217" s="2" t="s">
        <v>12069</v>
      </c>
      <c r="U3217" s="171">
        <v>3348.0</v>
      </c>
      <c r="V3217" s="172">
        <v>46094.0</v>
      </c>
      <c r="W3217" s="3">
        <v>241.0</v>
      </c>
      <c r="X3217" s="172">
        <v>46091.770955300926</v>
      </c>
      <c r="Y3217" s="172">
        <v>46088.518820983794</v>
      </c>
      <c r="Z3217" s="3">
        <v>46088.0</v>
      </c>
    </row>
    <row r="3218">
      <c r="A3218" s="3">
        <v>6.941675782403E12</v>
      </c>
      <c r="B3218" s="2" t="s">
        <v>13192</v>
      </c>
      <c r="C3218" s="2" t="s">
        <v>13193</v>
      </c>
      <c r="D3218" s="169">
        <v>46088.0</v>
      </c>
      <c r="E3218" s="2">
        <v>3.167193739E9</v>
      </c>
      <c r="F3218" s="2" t="s">
        <v>13194</v>
      </c>
      <c r="G3218" s="2" t="s">
        <v>368</v>
      </c>
      <c r="H3218" s="2">
        <v>249.0</v>
      </c>
      <c r="I3218" s="2">
        <v>2.0120050022379E13</v>
      </c>
      <c r="J3218" s="3">
        <v>0.0</v>
      </c>
      <c r="K3218" s="2" t="s">
        <v>13195</v>
      </c>
      <c r="L3218" s="2"/>
      <c r="M3218" s="170" t="s">
        <v>455</v>
      </c>
      <c r="N3218" s="2" t="s">
        <v>406</v>
      </c>
      <c r="O3218" s="3"/>
      <c r="P3218" s="2" t="s">
        <v>73</v>
      </c>
      <c r="Q3218" s="3">
        <v>0.0</v>
      </c>
      <c r="R3218" s="3">
        <v>0.5</v>
      </c>
      <c r="U3218" s="141"/>
      <c r="W3218" s="3">
        <v>120.0</v>
      </c>
      <c r="X3218" s="172">
        <v>46095.7709668287</v>
      </c>
      <c r="Y3218" s="172">
        <v>46088.518820983794</v>
      </c>
      <c r="Z3218" s="3">
        <v>46088.0</v>
      </c>
    </row>
    <row r="3219">
      <c r="A3219" s="3">
        <v>6.941676896515E12</v>
      </c>
      <c r="B3219" s="2" t="s">
        <v>13196</v>
      </c>
      <c r="C3219" s="2" t="s">
        <v>13193</v>
      </c>
      <c r="D3219" s="169">
        <v>46088.0</v>
      </c>
      <c r="E3219" s="2">
        <v>3.167193739E9</v>
      </c>
      <c r="F3219" s="2" t="s">
        <v>13194</v>
      </c>
      <c r="G3219" s="2" t="s">
        <v>368</v>
      </c>
      <c r="H3219" s="2">
        <v>0.0</v>
      </c>
      <c r="J3219" s="3">
        <v>0.0</v>
      </c>
      <c r="K3219" s="2" t="s">
        <v>7954</v>
      </c>
      <c r="L3219" s="2"/>
      <c r="M3219" s="2" t="s">
        <v>468</v>
      </c>
      <c r="N3219" s="2" t="s">
        <v>406</v>
      </c>
      <c r="O3219" s="3"/>
      <c r="Q3219" s="3">
        <v>0.0</v>
      </c>
      <c r="R3219" s="3">
        <v>0.5</v>
      </c>
      <c r="U3219" s="141"/>
      <c r="X3219" s="172"/>
      <c r="Y3219" s="172">
        <v>46088.518820983794</v>
      </c>
      <c r="Z3219" s="3">
        <v>46088.0</v>
      </c>
    </row>
    <row r="3220">
      <c r="A3220" s="3">
        <v>6.941682598147E12</v>
      </c>
      <c r="B3220" s="2" t="s">
        <v>13197</v>
      </c>
      <c r="C3220" s="2" t="s">
        <v>13189</v>
      </c>
      <c r="D3220" s="169">
        <v>46088.0</v>
      </c>
      <c r="E3220" s="173" t="s">
        <v>13198</v>
      </c>
      <c r="F3220" s="2" t="s">
        <v>13190</v>
      </c>
      <c r="G3220" s="2" t="s">
        <v>368</v>
      </c>
      <c r="H3220" s="2">
        <v>3348.0</v>
      </c>
      <c r="I3220" s="2">
        <v>2.1120050022559E13</v>
      </c>
      <c r="J3220" s="3">
        <v>2.0</v>
      </c>
      <c r="K3220" s="2" t="s">
        <v>12223</v>
      </c>
      <c r="L3220" s="2" t="s">
        <v>906</v>
      </c>
      <c r="M3220" s="2" t="s">
        <v>409</v>
      </c>
      <c r="N3220" s="2" t="s">
        <v>462</v>
      </c>
      <c r="O3220" s="3"/>
      <c r="P3220" s="2" t="s">
        <v>73</v>
      </c>
      <c r="Q3220" s="3">
        <v>720.0</v>
      </c>
      <c r="R3220" s="3">
        <v>0.5</v>
      </c>
      <c r="T3220" s="2" t="s">
        <v>11534</v>
      </c>
      <c r="U3220" s="171">
        <v>3348.0</v>
      </c>
      <c r="V3220" s="172">
        <v>46097.0</v>
      </c>
      <c r="W3220" s="3">
        <v>241.0</v>
      </c>
      <c r="X3220" s="172">
        <v>46095.70766730324</v>
      </c>
      <c r="Y3220" s="172">
        <v>46088.518820983794</v>
      </c>
      <c r="Z3220" s="3">
        <v>46088.0</v>
      </c>
    </row>
    <row r="3221">
      <c r="A3221" s="3">
        <v>6.941726212355E12</v>
      </c>
      <c r="B3221" s="2" t="s">
        <v>13199</v>
      </c>
      <c r="C3221" s="2" t="s">
        <v>13200</v>
      </c>
      <c r="D3221" s="169">
        <v>46088.0</v>
      </c>
      <c r="E3221" s="173" t="s">
        <v>13201</v>
      </c>
      <c r="F3221" s="2" t="s">
        <v>13202</v>
      </c>
      <c r="G3221" s="173" t="s">
        <v>13203</v>
      </c>
      <c r="H3221" s="2">
        <v>3299.0</v>
      </c>
      <c r="I3221" s="2">
        <v>2.212005002237E13</v>
      </c>
      <c r="J3221" s="3">
        <v>1.0</v>
      </c>
      <c r="K3221" s="2" t="s">
        <v>13204</v>
      </c>
      <c r="L3221" s="2" t="s">
        <v>2028</v>
      </c>
      <c r="M3221" s="2" t="s">
        <v>409</v>
      </c>
      <c r="N3221" s="2" t="s">
        <v>462</v>
      </c>
      <c r="O3221" s="3"/>
      <c r="P3221" s="2" t="s">
        <v>73</v>
      </c>
      <c r="Q3221" s="3">
        <v>1400.0</v>
      </c>
      <c r="R3221" s="3">
        <v>0.5</v>
      </c>
      <c r="T3221" s="2" t="s">
        <v>12156</v>
      </c>
      <c r="U3221" s="171">
        <v>3299.0</v>
      </c>
      <c r="V3221" s="172">
        <v>46091.0</v>
      </c>
      <c r="W3221" s="3">
        <v>332.0</v>
      </c>
      <c r="X3221" s="172">
        <v>46090.499373750004</v>
      </c>
      <c r="Y3221" s="172">
        <v>46088.56043909722</v>
      </c>
      <c r="Z3221" s="3">
        <v>46088.0</v>
      </c>
    </row>
    <row r="3222">
      <c r="A3222" s="3">
        <v>6.941727293699E12</v>
      </c>
      <c r="B3222" s="2" t="s">
        <v>13205</v>
      </c>
      <c r="C3222" s="2" t="s">
        <v>13206</v>
      </c>
      <c r="D3222" s="169">
        <v>46088.0</v>
      </c>
      <c r="E3222" s="2">
        <v>3.018363612E9</v>
      </c>
      <c r="F3222" s="2" t="s">
        <v>13207</v>
      </c>
      <c r="G3222" s="2" t="s">
        <v>13208</v>
      </c>
      <c r="H3222" s="2">
        <v>249.0</v>
      </c>
      <c r="I3222" s="2">
        <v>1.73011624842E11</v>
      </c>
      <c r="J3222" s="3">
        <v>0.0</v>
      </c>
      <c r="K3222" s="2" t="s">
        <v>13209</v>
      </c>
      <c r="L3222" s="2"/>
      <c r="M3222" s="170" t="s">
        <v>455</v>
      </c>
      <c r="N3222" s="2" t="s">
        <v>406</v>
      </c>
      <c r="O3222" s="3"/>
      <c r="P3222" s="2" t="s">
        <v>501</v>
      </c>
      <c r="Q3222" s="3">
        <v>0.0</v>
      </c>
      <c r="R3222" s="3">
        <v>0.5</v>
      </c>
      <c r="U3222" s="141"/>
      <c r="X3222" s="172">
        <v>46122.08279939815</v>
      </c>
      <c r="Y3222" s="172">
        <v>46088.56043909722</v>
      </c>
      <c r="Z3222" s="3">
        <v>46088.0</v>
      </c>
    </row>
    <row r="3223">
      <c r="A3223" s="3">
        <v>6.941746757891E12</v>
      </c>
      <c r="B3223" s="2" t="s">
        <v>13210</v>
      </c>
      <c r="C3223" s="2" t="s">
        <v>13211</v>
      </c>
      <c r="D3223" s="169">
        <v>46088.0</v>
      </c>
      <c r="E3223" s="2">
        <v>3.458448444E9</v>
      </c>
      <c r="F3223" s="2" t="s">
        <v>13212</v>
      </c>
      <c r="G3223" s="2" t="s">
        <v>368</v>
      </c>
      <c r="H3223" s="2">
        <v>3348.0</v>
      </c>
      <c r="I3223" s="2">
        <v>2.3120050022481E13</v>
      </c>
      <c r="J3223" s="3">
        <v>2.0</v>
      </c>
      <c r="K3223" s="2" t="s">
        <v>12227</v>
      </c>
      <c r="L3223" s="2" t="s">
        <v>228</v>
      </c>
      <c r="M3223" s="2" t="s">
        <v>409</v>
      </c>
      <c r="N3223" s="2" t="s">
        <v>462</v>
      </c>
      <c r="O3223" s="3"/>
      <c r="P3223" s="2" t="s">
        <v>73</v>
      </c>
      <c r="Q3223" s="3">
        <v>720.0</v>
      </c>
      <c r="R3223" s="3">
        <v>0.5</v>
      </c>
      <c r="T3223" s="2" t="s">
        <v>12069</v>
      </c>
      <c r="U3223" s="171">
        <v>3348.0</v>
      </c>
      <c r="V3223" s="172">
        <v>46094.0</v>
      </c>
      <c r="W3223" s="3">
        <v>241.0</v>
      </c>
      <c r="X3223" s="172">
        <v>46092.624400347224</v>
      </c>
      <c r="Y3223" s="172">
        <v>46088.60209829861</v>
      </c>
      <c r="Z3223" s="3">
        <v>46088.0</v>
      </c>
    </row>
    <row r="3224">
      <c r="A3224" s="3">
        <v>6.941770350851E12</v>
      </c>
      <c r="B3224" s="2" t="s">
        <v>13213</v>
      </c>
      <c r="C3224" s="2" t="s">
        <v>13214</v>
      </c>
      <c r="D3224" s="169">
        <v>46088.0</v>
      </c>
      <c r="E3224" s="2">
        <v>3.332665074E9</v>
      </c>
      <c r="F3224" s="2" t="s">
        <v>13215</v>
      </c>
      <c r="G3224" s="2" t="s">
        <v>693</v>
      </c>
      <c r="H3224" s="2">
        <v>0.0</v>
      </c>
      <c r="I3224" s="2">
        <v>2.312005002248E13</v>
      </c>
      <c r="J3224" s="3">
        <v>0.0</v>
      </c>
      <c r="K3224" s="2" t="s">
        <v>13216</v>
      </c>
      <c r="L3224" s="2"/>
      <c r="M3224" s="170" t="s">
        <v>455</v>
      </c>
      <c r="N3224" s="2" t="s">
        <v>406</v>
      </c>
      <c r="O3224" s="3"/>
      <c r="P3224" s="2" t="s">
        <v>73</v>
      </c>
      <c r="Q3224" s="3">
        <v>0.0</v>
      </c>
      <c r="R3224" s="3">
        <v>0.5</v>
      </c>
      <c r="U3224" s="141"/>
      <c r="W3224" s="3">
        <v>226.78</v>
      </c>
      <c r="X3224" s="172">
        <v>46105.83269769676</v>
      </c>
      <c r="Y3224" s="172">
        <v>46088.60209832176</v>
      </c>
      <c r="Z3224" s="3">
        <v>46088.0</v>
      </c>
    </row>
    <row r="3225">
      <c r="A3225" s="3">
        <v>6.941798301955E12</v>
      </c>
      <c r="B3225" s="2" t="s">
        <v>13217</v>
      </c>
      <c r="C3225" s="2" t="s">
        <v>13218</v>
      </c>
      <c r="D3225" s="169">
        <v>46088.0</v>
      </c>
      <c r="E3225" s="2">
        <v>3.0086363E9</v>
      </c>
      <c r="F3225" s="2" t="s">
        <v>13219</v>
      </c>
      <c r="G3225" s="2" t="s">
        <v>541</v>
      </c>
      <c r="H3225" s="2">
        <v>249.0</v>
      </c>
      <c r="I3225" s="2">
        <v>2.8120050022489E13</v>
      </c>
      <c r="J3225" s="3">
        <v>0.0</v>
      </c>
      <c r="K3225" s="2" t="s">
        <v>13220</v>
      </c>
      <c r="L3225" s="2"/>
      <c r="M3225" s="170" t="s">
        <v>455</v>
      </c>
      <c r="N3225" s="2" t="s">
        <v>406</v>
      </c>
      <c r="O3225" s="3"/>
      <c r="P3225" s="2" t="s">
        <v>73</v>
      </c>
      <c r="Q3225" s="3">
        <v>0.0</v>
      </c>
      <c r="R3225" s="3">
        <v>0.5</v>
      </c>
      <c r="U3225" s="141"/>
      <c r="W3225" s="3">
        <v>200.1</v>
      </c>
      <c r="X3225" s="172">
        <v>46105.8326977199</v>
      </c>
      <c r="Y3225" s="172">
        <v>46088.64378087963</v>
      </c>
      <c r="Z3225" s="3">
        <v>46088.0</v>
      </c>
    </row>
    <row r="3226">
      <c r="A3226" s="3">
        <v>6.941807509763E12</v>
      </c>
      <c r="B3226" s="2" t="s">
        <v>13221</v>
      </c>
      <c r="C3226" s="2" t="s">
        <v>13222</v>
      </c>
      <c r="D3226" s="169">
        <v>46088.0</v>
      </c>
      <c r="E3226" s="2">
        <v>3.33336196E9</v>
      </c>
      <c r="F3226" s="2" t="s">
        <v>13223</v>
      </c>
      <c r="G3226" s="2" t="s">
        <v>493</v>
      </c>
      <c r="H3226" s="2">
        <v>3348.0</v>
      </c>
      <c r="I3226" s="2">
        <v>2.2120050022479E13</v>
      </c>
      <c r="J3226" s="3">
        <v>2.0</v>
      </c>
      <c r="K3226" s="2" t="s">
        <v>13072</v>
      </c>
      <c r="L3226" s="2" t="s">
        <v>1258</v>
      </c>
      <c r="M3226" s="2" t="s">
        <v>409</v>
      </c>
      <c r="N3226" s="2" t="s">
        <v>462</v>
      </c>
      <c r="O3226" s="3"/>
      <c r="P3226" s="2" t="s">
        <v>73</v>
      </c>
      <c r="Q3226" s="3">
        <v>800.0</v>
      </c>
      <c r="R3226" s="3">
        <v>0.5</v>
      </c>
      <c r="T3226" s="2" t="s">
        <v>12177</v>
      </c>
      <c r="U3226" s="171">
        <v>3348.0</v>
      </c>
      <c r="V3226" s="172">
        <v>46105.0</v>
      </c>
      <c r="W3226" s="3">
        <v>347.0</v>
      </c>
      <c r="X3226" s="172">
        <v>46099.58265278935</v>
      </c>
      <c r="Y3226" s="172">
        <v>46088.64378087963</v>
      </c>
      <c r="Z3226" s="3">
        <v>46088.0</v>
      </c>
    </row>
    <row r="3227">
      <c r="A3227" s="3">
        <v>6.941817438467E12</v>
      </c>
      <c r="B3227" s="2" t="s">
        <v>13224</v>
      </c>
      <c r="C3227" s="2" t="s">
        <v>13225</v>
      </c>
      <c r="D3227" s="169">
        <v>46088.0</v>
      </c>
      <c r="E3227" s="2">
        <v>3.094098103E9</v>
      </c>
      <c r="F3227" s="2" t="s">
        <v>13226</v>
      </c>
      <c r="G3227" s="2" t="s">
        <v>13227</v>
      </c>
      <c r="H3227" s="2">
        <v>8899.0</v>
      </c>
      <c r="I3227" s="2">
        <v>2.0120050022392E13</v>
      </c>
      <c r="J3227" s="3">
        <v>5.0</v>
      </c>
      <c r="K3227" s="2" t="s">
        <v>13228</v>
      </c>
      <c r="L3227" s="2" t="s">
        <v>13229</v>
      </c>
      <c r="M3227" s="2" t="s">
        <v>409</v>
      </c>
      <c r="N3227" s="2" t="s">
        <v>462</v>
      </c>
      <c r="O3227" s="3"/>
      <c r="P3227" s="2" t="s">
        <v>73</v>
      </c>
      <c r="Q3227" s="3">
        <v>3160.0</v>
      </c>
      <c r="R3227" s="3">
        <v>0.5</v>
      </c>
      <c r="T3227" s="2" t="s">
        <v>12069</v>
      </c>
      <c r="U3227" s="171">
        <v>8899.0</v>
      </c>
      <c r="V3227" s="172">
        <v>46094.0</v>
      </c>
      <c r="W3227" s="3">
        <v>669.0</v>
      </c>
      <c r="X3227" s="172">
        <v>46093.52090444445</v>
      </c>
      <c r="Y3227" s="172">
        <v>46088.66156734954</v>
      </c>
      <c r="Z3227" s="3">
        <v>46088.0</v>
      </c>
    </row>
    <row r="3228">
      <c r="A3228" s="3">
        <v>6.941823107331E12</v>
      </c>
      <c r="B3228" s="2" t="s">
        <v>13230</v>
      </c>
      <c r="C3228" s="2" t="s">
        <v>13231</v>
      </c>
      <c r="D3228" s="169">
        <v>46088.0</v>
      </c>
      <c r="E3228" s="173" t="s">
        <v>13232</v>
      </c>
      <c r="F3228" s="2" t="s">
        <v>13233</v>
      </c>
      <c r="G3228" s="2" t="s">
        <v>366</v>
      </c>
      <c r="H3228" s="2">
        <v>2750.0</v>
      </c>
      <c r="I3228" s="2">
        <v>2.6120050022391E13</v>
      </c>
      <c r="J3228" s="3">
        <v>2.0</v>
      </c>
      <c r="K3228" s="2" t="s">
        <v>13234</v>
      </c>
      <c r="L3228" s="2" t="s">
        <v>35</v>
      </c>
      <c r="M3228" s="2" t="s">
        <v>409</v>
      </c>
      <c r="N3228" s="2" t="s">
        <v>462</v>
      </c>
      <c r="O3228" s="3"/>
      <c r="P3228" s="2" t="s">
        <v>73</v>
      </c>
      <c r="Q3228" s="3">
        <v>980.0</v>
      </c>
      <c r="R3228" s="3">
        <v>0.5</v>
      </c>
      <c r="T3228" s="2" t="s">
        <v>12069</v>
      </c>
      <c r="U3228" s="171">
        <v>2750.0</v>
      </c>
      <c r="V3228" s="172">
        <v>46094.0</v>
      </c>
      <c r="W3228" s="3">
        <v>310.0</v>
      </c>
      <c r="X3228" s="172">
        <v>46093.62435329861</v>
      </c>
      <c r="Y3228" s="172">
        <v>46088.66156734954</v>
      </c>
      <c r="Z3228" s="3">
        <v>46088.0</v>
      </c>
    </row>
    <row r="3229">
      <c r="A3229" s="3">
        <v>6.941941661955E12</v>
      </c>
      <c r="B3229" s="2" t="s">
        <v>13235</v>
      </c>
      <c r="C3229" s="2" t="s">
        <v>13236</v>
      </c>
      <c r="D3229" s="169">
        <v>46088.0</v>
      </c>
      <c r="E3229" s="2">
        <v>3.244325986E9</v>
      </c>
      <c r="F3229" s="2" t="s">
        <v>13237</v>
      </c>
      <c r="G3229" s="2" t="s">
        <v>368</v>
      </c>
      <c r="H3229" s="2">
        <v>2724.0</v>
      </c>
      <c r="I3229" s="2">
        <v>2.4120050022442E13</v>
      </c>
      <c r="J3229" s="3">
        <v>2.0</v>
      </c>
      <c r="K3229" s="2" t="s">
        <v>13238</v>
      </c>
      <c r="L3229" s="2" t="s">
        <v>13239</v>
      </c>
      <c r="M3229" s="2" t="s">
        <v>409</v>
      </c>
      <c r="N3229" s="2" t="s">
        <v>406</v>
      </c>
      <c r="O3229" s="3"/>
      <c r="P3229" s="2" t="s">
        <v>73</v>
      </c>
      <c r="Q3229" s="3">
        <v>1040.0</v>
      </c>
      <c r="R3229" s="3">
        <v>0.5</v>
      </c>
      <c r="U3229" s="141"/>
      <c r="X3229" s="172">
        <v>46098.707635231476</v>
      </c>
      <c r="Y3229" s="172">
        <v>46088.810449756944</v>
      </c>
      <c r="Z3229" s="3">
        <v>46088.0</v>
      </c>
    </row>
    <row r="3230">
      <c r="A3230" s="3">
        <v>6.941984096515E12</v>
      </c>
      <c r="B3230" s="2" t="s">
        <v>13240</v>
      </c>
      <c r="C3230" s="2" t="s">
        <v>13241</v>
      </c>
      <c r="D3230" s="169">
        <v>46088.0</v>
      </c>
      <c r="E3230" s="2">
        <v>3.339314411E9</v>
      </c>
      <c r="F3230" s="2" t="s">
        <v>13242</v>
      </c>
      <c r="G3230" s="2" t="s">
        <v>368</v>
      </c>
      <c r="H3230" s="2">
        <v>4344.0</v>
      </c>
      <c r="I3230" s="2">
        <v>2.3120050022441E13</v>
      </c>
      <c r="J3230" s="3">
        <v>3.0</v>
      </c>
      <c r="K3230" s="2" t="s">
        <v>13243</v>
      </c>
      <c r="L3230" s="2" t="s">
        <v>13244</v>
      </c>
      <c r="M3230" s="2" t="s">
        <v>409</v>
      </c>
      <c r="N3230" s="2" t="s">
        <v>462</v>
      </c>
      <c r="O3230" s="3"/>
      <c r="P3230" s="2" t="s">
        <v>73</v>
      </c>
      <c r="Q3230" s="3">
        <v>1200.0</v>
      </c>
      <c r="R3230" s="3">
        <v>0.5</v>
      </c>
      <c r="T3230" s="2" t="s">
        <v>12069</v>
      </c>
      <c r="U3230" s="171">
        <v>4344.0</v>
      </c>
      <c r="V3230" s="172">
        <v>46094.0</v>
      </c>
      <c r="W3230" s="3">
        <v>280.0</v>
      </c>
      <c r="X3230" s="172">
        <v>46092.791062199074</v>
      </c>
      <c r="Y3230" s="172">
        <v>46088.810449756944</v>
      </c>
      <c r="Z3230" s="3">
        <v>46088.0</v>
      </c>
    </row>
    <row r="3231">
      <c r="A3231" s="3">
        <v>6.942001332483E12</v>
      </c>
      <c r="B3231" s="2" t="s">
        <v>13245</v>
      </c>
      <c r="C3231" s="2" t="s">
        <v>13246</v>
      </c>
      <c r="D3231" s="169">
        <v>46088.0</v>
      </c>
      <c r="E3231" s="2">
        <v>3.006458255E9</v>
      </c>
      <c r="F3231" s="2" t="s">
        <v>13247</v>
      </c>
      <c r="G3231" s="2" t="s">
        <v>855</v>
      </c>
      <c r="H3231" s="2">
        <v>0.0</v>
      </c>
      <c r="J3231" s="3">
        <v>0.0</v>
      </c>
      <c r="K3231" s="2" t="s">
        <v>13248</v>
      </c>
      <c r="L3231" s="2"/>
      <c r="M3231" s="2" t="s">
        <v>468</v>
      </c>
      <c r="N3231" s="2" t="s">
        <v>406</v>
      </c>
      <c r="O3231" s="3"/>
      <c r="Q3231" s="3">
        <v>0.0</v>
      </c>
      <c r="R3231" s="3">
        <v>0.5</v>
      </c>
      <c r="U3231" s="141"/>
      <c r="X3231" s="172"/>
      <c r="Y3231" s="172">
        <v>46088.85213649306</v>
      </c>
      <c r="Z3231" s="3">
        <v>46088.0</v>
      </c>
    </row>
    <row r="3232">
      <c r="A3232" s="3">
        <v>6.942096916739E12</v>
      </c>
      <c r="B3232" s="2" t="s">
        <v>13249</v>
      </c>
      <c r="C3232" s="2" t="s">
        <v>13250</v>
      </c>
      <c r="D3232" s="169">
        <v>46088.0</v>
      </c>
      <c r="E3232" s="2">
        <v>3.135167777E9</v>
      </c>
      <c r="F3232" s="2" t="s">
        <v>13251</v>
      </c>
      <c r="G3232" s="2" t="s">
        <v>368</v>
      </c>
      <c r="H3232" s="2">
        <v>3348.0</v>
      </c>
      <c r="I3232" s="2">
        <v>2.1120050022478E13</v>
      </c>
      <c r="J3232" s="3">
        <v>2.0</v>
      </c>
      <c r="K3232" s="2" t="s">
        <v>12227</v>
      </c>
      <c r="L3232" s="2" t="s">
        <v>228</v>
      </c>
      <c r="M3232" s="2" t="s">
        <v>409</v>
      </c>
      <c r="N3232" s="2" t="s">
        <v>462</v>
      </c>
      <c r="O3232" s="3"/>
      <c r="P3232" s="2" t="s">
        <v>73</v>
      </c>
      <c r="Q3232" s="3">
        <v>720.0</v>
      </c>
      <c r="R3232" s="3">
        <v>0.5</v>
      </c>
      <c r="T3232" s="2" t="s">
        <v>12069</v>
      </c>
      <c r="U3232" s="171">
        <v>3348.0</v>
      </c>
      <c r="V3232" s="172">
        <v>46094.0</v>
      </c>
      <c r="W3232" s="3">
        <v>241.0</v>
      </c>
      <c r="X3232" s="172">
        <v>46092.832732106486</v>
      </c>
      <c r="Y3232" s="172">
        <v>46088.893745891204</v>
      </c>
      <c r="Z3232" s="3">
        <v>46088.0</v>
      </c>
    </row>
    <row r="3233">
      <c r="A3233" s="3">
        <v>6.942133223683E12</v>
      </c>
      <c r="B3233" s="2" t="s">
        <v>13252</v>
      </c>
      <c r="C3233" s="2" t="s">
        <v>13253</v>
      </c>
      <c r="D3233" s="169">
        <v>46088.0</v>
      </c>
      <c r="E3233" s="173" t="s">
        <v>13254</v>
      </c>
      <c r="F3233" s="2" t="s">
        <v>13255</v>
      </c>
      <c r="G3233" s="2" t="s">
        <v>1180</v>
      </c>
      <c r="H3233" s="2">
        <v>249.0</v>
      </c>
      <c r="I3233" s="2" t="s">
        <v>13256</v>
      </c>
      <c r="J3233" s="3">
        <v>0.0</v>
      </c>
      <c r="K3233" s="2" t="s">
        <v>241</v>
      </c>
      <c r="L3233" s="2"/>
      <c r="M3233" s="170" t="s">
        <v>455</v>
      </c>
      <c r="N3233" s="2" t="s">
        <v>406</v>
      </c>
      <c r="O3233" s="3"/>
      <c r="P3233" s="2" t="s">
        <v>640</v>
      </c>
      <c r="Q3233" s="3">
        <v>0.0</v>
      </c>
      <c r="R3233" s="3">
        <v>0.5</v>
      </c>
      <c r="U3233" s="141"/>
      <c r="X3233" s="172">
        <v>46122.08275883102</v>
      </c>
      <c r="Y3233" s="172">
        <v>46088.893745891204</v>
      </c>
      <c r="Z3233" s="3">
        <v>46088.0</v>
      </c>
    </row>
    <row r="3234">
      <c r="A3234" s="3">
        <v>6.942144332035E12</v>
      </c>
      <c r="B3234" s="2" t="s">
        <v>13257</v>
      </c>
      <c r="C3234" s="2" t="s">
        <v>13258</v>
      </c>
      <c r="D3234" s="169">
        <v>46088.0</v>
      </c>
      <c r="E3234" s="2">
        <v>3.002947229E9</v>
      </c>
      <c r="F3234" s="2" t="s">
        <v>13259</v>
      </c>
      <c r="G3234" s="2" t="s">
        <v>374</v>
      </c>
      <c r="H3234" s="2">
        <v>249.0</v>
      </c>
      <c r="I3234" s="2">
        <v>2.8120050022488E13</v>
      </c>
      <c r="J3234" s="3">
        <v>0.0</v>
      </c>
      <c r="K3234" s="2" t="s">
        <v>13260</v>
      </c>
      <c r="L3234" s="2"/>
      <c r="M3234" s="170" t="s">
        <v>455</v>
      </c>
      <c r="N3234" s="2" t="s">
        <v>406</v>
      </c>
      <c r="O3234" s="3"/>
      <c r="P3234" s="2" t="s">
        <v>73</v>
      </c>
      <c r="Q3234" s="3">
        <v>0.0</v>
      </c>
      <c r="R3234" s="3">
        <v>0.5</v>
      </c>
      <c r="U3234" s="141"/>
      <c r="W3234" s="3">
        <v>200.1</v>
      </c>
      <c r="X3234" s="172">
        <v>46105.83269784722</v>
      </c>
      <c r="Y3234" s="172">
        <v>46088.893745891204</v>
      </c>
      <c r="Z3234" s="3">
        <v>46088.0</v>
      </c>
    </row>
    <row r="3235">
      <c r="A3235" s="3">
        <v>6.942145184003E12</v>
      </c>
      <c r="B3235" s="2" t="s">
        <v>13261</v>
      </c>
      <c r="C3235" s="2" t="s">
        <v>13262</v>
      </c>
      <c r="D3235" s="169">
        <v>46088.0</v>
      </c>
      <c r="E3235" s="173" t="s">
        <v>13263</v>
      </c>
      <c r="F3235" s="175" t="s">
        <v>13264</v>
      </c>
      <c r="G3235" s="2" t="s">
        <v>3725</v>
      </c>
      <c r="H3235" s="2">
        <v>1449.0</v>
      </c>
      <c r="I3235" s="2">
        <v>2.3120050022477E13</v>
      </c>
      <c r="J3235" s="3">
        <v>1.0</v>
      </c>
      <c r="K3235" s="2" t="s">
        <v>13265</v>
      </c>
      <c r="L3235" s="2" t="s">
        <v>1324</v>
      </c>
      <c r="M3235" s="2" t="s">
        <v>409</v>
      </c>
      <c r="N3235" s="2" t="s">
        <v>462</v>
      </c>
      <c r="O3235" s="3"/>
      <c r="P3235" s="2" t="s">
        <v>73</v>
      </c>
      <c r="Q3235" s="3">
        <v>550.0</v>
      </c>
      <c r="R3235" s="3">
        <v>0.5</v>
      </c>
      <c r="T3235" s="2" t="s">
        <v>12069</v>
      </c>
      <c r="U3235" s="171">
        <v>1449.0</v>
      </c>
      <c r="V3235" s="172">
        <v>46094.0</v>
      </c>
      <c r="W3235" s="3">
        <v>258.0</v>
      </c>
      <c r="X3235" s="172">
        <v>46092.62440042824</v>
      </c>
      <c r="Y3235" s="172">
        <v>46088.893745891204</v>
      </c>
      <c r="Z3235" s="3">
        <v>46088.0</v>
      </c>
    </row>
    <row r="3236">
      <c r="A3236" s="3">
        <v>6.942210064643E12</v>
      </c>
      <c r="B3236" s="2" t="s">
        <v>13266</v>
      </c>
      <c r="C3236" s="2" t="s">
        <v>13267</v>
      </c>
      <c r="D3236" s="169">
        <v>46088.0</v>
      </c>
      <c r="E3236" s="2">
        <v>3.348973017E9</v>
      </c>
      <c r="F3236" s="2" t="s">
        <v>13268</v>
      </c>
      <c r="G3236" s="2" t="s">
        <v>506</v>
      </c>
      <c r="H3236" s="2">
        <v>3348.0</v>
      </c>
      <c r="I3236" s="2">
        <v>2.812005002244E13</v>
      </c>
      <c r="J3236" s="3">
        <v>2.0</v>
      </c>
      <c r="K3236" s="2" t="s">
        <v>12227</v>
      </c>
      <c r="L3236" s="2" t="s">
        <v>27</v>
      </c>
      <c r="M3236" s="2" t="s">
        <v>409</v>
      </c>
      <c r="N3236" s="2" t="s">
        <v>462</v>
      </c>
      <c r="O3236" s="3"/>
      <c r="P3236" s="2" t="s">
        <v>73</v>
      </c>
      <c r="Q3236" s="3">
        <v>720.0</v>
      </c>
      <c r="R3236" s="3">
        <v>0.5</v>
      </c>
      <c r="T3236" s="2" t="s">
        <v>12069</v>
      </c>
      <c r="U3236" s="171">
        <v>3348.0</v>
      </c>
      <c r="V3236" s="172">
        <v>46094.0</v>
      </c>
      <c r="W3236" s="3">
        <v>334.0</v>
      </c>
      <c r="X3236" s="172">
        <v>46092.52096789352</v>
      </c>
      <c r="Y3236" s="172">
        <v>46088.93543491898</v>
      </c>
      <c r="Z3236" s="3">
        <v>46088.0</v>
      </c>
    </row>
    <row r="3237">
      <c r="A3237" s="3">
        <v>6.942314397955E12</v>
      </c>
      <c r="B3237" s="2" t="s">
        <v>13269</v>
      </c>
      <c r="C3237" s="2" t="s">
        <v>13270</v>
      </c>
      <c r="D3237" s="169">
        <v>46088.0</v>
      </c>
      <c r="E3237" s="2">
        <v>3.429421996E9</v>
      </c>
      <c r="F3237" s="2" t="s">
        <v>13271</v>
      </c>
      <c r="G3237" s="2" t="s">
        <v>1012</v>
      </c>
      <c r="H3237" s="2">
        <v>249.0</v>
      </c>
      <c r="I3237" s="2">
        <v>2.9120050022476E13</v>
      </c>
      <c r="J3237" s="3">
        <v>0.0</v>
      </c>
      <c r="K3237" s="2" t="s">
        <v>13272</v>
      </c>
      <c r="L3237" s="2"/>
      <c r="M3237" s="170" t="s">
        <v>455</v>
      </c>
      <c r="N3237" s="2" t="s">
        <v>406</v>
      </c>
      <c r="O3237" s="3"/>
      <c r="P3237" s="2" t="s">
        <v>73</v>
      </c>
      <c r="Q3237" s="3">
        <v>0.0</v>
      </c>
      <c r="R3237" s="3">
        <v>0.5</v>
      </c>
      <c r="U3237" s="141"/>
      <c r="W3237" s="3">
        <v>213.0</v>
      </c>
      <c r="X3237" s="172">
        <v>46098.70763525463</v>
      </c>
      <c r="Y3237" s="172">
        <v>46088.97711289352</v>
      </c>
      <c r="Z3237" s="3">
        <v>46088.0</v>
      </c>
    </row>
    <row r="3238">
      <c r="A3238" s="3">
        <v>6.942343069955E12</v>
      </c>
      <c r="B3238" s="2" t="s">
        <v>13273</v>
      </c>
      <c r="C3238" s="2" t="s">
        <v>13274</v>
      </c>
      <c r="D3238" s="169">
        <v>46088.0</v>
      </c>
      <c r="E3238" s="2">
        <v>3.18938557E9</v>
      </c>
      <c r="F3238" s="2" t="s">
        <v>13275</v>
      </c>
      <c r="G3238" s="2" t="s">
        <v>561</v>
      </c>
      <c r="H3238" s="2">
        <v>249.0</v>
      </c>
      <c r="I3238" s="2">
        <v>2.7120050022439E13</v>
      </c>
      <c r="J3238" s="3">
        <v>0.0</v>
      </c>
      <c r="K3238" s="2" t="s">
        <v>13276</v>
      </c>
      <c r="L3238" s="2"/>
      <c r="M3238" s="170" t="s">
        <v>455</v>
      </c>
      <c r="N3238" s="2" t="s">
        <v>406</v>
      </c>
      <c r="O3238" s="3"/>
      <c r="P3238" s="2" t="s">
        <v>73</v>
      </c>
      <c r="Q3238" s="3">
        <v>0.0</v>
      </c>
      <c r="R3238" s="3">
        <v>0.5</v>
      </c>
      <c r="U3238" s="141"/>
      <c r="W3238" s="3">
        <v>213.44</v>
      </c>
      <c r="X3238" s="172">
        <v>46107.87437314815</v>
      </c>
      <c r="Y3238" s="172">
        <v>46089.01875456018</v>
      </c>
      <c r="Z3238" s="3">
        <v>46088.0</v>
      </c>
    </row>
    <row r="3239">
      <c r="A3239" s="3">
        <v>6.942377672963E12</v>
      </c>
      <c r="B3239" s="2" t="s">
        <v>13277</v>
      </c>
      <c r="C3239" s="2" t="s">
        <v>13278</v>
      </c>
      <c r="D3239" s="169">
        <v>46088.0</v>
      </c>
      <c r="E3239" s="2">
        <v>3.33690556E9</v>
      </c>
      <c r="F3239" s="2" t="s">
        <v>13279</v>
      </c>
      <c r="G3239" s="2" t="s">
        <v>1323</v>
      </c>
      <c r="H3239" s="2">
        <v>3348.0</v>
      </c>
      <c r="I3239" s="2">
        <v>2.5120050022438E13</v>
      </c>
      <c r="J3239" s="3">
        <v>2.0</v>
      </c>
      <c r="K3239" s="2" t="s">
        <v>12227</v>
      </c>
      <c r="L3239" s="2" t="s">
        <v>1258</v>
      </c>
      <c r="M3239" s="2" t="s">
        <v>409</v>
      </c>
      <c r="N3239" s="2" t="s">
        <v>462</v>
      </c>
      <c r="O3239" s="3"/>
      <c r="P3239" s="2" t="s">
        <v>73</v>
      </c>
      <c r="Q3239" s="3">
        <v>800.0</v>
      </c>
      <c r="R3239" s="3">
        <v>0.5</v>
      </c>
      <c r="T3239" s="2" t="s">
        <v>12069</v>
      </c>
      <c r="U3239" s="171">
        <v>3348.0</v>
      </c>
      <c r="V3239" s="172">
        <v>46094.0</v>
      </c>
      <c r="W3239" s="3">
        <v>334.0</v>
      </c>
      <c r="X3239" s="172">
        <v>46091.70776427083</v>
      </c>
      <c r="Y3239" s="172">
        <v>46089.01875456018</v>
      </c>
      <c r="Z3239" s="3">
        <v>46088.0</v>
      </c>
    </row>
    <row r="3240">
      <c r="A3240" s="3">
        <v>6.942387110147E12</v>
      </c>
      <c r="B3240" s="2" t="s">
        <v>13280</v>
      </c>
      <c r="C3240" s="2" t="s">
        <v>13281</v>
      </c>
      <c r="D3240" s="169">
        <v>46088.0</v>
      </c>
      <c r="E3240" s="2">
        <v>3.152979108E9</v>
      </c>
      <c r="F3240" s="2" t="s">
        <v>13282</v>
      </c>
      <c r="G3240" s="2" t="s">
        <v>493</v>
      </c>
      <c r="H3240" s="2">
        <v>8550.0</v>
      </c>
      <c r="I3240" s="2">
        <v>2.9120050022437E13</v>
      </c>
      <c r="J3240" s="3">
        <v>2.0</v>
      </c>
      <c r="K3240" s="2" t="s">
        <v>13283</v>
      </c>
      <c r="L3240" s="2" t="s">
        <v>13284</v>
      </c>
      <c r="M3240" s="2" t="s">
        <v>409</v>
      </c>
      <c r="N3240" s="2" t="s">
        <v>462</v>
      </c>
      <c r="O3240" s="3"/>
      <c r="P3240" s="2" t="s">
        <v>73</v>
      </c>
      <c r="Q3240" s="3">
        <v>4200.0</v>
      </c>
      <c r="R3240" s="3">
        <v>0.5</v>
      </c>
      <c r="T3240" s="2" t="s">
        <v>11534</v>
      </c>
      <c r="U3240" s="171">
        <v>8550.0</v>
      </c>
      <c r="V3240" s="172">
        <v>46097.0</v>
      </c>
      <c r="W3240" s="3">
        <v>569.0</v>
      </c>
      <c r="X3240" s="172">
        <v>46095.62438538195</v>
      </c>
      <c r="Y3240" s="172">
        <v>46089.01875456018</v>
      </c>
      <c r="Z3240" s="3">
        <v>46088.0</v>
      </c>
    </row>
    <row r="3241">
      <c r="A3241" s="3">
        <v>6.942478008579E12</v>
      </c>
      <c r="B3241" s="2" t="s">
        <v>13285</v>
      </c>
      <c r="C3241" s="2" t="s">
        <v>1552</v>
      </c>
      <c r="D3241" s="169">
        <v>46089.0</v>
      </c>
      <c r="E3241" s="2">
        <v>3.40023489E9</v>
      </c>
      <c r="F3241" s="2" t="s">
        <v>13286</v>
      </c>
      <c r="G3241" s="2" t="s">
        <v>672</v>
      </c>
      <c r="H3241" s="2">
        <v>249.0</v>
      </c>
      <c r="I3241" s="2">
        <v>2.4120050022475E13</v>
      </c>
      <c r="J3241" s="3">
        <v>0.0</v>
      </c>
      <c r="K3241" s="2" t="s">
        <v>13287</v>
      </c>
      <c r="L3241" s="2"/>
      <c r="M3241" s="170" t="s">
        <v>455</v>
      </c>
      <c r="N3241" s="2" t="s">
        <v>406</v>
      </c>
      <c r="O3241" s="3"/>
      <c r="P3241" s="2" t="s">
        <v>73</v>
      </c>
      <c r="Q3241" s="3">
        <v>0.0</v>
      </c>
      <c r="R3241" s="3">
        <v>0.5</v>
      </c>
      <c r="U3241" s="141"/>
      <c r="W3241" s="3">
        <v>226.78</v>
      </c>
      <c r="X3241" s="172">
        <v>46113.91595297454</v>
      </c>
      <c r="Y3241" s="172">
        <v>46089.060410844904</v>
      </c>
      <c r="Z3241" s="3">
        <v>46089.0</v>
      </c>
    </row>
    <row r="3242">
      <c r="A3242" s="3">
        <v>6.942480859395E12</v>
      </c>
      <c r="B3242" s="2" t="s">
        <v>13288</v>
      </c>
      <c r="C3242" s="2" t="s">
        <v>13289</v>
      </c>
      <c r="D3242" s="169">
        <v>46089.0</v>
      </c>
      <c r="E3242" s="173" t="s">
        <v>13290</v>
      </c>
      <c r="F3242" s="2" t="s">
        <v>13291</v>
      </c>
      <c r="G3242" s="2" t="s">
        <v>13292</v>
      </c>
      <c r="H3242" s="2">
        <v>3299.0</v>
      </c>
      <c r="I3242" s="2">
        <v>2.9120050022436E13</v>
      </c>
      <c r="J3242" s="3">
        <v>1.0</v>
      </c>
      <c r="K3242" s="2" t="s">
        <v>13293</v>
      </c>
      <c r="L3242" s="2" t="s">
        <v>13294</v>
      </c>
      <c r="M3242" s="2" t="s">
        <v>409</v>
      </c>
      <c r="N3242" s="2" t="s">
        <v>462</v>
      </c>
      <c r="O3242" s="3"/>
      <c r="P3242" s="2" t="s">
        <v>73</v>
      </c>
      <c r="Q3242" s="3">
        <v>1400.0</v>
      </c>
      <c r="R3242" s="3">
        <v>0.5</v>
      </c>
      <c r="T3242" s="2" t="s">
        <v>12069</v>
      </c>
      <c r="U3242" s="171">
        <v>3299.0</v>
      </c>
      <c r="V3242" s="172">
        <v>46094.0</v>
      </c>
      <c r="W3242" s="3">
        <v>345.0</v>
      </c>
      <c r="X3242" s="172">
        <v>46093.6665405324</v>
      </c>
      <c r="Y3242" s="172">
        <v>46089.060410844904</v>
      </c>
      <c r="Z3242" s="3">
        <v>46089.0</v>
      </c>
    </row>
    <row r="3243">
      <c r="A3243" s="3">
        <v>6.942488920323E12</v>
      </c>
      <c r="B3243" s="2" t="s">
        <v>13295</v>
      </c>
      <c r="C3243" s="2" t="s">
        <v>13296</v>
      </c>
      <c r="D3243" s="169">
        <v>46089.0</v>
      </c>
      <c r="E3243" s="2">
        <v>3.21644732E9</v>
      </c>
      <c r="F3243" s="2" t="s">
        <v>13297</v>
      </c>
      <c r="G3243" s="2" t="s">
        <v>855</v>
      </c>
      <c r="H3243" s="2">
        <v>2199.0</v>
      </c>
      <c r="I3243" s="2">
        <v>2.1120050022435E13</v>
      </c>
      <c r="J3243" s="3">
        <v>1.0</v>
      </c>
      <c r="K3243" s="2" t="s">
        <v>13298</v>
      </c>
      <c r="L3243" s="2" t="s">
        <v>220</v>
      </c>
      <c r="M3243" s="2" t="s">
        <v>409</v>
      </c>
      <c r="N3243" s="2" t="s">
        <v>462</v>
      </c>
      <c r="O3243" s="3"/>
      <c r="P3243" s="2" t="s">
        <v>73</v>
      </c>
      <c r="Q3243" s="3">
        <v>360.0</v>
      </c>
      <c r="R3243" s="3">
        <v>0.5</v>
      </c>
      <c r="T3243" s="2" t="s">
        <v>12069</v>
      </c>
      <c r="U3243" s="171">
        <v>2199.0</v>
      </c>
      <c r="V3243" s="172">
        <v>46094.0</v>
      </c>
      <c r="W3243" s="3">
        <v>288.0</v>
      </c>
      <c r="X3243" s="172">
        <v>46091.582778449076</v>
      </c>
      <c r="Y3243" s="172">
        <v>46089.060410844904</v>
      </c>
      <c r="Z3243" s="3">
        <v>46089.0</v>
      </c>
    </row>
    <row r="3244">
      <c r="A3244" s="3">
        <v>6.942546428163E12</v>
      </c>
      <c r="B3244" s="2" t="s">
        <v>13299</v>
      </c>
      <c r="C3244" s="2" t="s">
        <v>13300</v>
      </c>
      <c r="D3244" s="169">
        <v>46089.0</v>
      </c>
      <c r="E3244" s="2">
        <v>3.00842385E9</v>
      </c>
      <c r="F3244" s="2" t="s">
        <v>13301</v>
      </c>
      <c r="G3244" s="2" t="s">
        <v>368</v>
      </c>
      <c r="H3244" s="2">
        <v>249.0</v>
      </c>
      <c r="I3244" s="2">
        <v>2.3120050022434E13</v>
      </c>
      <c r="J3244" s="3">
        <v>0.0</v>
      </c>
      <c r="K3244" s="2" t="s">
        <v>13000</v>
      </c>
      <c r="L3244" s="2"/>
      <c r="M3244" s="2" t="s">
        <v>409</v>
      </c>
      <c r="N3244" s="2" t="s">
        <v>462</v>
      </c>
      <c r="O3244" s="3"/>
      <c r="P3244" s="2" t="s">
        <v>73</v>
      </c>
      <c r="Q3244" s="3">
        <v>0.0</v>
      </c>
      <c r="R3244" s="3">
        <v>0.5</v>
      </c>
      <c r="T3244" s="2" t="s">
        <v>12069</v>
      </c>
      <c r="U3244" s="171">
        <v>249.0</v>
      </c>
      <c r="V3244" s="172">
        <v>46094.0</v>
      </c>
      <c r="W3244" s="3">
        <v>189.0</v>
      </c>
      <c r="X3244" s="172">
        <v>46092.62440047454</v>
      </c>
      <c r="Y3244" s="172">
        <v>46089.102075532406</v>
      </c>
      <c r="Z3244" s="3">
        <v>46089.0</v>
      </c>
    </row>
    <row r="3245">
      <c r="A3245" s="3">
        <v>6.942551638275E12</v>
      </c>
      <c r="B3245" s="2" t="s">
        <v>13302</v>
      </c>
      <c r="C3245" s="2" t="s">
        <v>13303</v>
      </c>
      <c r="D3245" s="169">
        <v>46089.0</v>
      </c>
      <c r="E3245" s="2">
        <v>3.307988077E9</v>
      </c>
      <c r="F3245" s="2" t="s">
        <v>13304</v>
      </c>
      <c r="G3245" s="2" t="s">
        <v>493</v>
      </c>
      <c r="H3245" s="2">
        <v>1899.0</v>
      </c>
      <c r="I3245" s="2">
        <v>2.4120050022433E13</v>
      </c>
      <c r="J3245" s="3">
        <v>1.0</v>
      </c>
      <c r="K3245" s="2" t="s">
        <v>13305</v>
      </c>
      <c r="L3245" s="2" t="s">
        <v>11296</v>
      </c>
      <c r="M3245" s="2" t="s">
        <v>409</v>
      </c>
      <c r="N3245" s="2" t="s">
        <v>462</v>
      </c>
      <c r="O3245" s="3"/>
      <c r="P3245" s="2" t="s">
        <v>73</v>
      </c>
      <c r="Q3245" s="3">
        <v>550.0</v>
      </c>
      <c r="R3245" s="3">
        <v>0.5</v>
      </c>
      <c r="T3245" s="2" t="s">
        <v>12069</v>
      </c>
      <c r="U3245" s="171">
        <v>1899.0</v>
      </c>
      <c r="V3245" s="172">
        <v>46094.0</v>
      </c>
      <c r="W3245" s="3">
        <v>289.0</v>
      </c>
      <c r="X3245" s="172">
        <v>46093.70772460648</v>
      </c>
      <c r="Y3245" s="172">
        <v>46089.102075532406</v>
      </c>
      <c r="Z3245" s="3">
        <v>46089.0</v>
      </c>
    </row>
    <row r="3246">
      <c r="A3246" s="3">
        <v>6.942635917571E12</v>
      </c>
      <c r="B3246" s="2" t="s">
        <v>13306</v>
      </c>
      <c r="C3246" s="2" t="s">
        <v>13307</v>
      </c>
      <c r="D3246" s="169">
        <v>46089.0</v>
      </c>
      <c r="E3246" s="2">
        <v>3.035111242E9</v>
      </c>
      <c r="F3246" s="2" t="s">
        <v>13308</v>
      </c>
      <c r="G3246" s="2" t="s">
        <v>506</v>
      </c>
      <c r="H3246" s="2">
        <v>0.0</v>
      </c>
      <c r="J3246" s="3">
        <v>0.0</v>
      </c>
      <c r="K3246" s="2" t="s">
        <v>13309</v>
      </c>
      <c r="L3246" s="2"/>
      <c r="M3246" s="2" t="s">
        <v>468</v>
      </c>
      <c r="N3246" s="2" t="s">
        <v>406</v>
      </c>
      <c r="O3246" s="3"/>
      <c r="Q3246" s="3">
        <v>0.0</v>
      </c>
      <c r="R3246" s="3">
        <v>0.5</v>
      </c>
      <c r="U3246" s="141"/>
      <c r="X3246" s="172"/>
      <c r="Y3246" s="172">
        <v>46089.14373840278</v>
      </c>
      <c r="Z3246" s="3">
        <v>46089.0</v>
      </c>
    </row>
    <row r="3247">
      <c r="A3247" s="3">
        <v>6.942895898883E12</v>
      </c>
      <c r="B3247" s="2" t="s">
        <v>13310</v>
      </c>
      <c r="C3247" s="2" t="s">
        <v>13311</v>
      </c>
      <c r="D3247" s="169">
        <v>46089.0</v>
      </c>
      <c r="E3247" s="2">
        <v>3.180903303E9</v>
      </c>
      <c r="F3247" s="2" t="s">
        <v>13312</v>
      </c>
      <c r="G3247" s="2" t="s">
        <v>368</v>
      </c>
      <c r="H3247" s="2">
        <v>249.0</v>
      </c>
      <c r="I3247" s="2">
        <v>2.9120050022432E13</v>
      </c>
      <c r="J3247" s="3">
        <v>0.0</v>
      </c>
      <c r="K3247" s="2" t="s">
        <v>12842</v>
      </c>
      <c r="L3247" s="2"/>
      <c r="M3247" s="170" t="s">
        <v>455</v>
      </c>
      <c r="N3247" s="2" t="s">
        <v>406</v>
      </c>
      <c r="O3247" s="3"/>
      <c r="P3247" s="2" t="s">
        <v>73</v>
      </c>
      <c r="Q3247" s="3">
        <v>0.0</v>
      </c>
      <c r="R3247" s="3">
        <v>0.5</v>
      </c>
      <c r="U3247" s="141"/>
      <c r="W3247" s="3">
        <v>107.0</v>
      </c>
      <c r="X3247" s="172">
        <v>46098.707635266204</v>
      </c>
      <c r="Y3247" s="172">
        <v>46089.35207813657</v>
      </c>
      <c r="Z3247" s="3">
        <v>46089.0</v>
      </c>
    </row>
    <row r="3248">
      <c r="A3248" s="3">
        <v>6.942995710211E12</v>
      </c>
      <c r="B3248" s="2" t="s">
        <v>13313</v>
      </c>
      <c r="C3248" s="2" t="s">
        <v>13314</v>
      </c>
      <c r="D3248" s="169">
        <v>46089.0</v>
      </c>
      <c r="E3248" s="173" t="s">
        <v>13315</v>
      </c>
      <c r="F3248" s="2" t="s">
        <v>13316</v>
      </c>
      <c r="G3248" s="2" t="s">
        <v>368</v>
      </c>
      <c r="H3248" s="2">
        <v>3348.0</v>
      </c>
      <c r="I3248" s="2">
        <v>2.3120050022431E13</v>
      </c>
      <c r="J3248" s="3">
        <v>2.0</v>
      </c>
      <c r="K3248" s="2" t="s">
        <v>12227</v>
      </c>
      <c r="L3248" s="2" t="s">
        <v>906</v>
      </c>
      <c r="M3248" s="2" t="s">
        <v>409</v>
      </c>
      <c r="N3248" s="2" t="s">
        <v>462</v>
      </c>
      <c r="O3248" s="3"/>
      <c r="P3248" s="2" t="s">
        <v>73</v>
      </c>
      <c r="Q3248" s="3">
        <v>720.0</v>
      </c>
      <c r="R3248" s="3">
        <v>0.5</v>
      </c>
      <c r="T3248" s="2" t="s">
        <v>12069</v>
      </c>
      <c r="U3248" s="171">
        <v>3348.0</v>
      </c>
      <c r="V3248" s="172">
        <v>46094.0</v>
      </c>
      <c r="W3248" s="3">
        <v>241.0</v>
      </c>
      <c r="X3248" s="172">
        <v>46091.58277853009</v>
      </c>
      <c r="Y3248" s="172">
        <v>46089.43544244213</v>
      </c>
      <c r="Z3248" s="3">
        <v>46089.0</v>
      </c>
    </row>
    <row r="3249">
      <c r="A3249" s="3">
        <v>6.943067177219E12</v>
      </c>
      <c r="B3249" s="2" t="s">
        <v>13317</v>
      </c>
      <c r="C3249" s="2" t="s">
        <v>13318</v>
      </c>
      <c r="D3249" s="169">
        <v>46089.0</v>
      </c>
      <c r="E3249" s="2">
        <v>3.339205719E9</v>
      </c>
      <c r="F3249" s="2" t="s">
        <v>13319</v>
      </c>
      <c r="G3249" s="2" t="s">
        <v>898</v>
      </c>
      <c r="H3249" s="2">
        <v>249.0</v>
      </c>
      <c r="I3249" s="2">
        <v>2.7120050022428E13</v>
      </c>
      <c r="J3249" s="3">
        <v>0.0</v>
      </c>
      <c r="K3249" s="2" t="s">
        <v>13320</v>
      </c>
      <c r="L3249" s="2"/>
      <c r="M3249" s="170" t="s">
        <v>455</v>
      </c>
      <c r="N3249" s="2" t="s">
        <v>406</v>
      </c>
      <c r="O3249" s="3"/>
      <c r="P3249" s="2" t="s">
        <v>73</v>
      </c>
      <c r="Q3249" s="3">
        <v>0.0</v>
      </c>
      <c r="R3249" s="3">
        <v>0.5</v>
      </c>
      <c r="U3249" s="141"/>
      <c r="W3249" s="3">
        <v>200.1</v>
      </c>
      <c r="X3249" s="172">
        <v>46097.83269538195</v>
      </c>
      <c r="Y3249" s="172">
        <v>46089.47708582176</v>
      </c>
      <c r="Z3249" s="3">
        <v>46089.0</v>
      </c>
    </row>
    <row r="3250">
      <c r="A3250" s="3">
        <v>6.943085363459E12</v>
      </c>
      <c r="B3250" s="2" t="s">
        <v>13321</v>
      </c>
      <c r="C3250" s="2" t="s">
        <v>13322</v>
      </c>
      <c r="D3250" s="169">
        <v>46089.0</v>
      </c>
      <c r="E3250" s="2">
        <v>3.128538627E9</v>
      </c>
      <c r="F3250" s="2" t="s">
        <v>13323</v>
      </c>
      <c r="G3250" s="2" t="s">
        <v>1180</v>
      </c>
      <c r="H3250" s="2">
        <v>1449.0</v>
      </c>
      <c r="I3250" s="2">
        <v>2.5120050022427E13</v>
      </c>
      <c r="J3250" s="3">
        <v>1.0</v>
      </c>
      <c r="K3250" s="2" t="s">
        <v>13324</v>
      </c>
      <c r="L3250" s="2" t="s">
        <v>765</v>
      </c>
      <c r="M3250" s="2" t="s">
        <v>409</v>
      </c>
      <c r="N3250" s="2" t="s">
        <v>462</v>
      </c>
      <c r="O3250" s="3"/>
      <c r="P3250" s="2" t="s">
        <v>73</v>
      </c>
      <c r="Q3250" s="3">
        <v>550.0</v>
      </c>
      <c r="R3250" s="3">
        <v>0.5</v>
      </c>
      <c r="T3250" s="2" t="s">
        <v>12177</v>
      </c>
      <c r="U3250" s="171">
        <v>1449.0</v>
      </c>
      <c r="V3250" s="172">
        <v>46105.0</v>
      </c>
      <c r="W3250" s="3">
        <v>271.0</v>
      </c>
      <c r="X3250" s="172">
        <v>46098.58277891204</v>
      </c>
      <c r="Y3250" s="172">
        <v>46089.51874814815</v>
      </c>
      <c r="Z3250" s="3">
        <v>46089.0</v>
      </c>
    </row>
    <row r="3251">
      <c r="A3251" s="3">
        <v>6.943085756675E12</v>
      </c>
      <c r="B3251" s="2" t="s">
        <v>13325</v>
      </c>
      <c r="C3251" s="2" t="s">
        <v>13326</v>
      </c>
      <c r="D3251" s="169">
        <v>46089.0</v>
      </c>
      <c r="E3251" s="2">
        <v>3.053324641E9</v>
      </c>
      <c r="F3251" s="2" t="s">
        <v>13327</v>
      </c>
      <c r="G3251" s="2" t="s">
        <v>1425</v>
      </c>
      <c r="H3251" s="2">
        <v>0.0</v>
      </c>
      <c r="J3251" s="3">
        <v>0.0</v>
      </c>
      <c r="K3251" s="2" t="s">
        <v>13328</v>
      </c>
      <c r="L3251" s="2"/>
      <c r="M3251" s="2" t="s">
        <v>468</v>
      </c>
      <c r="N3251" s="2" t="s">
        <v>406</v>
      </c>
      <c r="O3251" s="3"/>
      <c r="Q3251" s="3">
        <v>0.0</v>
      </c>
      <c r="R3251" s="3">
        <v>0.5</v>
      </c>
      <c r="U3251" s="141"/>
      <c r="X3251" s="172"/>
      <c r="Y3251" s="172">
        <v>46089.51874814815</v>
      </c>
      <c r="Z3251" s="3">
        <v>46089.0</v>
      </c>
    </row>
    <row r="3252">
      <c r="A3252" s="3">
        <v>6.943092506883E12</v>
      </c>
      <c r="B3252" s="2" t="s">
        <v>13329</v>
      </c>
      <c r="C3252" s="2" t="s">
        <v>13330</v>
      </c>
      <c r="D3252" s="169">
        <v>46089.0</v>
      </c>
      <c r="E3252" s="2">
        <v>3.216149491E9</v>
      </c>
      <c r="F3252" s="2" t="s">
        <v>13331</v>
      </c>
      <c r="G3252" s="2" t="s">
        <v>368</v>
      </c>
      <c r="H3252" s="2">
        <v>0.0</v>
      </c>
      <c r="J3252" s="3">
        <v>0.0</v>
      </c>
      <c r="K3252" s="2" t="s">
        <v>13332</v>
      </c>
      <c r="L3252" s="2"/>
      <c r="M3252" s="2" t="s">
        <v>468</v>
      </c>
      <c r="N3252" s="2" t="s">
        <v>406</v>
      </c>
      <c r="O3252" s="3"/>
      <c r="Q3252" s="3">
        <v>0.0</v>
      </c>
      <c r="R3252" s="3">
        <v>0.5</v>
      </c>
      <c r="U3252" s="141"/>
      <c r="X3252" s="172"/>
      <c r="Y3252" s="172">
        <v>46089.51874814815</v>
      </c>
      <c r="Z3252" s="3">
        <v>46089.0</v>
      </c>
    </row>
    <row r="3253">
      <c r="A3253" s="3">
        <v>6.943125635331E12</v>
      </c>
      <c r="B3253" s="2" t="s">
        <v>13333</v>
      </c>
      <c r="C3253" s="2" t="s">
        <v>13334</v>
      </c>
      <c r="D3253" s="169">
        <v>46089.0</v>
      </c>
      <c r="E3253" s="2">
        <v>3.051117008E9</v>
      </c>
      <c r="F3253" s="2" t="s">
        <v>13335</v>
      </c>
      <c r="G3253" s="2" t="s">
        <v>13336</v>
      </c>
      <c r="H3253" s="2">
        <v>1799.0</v>
      </c>
      <c r="I3253" s="2">
        <v>2.9120050022426E13</v>
      </c>
      <c r="J3253" s="3">
        <v>1.0</v>
      </c>
      <c r="K3253" s="2" t="s">
        <v>13337</v>
      </c>
      <c r="L3253" s="2" t="s">
        <v>4872</v>
      </c>
      <c r="M3253" s="2" t="s">
        <v>409</v>
      </c>
      <c r="N3253" s="2" t="s">
        <v>462</v>
      </c>
      <c r="O3253" s="3"/>
      <c r="P3253" s="2" t="s">
        <v>73</v>
      </c>
      <c r="Q3253" s="3">
        <v>490.0</v>
      </c>
      <c r="R3253" s="3">
        <v>0.5</v>
      </c>
      <c r="T3253" s="2" t="s">
        <v>12069</v>
      </c>
      <c r="U3253" s="171">
        <v>1799.0</v>
      </c>
      <c r="V3253" s="172">
        <v>46094.0</v>
      </c>
      <c r="W3253" s="3">
        <v>272.0</v>
      </c>
      <c r="X3253" s="172">
        <v>46092.58315384259</v>
      </c>
      <c r="Y3253" s="172">
        <v>46089.51874814815</v>
      </c>
      <c r="Z3253" s="3">
        <v>46089.0</v>
      </c>
    </row>
    <row r="3254">
      <c r="A3254" s="3">
        <v>6.943151030531E12</v>
      </c>
      <c r="B3254" s="2" t="s">
        <v>13338</v>
      </c>
      <c r="C3254" s="2" t="s">
        <v>13339</v>
      </c>
      <c r="D3254" s="169">
        <v>46089.0</v>
      </c>
      <c r="E3254" s="2">
        <v>3.160655544E9</v>
      </c>
      <c r="F3254" s="2" t="s">
        <v>13340</v>
      </c>
      <c r="G3254" s="2" t="s">
        <v>898</v>
      </c>
      <c r="H3254" s="2">
        <v>2849.0</v>
      </c>
      <c r="I3254" s="2">
        <v>2.1120050022425E13</v>
      </c>
      <c r="J3254" s="3">
        <v>2.0</v>
      </c>
      <c r="K3254" s="2" t="s">
        <v>13104</v>
      </c>
      <c r="L3254" s="2" t="s">
        <v>2906</v>
      </c>
      <c r="M3254" s="2" t="s">
        <v>409</v>
      </c>
      <c r="N3254" s="2" t="s">
        <v>462</v>
      </c>
      <c r="O3254" s="3"/>
      <c r="P3254" s="2" t="s">
        <v>73</v>
      </c>
      <c r="Q3254" s="3">
        <v>800.0</v>
      </c>
      <c r="R3254" s="3">
        <v>0.5</v>
      </c>
      <c r="T3254" s="2" t="s">
        <v>12069</v>
      </c>
      <c r="U3254" s="171">
        <v>2849.0</v>
      </c>
      <c r="V3254" s="172">
        <v>46094.0</v>
      </c>
      <c r="W3254" s="3">
        <v>314.0</v>
      </c>
      <c r="X3254" s="172">
        <v>46091.62445564815</v>
      </c>
      <c r="Y3254" s="172">
        <v>46089.560430011574</v>
      </c>
      <c r="Z3254" s="3">
        <v>46089.0</v>
      </c>
    </row>
    <row r="3255">
      <c r="A3255" s="3">
        <v>6.943168594179E12</v>
      </c>
      <c r="B3255" s="2" t="s">
        <v>13341</v>
      </c>
      <c r="C3255" s="2" t="s">
        <v>13342</v>
      </c>
      <c r="D3255" s="169">
        <v>46089.0</v>
      </c>
      <c r="E3255" s="2">
        <v>3.144456493E9</v>
      </c>
      <c r="F3255" s="2" t="s">
        <v>13343</v>
      </c>
      <c r="G3255" s="2" t="s">
        <v>10730</v>
      </c>
      <c r="H3255" s="2">
        <v>3348.0</v>
      </c>
      <c r="I3255" s="2">
        <v>2.4120050022474E13</v>
      </c>
      <c r="J3255" s="3">
        <v>2.0</v>
      </c>
      <c r="K3255" s="2" t="s">
        <v>12743</v>
      </c>
      <c r="L3255" s="2" t="s">
        <v>296</v>
      </c>
      <c r="M3255" s="2" t="s">
        <v>409</v>
      </c>
      <c r="N3255" s="2" t="s">
        <v>462</v>
      </c>
      <c r="O3255" s="3"/>
      <c r="P3255" s="2" t="s">
        <v>73</v>
      </c>
      <c r="Q3255" s="3">
        <v>720.0</v>
      </c>
      <c r="R3255" s="3">
        <v>0.5</v>
      </c>
      <c r="T3255" s="2" t="s">
        <v>11534</v>
      </c>
      <c r="U3255" s="171">
        <v>3348.0</v>
      </c>
      <c r="V3255" s="172">
        <v>46097.0</v>
      </c>
      <c r="W3255" s="3">
        <v>334.0</v>
      </c>
      <c r="X3255" s="172">
        <v>46094.62435788194</v>
      </c>
      <c r="Y3255" s="172">
        <v>46089.560430011574</v>
      </c>
      <c r="Z3255" s="3">
        <v>46089.0</v>
      </c>
    </row>
    <row r="3256">
      <c r="A3256" s="3">
        <v>6.943185043715E12</v>
      </c>
      <c r="B3256" s="2" t="s">
        <v>13344</v>
      </c>
      <c r="C3256" s="2" t="s">
        <v>13345</v>
      </c>
      <c r="D3256" s="169">
        <v>46089.0</v>
      </c>
      <c r="E3256" s="2">
        <v>3.278509151E9</v>
      </c>
      <c r="F3256" s="2" t="s">
        <v>13346</v>
      </c>
      <c r="G3256" s="2" t="s">
        <v>993</v>
      </c>
      <c r="H3256" s="2">
        <v>1449.0</v>
      </c>
      <c r="I3256" s="2">
        <v>2.5120050022424E13</v>
      </c>
      <c r="J3256" s="3">
        <v>1.0</v>
      </c>
      <c r="K3256" s="2" t="s">
        <v>13347</v>
      </c>
      <c r="L3256" s="2" t="s">
        <v>973</v>
      </c>
      <c r="M3256" s="2" t="s">
        <v>409</v>
      </c>
      <c r="N3256" s="2" t="s">
        <v>462</v>
      </c>
      <c r="O3256" s="3"/>
      <c r="P3256" s="2" t="s">
        <v>73</v>
      </c>
      <c r="Q3256" s="3">
        <v>550.0</v>
      </c>
      <c r="R3256" s="3">
        <v>0.5</v>
      </c>
      <c r="T3256" s="2" t="s">
        <v>12069</v>
      </c>
      <c r="U3256" s="171">
        <v>1449.0</v>
      </c>
      <c r="V3256" s="172">
        <v>46094.0</v>
      </c>
      <c r="W3256" s="3">
        <v>258.0</v>
      </c>
      <c r="X3256" s="172">
        <v>46092.4994550463</v>
      </c>
      <c r="Y3256" s="172">
        <v>46089.60215644676</v>
      </c>
      <c r="Z3256" s="3">
        <v>46089.0</v>
      </c>
    </row>
    <row r="3257">
      <c r="A3257" s="3">
        <v>6.943185109251E12</v>
      </c>
      <c r="B3257" s="2" t="s">
        <v>13348</v>
      </c>
      <c r="C3257" s="2" t="s">
        <v>13349</v>
      </c>
      <c r="D3257" s="169">
        <v>46089.0</v>
      </c>
      <c r="E3257" s="2">
        <v>3.20678954E9</v>
      </c>
      <c r="F3257" s="2" t="s">
        <v>13350</v>
      </c>
      <c r="G3257" s="2" t="s">
        <v>993</v>
      </c>
      <c r="H3257" s="2">
        <v>249.0</v>
      </c>
      <c r="I3257" s="2">
        <v>2.5120050022423E13</v>
      </c>
      <c r="J3257" s="3">
        <v>0.0</v>
      </c>
      <c r="K3257" s="2" t="s">
        <v>12763</v>
      </c>
      <c r="L3257" s="2"/>
      <c r="M3257" s="170" t="s">
        <v>455</v>
      </c>
      <c r="N3257" s="2" t="s">
        <v>406</v>
      </c>
      <c r="O3257" s="3"/>
      <c r="P3257" s="2" t="s">
        <v>73</v>
      </c>
      <c r="Q3257" s="3">
        <v>0.0</v>
      </c>
      <c r="R3257" s="3">
        <v>0.5</v>
      </c>
      <c r="U3257" s="141"/>
      <c r="W3257" s="3">
        <v>200.0</v>
      </c>
      <c r="X3257" s="172">
        <v>46110.58263847222</v>
      </c>
      <c r="Y3257" s="172">
        <v>46089.60215644676</v>
      </c>
      <c r="Z3257" s="3">
        <v>46089.0</v>
      </c>
    </row>
    <row r="3258">
      <c r="A3258" s="3">
        <v>6.943187960067E12</v>
      </c>
      <c r="B3258" s="2" t="s">
        <v>13351</v>
      </c>
      <c r="C3258" s="2" t="s">
        <v>13352</v>
      </c>
      <c r="D3258" s="169">
        <v>46089.0</v>
      </c>
      <c r="E3258" s="2">
        <v>3.004008889E9</v>
      </c>
      <c r="F3258" s="2" t="s">
        <v>13353</v>
      </c>
      <c r="G3258" s="2" t="s">
        <v>368</v>
      </c>
      <c r="H3258" s="2">
        <v>249.0</v>
      </c>
      <c r="I3258" s="2">
        <v>2.2120050022422E13</v>
      </c>
      <c r="J3258" s="3">
        <v>0.0</v>
      </c>
      <c r="K3258" s="2" t="s">
        <v>13000</v>
      </c>
      <c r="L3258" s="2"/>
      <c r="M3258" s="2" t="s">
        <v>409</v>
      </c>
      <c r="N3258" s="2" t="s">
        <v>462</v>
      </c>
      <c r="O3258" s="3"/>
      <c r="P3258" s="2" t="s">
        <v>73</v>
      </c>
      <c r="Q3258" s="3">
        <v>0.0</v>
      </c>
      <c r="R3258" s="3">
        <v>0.5</v>
      </c>
      <c r="T3258" s="2" t="s">
        <v>12069</v>
      </c>
      <c r="U3258" s="171">
        <v>249.0</v>
      </c>
      <c r="V3258" s="172">
        <v>46094.0</v>
      </c>
      <c r="W3258" s="3">
        <v>241.0</v>
      </c>
      <c r="X3258" s="172">
        <v>46092.832825405094</v>
      </c>
      <c r="Y3258" s="172">
        <v>46089.60215644676</v>
      </c>
      <c r="Z3258" s="3">
        <v>46089.0</v>
      </c>
    </row>
    <row r="3259">
      <c r="A3259" s="3">
        <v>6.943268438275E12</v>
      </c>
      <c r="B3259" s="2" t="s">
        <v>13354</v>
      </c>
      <c r="C3259" s="2" t="s">
        <v>13355</v>
      </c>
      <c r="D3259" s="169">
        <v>46089.0</v>
      </c>
      <c r="E3259" s="2">
        <v>3.005469496E9</v>
      </c>
      <c r="F3259" s="2" t="s">
        <v>13356</v>
      </c>
      <c r="G3259" s="2" t="s">
        <v>958</v>
      </c>
      <c r="H3259" s="2">
        <v>2199.0</v>
      </c>
      <c r="I3259" s="2">
        <v>2.5120050022421E13</v>
      </c>
      <c r="J3259" s="3">
        <v>1.0</v>
      </c>
      <c r="K3259" s="2" t="s">
        <v>13298</v>
      </c>
      <c r="L3259" s="2" t="s">
        <v>220</v>
      </c>
      <c r="M3259" s="2" t="s">
        <v>409</v>
      </c>
      <c r="N3259" s="2" t="s">
        <v>462</v>
      </c>
      <c r="O3259" s="3"/>
      <c r="P3259" s="2" t="s">
        <v>73</v>
      </c>
      <c r="Q3259" s="3">
        <v>360.0</v>
      </c>
      <c r="R3259" s="3">
        <v>0.5</v>
      </c>
      <c r="T3259" s="2" t="s">
        <v>12069</v>
      </c>
      <c r="U3259" s="171">
        <v>2199.0</v>
      </c>
      <c r="V3259" s="172">
        <v>46094.0</v>
      </c>
      <c r="W3259" s="3">
        <v>288.0</v>
      </c>
      <c r="X3259" s="172">
        <v>46092.66612336806</v>
      </c>
      <c r="Y3259" s="172">
        <v>46089.685405717595</v>
      </c>
      <c r="Z3259" s="3">
        <v>46089.0</v>
      </c>
    </row>
    <row r="3260">
      <c r="A3260" s="3">
        <v>6.943273419011E12</v>
      </c>
      <c r="B3260" s="2" t="s">
        <v>13357</v>
      </c>
      <c r="C3260" s="2" t="s">
        <v>13358</v>
      </c>
      <c r="D3260" s="169">
        <v>46089.0</v>
      </c>
      <c r="E3260" s="2">
        <v>3.000478696E9</v>
      </c>
      <c r="F3260" s="2" t="s">
        <v>13359</v>
      </c>
      <c r="G3260" s="2" t="s">
        <v>688</v>
      </c>
      <c r="H3260" s="2">
        <v>0.0</v>
      </c>
      <c r="J3260" s="3">
        <v>0.0</v>
      </c>
      <c r="K3260" s="2" t="s">
        <v>7954</v>
      </c>
      <c r="L3260" s="2"/>
      <c r="M3260" s="2" t="s">
        <v>468</v>
      </c>
      <c r="N3260" s="2" t="s">
        <v>406</v>
      </c>
      <c r="O3260" s="3"/>
      <c r="Q3260" s="3">
        <v>0.0</v>
      </c>
      <c r="R3260" s="3">
        <v>0.5</v>
      </c>
      <c r="U3260" s="141"/>
      <c r="X3260" s="172"/>
      <c r="Y3260" s="172">
        <v>46089.685405717595</v>
      </c>
      <c r="Z3260" s="3">
        <v>46089.0</v>
      </c>
    </row>
    <row r="3261">
      <c r="A3261" s="3">
        <v>6.943276466435E12</v>
      </c>
      <c r="B3261" s="2" t="s">
        <v>13360</v>
      </c>
      <c r="C3261" s="2" t="s">
        <v>13358</v>
      </c>
      <c r="D3261" s="169">
        <v>46089.0</v>
      </c>
      <c r="E3261" s="173" t="s">
        <v>13361</v>
      </c>
      <c r="F3261" s="2" t="s">
        <v>13359</v>
      </c>
      <c r="G3261" s="2" t="s">
        <v>688</v>
      </c>
      <c r="H3261" s="2">
        <v>6647.0</v>
      </c>
      <c r="I3261" s="2">
        <v>2.712005002242E13</v>
      </c>
      <c r="J3261" s="3">
        <v>4.0</v>
      </c>
      <c r="K3261" s="2" t="s">
        <v>13362</v>
      </c>
      <c r="L3261" s="2" t="s">
        <v>13363</v>
      </c>
      <c r="M3261" s="2" t="s">
        <v>409</v>
      </c>
      <c r="N3261" s="2" t="s">
        <v>462</v>
      </c>
      <c r="O3261" s="3"/>
      <c r="P3261" s="2" t="s">
        <v>73</v>
      </c>
      <c r="Q3261" s="3">
        <v>1820.0</v>
      </c>
      <c r="R3261" s="3">
        <v>0.5</v>
      </c>
      <c r="T3261" s="2" t="s">
        <v>12069</v>
      </c>
      <c r="U3261" s="171">
        <v>6647.0</v>
      </c>
      <c r="V3261" s="172">
        <v>46094.0</v>
      </c>
      <c r="W3261" s="3">
        <v>486.0</v>
      </c>
      <c r="X3261" s="172">
        <v>46091.624455763886</v>
      </c>
      <c r="Y3261" s="172">
        <v>46089.685405717595</v>
      </c>
      <c r="Z3261" s="3">
        <v>46089.0</v>
      </c>
    </row>
    <row r="3262">
      <c r="A3262" s="3">
        <v>6.943283740931E12</v>
      </c>
      <c r="B3262" s="2" t="s">
        <v>13364</v>
      </c>
      <c r="C3262" s="2" t="s">
        <v>13365</v>
      </c>
      <c r="D3262" s="169">
        <v>46089.0</v>
      </c>
      <c r="E3262" s="2">
        <v>3.3170008E9</v>
      </c>
      <c r="F3262" s="2" t="s">
        <v>13366</v>
      </c>
      <c r="G3262" s="2" t="s">
        <v>506</v>
      </c>
      <c r="H3262" s="2">
        <v>4649.0</v>
      </c>
      <c r="I3262" s="2">
        <v>2.6120050022419E13</v>
      </c>
      <c r="J3262" s="3">
        <v>3.0</v>
      </c>
      <c r="K3262" s="2" t="s">
        <v>13367</v>
      </c>
      <c r="L3262" s="2" t="s">
        <v>13368</v>
      </c>
      <c r="M3262" s="2" t="s">
        <v>409</v>
      </c>
      <c r="N3262" s="2" t="s">
        <v>462</v>
      </c>
      <c r="O3262" s="3"/>
      <c r="P3262" s="2" t="s">
        <v>73</v>
      </c>
      <c r="Q3262" s="3">
        <v>1080.0</v>
      </c>
      <c r="R3262" s="3">
        <v>0.5</v>
      </c>
      <c r="T3262" s="2" t="s">
        <v>12069</v>
      </c>
      <c r="U3262" s="171">
        <v>4649.0</v>
      </c>
      <c r="V3262" s="172">
        <v>46094.0</v>
      </c>
      <c r="W3262" s="3">
        <v>386.0</v>
      </c>
      <c r="X3262" s="172">
        <v>46092.624400555556</v>
      </c>
      <c r="Y3262" s="172">
        <v>46089.685405717595</v>
      </c>
      <c r="Z3262" s="3">
        <v>46089.0</v>
      </c>
    </row>
    <row r="3263">
      <c r="A3263" s="3">
        <v>6.943323848963E12</v>
      </c>
      <c r="B3263" s="2" t="s">
        <v>13369</v>
      </c>
      <c r="C3263" s="2" t="s">
        <v>13370</v>
      </c>
      <c r="D3263" s="169">
        <v>46089.0</v>
      </c>
      <c r="E3263" s="2">
        <v>3.355571319E9</v>
      </c>
      <c r="F3263" s="2" t="s">
        <v>13371</v>
      </c>
      <c r="G3263" s="2" t="s">
        <v>461</v>
      </c>
      <c r="H3263" s="2">
        <v>3348.0</v>
      </c>
      <c r="I3263" s="2">
        <v>2.4120050022418E13</v>
      </c>
      <c r="J3263" s="3">
        <v>2.0</v>
      </c>
      <c r="K3263" s="2" t="s">
        <v>12227</v>
      </c>
      <c r="L3263" s="2" t="s">
        <v>296</v>
      </c>
      <c r="M3263" s="2" t="s">
        <v>409</v>
      </c>
      <c r="N3263" s="2" t="s">
        <v>462</v>
      </c>
      <c r="O3263" s="3"/>
      <c r="P3263" s="2" t="s">
        <v>73</v>
      </c>
      <c r="Q3263" s="3">
        <v>720.0</v>
      </c>
      <c r="R3263" s="3">
        <v>0.5</v>
      </c>
      <c r="T3263" s="2" t="s">
        <v>12069</v>
      </c>
      <c r="U3263" s="171">
        <v>3348.0</v>
      </c>
      <c r="V3263" s="172">
        <v>46094.0</v>
      </c>
      <c r="W3263" s="3">
        <v>334.0</v>
      </c>
      <c r="X3263" s="172">
        <v>46092.583155659726</v>
      </c>
      <c r="Y3263" s="172">
        <v>46089.72710251158</v>
      </c>
      <c r="Z3263" s="3">
        <v>46089.0</v>
      </c>
    </row>
    <row r="3264">
      <c r="A3264" s="3">
        <v>6.943325192451E12</v>
      </c>
      <c r="B3264" s="2" t="s">
        <v>13372</v>
      </c>
      <c r="C3264" s="2" t="s">
        <v>13373</v>
      </c>
      <c r="D3264" s="169">
        <v>46089.0</v>
      </c>
      <c r="E3264" s="2">
        <v>3.458230607E9</v>
      </c>
      <c r="F3264" s="2" t="s">
        <v>13374</v>
      </c>
      <c r="G3264" s="2" t="s">
        <v>493</v>
      </c>
      <c r="H3264" s="2">
        <v>1799.0</v>
      </c>
      <c r="I3264" s="2">
        <v>2.5120050022417E13</v>
      </c>
      <c r="J3264" s="3">
        <v>1.0</v>
      </c>
      <c r="K3264" s="2" t="s">
        <v>13375</v>
      </c>
      <c r="L3264" s="2" t="s">
        <v>1185</v>
      </c>
      <c r="M3264" s="2" t="s">
        <v>409</v>
      </c>
      <c r="N3264" s="2" t="s">
        <v>462</v>
      </c>
      <c r="O3264" s="3"/>
      <c r="P3264" s="2" t="s">
        <v>73</v>
      </c>
      <c r="Q3264" s="3">
        <v>490.0</v>
      </c>
      <c r="R3264" s="3">
        <v>0.5</v>
      </c>
      <c r="T3264" s="2" t="s">
        <v>12177</v>
      </c>
      <c r="U3264" s="171">
        <v>1799.0</v>
      </c>
      <c r="V3264" s="172">
        <v>46105.0</v>
      </c>
      <c r="W3264" s="3">
        <v>285.0</v>
      </c>
      <c r="X3264" s="172">
        <v>46099.58265287037</v>
      </c>
      <c r="Y3264" s="172">
        <v>46089.72710251158</v>
      </c>
      <c r="Z3264" s="3">
        <v>46089.0</v>
      </c>
    </row>
    <row r="3265">
      <c r="A3265" s="3">
        <v>6.943402787075E12</v>
      </c>
      <c r="B3265" s="2" t="s">
        <v>13376</v>
      </c>
      <c r="C3265" s="2" t="s">
        <v>2450</v>
      </c>
      <c r="D3265" s="169">
        <v>46089.0</v>
      </c>
      <c r="E3265" s="2">
        <v>9.23084114114E11</v>
      </c>
      <c r="F3265" s="2" t="s">
        <v>13377</v>
      </c>
      <c r="G3265" s="2" t="s">
        <v>368</v>
      </c>
      <c r="H3265" s="2">
        <v>3348.0</v>
      </c>
      <c r="I3265" s="2">
        <v>2.9120050022416E13</v>
      </c>
      <c r="J3265" s="3">
        <v>2.0</v>
      </c>
      <c r="K3265" s="2" t="s">
        <v>12227</v>
      </c>
      <c r="L3265" s="2" t="s">
        <v>40</v>
      </c>
      <c r="M3265" s="2" t="s">
        <v>409</v>
      </c>
      <c r="N3265" s="2" t="s">
        <v>462</v>
      </c>
      <c r="O3265" s="3"/>
      <c r="P3265" s="2" t="s">
        <v>73</v>
      </c>
      <c r="Q3265" s="3">
        <v>720.0</v>
      </c>
      <c r="R3265" s="3">
        <v>0.5</v>
      </c>
      <c r="T3265" s="2" t="s">
        <v>12069</v>
      </c>
      <c r="U3265" s="171">
        <v>3348.0</v>
      </c>
      <c r="V3265" s="172">
        <v>46094.0</v>
      </c>
      <c r="W3265" s="3">
        <v>241.0</v>
      </c>
      <c r="X3265" s="172">
        <v>46091.666085590274</v>
      </c>
      <c r="Y3265" s="172">
        <v>46089.81043380787</v>
      </c>
      <c r="Z3265" s="3">
        <v>46089.0</v>
      </c>
    </row>
    <row r="3266">
      <c r="A3266" s="3">
        <v>6.943550243075E12</v>
      </c>
      <c r="B3266" s="2" t="s">
        <v>13378</v>
      </c>
      <c r="C3266" s="2" t="s">
        <v>13379</v>
      </c>
      <c r="D3266" s="169">
        <v>46089.0</v>
      </c>
      <c r="E3266" s="2">
        <v>3.235859321E9</v>
      </c>
      <c r="F3266" s="2" t="s">
        <v>13380</v>
      </c>
      <c r="G3266" s="2" t="s">
        <v>368</v>
      </c>
      <c r="H3266" s="2">
        <v>0.0</v>
      </c>
      <c r="J3266" s="3">
        <v>0.0</v>
      </c>
      <c r="K3266" s="2" t="s">
        <v>13381</v>
      </c>
      <c r="L3266" s="2"/>
      <c r="M3266" s="2" t="s">
        <v>468</v>
      </c>
      <c r="N3266" s="2" t="s">
        <v>406</v>
      </c>
      <c r="O3266" s="3"/>
      <c r="Q3266" s="3">
        <v>0.0</v>
      </c>
      <c r="R3266" s="3">
        <v>0.5</v>
      </c>
      <c r="U3266" s="141"/>
      <c r="X3266" s="172"/>
      <c r="Y3266" s="172">
        <v>46089.8937703588</v>
      </c>
      <c r="Z3266" s="3">
        <v>46089.0</v>
      </c>
    </row>
    <row r="3267">
      <c r="A3267" s="3">
        <v>6.943601459459E12</v>
      </c>
      <c r="B3267" s="2" t="s">
        <v>13382</v>
      </c>
      <c r="C3267" s="2" t="s">
        <v>9698</v>
      </c>
      <c r="D3267" s="169">
        <v>46089.0</v>
      </c>
      <c r="E3267" s="2">
        <v>3.017468888E9</v>
      </c>
      <c r="F3267" s="2" t="s">
        <v>9699</v>
      </c>
      <c r="G3267" s="2" t="s">
        <v>9700</v>
      </c>
      <c r="H3267" s="2">
        <v>3149.0</v>
      </c>
      <c r="I3267" s="2">
        <v>2.912005002243E13</v>
      </c>
      <c r="J3267" s="3">
        <v>2.0</v>
      </c>
      <c r="K3267" s="2" t="s">
        <v>13383</v>
      </c>
      <c r="L3267" s="2" t="s">
        <v>40</v>
      </c>
      <c r="M3267" s="2" t="s">
        <v>409</v>
      </c>
      <c r="N3267" s="2" t="s">
        <v>462</v>
      </c>
      <c r="O3267" s="3"/>
      <c r="P3267" s="2" t="s">
        <v>73</v>
      </c>
      <c r="Q3267" s="3">
        <v>720.0</v>
      </c>
      <c r="R3267" s="3">
        <v>0.5</v>
      </c>
      <c r="T3267" s="2" t="s">
        <v>12069</v>
      </c>
      <c r="U3267" s="171">
        <v>3149.0</v>
      </c>
      <c r="V3267" s="172">
        <v>46094.0</v>
      </c>
      <c r="W3267" s="3">
        <v>326.0</v>
      </c>
      <c r="X3267" s="172">
        <v>46092.70775180556</v>
      </c>
      <c r="Y3267" s="172">
        <v>46089.93541918982</v>
      </c>
      <c r="Z3267" s="3">
        <v>46089.0</v>
      </c>
    </row>
    <row r="3268">
      <c r="A3268" s="3">
        <v>6.943607783683E12</v>
      </c>
      <c r="B3268" s="2" t="s">
        <v>13384</v>
      </c>
      <c r="C3268" s="2" t="s">
        <v>13385</v>
      </c>
      <c r="D3268" s="169">
        <v>46089.0</v>
      </c>
      <c r="E3268" s="2">
        <v>3.045336513E9</v>
      </c>
      <c r="F3268" s="2" t="s">
        <v>13386</v>
      </c>
      <c r="G3268" s="2" t="s">
        <v>368</v>
      </c>
      <c r="H3268" s="2">
        <v>2924.0</v>
      </c>
      <c r="I3268" s="2">
        <v>2.5120050022415E13</v>
      </c>
      <c r="J3268" s="3">
        <v>2.0</v>
      </c>
      <c r="K3268" s="2" t="s">
        <v>13119</v>
      </c>
      <c r="L3268" s="2" t="s">
        <v>35</v>
      </c>
      <c r="M3268" s="2" t="s">
        <v>409</v>
      </c>
      <c r="N3268" s="2" t="s">
        <v>462</v>
      </c>
      <c r="O3268" s="3"/>
      <c r="P3268" s="2" t="s">
        <v>73</v>
      </c>
      <c r="Q3268" s="3">
        <v>980.0</v>
      </c>
      <c r="R3268" s="3">
        <v>0.5</v>
      </c>
      <c r="T3268" s="2" t="s">
        <v>12069</v>
      </c>
      <c r="U3268" s="171">
        <v>2924.0</v>
      </c>
      <c r="V3268" s="172">
        <v>46094.0</v>
      </c>
      <c r="W3268" s="3">
        <v>224.0</v>
      </c>
      <c r="X3268" s="172">
        <v>46091.582816712966</v>
      </c>
      <c r="Y3268" s="172">
        <v>46089.93541918982</v>
      </c>
      <c r="Z3268" s="3">
        <v>46089.0</v>
      </c>
    </row>
    <row r="3269">
      <c r="A3269" s="3">
        <v>6.943642124547E12</v>
      </c>
      <c r="B3269" s="2" t="s">
        <v>13387</v>
      </c>
      <c r="C3269" s="2" t="s">
        <v>13388</v>
      </c>
      <c r="D3269" s="169">
        <v>46089.0</v>
      </c>
      <c r="E3269" s="2">
        <v>3.214141441E9</v>
      </c>
      <c r="F3269" s="2" t="s">
        <v>13389</v>
      </c>
      <c r="G3269" s="2" t="s">
        <v>4900</v>
      </c>
      <c r="H3269" s="2">
        <v>1899.0</v>
      </c>
      <c r="I3269" s="2">
        <v>2.112005002239E13</v>
      </c>
      <c r="J3269" s="3">
        <v>1.0</v>
      </c>
      <c r="K3269" s="2" t="s">
        <v>13305</v>
      </c>
      <c r="L3269" s="2" t="s">
        <v>3440</v>
      </c>
      <c r="M3269" s="2" t="s">
        <v>409</v>
      </c>
      <c r="N3269" s="2" t="s">
        <v>462</v>
      </c>
      <c r="O3269" s="3"/>
      <c r="P3269" s="2" t="s">
        <v>73</v>
      </c>
      <c r="Q3269" s="3">
        <v>550.0</v>
      </c>
      <c r="R3269" s="3">
        <v>0.5</v>
      </c>
      <c r="T3269" s="2" t="s">
        <v>12069</v>
      </c>
      <c r="U3269" s="171">
        <v>1899.0</v>
      </c>
      <c r="V3269" s="172">
        <v>46094.0</v>
      </c>
      <c r="W3269" s="3">
        <v>276.0</v>
      </c>
      <c r="X3269" s="172">
        <v>46092.70775181713</v>
      </c>
      <c r="Y3269" s="172">
        <v>46089.93541918982</v>
      </c>
      <c r="Z3269" s="3">
        <v>46089.0</v>
      </c>
    </row>
    <row r="3270">
      <c r="A3270" s="3">
        <v>6.943688032515E12</v>
      </c>
      <c r="B3270" s="2" t="s">
        <v>13390</v>
      </c>
      <c r="C3270" s="2" t="s">
        <v>13391</v>
      </c>
      <c r="D3270" s="169">
        <v>46089.0</v>
      </c>
      <c r="E3270" s="2">
        <v>3.168237953E9</v>
      </c>
      <c r="F3270" s="2" t="s">
        <v>13392</v>
      </c>
      <c r="G3270" s="2" t="s">
        <v>13393</v>
      </c>
      <c r="H3270" s="2">
        <v>249.0</v>
      </c>
      <c r="I3270" s="2">
        <v>1.73011624322E11</v>
      </c>
      <c r="J3270" s="3">
        <v>0.0</v>
      </c>
      <c r="K3270" s="2" t="s">
        <v>204</v>
      </c>
      <c r="L3270" s="2"/>
      <c r="M3270" s="170" t="s">
        <v>455</v>
      </c>
      <c r="N3270" s="2" t="s">
        <v>406</v>
      </c>
      <c r="O3270" s="3"/>
      <c r="P3270" s="2" t="s">
        <v>501</v>
      </c>
      <c r="Q3270" s="3">
        <v>0.0</v>
      </c>
      <c r="R3270" s="3">
        <v>0.5</v>
      </c>
      <c r="U3270" s="141"/>
      <c r="X3270" s="172">
        <v>46122.08279940972</v>
      </c>
      <c r="Y3270" s="172">
        <v>46089.97709059028</v>
      </c>
      <c r="Z3270" s="3">
        <v>46089.0</v>
      </c>
    </row>
    <row r="3271">
      <c r="A3271" s="3">
        <v>6.943780602115E12</v>
      </c>
      <c r="B3271" s="2" t="s">
        <v>13394</v>
      </c>
      <c r="C3271" s="2" t="s">
        <v>13395</v>
      </c>
      <c r="D3271" s="169">
        <v>46090.0</v>
      </c>
      <c r="E3271" s="2">
        <v>3.41503542E9</v>
      </c>
      <c r="F3271" s="2" t="s">
        <v>13396</v>
      </c>
      <c r="G3271" s="2" t="s">
        <v>484</v>
      </c>
      <c r="H3271" s="2">
        <v>0.0</v>
      </c>
      <c r="I3271" s="2" t="s">
        <v>13397</v>
      </c>
      <c r="J3271" s="3">
        <v>0.0</v>
      </c>
      <c r="K3271" s="2" t="s">
        <v>13398</v>
      </c>
      <c r="L3271" s="2"/>
      <c r="M3271" s="170" t="s">
        <v>455</v>
      </c>
      <c r="N3271" s="2" t="s">
        <v>406</v>
      </c>
      <c r="O3271" s="3"/>
      <c r="P3271" s="2" t="s">
        <v>640</v>
      </c>
      <c r="Q3271" s="3">
        <v>0.0</v>
      </c>
      <c r="R3271" s="3">
        <v>0.5</v>
      </c>
      <c r="U3271" s="141"/>
      <c r="X3271" s="172">
        <v>46122.082758854165</v>
      </c>
      <c r="Y3271" s="172">
        <v>46090.01875368056</v>
      </c>
      <c r="Z3271" s="3">
        <v>46090.0</v>
      </c>
    </row>
    <row r="3272">
      <c r="A3272" s="3">
        <v>6.943798722819E12</v>
      </c>
      <c r="B3272" s="2" t="s">
        <v>13399</v>
      </c>
      <c r="C3272" s="2" t="s">
        <v>13400</v>
      </c>
      <c r="D3272" s="169">
        <v>46090.0</v>
      </c>
      <c r="E3272" s="2">
        <v>3.327863111E9</v>
      </c>
      <c r="F3272" s="2" t="s">
        <v>13401</v>
      </c>
      <c r="G3272" s="2" t="s">
        <v>1016</v>
      </c>
      <c r="H3272" s="2">
        <v>2649.0</v>
      </c>
      <c r="I3272" s="2">
        <v>2.2120050022414E13</v>
      </c>
      <c r="J3272" s="3">
        <v>2.0</v>
      </c>
      <c r="K3272" s="2" t="s">
        <v>13402</v>
      </c>
      <c r="L3272" s="2" t="s">
        <v>13403</v>
      </c>
      <c r="M3272" s="2" t="s">
        <v>409</v>
      </c>
      <c r="N3272" s="2" t="s">
        <v>462</v>
      </c>
      <c r="O3272" s="3"/>
      <c r="P3272" s="2" t="s">
        <v>73</v>
      </c>
      <c r="Q3272" s="3">
        <v>1100.0</v>
      </c>
      <c r="R3272" s="3">
        <v>0.5</v>
      </c>
      <c r="T3272" s="2" t="s">
        <v>12069</v>
      </c>
      <c r="U3272" s="171">
        <v>2649.0</v>
      </c>
      <c r="V3272" s="172">
        <v>46094.0</v>
      </c>
      <c r="W3272" s="3">
        <v>306.0</v>
      </c>
      <c r="X3272" s="172">
        <v>46092.74971428241</v>
      </c>
      <c r="Y3272" s="172">
        <v>46090.01875368056</v>
      </c>
      <c r="Z3272" s="3">
        <v>46090.0</v>
      </c>
    </row>
    <row r="3273">
      <c r="A3273" s="3">
        <v>6.943834308867E12</v>
      </c>
      <c r="B3273" s="2" t="s">
        <v>13404</v>
      </c>
      <c r="C3273" s="2" t="s">
        <v>13405</v>
      </c>
      <c r="D3273" s="169">
        <v>46090.0</v>
      </c>
      <c r="E3273" s="2">
        <v>3.016400089E9</v>
      </c>
      <c r="F3273" s="2" t="s">
        <v>13406</v>
      </c>
      <c r="G3273" s="2" t="s">
        <v>541</v>
      </c>
      <c r="H3273" s="2">
        <v>3348.0</v>
      </c>
      <c r="I3273" s="2">
        <v>2.0120050022389E13</v>
      </c>
      <c r="J3273" s="3">
        <v>2.0</v>
      </c>
      <c r="K3273" s="2" t="s">
        <v>12227</v>
      </c>
      <c r="L3273" s="2" t="s">
        <v>296</v>
      </c>
      <c r="M3273" s="2" t="s">
        <v>409</v>
      </c>
      <c r="N3273" s="2" t="s">
        <v>462</v>
      </c>
      <c r="O3273" s="3"/>
      <c r="P3273" s="2" t="s">
        <v>73</v>
      </c>
      <c r="Q3273" s="3">
        <v>720.0</v>
      </c>
      <c r="R3273" s="3">
        <v>0.5</v>
      </c>
      <c r="T3273" s="2" t="s">
        <v>12069</v>
      </c>
      <c r="U3273" s="171">
        <v>3348.0</v>
      </c>
      <c r="V3273" s="172">
        <v>46094.0</v>
      </c>
      <c r="W3273" s="3">
        <v>334.0</v>
      </c>
      <c r="X3273" s="172">
        <v>46092.624400625005</v>
      </c>
      <c r="Y3273" s="172">
        <v>46090.06041871528</v>
      </c>
      <c r="Z3273" s="3">
        <v>46090.0</v>
      </c>
    </row>
    <row r="3274">
      <c r="A3274" s="3">
        <v>6.943866683651E12</v>
      </c>
      <c r="B3274" s="2" t="s">
        <v>13407</v>
      </c>
      <c r="C3274" s="2" t="s">
        <v>13405</v>
      </c>
      <c r="D3274" s="169">
        <v>46090.0</v>
      </c>
      <c r="E3274" s="173" t="s">
        <v>13408</v>
      </c>
      <c r="F3274" s="2" t="s">
        <v>13406</v>
      </c>
      <c r="G3274" s="2" t="s">
        <v>541</v>
      </c>
      <c r="H3274" s="2">
        <v>0.0</v>
      </c>
      <c r="J3274" s="3">
        <v>0.0</v>
      </c>
      <c r="K3274" s="2" t="s">
        <v>7954</v>
      </c>
      <c r="L3274" s="2"/>
      <c r="M3274" s="2" t="s">
        <v>468</v>
      </c>
      <c r="N3274" s="2" t="s">
        <v>406</v>
      </c>
      <c r="O3274" s="3"/>
      <c r="Q3274" s="3">
        <v>0.0</v>
      </c>
      <c r="R3274" s="3">
        <v>0.5</v>
      </c>
      <c r="U3274" s="141"/>
      <c r="X3274" s="172"/>
      <c r="Y3274" s="172">
        <v>46090.06041871528</v>
      </c>
      <c r="Z3274" s="3">
        <v>46090.0</v>
      </c>
    </row>
    <row r="3275">
      <c r="A3275" s="3">
        <v>6.944017023235E12</v>
      </c>
      <c r="B3275" s="2" t="s">
        <v>13409</v>
      </c>
      <c r="C3275" s="2" t="s">
        <v>13410</v>
      </c>
      <c r="D3275" s="169">
        <v>46090.0</v>
      </c>
      <c r="E3275" s="173" t="s">
        <v>13411</v>
      </c>
      <c r="F3275" s="2" t="s">
        <v>13412</v>
      </c>
      <c r="G3275" s="2" t="s">
        <v>3305</v>
      </c>
      <c r="H3275" s="2">
        <v>3348.0</v>
      </c>
      <c r="I3275" s="2">
        <v>2.0120050022388E13</v>
      </c>
      <c r="J3275" s="3">
        <v>2.0</v>
      </c>
      <c r="K3275" s="2" t="s">
        <v>12227</v>
      </c>
      <c r="L3275" s="2" t="s">
        <v>13413</v>
      </c>
      <c r="M3275" s="2" t="s">
        <v>409</v>
      </c>
      <c r="N3275" s="2" t="s">
        <v>462</v>
      </c>
      <c r="O3275" s="3"/>
      <c r="P3275" s="2" t="s">
        <v>73</v>
      </c>
      <c r="Q3275" s="3">
        <v>800.0</v>
      </c>
      <c r="R3275" s="3">
        <v>0.5</v>
      </c>
      <c r="T3275" s="2" t="s">
        <v>12069</v>
      </c>
      <c r="U3275" s="171">
        <v>3348.0</v>
      </c>
      <c r="V3275" s="172">
        <v>46094.0</v>
      </c>
      <c r="W3275" s="3">
        <v>334.0</v>
      </c>
      <c r="X3275" s="172">
        <v>46092.49945672454</v>
      </c>
      <c r="Y3275" s="172">
        <v>46090.185406805555</v>
      </c>
      <c r="Z3275" s="3">
        <v>46090.0</v>
      </c>
    </row>
    <row r="3276">
      <c r="A3276" s="3">
        <v>6.944036192515E12</v>
      </c>
      <c r="B3276" s="2" t="s">
        <v>13414</v>
      </c>
      <c r="C3276" s="2" t="s">
        <v>13415</v>
      </c>
      <c r="D3276" s="169">
        <v>46090.0</v>
      </c>
      <c r="E3276" s="2">
        <v>3.335214576E9</v>
      </c>
      <c r="F3276" s="2" t="s">
        <v>13416</v>
      </c>
      <c r="G3276" s="2" t="s">
        <v>366</v>
      </c>
      <c r="H3276" s="2">
        <v>2849.0</v>
      </c>
      <c r="I3276" s="2">
        <v>2.1120050022413E13</v>
      </c>
      <c r="J3276" s="3">
        <v>2.0</v>
      </c>
      <c r="K3276" s="2" t="s">
        <v>13104</v>
      </c>
      <c r="L3276" s="2" t="s">
        <v>4209</v>
      </c>
      <c r="M3276" s="2" t="s">
        <v>409</v>
      </c>
      <c r="N3276" s="2" t="s">
        <v>462</v>
      </c>
      <c r="O3276" s="3"/>
      <c r="P3276" s="2" t="s">
        <v>73</v>
      </c>
      <c r="Q3276" s="3">
        <v>720.0</v>
      </c>
      <c r="R3276" s="3">
        <v>0.5</v>
      </c>
      <c r="T3276" s="2" t="s">
        <v>12069</v>
      </c>
      <c r="U3276" s="171">
        <v>2849.0</v>
      </c>
      <c r="V3276" s="172">
        <v>46094.0</v>
      </c>
      <c r="W3276" s="3">
        <v>314.0</v>
      </c>
      <c r="X3276" s="172">
        <v>46092.79112927083</v>
      </c>
      <c r="Y3276" s="172">
        <v>46090.185406805555</v>
      </c>
      <c r="Z3276" s="3">
        <v>46090.0</v>
      </c>
    </row>
    <row r="3277">
      <c r="A3277" s="3">
        <v>6.944064012547E12</v>
      </c>
      <c r="B3277" s="2" t="s">
        <v>13417</v>
      </c>
      <c r="C3277" s="2" t="s">
        <v>13418</v>
      </c>
      <c r="D3277" s="169">
        <v>46090.0</v>
      </c>
      <c r="E3277" s="2">
        <v>3.421007462E9</v>
      </c>
      <c r="F3277" s="2" t="s">
        <v>13419</v>
      </c>
      <c r="G3277" s="2" t="s">
        <v>493</v>
      </c>
      <c r="H3277" s="2">
        <v>2924.0</v>
      </c>
      <c r="I3277" s="2">
        <v>2.3120050022473E13</v>
      </c>
      <c r="J3277" s="3">
        <v>2.0</v>
      </c>
      <c r="K3277" s="2" t="s">
        <v>13420</v>
      </c>
      <c r="L3277" s="2" t="s">
        <v>16</v>
      </c>
      <c r="M3277" s="2" t="s">
        <v>409</v>
      </c>
      <c r="N3277" s="2" t="s">
        <v>462</v>
      </c>
      <c r="O3277" s="3"/>
      <c r="P3277" s="2" t="s">
        <v>73</v>
      </c>
      <c r="Q3277" s="3">
        <v>980.0</v>
      </c>
      <c r="R3277" s="3">
        <v>0.5</v>
      </c>
      <c r="T3277" s="2" t="s">
        <v>13421</v>
      </c>
      <c r="U3277" s="171">
        <v>2924.0</v>
      </c>
      <c r="V3277" s="172">
        <v>46108.0</v>
      </c>
      <c r="W3277" s="3">
        <v>330.4</v>
      </c>
      <c r="X3277" s="172">
        <v>46105.7076108912</v>
      </c>
      <c r="Y3277" s="172">
        <v>46090.22710498843</v>
      </c>
      <c r="Z3277" s="3">
        <v>46090.0</v>
      </c>
    </row>
    <row r="3278">
      <c r="A3278" s="3">
        <v>6.944074596611E12</v>
      </c>
      <c r="B3278" s="2" t="s">
        <v>13422</v>
      </c>
      <c r="C3278" s="2" t="s">
        <v>13423</v>
      </c>
      <c r="D3278" s="169">
        <v>46090.0</v>
      </c>
      <c r="E3278" s="173" t="s">
        <v>13424</v>
      </c>
      <c r="F3278" s="2" t="s">
        <v>13425</v>
      </c>
      <c r="G3278" s="2" t="s">
        <v>374</v>
      </c>
      <c r="H3278" s="2">
        <v>2849.0</v>
      </c>
      <c r="I3278" s="2">
        <v>2.9120050022412E13</v>
      </c>
      <c r="J3278" s="3">
        <v>2.0</v>
      </c>
      <c r="K3278" s="2" t="s">
        <v>13104</v>
      </c>
      <c r="L3278" s="2" t="s">
        <v>2906</v>
      </c>
      <c r="M3278" s="2" t="s">
        <v>409</v>
      </c>
      <c r="N3278" s="2" t="s">
        <v>462</v>
      </c>
      <c r="O3278" s="3"/>
      <c r="P3278" s="2" t="s">
        <v>73</v>
      </c>
      <c r="Q3278" s="3">
        <v>800.0</v>
      </c>
      <c r="R3278" s="3">
        <v>0.5</v>
      </c>
      <c r="T3278" s="2" t="s">
        <v>12069</v>
      </c>
      <c r="U3278" s="171">
        <v>2849.0</v>
      </c>
      <c r="V3278" s="172">
        <v>46094.0</v>
      </c>
      <c r="W3278" s="3">
        <v>314.0</v>
      </c>
      <c r="X3278" s="172">
        <v>46091.62448590278</v>
      </c>
      <c r="Y3278" s="172">
        <v>46090.22710498843</v>
      </c>
      <c r="Z3278" s="3">
        <v>46090.0</v>
      </c>
    </row>
    <row r="3279">
      <c r="A3279" s="3">
        <v>6.944147079427E12</v>
      </c>
      <c r="B3279" s="2" t="s">
        <v>13426</v>
      </c>
      <c r="C3279" s="2" t="s">
        <v>13427</v>
      </c>
      <c r="D3279" s="169">
        <v>46090.0</v>
      </c>
      <c r="E3279" s="2">
        <v>3.284920308E9</v>
      </c>
      <c r="F3279" s="2" t="s">
        <v>13428</v>
      </c>
      <c r="G3279" s="2" t="s">
        <v>368</v>
      </c>
      <c r="H3279" s="2">
        <v>0.0</v>
      </c>
      <c r="I3279" s="2">
        <v>2.2120050022487E13</v>
      </c>
      <c r="J3279" s="3">
        <v>0.0</v>
      </c>
      <c r="K3279" s="2" t="s">
        <v>13429</v>
      </c>
      <c r="L3279" s="2"/>
      <c r="M3279" s="170" t="s">
        <v>455</v>
      </c>
      <c r="N3279" s="2" t="s">
        <v>406</v>
      </c>
      <c r="O3279" s="3"/>
      <c r="P3279" s="2" t="s">
        <v>73</v>
      </c>
      <c r="Q3279" s="3">
        <v>0.0</v>
      </c>
      <c r="R3279" s="3">
        <v>0.5</v>
      </c>
      <c r="U3279" s="141"/>
      <c r="W3279" s="3">
        <v>187.0</v>
      </c>
      <c r="X3279" s="172">
        <v>46099.74940934028</v>
      </c>
      <c r="Y3279" s="172">
        <v>46090.26875614583</v>
      </c>
      <c r="Z3279" s="3">
        <v>46090.0</v>
      </c>
    </row>
    <row r="3280">
      <c r="A3280" s="3">
        <v>6.944185745667E12</v>
      </c>
      <c r="B3280" s="2" t="s">
        <v>13430</v>
      </c>
      <c r="C3280" s="2" t="s">
        <v>13431</v>
      </c>
      <c r="D3280" s="169">
        <v>46090.0</v>
      </c>
      <c r="E3280" s="2">
        <v>3.006174004E9</v>
      </c>
      <c r="F3280" s="2" t="s">
        <v>13432</v>
      </c>
      <c r="G3280" s="2" t="s">
        <v>688</v>
      </c>
      <c r="H3280" s="2">
        <v>3348.0</v>
      </c>
      <c r="I3280" s="2">
        <v>2.1120050022411E13</v>
      </c>
      <c r="J3280" s="3">
        <v>2.0</v>
      </c>
      <c r="K3280" s="2" t="s">
        <v>13433</v>
      </c>
      <c r="L3280" s="2" t="s">
        <v>13434</v>
      </c>
      <c r="M3280" s="2" t="s">
        <v>409</v>
      </c>
      <c r="N3280" s="2" t="s">
        <v>462</v>
      </c>
      <c r="O3280" s="3"/>
      <c r="P3280" s="2" t="s">
        <v>73</v>
      </c>
      <c r="Q3280" s="3">
        <v>800.0</v>
      </c>
      <c r="R3280" s="3">
        <v>0.5</v>
      </c>
      <c r="T3280" s="2" t="s">
        <v>12069</v>
      </c>
      <c r="U3280" s="171">
        <v>3348.0</v>
      </c>
      <c r="V3280" s="172">
        <v>46094.0</v>
      </c>
      <c r="W3280" s="3">
        <v>334.0</v>
      </c>
      <c r="X3280" s="172">
        <v>46091.707819664356</v>
      </c>
      <c r="Y3280" s="172">
        <v>46090.31042920139</v>
      </c>
      <c r="Z3280" s="3">
        <v>46090.0</v>
      </c>
    </row>
    <row r="3281">
      <c r="A3281" s="3">
        <v>6.944330809603E12</v>
      </c>
      <c r="B3281" s="2" t="s">
        <v>13435</v>
      </c>
      <c r="C3281" s="2" t="s">
        <v>1603</v>
      </c>
      <c r="D3281" s="169">
        <v>46090.0</v>
      </c>
      <c r="E3281" s="173" t="s">
        <v>13436</v>
      </c>
      <c r="F3281" s="2" t="s">
        <v>13437</v>
      </c>
      <c r="G3281" s="2" t="s">
        <v>3305</v>
      </c>
      <c r="H3281" s="2">
        <v>3348.0</v>
      </c>
      <c r="I3281" s="2">
        <v>2.112005002241E13</v>
      </c>
      <c r="J3281" s="3">
        <v>2.0</v>
      </c>
      <c r="K3281" s="2" t="s">
        <v>12227</v>
      </c>
      <c r="L3281" s="2" t="s">
        <v>275</v>
      </c>
      <c r="M3281" s="2" t="s">
        <v>409</v>
      </c>
      <c r="N3281" s="2" t="s">
        <v>462</v>
      </c>
      <c r="O3281" s="3"/>
      <c r="P3281" s="2" t="s">
        <v>73</v>
      </c>
      <c r="Q3281" s="3">
        <v>800.0</v>
      </c>
      <c r="R3281" s="3">
        <v>0.5</v>
      </c>
      <c r="T3281" s="2" t="s">
        <v>12069</v>
      </c>
      <c r="U3281" s="171">
        <v>3348.0</v>
      </c>
      <c r="V3281" s="172">
        <v>46094.0</v>
      </c>
      <c r="W3281" s="3">
        <v>334.0</v>
      </c>
      <c r="X3281" s="172">
        <v>46092.457804722224</v>
      </c>
      <c r="Y3281" s="172">
        <v>46090.43542195602</v>
      </c>
      <c r="Z3281" s="3">
        <v>46090.0</v>
      </c>
    </row>
    <row r="3282">
      <c r="A3282" s="3">
        <v>6.944335331587E12</v>
      </c>
      <c r="B3282" s="2" t="s">
        <v>13438</v>
      </c>
      <c r="C3282" s="2" t="s">
        <v>13439</v>
      </c>
      <c r="D3282" s="169">
        <v>46090.0</v>
      </c>
      <c r="E3282" s="2">
        <v>3.082220357E9</v>
      </c>
      <c r="F3282" s="2" t="s">
        <v>13440</v>
      </c>
      <c r="G3282" s="2" t="s">
        <v>541</v>
      </c>
      <c r="H3282" s="2">
        <v>2849.0</v>
      </c>
      <c r="I3282" s="2">
        <v>2.7120050022409E13</v>
      </c>
      <c r="J3282" s="3">
        <v>2.0</v>
      </c>
      <c r="K3282" s="2" t="s">
        <v>13104</v>
      </c>
      <c r="L3282" s="2" t="s">
        <v>13441</v>
      </c>
      <c r="M3282" s="2" t="s">
        <v>409</v>
      </c>
      <c r="N3282" s="2" t="s">
        <v>462</v>
      </c>
      <c r="O3282" s="3"/>
      <c r="P3282" s="2" t="s">
        <v>73</v>
      </c>
      <c r="Q3282" s="3">
        <v>720.0</v>
      </c>
      <c r="R3282" s="3">
        <v>0.5</v>
      </c>
      <c r="T3282" s="2" t="s">
        <v>12069</v>
      </c>
      <c r="U3282" s="171">
        <v>2849.0</v>
      </c>
      <c r="V3282" s="172">
        <v>46094.0</v>
      </c>
      <c r="W3282" s="3">
        <v>314.0</v>
      </c>
      <c r="X3282" s="172">
        <v>46092.58316689815</v>
      </c>
      <c r="Y3282" s="172">
        <v>46090.43542195602</v>
      </c>
      <c r="Z3282" s="3">
        <v>46090.0</v>
      </c>
    </row>
    <row r="3283">
      <c r="A3283" s="3">
        <v>6.944427442435E12</v>
      </c>
      <c r="B3283" s="2" t="s">
        <v>13442</v>
      </c>
      <c r="C3283" s="2" t="s">
        <v>13443</v>
      </c>
      <c r="D3283" s="169">
        <v>46090.0</v>
      </c>
      <c r="E3283" s="2">
        <v>3.003684815E9</v>
      </c>
      <c r="F3283" s="2" t="s">
        <v>13444</v>
      </c>
      <c r="G3283" s="2" t="s">
        <v>493</v>
      </c>
      <c r="H3283" s="2">
        <v>1799.0</v>
      </c>
      <c r="I3283" s="2">
        <v>2.2120050022387E13</v>
      </c>
      <c r="J3283" s="3">
        <v>1.0</v>
      </c>
      <c r="K3283" s="2" t="s">
        <v>13445</v>
      </c>
      <c r="L3283" s="2" t="s">
        <v>1185</v>
      </c>
      <c r="M3283" s="2" t="s">
        <v>409</v>
      </c>
      <c r="N3283" s="2" t="s">
        <v>462</v>
      </c>
      <c r="O3283" s="3"/>
      <c r="P3283" s="2" t="s">
        <v>73</v>
      </c>
      <c r="Q3283" s="3">
        <v>490.0</v>
      </c>
      <c r="R3283" s="3">
        <v>0.5</v>
      </c>
      <c r="T3283" s="2" t="s">
        <v>12177</v>
      </c>
      <c r="U3283" s="171">
        <v>1799.0</v>
      </c>
      <c r="V3283" s="172">
        <v>46105.0</v>
      </c>
      <c r="W3283" s="3">
        <v>285.0</v>
      </c>
      <c r="X3283" s="172">
        <v>46099.749409421296</v>
      </c>
      <c r="Y3283" s="172">
        <v>46090.51877792824</v>
      </c>
      <c r="Z3283" s="3">
        <v>46090.0</v>
      </c>
    </row>
    <row r="3284">
      <c r="A3284" s="3">
        <v>6.944429244675E12</v>
      </c>
      <c r="B3284" s="2" t="s">
        <v>13446</v>
      </c>
      <c r="C3284" s="2" t="s">
        <v>13447</v>
      </c>
      <c r="D3284" s="169">
        <v>46090.0</v>
      </c>
      <c r="E3284" s="2">
        <v>3.465981332E9</v>
      </c>
      <c r="F3284" s="2" t="s">
        <v>13448</v>
      </c>
      <c r="G3284" s="2" t="s">
        <v>13090</v>
      </c>
      <c r="H3284" s="2">
        <v>249.0</v>
      </c>
      <c r="I3284" s="2">
        <v>2.3120050022408E13</v>
      </c>
      <c r="J3284" s="3">
        <v>0.0</v>
      </c>
      <c r="K3284" s="2" t="s">
        <v>13104</v>
      </c>
      <c r="L3284" s="2"/>
      <c r="M3284" s="2" t="s">
        <v>409</v>
      </c>
      <c r="N3284" s="2" t="s">
        <v>406</v>
      </c>
      <c r="O3284" s="3"/>
      <c r="P3284" s="2" t="s">
        <v>73</v>
      </c>
      <c r="Q3284" s="3">
        <v>0.0</v>
      </c>
      <c r="R3284" s="3">
        <v>0.5</v>
      </c>
      <c r="T3284" s="2" t="s">
        <v>12069</v>
      </c>
      <c r="U3284" s="171">
        <v>249.0</v>
      </c>
      <c r="V3284" s="172">
        <v>46094.0</v>
      </c>
      <c r="W3284" s="3">
        <v>327.0</v>
      </c>
      <c r="X3284" s="172">
        <v>46092.832825879625</v>
      </c>
      <c r="Y3284" s="172">
        <v>46090.51877792824</v>
      </c>
      <c r="Z3284" s="3">
        <v>46090.0</v>
      </c>
    </row>
    <row r="3285">
      <c r="A3285" s="3">
        <v>6.944455295235E12</v>
      </c>
      <c r="B3285" s="2" t="s">
        <v>13449</v>
      </c>
      <c r="C3285" s="2" t="s">
        <v>13450</v>
      </c>
      <c r="D3285" s="169">
        <v>46090.0</v>
      </c>
      <c r="E3285" s="2">
        <v>3.088672624E9</v>
      </c>
      <c r="F3285" s="2" t="s">
        <v>13451</v>
      </c>
      <c r="G3285" s="2" t="s">
        <v>13452</v>
      </c>
      <c r="H3285" s="2">
        <v>3348.0</v>
      </c>
      <c r="I3285" s="2">
        <v>2.1120050022472E13</v>
      </c>
      <c r="J3285" s="3">
        <v>2.0</v>
      </c>
      <c r="K3285" s="2" t="s">
        <v>12743</v>
      </c>
      <c r="L3285" s="2" t="s">
        <v>40</v>
      </c>
      <c r="M3285" s="2" t="s">
        <v>409</v>
      </c>
      <c r="N3285" s="2" t="s">
        <v>462</v>
      </c>
      <c r="O3285" s="3"/>
      <c r="P3285" s="2" t="s">
        <v>73</v>
      </c>
      <c r="Q3285" s="3">
        <v>720.0</v>
      </c>
      <c r="R3285" s="3">
        <v>0.5</v>
      </c>
      <c r="T3285" s="2" t="s">
        <v>11534</v>
      </c>
      <c r="U3285" s="171">
        <v>3348.0</v>
      </c>
      <c r="V3285" s="172">
        <v>46097.0</v>
      </c>
      <c r="W3285" s="3">
        <v>334.0</v>
      </c>
      <c r="X3285" s="172">
        <v>46094.58269834491</v>
      </c>
      <c r="Y3285" s="172">
        <v>46090.51877792824</v>
      </c>
      <c r="Z3285" s="3">
        <v>46090.0</v>
      </c>
    </row>
    <row r="3286">
      <c r="A3286" s="3">
        <v>6.944500613379E12</v>
      </c>
      <c r="B3286" s="2" t="s">
        <v>13453</v>
      </c>
      <c r="C3286" s="2" t="s">
        <v>13454</v>
      </c>
      <c r="D3286" s="169">
        <v>46090.0</v>
      </c>
      <c r="E3286" s="2">
        <v>3.332157652E9</v>
      </c>
      <c r="F3286" s="2" t="s">
        <v>13455</v>
      </c>
      <c r="G3286" s="2" t="s">
        <v>493</v>
      </c>
      <c r="H3286" s="2">
        <v>2789.0</v>
      </c>
      <c r="I3286" s="2">
        <v>2.7120050022386E13</v>
      </c>
      <c r="J3286" s="3">
        <v>1.0</v>
      </c>
      <c r="K3286" s="173" t="s">
        <v>13456</v>
      </c>
      <c r="L3286" s="2" t="s">
        <v>4200</v>
      </c>
      <c r="M3286" s="2" t="s">
        <v>409</v>
      </c>
      <c r="N3286" s="2" t="s">
        <v>406</v>
      </c>
      <c r="O3286" s="3"/>
      <c r="P3286" s="2" t="s">
        <v>73</v>
      </c>
      <c r="Q3286" s="3">
        <v>1300.0</v>
      </c>
      <c r="R3286" s="3">
        <v>0.5</v>
      </c>
      <c r="U3286" s="141"/>
      <c r="X3286" s="172">
        <v>46093.66660063657</v>
      </c>
      <c r="Y3286" s="172">
        <v>46090.560439444445</v>
      </c>
      <c r="Z3286" s="3">
        <v>46090.0</v>
      </c>
    </row>
    <row r="3287">
      <c r="A3287" s="3">
        <v>6.944507658499E12</v>
      </c>
      <c r="B3287" s="2" t="s">
        <v>13457</v>
      </c>
      <c r="C3287" s="2" t="s">
        <v>13458</v>
      </c>
      <c r="D3287" s="169">
        <v>46090.0</v>
      </c>
      <c r="E3287" s="173" t="s">
        <v>13459</v>
      </c>
      <c r="F3287" s="2" t="s">
        <v>13460</v>
      </c>
      <c r="G3287" s="2" t="s">
        <v>749</v>
      </c>
      <c r="H3287" s="2">
        <v>3348.0</v>
      </c>
      <c r="I3287" s="2">
        <v>2.0120050022486E13</v>
      </c>
      <c r="J3287" s="3">
        <v>2.0</v>
      </c>
      <c r="K3287" s="2" t="s">
        <v>13072</v>
      </c>
      <c r="L3287" s="2" t="s">
        <v>228</v>
      </c>
      <c r="M3287" s="2" t="s">
        <v>409</v>
      </c>
      <c r="N3287" s="2" t="s">
        <v>462</v>
      </c>
      <c r="O3287" s="3"/>
      <c r="P3287" s="2" t="s">
        <v>73</v>
      </c>
      <c r="Q3287" s="3">
        <v>720.0</v>
      </c>
      <c r="R3287" s="3">
        <v>0.5</v>
      </c>
      <c r="T3287" s="2" t="s">
        <v>12177</v>
      </c>
      <c r="U3287" s="171">
        <v>3348.0</v>
      </c>
      <c r="V3287" s="172">
        <v>46105.0</v>
      </c>
      <c r="W3287" s="3">
        <v>334.0</v>
      </c>
      <c r="X3287" s="172">
        <v>46098.58278225694</v>
      </c>
      <c r="Y3287" s="172">
        <v>46090.560439444445</v>
      </c>
      <c r="Z3287" s="3">
        <v>46090.0</v>
      </c>
    </row>
    <row r="3288">
      <c r="A3288" s="3">
        <v>6.944513917187E12</v>
      </c>
      <c r="B3288" s="2" t="s">
        <v>13461</v>
      </c>
      <c r="C3288" s="2" t="s">
        <v>13462</v>
      </c>
      <c r="D3288" s="169">
        <v>46090.0</v>
      </c>
      <c r="E3288" s="173" t="s">
        <v>13463</v>
      </c>
      <c r="F3288" s="2" t="s">
        <v>13464</v>
      </c>
      <c r="G3288" s="2" t="s">
        <v>506</v>
      </c>
      <c r="H3288" s="2">
        <v>3099.0</v>
      </c>
      <c r="I3288" s="2">
        <v>2.2120050022385E13</v>
      </c>
      <c r="J3288" s="3">
        <v>2.0</v>
      </c>
      <c r="K3288" s="2" t="s">
        <v>13465</v>
      </c>
      <c r="L3288" s="2" t="s">
        <v>13466</v>
      </c>
      <c r="M3288" s="2" t="s">
        <v>409</v>
      </c>
      <c r="N3288" s="2" t="s">
        <v>462</v>
      </c>
      <c r="O3288" s="3"/>
      <c r="P3288" s="2" t="s">
        <v>73</v>
      </c>
      <c r="Q3288" s="3">
        <v>720.0</v>
      </c>
      <c r="R3288" s="3">
        <v>0.5</v>
      </c>
      <c r="T3288" s="2" t="s">
        <v>12069</v>
      </c>
      <c r="U3288" s="171">
        <v>3099.0</v>
      </c>
      <c r="V3288" s="172">
        <v>46094.0</v>
      </c>
      <c r="W3288" s="3">
        <v>324.0</v>
      </c>
      <c r="X3288" s="172">
        <v>46092.62440071759</v>
      </c>
      <c r="Y3288" s="172">
        <v>46090.60209851852</v>
      </c>
      <c r="Z3288" s="3">
        <v>46090.0</v>
      </c>
    </row>
    <row r="3289">
      <c r="A3289" s="3">
        <v>6.944515490051E12</v>
      </c>
      <c r="B3289" s="2" t="s">
        <v>13467</v>
      </c>
      <c r="C3289" s="2" t="s">
        <v>13468</v>
      </c>
      <c r="D3289" s="169">
        <v>46090.0</v>
      </c>
      <c r="E3289" s="173" t="s">
        <v>13469</v>
      </c>
      <c r="F3289" s="2" t="s">
        <v>13470</v>
      </c>
      <c r="G3289" s="2" t="s">
        <v>541</v>
      </c>
      <c r="H3289" s="2">
        <v>249.0</v>
      </c>
      <c r="I3289" s="2">
        <v>2.9120050022384E13</v>
      </c>
      <c r="J3289" s="3">
        <v>0.0</v>
      </c>
      <c r="K3289" s="2" t="s">
        <v>13471</v>
      </c>
      <c r="L3289" s="2"/>
      <c r="M3289" s="2" t="s">
        <v>409</v>
      </c>
      <c r="N3289" s="2" t="s">
        <v>462</v>
      </c>
      <c r="O3289" s="3"/>
      <c r="P3289" s="2" t="s">
        <v>73</v>
      </c>
      <c r="Q3289" s="3">
        <v>0.0</v>
      </c>
      <c r="R3289" s="3">
        <v>0.5</v>
      </c>
      <c r="T3289" s="2" t="s">
        <v>12069</v>
      </c>
      <c r="U3289" s="171">
        <v>249.0</v>
      </c>
      <c r="V3289" s="172">
        <v>46094.0</v>
      </c>
      <c r="W3289" s="3">
        <v>334.0</v>
      </c>
      <c r="X3289" s="172">
        <v>46093.6666040625</v>
      </c>
      <c r="Y3289" s="172">
        <v>46090.60209851852</v>
      </c>
      <c r="Z3289" s="3">
        <v>46090.0</v>
      </c>
    </row>
    <row r="3290">
      <c r="A3290" s="3">
        <v>6.944526303491E12</v>
      </c>
      <c r="B3290" s="2" t="s">
        <v>13472</v>
      </c>
      <c r="C3290" s="2" t="s">
        <v>13473</v>
      </c>
      <c r="D3290" s="169">
        <v>46090.0</v>
      </c>
      <c r="E3290" s="2">
        <v>3.008486691E9</v>
      </c>
      <c r="F3290" s="2" t="s">
        <v>13474</v>
      </c>
      <c r="G3290" s="2" t="s">
        <v>368</v>
      </c>
      <c r="H3290" s="2">
        <v>2849.0</v>
      </c>
      <c r="I3290" s="2">
        <v>2.1120050022471E13</v>
      </c>
      <c r="J3290" s="3">
        <v>2.0</v>
      </c>
      <c r="K3290" s="2" t="s">
        <v>13104</v>
      </c>
      <c r="L3290" s="2" t="s">
        <v>4209</v>
      </c>
      <c r="M3290" s="2" t="s">
        <v>409</v>
      </c>
      <c r="N3290" s="2" t="s">
        <v>462</v>
      </c>
      <c r="O3290" s="3"/>
      <c r="P3290" s="2" t="s">
        <v>73</v>
      </c>
      <c r="Q3290" s="3">
        <v>720.0</v>
      </c>
      <c r="R3290" s="3">
        <v>0.5</v>
      </c>
      <c r="T3290" s="2" t="s">
        <v>12069</v>
      </c>
      <c r="U3290" s="171">
        <v>2849.0</v>
      </c>
      <c r="V3290" s="172">
        <v>46094.0</v>
      </c>
      <c r="W3290" s="3">
        <v>221.0</v>
      </c>
      <c r="X3290" s="172">
        <v>46092.8328259838</v>
      </c>
      <c r="Y3290" s="172">
        <v>46090.60209851852</v>
      </c>
      <c r="Z3290" s="3">
        <v>46090.0</v>
      </c>
    </row>
    <row r="3291">
      <c r="A3291" s="3">
        <v>6.944528498947E12</v>
      </c>
      <c r="B3291" s="2" t="s">
        <v>13475</v>
      </c>
      <c r="C3291" s="2" t="s">
        <v>13476</v>
      </c>
      <c r="D3291" s="169">
        <v>46090.0</v>
      </c>
      <c r="E3291" s="2">
        <v>3.207572077E9</v>
      </c>
      <c r="F3291" s="2" t="s">
        <v>13477</v>
      </c>
      <c r="G3291" s="2" t="s">
        <v>993</v>
      </c>
      <c r="H3291" s="2">
        <v>249.0</v>
      </c>
      <c r="I3291" s="2">
        <v>2.012005002247E13</v>
      </c>
      <c r="J3291" s="3">
        <v>0.0</v>
      </c>
      <c r="K3291" s="2" t="s">
        <v>13320</v>
      </c>
      <c r="L3291" s="2"/>
      <c r="M3291" s="170" t="s">
        <v>455</v>
      </c>
      <c r="N3291" s="2" t="s">
        <v>406</v>
      </c>
      <c r="O3291" s="3"/>
      <c r="P3291" s="2" t="s">
        <v>73</v>
      </c>
      <c r="Q3291" s="3">
        <v>0.0</v>
      </c>
      <c r="R3291" s="3">
        <v>0.5</v>
      </c>
      <c r="U3291" s="141"/>
      <c r="W3291" s="3">
        <v>200.1</v>
      </c>
      <c r="X3291" s="172">
        <v>46106.91602978009</v>
      </c>
      <c r="Y3291" s="172">
        <v>46090.60209851852</v>
      </c>
      <c r="Z3291" s="3">
        <v>46090.0</v>
      </c>
    </row>
    <row r="3292">
      <c r="A3292" s="3">
        <v>6.944610320643E12</v>
      </c>
      <c r="B3292" s="2" t="s">
        <v>13478</v>
      </c>
      <c r="C3292" s="2" t="s">
        <v>13479</v>
      </c>
      <c r="D3292" s="169">
        <v>46090.0</v>
      </c>
      <c r="E3292" s="2">
        <v>3.267869095E9</v>
      </c>
      <c r="F3292" s="2" t="s">
        <v>13480</v>
      </c>
      <c r="G3292" s="2" t="s">
        <v>13481</v>
      </c>
      <c r="H3292" s="2">
        <v>2199.0</v>
      </c>
      <c r="I3292" s="2">
        <v>1.73011624162E11</v>
      </c>
      <c r="J3292" s="3">
        <v>1.0</v>
      </c>
      <c r="K3292" s="2" t="s">
        <v>204</v>
      </c>
      <c r="L3292" s="2" t="s">
        <v>13482</v>
      </c>
      <c r="M3292" s="2" t="s">
        <v>409</v>
      </c>
      <c r="N3292" s="2" t="s">
        <v>406</v>
      </c>
      <c r="O3292" s="3"/>
      <c r="P3292" s="2" t="s">
        <v>501</v>
      </c>
      <c r="Q3292" s="3">
        <v>500.0</v>
      </c>
      <c r="R3292" s="3">
        <v>0.5</v>
      </c>
      <c r="U3292" s="141"/>
      <c r="X3292" s="172">
        <v>46092.62616869213</v>
      </c>
      <c r="Y3292" s="172">
        <v>46090.68543024306</v>
      </c>
      <c r="Z3292" s="3">
        <v>46090.0</v>
      </c>
    </row>
    <row r="3293">
      <c r="A3293" s="3">
        <v>6.944987611395E12</v>
      </c>
      <c r="B3293" s="2" t="s">
        <v>13483</v>
      </c>
      <c r="C3293" s="2" t="s">
        <v>8680</v>
      </c>
      <c r="D3293" s="169">
        <v>46090.0</v>
      </c>
      <c r="E3293" s="2">
        <v>3.030826093E9</v>
      </c>
      <c r="F3293" s="2" t="s">
        <v>13484</v>
      </c>
      <c r="G3293" s="2" t="s">
        <v>822</v>
      </c>
      <c r="H3293" s="2">
        <v>3348.0</v>
      </c>
      <c r="I3293" s="2">
        <v>2.3120050022469E13</v>
      </c>
      <c r="J3293" s="3">
        <v>2.0</v>
      </c>
      <c r="K3293" s="2" t="s">
        <v>12227</v>
      </c>
      <c r="L3293" s="2" t="s">
        <v>296</v>
      </c>
      <c r="M3293" s="2" t="s">
        <v>409</v>
      </c>
      <c r="N3293" s="2" t="s">
        <v>462</v>
      </c>
      <c r="O3293" s="3"/>
      <c r="P3293" s="2" t="s">
        <v>73</v>
      </c>
      <c r="Q3293" s="3">
        <v>720.0</v>
      </c>
      <c r="R3293" s="3">
        <v>0.5</v>
      </c>
      <c r="T3293" s="2" t="s">
        <v>12069</v>
      </c>
      <c r="U3293" s="171">
        <v>3348.0</v>
      </c>
      <c r="V3293" s="172">
        <v>46094.0</v>
      </c>
      <c r="W3293" s="3">
        <v>334.0</v>
      </c>
      <c r="X3293" s="172">
        <v>46093.62440900463</v>
      </c>
      <c r="Y3293" s="172">
        <v>46090.93543564815</v>
      </c>
      <c r="Z3293" s="3">
        <v>46090.0</v>
      </c>
    </row>
    <row r="3294">
      <c r="A3294" s="3">
        <v>6.944988758275E12</v>
      </c>
      <c r="B3294" s="2" t="s">
        <v>13485</v>
      </c>
      <c r="C3294" s="2" t="s">
        <v>13486</v>
      </c>
      <c r="D3294" s="169">
        <v>46090.0</v>
      </c>
      <c r="E3294" s="2">
        <v>3.026608772E9</v>
      </c>
      <c r="F3294" s="2" t="s">
        <v>13487</v>
      </c>
      <c r="G3294" s="2" t="s">
        <v>855</v>
      </c>
      <c r="H3294" s="2">
        <v>5148.0</v>
      </c>
      <c r="I3294" s="2">
        <v>2.8120050022468E13</v>
      </c>
      <c r="J3294" s="3">
        <v>3.0</v>
      </c>
      <c r="K3294" s="2" t="s">
        <v>13488</v>
      </c>
      <c r="L3294" s="2" t="s">
        <v>13489</v>
      </c>
      <c r="M3294" s="2" t="s">
        <v>409</v>
      </c>
      <c r="N3294" s="2" t="s">
        <v>462</v>
      </c>
      <c r="O3294" s="3"/>
      <c r="P3294" s="2" t="s">
        <v>73</v>
      </c>
      <c r="Q3294" s="3">
        <v>1080.0</v>
      </c>
      <c r="R3294" s="3">
        <v>0.5</v>
      </c>
      <c r="T3294" s="2" t="s">
        <v>12069</v>
      </c>
      <c r="U3294" s="171">
        <v>5148.0</v>
      </c>
      <c r="V3294" s="172">
        <v>46094.0</v>
      </c>
      <c r="W3294" s="3">
        <v>406.0</v>
      </c>
      <c r="X3294" s="172">
        <v>46093.66671167824</v>
      </c>
      <c r="Y3294" s="172">
        <v>46090.93543564815</v>
      </c>
      <c r="Z3294" s="3">
        <v>46090.0</v>
      </c>
    </row>
    <row r="3295">
      <c r="A3295" s="3">
        <v>6.945004060931E12</v>
      </c>
      <c r="B3295" s="2" t="s">
        <v>13490</v>
      </c>
      <c r="C3295" s="2" t="s">
        <v>13491</v>
      </c>
      <c r="D3295" s="169">
        <v>46090.0</v>
      </c>
      <c r="E3295" s="2">
        <v>3.164225522E9</v>
      </c>
      <c r="F3295" s="2" t="s">
        <v>13492</v>
      </c>
      <c r="G3295" s="2" t="s">
        <v>13493</v>
      </c>
      <c r="H3295" s="2">
        <v>1499.0</v>
      </c>
      <c r="I3295" s="2">
        <v>2.8120050022467E13</v>
      </c>
      <c r="J3295" s="3">
        <v>1.0</v>
      </c>
      <c r="K3295" s="2" t="s">
        <v>13494</v>
      </c>
      <c r="L3295" s="2" t="s">
        <v>11856</v>
      </c>
      <c r="M3295" s="2" t="s">
        <v>409</v>
      </c>
      <c r="N3295" s="2" t="s">
        <v>462</v>
      </c>
      <c r="O3295" s="3"/>
      <c r="P3295" s="2" t="s">
        <v>73</v>
      </c>
      <c r="Q3295" s="3">
        <v>750.0</v>
      </c>
      <c r="R3295" s="3">
        <v>0.5</v>
      </c>
      <c r="T3295" s="2" t="s">
        <v>11534</v>
      </c>
      <c r="U3295" s="171">
        <v>1499.0</v>
      </c>
      <c r="V3295" s="172">
        <v>46097.0</v>
      </c>
      <c r="W3295" s="3">
        <v>273.0</v>
      </c>
      <c r="X3295" s="172">
        <v>46094.58269836806</v>
      </c>
      <c r="Y3295" s="172">
        <v>46090.93543564815</v>
      </c>
      <c r="Z3295" s="3">
        <v>46090.0</v>
      </c>
    </row>
    <row r="3296">
      <c r="A3296" s="3">
        <v>6.945110229251E12</v>
      </c>
      <c r="B3296" s="2" t="s">
        <v>13495</v>
      </c>
      <c r="C3296" s="2" t="s">
        <v>13496</v>
      </c>
      <c r="D3296" s="169">
        <v>46090.0</v>
      </c>
      <c r="E3296" s="2">
        <v>3.480934264E9</v>
      </c>
      <c r="F3296" s="2" t="s">
        <v>13497</v>
      </c>
      <c r="G3296" s="2" t="s">
        <v>9931</v>
      </c>
      <c r="H3296" s="2">
        <v>249.0</v>
      </c>
      <c r="I3296" s="2">
        <v>2.8120050022466E13</v>
      </c>
      <c r="J3296" s="3">
        <v>0.0</v>
      </c>
      <c r="K3296" s="2" t="s">
        <v>13276</v>
      </c>
      <c r="L3296" s="2"/>
      <c r="M3296" s="170" t="s">
        <v>455</v>
      </c>
      <c r="N3296" s="2" t="s">
        <v>406</v>
      </c>
      <c r="O3296" s="3"/>
      <c r="P3296" s="2" t="s">
        <v>73</v>
      </c>
      <c r="Q3296" s="3">
        <v>0.0</v>
      </c>
      <c r="R3296" s="3">
        <v>0.5</v>
      </c>
      <c r="U3296" s="141"/>
      <c r="W3296" s="3">
        <v>213.44</v>
      </c>
      <c r="X3296" s="172">
        <v>46106.91602979167</v>
      </c>
      <c r="Y3296" s="172">
        <v>46090.97710134259</v>
      </c>
      <c r="Z3296" s="3">
        <v>46090.0</v>
      </c>
    </row>
    <row r="3297">
      <c r="A3297" s="3">
        <v>6.945159741699E12</v>
      </c>
      <c r="B3297" s="2" t="s">
        <v>13498</v>
      </c>
      <c r="C3297" s="2" t="s">
        <v>13499</v>
      </c>
      <c r="D3297" s="169">
        <v>46090.0</v>
      </c>
      <c r="E3297" s="2">
        <v>3.008505659E9</v>
      </c>
      <c r="F3297" s="2" t="s">
        <v>13500</v>
      </c>
      <c r="G3297" s="2" t="s">
        <v>607</v>
      </c>
      <c r="H3297" s="2">
        <v>3348.0</v>
      </c>
      <c r="I3297" s="2" t="s">
        <v>13501</v>
      </c>
      <c r="J3297" s="3">
        <v>2.0</v>
      </c>
      <c r="K3297" s="2" t="s">
        <v>204</v>
      </c>
      <c r="L3297" s="2" t="s">
        <v>296</v>
      </c>
      <c r="M3297" s="2" t="s">
        <v>409</v>
      </c>
      <c r="N3297" s="2" t="s">
        <v>406</v>
      </c>
      <c r="O3297" s="3"/>
      <c r="P3297" s="2" t="s">
        <v>640</v>
      </c>
      <c r="Q3297" s="3">
        <v>720.0</v>
      </c>
      <c r="R3297" s="3">
        <v>0.5</v>
      </c>
      <c r="U3297" s="141"/>
      <c r="X3297" s="172">
        <v>46092.751139432876</v>
      </c>
      <c r="Y3297" s="172">
        <v>46091.01877737269</v>
      </c>
      <c r="Z3297" s="3">
        <v>46090.0</v>
      </c>
    </row>
    <row r="3298">
      <c r="A3298" s="3">
        <v>6.945184022787E12</v>
      </c>
      <c r="B3298" s="2" t="s">
        <v>13502</v>
      </c>
      <c r="C3298" s="2" t="s">
        <v>13503</v>
      </c>
      <c r="D3298" s="169">
        <v>46091.0</v>
      </c>
      <c r="E3298" s="2">
        <v>3.217101612E9</v>
      </c>
      <c r="F3298" s="2" t="s">
        <v>13504</v>
      </c>
      <c r="G3298" s="2" t="s">
        <v>688</v>
      </c>
      <c r="H3298" s="2">
        <v>2924.0</v>
      </c>
      <c r="I3298" s="2">
        <v>2.8120050022485E13</v>
      </c>
      <c r="J3298" s="3">
        <v>2.0</v>
      </c>
      <c r="K3298" s="2" t="s">
        <v>13505</v>
      </c>
      <c r="L3298" s="2" t="s">
        <v>926</v>
      </c>
      <c r="M3298" s="2" t="s">
        <v>409</v>
      </c>
      <c r="N3298" s="2" t="s">
        <v>462</v>
      </c>
      <c r="O3298" s="3"/>
      <c r="P3298" s="2" t="s">
        <v>73</v>
      </c>
      <c r="Q3298" s="3">
        <v>980.0</v>
      </c>
      <c r="R3298" s="3">
        <v>0.5</v>
      </c>
      <c r="T3298" s="2" t="s">
        <v>12177</v>
      </c>
      <c r="U3298" s="171">
        <v>2924.0</v>
      </c>
      <c r="V3298" s="172">
        <v>46105.0</v>
      </c>
      <c r="W3298" s="3">
        <v>337.0</v>
      </c>
      <c r="X3298" s="172">
        <v>46098.499353321764</v>
      </c>
      <c r="Y3298" s="172">
        <v>46091.01877738426</v>
      </c>
      <c r="Z3298" s="3">
        <v>46091.0</v>
      </c>
    </row>
    <row r="3299">
      <c r="A3299" s="3">
        <v>6.945204830467E12</v>
      </c>
      <c r="B3299" s="2" t="s">
        <v>13506</v>
      </c>
      <c r="C3299" s="2" t="s">
        <v>13507</v>
      </c>
      <c r="D3299" s="169">
        <v>46091.0</v>
      </c>
      <c r="E3299" s="2">
        <v>3.343198333E9</v>
      </c>
      <c r="F3299" s="2" t="s">
        <v>13508</v>
      </c>
      <c r="G3299" s="2" t="s">
        <v>368</v>
      </c>
      <c r="H3299" s="2">
        <v>3348.0</v>
      </c>
      <c r="I3299" s="2">
        <v>2.3120050022465E13</v>
      </c>
      <c r="J3299" s="3">
        <v>2.0</v>
      </c>
      <c r="K3299" s="2" t="s">
        <v>12227</v>
      </c>
      <c r="L3299" s="2" t="s">
        <v>27</v>
      </c>
      <c r="M3299" s="2" t="s">
        <v>409</v>
      </c>
      <c r="N3299" s="2" t="s">
        <v>462</v>
      </c>
      <c r="O3299" s="3"/>
      <c r="P3299" s="2" t="s">
        <v>73</v>
      </c>
      <c r="Q3299" s="3">
        <v>720.0</v>
      </c>
      <c r="R3299" s="3">
        <v>0.5</v>
      </c>
      <c r="T3299" s="2" t="s">
        <v>12069</v>
      </c>
      <c r="U3299" s="171">
        <v>3348.0</v>
      </c>
      <c r="V3299" s="172">
        <v>46094.0</v>
      </c>
      <c r="W3299" s="3">
        <v>241.0</v>
      </c>
      <c r="X3299" s="172">
        <v>46092.62443885417</v>
      </c>
      <c r="Y3299" s="172">
        <v>46091.060485208334</v>
      </c>
      <c r="Z3299" s="3">
        <v>46091.0</v>
      </c>
    </row>
    <row r="3300">
      <c r="A3300" s="3">
        <v>6.945272529155E12</v>
      </c>
      <c r="B3300" s="2" t="s">
        <v>13509</v>
      </c>
      <c r="C3300" s="2" t="s">
        <v>13510</v>
      </c>
      <c r="D3300" s="169">
        <v>46091.0</v>
      </c>
      <c r="E3300" s="2">
        <v>3.326705203E9</v>
      </c>
      <c r="F3300" s="2" t="s">
        <v>13511</v>
      </c>
      <c r="G3300" s="2" t="s">
        <v>8488</v>
      </c>
      <c r="H3300" s="2">
        <v>249.0</v>
      </c>
      <c r="I3300" s="2">
        <v>2.6120050022464E13</v>
      </c>
      <c r="J3300" s="3">
        <v>0.0</v>
      </c>
      <c r="K3300" s="2" t="s">
        <v>13512</v>
      </c>
      <c r="L3300" s="2"/>
      <c r="M3300" s="170" t="s">
        <v>455</v>
      </c>
      <c r="N3300" s="2" t="s">
        <v>406</v>
      </c>
      <c r="O3300" s="3"/>
      <c r="P3300" s="2" t="s">
        <v>73</v>
      </c>
      <c r="Q3300" s="3">
        <v>0.0</v>
      </c>
      <c r="R3300" s="3">
        <v>0.5</v>
      </c>
      <c r="U3300" s="141"/>
      <c r="W3300" s="3">
        <v>220.0</v>
      </c>
      <c r="X3300" s="172">
        <v>46098.70768478009</v>
      </c>
      <c r="Y3300" s="172">
        <v>46091.10209328704</v>
      </c>
      <c r="Z3300" s="3">
        <v>46091.0</v>
      </c>
    </row>
    <row r="3301">
      <c r="A3301" s="3">
        <v>6.945328103683E12</v>
      </c>
      <c r="B3301" s="2" t="s">
        <v>13513</v>
      </c>
      <c r="C3301" s="2" t="s">
        <v>13514</v>
      </c>
      <c r="D3301" s="169">
        <v>46091.0</v>
      </c>
      <c r="E3301" s="2">
        <v>3.127593166E9</v>
      </c>
      <c r="F3301" s="2" t="s">
        <v>13515</v>
      </c>
      <c r="G3301" s="2" t="s">
        <v>368</v>
      </c>
      <c r="H3301" s="2">
        <v>3348.0</v>
      </c>
      <c r="I3301" s="2">
        <v>2.4120050022463E13</v>
      </c>
      <c r="J3301" s="3">
        <v>2.0</v>
      </c>
      <c r="K3301" s="2" t="s">
        <v>12227</v>
      </c>
      <c r="L3301" s="2" t="s">
        <v>50</v>
      </c>
      <c r="M3301" s="2" t="s">
        <v>409</v>
      </c>
      <c r="N3301" s="2" t="s">
        <v>462</v>
      </c>
      <c r="O3301" s="3"/>
      <c r="P3301" s="2" t="s">
        <v>73</v>
      </c>
      <c r="Q3301" s="3">
        <v>720.0</v>
      </c>
      <c r="R3301" s="3">
        <v>0.5</v>
      </c>
      <c r="T3301" s="2" t="s">
        <v>12069</v>
      </c>
      <c r="U3301" s="171">
        <v>3348.0</v>
      </c>
      <c r="V3301" s="172">
        <v>46094.0</v>
      </c>
      <c r="W3301" s="3">
        <v>254.0</v>
      </c>
      <c r="X3301" s="172">
        <v>46093.91612135417</v>
      </c>
      <c r="Y3301" s="172">
        <v>46091.10209328704</v>
      </c>
      <c r="Z3301" s="3">
        <v>46091.0</v>
      </c>
    </row>
    <row r="3302">
      <c r="A3302" s="3">
        <v>6.945353892099E12</v>
      </c>
      <c r="B3302" s="2" t="s">
        <v>13516</v>
      </c>
      <c r="C3302" s="2" t="s">
        <v>13517</v>
      </c>
      <c r="D3302" s="169">
        <v>46091.0</v>
      </c>
      <c r="E3302" s="2">
        <v>3.347777211E9</v>
      </c>
      <c r="F3302" s="2" t="s">
        <v>13518</v>
      </c>
      <c r="G3302" s="2" t="s">
        <v>1376</v>
      </c>
      <c r="H3302" s="2">
        <v>3348.0</v>
      </c>
      <c r="I3302" s="2">
        <v>2.8120050022462E13</v>
      </c>
      <c r="J3302" s="3">
        <v>2.0</v>
      </c>
      <c r="K3302" s="2" t="s">
        <v>12227</v>
      </c>
      <c r="L3302" s="2" t="s">
        <v>2219</v>
      </c>
      <c r="M3302" s="2" t="s">
        <v>409</v>
      </c>
      <c r="N3302" s="2" t="s">
        <v>462</v>
      </c>
      <c r="O3302" s="3"/>
      <c r="P3302" s="2" t="s">
        <v>73</v>
      </c>
      <c r="Q3302" s="3">
        <v>800.0</v>
      </c>
      <c r="R3302" s="3">
        <v>0.5</v>
      </c>
      <c r="T3302" s="2" t="s">
        <v>12069</v>
      </c>
      <c r="U3302" s="171">
        <v>3348.0</v>
      </c>
      <c r="V3302" s="172">
        <v>46094.0</v>
      </c>
      <c r="W3302" s="3">
        <v>334.0</v>
      </c>
      <c r="X3302" s="172">
        <v>46093.791078333335</v>
      </c>
      <c r="Y3302" s="172">
        <v>46091.14376435185</v>
      </c>
      <c r="Z3302" s="3">
        <v>46091.0</v>
      </c>
    </row>
    <row r="3303">
      <c r="A3303" s="3">
        <v>6.945409499395E12</v>
      </c>
      <c r="B3303" s="2" t="s">
        <v>13519</v>
      </c>
      <c r="C3303" s="2" t="s">
        <v>13520</v>
      </c>
      <c r="D3303" s="169">
        <v>46091.0</v>
      </c>
      <c r="E3303" s="2">
        <v>3.360447399E9</v>
      </c>
      <c r="F3303" s="2" t="s">
        <v>13521</v>
      </c>
      <c r="G3303" s="2" t="s">
        <v>855</v>
      </c>
      <c r="H3303" s="2">
        <v>3348.0</v>
      </c>
      <c r="I3303" s="2">
        <v>2.9120050022461E13</v>
      </c>
      <c r="J3303" s="3">
        <v>2.0</v>
      </c>
      <c r="K3303" s="2" t="s">
        <v>12227</v>
      </c>
      <c r="L3303" s="2" t="s">
        <v>40</v>
      </c>
      <c r="M3303" s="2" t="s">
        <v>409</v>
      </c>
      <c r="N3303" s="2" t="s">
        <v>462</v>
      </c>
      <c r="O3303" s="3"/>
      <c r="P3303" s="2" t="s">
        <v>73</v>
      </c>
      <c r="Q3303" s="3">
        <v>720.0</v>
      </c>
      <c r="R3303" s="3">
        <v>0.5</v>
      </c>
      <c r="T3303" s="2" t="s">
        <v>12069</v>
      </c>
      <c r="U3303" s="171">
        <v>3348.0</v>
      </c>
      <c r="V3303" s="172">
        <v>46094.0</v>
      </c>
      <c r="W3303" s="3">
        <v>334.0</v>
      </c>
      <c r="X3303" s="172">
        <v>46093.62441380787</v>
      </c>
      <c r="Y3303" s="172">
        <v>46091.18541755787</v>
      </c>
      <c r="Z3303" s="3">
        <v>46091.0</v>
      </c>
    </row>
    <row r="3304">
      <c r="A3304" s="3">
        <v>6.945424638211E12</v>
      </c>
      <c r="B3304" s="2" t="s">
        <v>13522</v>
      </c>
      <c r="C3304" s="2" t="s">
        <v>13523</v>
      </c>
      <c r="D3304" s="169">
        <v>46091.0</v>
      </c>
      <c r="E3304" s="2">
        <v>3.454170713E9</v>
      </c>
      <c r="F3304" s="2" t="s">
        <v>13524</v>
      </c>
      <c r="G3304" s="2" t="s">
        <v>4949</v>
      </c>
      <c r="H3304" s="2">
        <v>3348.0</v>
      </c>
      <c r="I3304" s="2">
        <v>2.212005002246E13</v>
      </c>
      <c r="J3304" s="3">
        <v>2.0</v>
      </c>
      <c r="K3304" s="2" t="s">
        <v>12227</v>
      </c>
      <c r="L3304" s="2" t="s">
        <v>27</v>
      </c>
      <c r="M3304" s="2" t="s">
        <v>409</v>
      </c>
      <c r="N3304" s="2" t="s">
        <v>462</v>
      </c>
      <c r="O3304" s="3"/>
      <c r="P3304" s="2" t="s">
        <v>73</v>
      </c>
      <c r="Q3304" s="3">
        <v>720.0</v>
      </c>
      <c r="R3304" s="3">
        <v>0.5</v>
      </c>
      <c r="T3304" s="2" t="s">
        <v>12069</v>
      </c>
      <c r="U3304" s="171">
        <v>3348.0</v>
      </c>
      <c r="V3304" s="172">
        <v>46094.0</v>
      </c>
      <c r="W3304" s="3">
        <v>334.0</v>
      </c>
      <c r="X3304" s="172">
        <v>46092.58329206018</v>
      </c>
      <c r="Y3304" s="172">
        <v>46091.18541755787</v>
      </c>
      <c r="Z3304" s="3">
        <v>46091.0</v>
      </c>
    </row>
    <row r="3305">
      <c r="A3305" s="3">
        <v>6.945499742467E12</v>
      </c>
      <c r="B3305" s="2" t="s">
        <v>13525</v>
      </c>
      <c r="C3305" s="2" t="s">
        <v>13526</v>
      </c>
      <c r="D3305" s="169">
        <v>46091.0</v>
      </c>
      <c r="E3305" s="2">
        <v>3.43536184E9</v>
      </c>
      <c r="F3305" s="2" t="s">
        <v>13527</v>
      </c>
      <c r="G3305" s="2" t="s">
        <v>13528</v>
      </c>
      <c r="H3305" s="2">
        <v>3348.0</v>
      </c>
      <c r="I3305" s="2">
        <v>2.0120050022504E13</v>
      </c>
      <c r="J3305" s="3">
        <v>2.0</v>
      </c>
      <c r="K3305" s="2" t="s">
        <v>13529</v>
      </c>
      <c r="L3305" s="2" t="s">
        <v>275</v>
      </c>
      <c r="M3305" s="2" t="s">
        <v>409</v>
      </c>
      <c r="N3305" s="2" t="s">
        <v>462</v>
      </c>
      <c r="O3305" s="3"/>
      <c r="P3305" s="2" t="s">
        <v>73</v>
      </c>
      <c r="Q3305" s="3">
        <v>800.0</v>
      </c>
      <c r="R3305" s="3">
        <v>0.5</v>
      </c>
      <c r="T3305" s="2" t="s">
        <v>11534</v>
      </c>
      <c r="U3305" s="171">
        <v>3348.0</v>
      </c>
      <c r="V3305" s="172">
        <v>46097.0</v>
      </c>
      <c r="W3305" s="3">
        <v>347.0</v>
      </c>
      <c r="X3305" s="172">
        <v>46096.74936035879</v>
      </c>
      <c r="Y3305" s="172">
        <v>46091.2687399537</v>
      </c>
      <c r="Z3305" s="3">
        <v>46091.0</v>
      </c>
    </row>
    <row r="3306">
      <c r="A3306" s="3">
        <v>6.945522516227E12</v>
      </c>
      <c r="B3306" s="2" t="s">
        <v>13530</v>
      </c>
      <c r="C3306" s="2" t="s">
        <v>13531</v>
      </c>
      <c r="D3306" s="169">
        <v>46091.0</v>
      </c>
      <c r="E3306" s="2">
        <v>3.240147236E9</v>
      </c>
      <c r="F3306" s="2" t="s">
        <v>13532</v>
      </c>
      <c r="G3306" s="2" t="s">
        <v>368</v>
      </c>
      <c r="H3306" s="2">
        <v>3348.0</v>
      </c>
      <c r="I3306" s="2">
        <v>2.9120050022459E13</v>
      </c>
      <c r="J3306" s="3">
        <v>2.0</v>
      </c>
      <c r="K3306" s="2" t="s">
        <v>12227</v>
      </c>
      <c r="L3306" s="2" t="s">
        <v>228</v>
      </c>
      <c r="M3306" s="2" t="s">
        <v>409</v>
      </c>
      <c r="N3306" s="2" t="s">
        <v>462</v>
      </c>
      <c r="O3306" s="3"/>
      <c r="P3306" s="2" t="s">
        <v>73</v>
      </c>
      <c r="Q3306" s="3">
        <v>720.0</v>
      </c>
      <c r="R3306" s="3">
        <v>0.5</v>
      </c>
      <c r="T3306" s="2" t="s">
        <v>12069</v>
      </c>
      <c r="U3306" s="171">
        <v>3348.0</v>
      </c>
      <c r="V3306" s="172">
        <v>46094.0</v>
      </c>
      <c r="W3306" s="3">
        <v>241.0</v>
      </c>
      <c r="X3306" s="172">
        <v>46092.666129108795</v>
      </c>
      <c r="Y3306" s="172">
        <v>46091.2687399537</v>
      </c>
      <c r="Z3306" s="3">
        <v>46091.0</v>
      </c>
    </row>
    <row r="3307">
      <c r="A3307" s="3">
        <v>6.945550237955E12</v>
      </c>
      <c r="B3307" s="2" t="s">
        <v>13533</v>
      </c>
      <c r="C3307" s="2" t="s">
        <v>13534</v>
      </c>
      <c r="D3307" s="169">
        <v>46091.0</v>
      </c>
      <c r="E3307" s="2">
        <v>3.008424333E9</v>
      </c>
      <c r="F3307" s="2" t="s">
        <v>13535</v>
      </c>
      <c r="G3307" s="2" t="s">
        <v>368</v>
      </c>
      <c r="H3307" s="2">
        <v>5650.0</v>
      </c>
      <c r="I3307" s="2">
        <v>2.4120050022458E13</v>
      </c>
      <c r="J3307" s="3">
        <v>3.0</v>
      </c>
      <c r="K3307" s="2" t="s">
        <v>13536</v>
      </c>
      <c r="L3307" s="2" t="s">
        <v>13537</v>
      </c>
      <c r="M3307" s="2" t="s">
        <v>409</v>
      </c>
      <c r="N3307" s="2" t="s">
        <v>462</v>
      </c>
      <c r="O3307" s="3"/>
      <c r="P3307" s="2" t="s">
        <v>73</v>
      </c>
      <c r="Q3307" s="3">
        <v>2120.0</v>
      </c>
      <c r="R3307" s="3">
        <v>0.5</v>
      </c>
      <c r="T3307" s="2" t="s">
        <v>12069</v>
      </c>
      <c r="U3307" s="171">
        <v>5650.0</v>
      </c>
      <c r="V3307" s="172">
        <v>46094.0</v>
      </c>
      <c r="W3307" s="3">
        <v>346.0</v>
      </c>
      <c r="X3307" s="172">
        <v>46093.62441503472</v>
      </c>
      <c r="Y3307" s="172">
        <v>46091.310417465276</v>
      </c>
      <c r="Z3307" s="3">
        <v>46091.0</v>
      </c>
    </row>
    <row r="3308">
      <c r="A3308" s="3">
        <v>6.945575469315E12</v>
      </c>
      <c r="B3308" s="2" t="s">
        <v>13538</v>
      </c>
      <c r="C3308" s="2" t="s">
        <v>13539</v>
      </c>
      <c r="D3308" s="169">
        <v>46091.0</v>
      </c>
      <c r="E3308" s="2">
        <v>3.40830015E9</v>
      </c>
      <c r="F3308" s="2" t="s">
        <v>13540</v>
      </c>
      <c r="G3308" s="2" t="s">
        <v>493</v>
      </c>
      <c r="H3308" s="2">
        <v>0.0</v>
      </c>
      <c r="J3308" s="3">
        <v>0.0</v>
      </c>
      <c r="K3308" s="2" t="s">
        <v>7809</v>
      </c>
      <c r="L3308" s="2"/>
      <c r="M3308" s="2" t="s">
        <v>468</v>
      </c>
      <c r="N3308" s="2" t="s">
        <v>406</v>
      </c>
      <c r="O3308" s="3"/>
      <c r="Q3308" s="3">
        <v>0.0</v>
      </c>
      <c r="R3308" s="3">
        <v>0.5</v>
      </c>
      <c r="U3308" s="141"/>
      <c r="X3308" s="172"/>
      <c r="Y3308" s="172">
        <v>46091.310417465276</v>
      </c>
      <c r="Z3308" s="3">
        <v>46091.0</v>
      </c>
    </row>
    <row r="3309">
      <c r="A3309" s="3">
        <v>6.945612333315E12</v>
      </c>
      <c r="B3309" s="2" t="s">
        <v>13541</v>
      </c>
      <c r="C3309" s="2" t="s">
        <v>13542</v>
      </c>
      <c r="D3309" s="169">
        <v>46091.0</v>
      </c>
      <c r="E3309" s="2">
        <v>3.213856856E9</v>
      </c>
      <c r="F3309" s="2" t="s">
        <v>13543</v>
      </c>
      <c r="G3309" s="2" t="s">
        <v>493</v>
      </c>
      <c r="H3309" s="2">
        <v>2849.0</v>
      </c>
      <c r="I3309" s="2">
        <v>2.8120050022457E13</v>
      </c>
      <c r="J3309" s="3">
        <v>2.0</v>
      </c>
      <c r="K3309" s="2" t="s">
        <v>13544</v>
      </c>
      <c r="L3309" s="2" t="s">
        <v>1446</v>
      </c>
      <c r="M3309" s="2" t="s">
        <v>409</v>
      </c>
      <c r="N3309" s="2" t="s">
        <v>462</v>
      </c>
      <c r="O3309" s="3"/>
      <c r="P3309" s="2" t="s">
        <v>73</v>
      </c>
      <c r="Q3309" s="3">
        <v>720.0</v>
      </c>
      <c r="R3309" s="3">
        <v>0.5</v>
      </c>
      <c r="T3309" s="2" t="s">
        <v>11534</v>
      </c>
      <c r="U3309" s="171">
        <v>2849.0</v>
      </c>
      <c r="V3309" s="172">
        <v>46097.0</v>
      </c>
      <c r="W3309" s="3">
        <v>327.0</v>
      </c>
      <c r="X3309" s="172">
        <v>46094.66599172454</v>
      </c>
      <c r="Y3309" s="172">
        <v>46091.35211059028</v>
      </c>
      <c r="Z3309" s="3">
        <v>46091.0</v>
      </c>
    </row>
    <row r="3310">
      <c r="A3310" s="3">
        <v>6.945671938307E12</v>
      </c>
      <c r="B3310" s="2" t="s">
        <v>13545</v>
      </c>
      <c r="C3310" s="2" t="s">
        <v>13546</v>
      </c>
      <c r="D3310" s="169">
        <v>46091.0</v>
      </c>
      <c r="E3310" s="2">
        <v>3.229376917E9</v>
      </c>
      <c r="F3310" s="2" t="s">
        <v>13547</v>
      </c>
      <c r="G3310" s="2" t="s">
        <v>822</v>
      </c>
      <c r="H3310" s="2">
        <v>2049.0</v>
      </c>
      <c r="I3310" s="2">
        <v>2.5120050022456E13</v>
      </c>
      <c r="J3310" s="3">
        <v>1.0</v>
      </c>
      <c r="K3310" s="2" t="s">
        <v>13548</v>
      </c>
      <c r="L3310" s="2" t="s">
        <v>3965</v>
      </c>
      <c r="M3310" s="2" t="s">
        <v>409</v>
      </c>
      <c r="N3310" s="2" t="s">
        <v>462</v>
      </c>
      <c r="O3310" s="3"/>
      <c r="P3310" s="2" t="s">
        <v>73</v>
      </c>
      <c r="Q3310" s="3">
        <v>400.0</v>
      </c>
      <c r="R3310" s="3">
        <v>0.5</v>
      </c>
      <c r="T3310" s="2" t="s">
        <v>11534</v>
      </c>
      <c r="U3310" s="171">
        <v>2049.0</v>
      </c>
      <c r="V3310" s="172">
        <v>46097.0</v>
      </c>
      <c r="W3310" s="3">
        <v>282.0</v>
      </c>
      <c r="X3310" s="172">
        <v>46094.499349143516</v>
      </c>
      <c r="Y3310" s="172">
        <v>46091.39379221065</v>
      </c>
      <c r="Z3310" s="3">
        <v>46091.0</v>
      </c>
    </row>
    <row r="3311">
      <c r="A3311" s="3">
        <v>6.945691730179E12</v>
      </c>
      <c r="B3311" s="2" t="s">
        <v>13549</v>
      </c>
      <c r="C3311" s="2" t="s">
        <v>13550</v>
      </c>
      <c r="D3311" s="169">
        <v>46091.0</v>
      </c>
      <c r="E3311" s="2">
        <v>3.239759871E9</v>
      </c>
      <c r="F3311" s="2" t="s">
        <v>13551</v>
      </c>
      <c r="G3311" s="2" t="s">
        <v>850</v>
      </c>
      <c r="H3311" s="2">
        <v>249.0</v>
      </c>
      <c r="I3311" s="2">
        <v>2.1120050022455E13</v>
      </c>
      <c r="J3311" s="3">
        <v>0.0</v>
      </c>
      <c r="K3311" s="2" t="s">
        <v>12274</v>
      </c>
      <c r="L3311" s="2"/>
      <c r="M3311" s="170" t="s">
        <v>455</v>
      </c>
      <c r="N3311" s="2" t="s">
        <v>406</v>
      </c>
      <c r="O3311" s="3"/>
      <c r="P3311" s="2" t="s">
        <v>73</v>
      </c>
      <c r="Q3311" s="3">
        <v>0.0</v>
      </c>
      <c r="R3311" s="3">
        <v>0.5</v>
      </c>
      <c r="U3311" s="141"/>
      <c r="W3311" s="3">
        <v>200.0</v>
      </c>
      <c r="X3311" s="172">
        <v>46099.74941241898</v>
      </c>
      <c r="Y3311" s="172">
        <v>46091.435434618055</v>
      </c>
      <c r="Z3311" s="3">
        <v>46091.0</v>
      </c>
    </row>
    <row r="3312">
      <c r="A3312" s="3">
        <v>6.945694679299E12</v>
      </c>
      <c r="B3312" s="2" t="s">
        <v>13552</v>
      </c>
      <c r="C3312" s="2" t="s">
        <v>13553</v>
      </c>
      <c r="D3312" s="169">
        <v>46091.0</v>
      </c>
      <c r="E3312" s="2">
        <v>3.409000128E9</v>
      </c>
      <c r="F3312" s="2" t="s">
        <v>13554</v>
      </c>
      <c r="G3312" s="2" t="s">
        <v>1049</v>
      </c>
      <c r="H3312" s="2">
        <v>3098.5</v>
      </c>
      <c r="I3312" s="2">
        <v>2.8120050022511E13</v>
      </c>
      <c r="J3312" s="3">
        <v>2.0</v>
      </c>
      <c r="K3312" s="2" t="s">
        <v>13555</v>
      </c>
      <c r="L3312" s="2" t="s">
        <v>1116</v>
      </c>
      <c r="M3312" s="2" t="s">
        <v>409</v>
      </c>
      <c r="N3312" s="2" t="s">
        <v>462</v>
      </c>
      <c r="O3312" s="3"/>
      <c r="P3312" s="2" t="s">
        <v>73</v>
      </c>
      <c r="Q3312" s="3">
        <v>800.0</v>
      </c>
      <c r="R3312" s="3">
        <v>0.5</v>
      </c>
      <c r="T3312" s="2" t="s">
        <v>11534</v>
      </c>
      <c r="U3312" s="171">
        <v>3098.5</v>
      </c>
      <c r="V3312" s="172">
        <v>46097.0</v>
      </c>
      <c r="W3312" s="3">
        <v>337.0</v>
      </c>
      <c r="X3312" s="172">
        <v>46095.749360625</v>
      </c>
      <c r="Y3312" s="172">
        <v>46091.435434618055</v>
      </c>
      <c r="Z3312" s="3">
        <v>46091.0</v>
      </c>
    </row>
    <row r="3313">
      <c r="A3313" s="3">
        <v>6.945700872451E12</v>
      </c>
      <c r="B3313" s="2" t="s">
        <v>13556</v>
      </c>
      <c r="C3313" s="2" t="s">
        <v>5591</v>
      </c>
      <c r="D3313" s="169">
        <v>46091.0</v>
      </c>
      <c r="E3313" s="2">
        <v>3.000759193E9</v>
      </c>
      <c r="F3313" s="2" t="s">
        <v>13557</v>
      </c>
      <c r="G3313" s="2" t="s">
        <v>9386</v>
      </c>
      <c r="H3313" s="2">
        <v>249.0</v>
      </c>
      <c r="I3313" s="2" t="s">
        <v>13558</v>
      </c>
      <c r="J3313" s="3">
        <v>0.0</v>
      </c>
      <c r="K3313" s="2" t="s">
        <v>13559</v>
      </c>
      <c r="L3313" s="2"/>
      <c r="M3313" s="170" t="s">
        <v>455</v>
      </c>
      <c r="N3313" s="2" t="s">
        <v>406</v>
      </c>
      <c r="O3313" s="3"/>
      <c r="P3313" s="2" t="s">
        <v>640</v>
      </c>
      <c r="Q3313" s="3">
        <v>0.0</v>
      </c>
      <c r="R3313" s="3">
        <v>0.5</v>
      </c>
      <c r="U3313" s="141"/>
      <c r="X3313" s="172">
        <v>46122.08275887731</v>
      </c>
      <c r="Y3313" s="172">
        <v>46091.435434618055</v>
      </c>
      <c r="Z3313" s="3">
        <v>46091.0</v>
      </c>
    </row>
    <row r="3314">
      <c r="A3314" s="3">
        <v>6.945786069251E12</v>
      </c>
      <c r="B3314" s="2" t="s">
        <v>13560</v>
      </c>
      <c r="C3314" s="2" t="s">
        <v>13561</v>
      </c>
      <c r="D3314" s="169">
        <v>46091.0</v>
      </c>
      <c r="E3314" s="2">
        <v>3.204773911E9</v>
      </c>
      <c r="F3314" s="2" t="s">
        <v>13562</v>
      </c>
      <c r="G3314" s="2" t="s">
        <v>368</v>
      </c>
      <c r="H3314" s="2">
        <v>0.0</v>
      </c>
      <c r="I3314" s="2">
        <v>2.7120050022558E13</v>
      </c>
      <c r="J3314" s="3">
        <v>0.0</v>
      </c>
      <c r="K3314" s="2" t="s">
        <v>13563</v>
      </c>
      <c r="L3314" s="2"/>
      <c r="M3314" s="170" t="s">
        <v>455</v>
      </c>
      <c r="N3314" s="2" t="s">
        <v>406</v>
      </c>
      <c r="O3314" s="3"/>
      <c r="P3314" s="2" t="s">
        <v>73</v>
      </c>
      <c r="Q3314" s="3">
        <v>0.0</v>
      </c>
      <c r="R3314" s="3">
        <v>0.5</v>
      </c>
      <c r="U3314" s="141"/>
      <c r="W3314" s="3">
        <v>120.06</v>
      </c>
      <c r="X3314" s="172">
        <v>46105.8326984375</v>
      </c>
      <c r="Y3314" s="172">
        <v>46091.477086886574</v>
      </c>
      <c r="Z3314" s="3">
        <v>46091.0</v>
      </c>
    </row>
    <row r="3315">
      <c r="A3315" s="3">
        <v>6.945824932099E12</v>
      </c>
      <c r="B3315" s="2" t="s">
        <v>13564</v>
      </c>
      <c r="C3315" s="2" t="s">
        <v>13565</v>
      </c>
      <c r="D3315" s="169">
        <v>46091.0</v>
      </c>
      <c r="E3315" s="2">
        <v>3.334050493E9</v>
      </c>
      <c r="F3315" s="2" t="s">
        <v>13566</v>
      </c>
      <c r="G3315" s="2" t="s">
        <v>368</v>
      </c>
      <c r="H3315" s="2">
        <v>3348.0</v>
      </c>
      <c r="I3315" s="2">
        <v>2.4120050022484E13</v>
      </c>
      <c r="J3315" s="3">
        <v>2.0</v>
      </c>
      <c r="K3315" s="2" t="s">
        <v>13567</v>
      </c>
      <c r="L3315" s="2" t="s">
        <v>228</v>
      </c>
      <c r="M3315" s="2" t="s">
        <v>409</v>
      </c>
      <c r="N3315" s="2" t="s">
        <v>462</v>
      </c>
      <c r="O3315" s="3"/>
      <c r="P3315" s="2" t="s">
        <v>73</v>
      </c>
      <c r="Q3315" s="3">
        <v>720.0</v>
      </c>
      <c r="R3315" s="3">
        <v>0.5</v>
      </c>
      <c r="T3315" s="2" t="s">
        <v>12069</v>
      </c>
      <c r="U3315" s="171">
        <v>3348.0</v>
      </c>
      <c r="V3315" s="172">
        <v>46094.0</v>
      </c>
      <c r="W3315" s="3">
        <v>241.0</v>
      </c>
      <c r="X3315" s="172">
        <v>46092.62443898148</v>
      </c>
      <c r="Y3315" s="172">
        <v>46091.51874143518</v>
      </c>
      <c r="Z3315" s="3">
        <v>46091.0</v>
      </c>
    </row>
    <row r="3316">
      <c r="A3316" s="3">
        <v>6.945829880067E12</v>
      </c>
      <c r="B3316" s="2" t="s">
        <v>13568</v>
      </c>
      <c r="C3316" s="2" t="s">
        <v>13569</v>
      </c>
      <c r="D3316" s="169">
        <v>46091.0</v>
      </c>
      <c r="E3316" s="2">
        <v>3.444442038E9</v>
      </c>
      <c r="F3316" s="2" t="s">
        <v>13570</v>
      </c>
      <c r="G3316" s="2" t="s">
        <v>366</v>
      </c>
      <c r="H3316" s="2">
        <v>2849.0</v>
      </c>
      <c r="I3316" s="2">
        <v>2.0120050022453E13</v>
      </c>
      <c r="J3316" s="3">
        <v>2.0</v>
      </c>
      <c r="K3316" s="2" t="s">
        <v>13104</v>
      </c>
      <c r="L3316" s="2" t="s">
        <v>1446</v>
      </c>
      <c r="M3316" s="2" t="s">
        <v>409</v>
      </c>
      <c r="N3316" s="2" t="s">
        <v>462</v>
      </c>
      <c r="O3316" s="3"/>
      <c r="P3316" s="2" t="s">
        <v>73</v>
      </c>
      <c r="Q3316" s="3">
        <v>720.0</v>
      </c>
      <c r="R3316" s="3">
        <v>0.5</v>
      </c>
      <c r="T3316" s="2" t="s">
        <v>12069</v>
      </c>
      <c r="U3316" s="171">
        <v>2849.0</v>
      </c>
      <c r="V3316" s="172">
        <v>46094.0</v>
      </c>
      <c r="W3316" s="3">
        <v>314.0</v>
      </c>
      <c r="X3316" s="172">
        <v>46093.66673251157</v>
      </c>
      <c r="Y3316" s="172">
        <v>46091.5605246412</v>
      </c>
      <c r="Z3316" s="3">
        <v>46091.0</v>
      </c>
    </row>
    <row r="3317">
      <c r="A3317" s="3">
        <v>6.945839022339E12</v>
      </c>
      <c r="B3317" s="2" t="s">
        <v>13571</v>
      </c>
      <c r="C3317" s="2" t="s">
        <v>12528</v>
      </c>
      <c r="D3317" s="169">
        <v>46091.0</v>
      </c>
      <c r="E3317" s="2">
        <v>3.090718464E9</v>
      </c>
      <c r="F3317" s="2" t="s">
        <v>12529</v>
      </c>
      <c r="G3317" s="2" t="s">
        <v>12530</v>
      </c>
      <c r="H3317" s="2">
        <v>3348.0</v>
      </c>
      <c r="I3317" s="2">
        <v>2.5120050022451E13</v>
      </c>
      <c r="J3317" s="3">
        <v>2.0</v>
      </c>
      <c r="K3317" s="2" t="s">
        <v>13572</v>
      </c>
      <c r="L3317" s="2" t="s">
        <v>13573</v>
      </c>
      <c r="M3317" s="2" t="s">
        <v>409</v>
      </c>
      <c r="N3317" s="2" t="s">
        <v>462</v>
      </c>
      <c r="O3317" s="3"/>
      <c r="P3317" s="2" t="s">
        <v>73</v>
      </c>
      <c r="Q3317" s="3">
        <v>720.0</v>
      </c>
      <c r="R3317" s="3">
        <v>0.5</v>
      </c>
      <c r="T3317" s="2" t="s">
        <v>12177</v>
      </c>
      <c r="U3317" s="171">
        <v>3348.0</v>
      </c>
      <c r="V3317" s="172">
        <v>46105.0</v>
      </c>
      <c r="W3317" s="3">
        <v>210.0</v>
      </c>
      <c r="X3317" s="172">
        <v>46098.49935346065</v>
      </c>
      <c r="Y3317" s="172">
        <v>46091.5605246412</v>
      </c>
      <c r="Z3317" s="3">
        <v>46091.0</v>
      </c>
    </row>
    <row r="3318">
      <c r="A3318" s="3">
        <v>6.945863172355E12</v>
      </c>
      <c r="B3318" s="2" t="s">
        <v>13574</v>
      </c>
      <c r="C3318" s="2" t="s">
        <v>12572</v>
      </c>
      <c r="D3318" s="169">
        <v>46091.0</v>
      </c>
      <c r="E3318" s="2">
        <v>3.052637793E9</v>
      </c>
      <c r="F3318" s="2" t="s">
        <v>12573</v>
      </c>
      <c r="G3318" s="2" t="s">
        <v>493</v>
      </c>
      <c r="H3318" s="2">
        <v>3348.0</v>
      </c>
      <c r="I3318" s="2">
        <v>2.112005002245E13</v>
      </c>
      <c r="J3318" s="3">
        <v>2.0</v>
      </c>
      <c r="K3318" s="2" t="s">
        <v>13575</v>
      </c>
      <c r="L3318" s="2" t="s">
        <v>906</v>
      </c>
      <c r="M3318" s="2" t="s">
        <v>409</v>
      </c>
      <c r="N3318" s="2" t="s">
        <v>462</v>
      </c>
      <c r="O3318" s="3"/>
      <c r="P3318" s="2" t="s">
        <v>73</v>
      </c>
      <c r="Q3318" s="3">
        <v>720.0</v>
      </c>
      <c r="R3318" s="3">
        <v>0.5</v>
      </c>
      <c r="U3318" s="141"/>
      <c r="X3318" s="172">
        <v>46098.74940390047</v>
      </c>
      <c r="Y3318" s="172">
        <v>46091.5605246412</v>
      </c>
      <c r="Z3318" s="3">
        <v>46091.0</v>
      </c>
    </row>
    <row r="3319">
      <c r="A3319" s="3">
        <v>6.945869725955E12</v>
      </c>
      <c r="B3319" s="2" t="s">
        <v>13576</v>
      </c>
      <c r="C3319" s="2" t="s">
        <v>13577</v>
      </c>
      <c r="D3319" s="169">
        <v>46091.0</v>
      </c>
      <c r="E3319" s="173" t="s">
        <v>13578</v>
      </c>
      <c r="F3319" s="2" t="s">
        <v>13579</v>
      </c>
      <c r="G3319" s="2" t="s">
        <v>13580</v>
      </c>
      <c r="H3319" s="2">
        <v>3048.0</v>
      </c>
      <c r="I3319" s="2">
        <v>2.8120050022452E13</v>
      </c>
      <c r="J3319" s="3">
        <v>2.0</v>
      </c>
      <c r="K3319" s="2" t="s">
        <v>13581</v>
      </c>
      <c r="L3319" s="2" t="s">
        <v>13582</v>
      </c>
      <c r="M3319" s="2" t="s">
        <v>409</v>
      </c>
      <c r="N3319" s="2" t="s">
        <v>462</v>
      </c>
      <c r="O3319" s="3"/>
      <c r="P3319" s="2" t="s">
        <v>73</v>
      </c>
      <c r="Q3319" s="3">
        <v>850.0</v>
      </c>
      <c r="R3319" s="3">
        <v>0.5</v>
      </c>
      <c r="T3319" s="2" t="s">
        <v>12177</v>
      </c>
      <c r="U3319" s="171">
        <v>3048.0</v>
      </c>
      <c r="V3319" s="172">
        <v>46105.0</v>
      </c>
      <c r="W3319" s="3">
        <v>322.0</v>
      </c>
      <c r="X3319" s="172">
        <v>46098.66610901621</v>
      </c>
      <c r="Y3319" s="172">
        <v>46091.602110312495</v>
      </c>
      <c r="Z3319" s="3">
        <v>46091.0</v>
      </c>
    </row>
    <row r="3320">
      <c r="A3320" s="3">
        <v>6.945948336387E12</v>
      </c>
      <c r="B3320" s="2" t="s">
        <v>13583</v>
      </c>
      <c r="C3320" s="2" t="s">
        <v>13584</v>
      </c>
      <c r="D3320" s="169">
        <v>46091.0</v>
      </c>
      <c r="E3320" s="2">
        <v>3.056235007E9</v>
      </c>
      <c r="F3320" s="2" t="s">
        <v>13585</v>
      </c>
      <c r="G3320" s="2" t="s">
        <v>993</v>
      </c>
      <c r="H3320" s="2">
        <v>2199.0</v>
      </c>
      <c r="I3320" s="2" t="s">
        <v>13586</v>
      </c>
      <c r="J3320" s="3">
        <v>1.0</v>
      </c>
      <c r="K3320" s="2" t="s">
        <v>13587</v>
      </c>
      <c r="L3320" s="2" t="s">
        <v>220</v>
      </c>
      <c r="M3320" s="2" t="s">
        <v>409</v>
      </c>
      <c r="N3320" s="2" t="s">
        <v>406</v>
      </c>
      <c r="O3320" s="3"/>
      <c r="P3320" s="2" t="s">
        <v>640</v>
      </c>
      <c r="Q3320" s="3">
        <v>360.0</v>
      </c>
      <c r="R3320" s="3">
        <v>0.5</v>
      </c>
      <c r="U3320" s="141"/>
      <c r="X3320" s="172">
        <v>46109.77260300926</v>
      </c>
      <c r="Y3320" s="172">
        <v>46091.68559958333</v>
      </c>
      <c r="Z3320" s="3">
        <v>46091.0</v>
      </c>
    </row>
    <row r="3321">
      <c r="A3321" s="3">
        <v>6.946005254403E12</v>
      </c>
      <c r="B3321" s="2" t="s">
        <v>13588</v>
      </c>
      <c r="C3321" s="2" t="s">
        <v>13589</v>
      </c>
      <c r="D3321" s="169">
        <v>46091.0</v>
      </c>
      <c r="E3321" s="2">
        <v>3.450083795E9</v>
      </c>
      <c r="F3321" s="2" t="s">
        <v>13590</v>
      </c>
      <c r="G3321" s="2" t="s">
        <v>368</v>
      </c>
      <c r="H3321" s="2">
        <v>0.0</v>
      </c>
      <c r="J3321" s="3">
        <v>0.0</v>
      </c>
      <c r="K3321" s="2" t="s">
        <v>13591</v>
      </c>
      <c r="L3321" s="2"/>
      <c r="M3321" s="2" t="s">
        <v>468</v>
      </c>
      <c r="N3321" s="2" t="s">
        <v>406</v>
      </c>
      <c r="O3321" s="3"/>
      <c r="Q3321" s="3">
        <v>0.0</v>
      </c>
      <c r="R3321" s="3">
        <v>0.5</v>
      </c>
      <c r="U3321" s="141"/>
      <c r="X3321" s="172"/>
      <c r="Y3321" s="172">
        <v>46091.72709768519</v>
      </c>
      <c r="Z3321" s="3">
        <v>46091.0</v>
      </c>
    </row>
    <row r="3322">
      <c r="A3322" s="3">
        <v>6.946015248643E12</v>
      </c>
      <c r="B3322" s="2" t="s">
        <v>13592</v>
      </c>
      <c r="C3322" s="2" t="s">
        <v>13593</v>
      </c>
      <c r="D3322" s="169">
        <v>46091.0</v>
      </c>
      <c r="E3322" s="2">
        <v>3.234575755E9</v>
      </c>
      <c r="F3322" s="2" t="s">
        <v>13594</v>
      </c>
      <c r="G3322" s="2" t="s">
        <v>368</v>
      </c>
      <c r="H3322" s="2">
        <v>3348.0</v>
      </c>
      <c r="I3322" s="2">
        <v>2.6120050022535E13</v>
      </c>
      <c r="J3322" s="3">
        <v>2.0</v>
      </c>
      <c r="K3322" s="2" t="s">
        <v>12223</v>
      </c>
      <c r="L3322" s="2" t="s">
        <v>1116</v>
      </c>
      <c r="M3322" s="2" t="s">
        <v>409</v>
      </c>
      <c r="N3322" s="2" t="s">
        <v>462</v>
      </c>
      <c r="O3322" s="3"/>
      <c r="P3322" s="2" t="s">
        <v>73</v>
      </c>
      <c r="Q3322" s="3">
        <v>800.0</v>
      </c>
      <c r="R3322" s="3">
        <v>0.5</v>
      </c>
      <c r="T3322" s="2" t="s">
        <v>11534</v>
      </c>
      <c r="U3322" s="171">
        <v>3348.0</v>
      </c>
      <c r="V3322" s="172">
        <v>46097.0</v>
      </c>
      <c r="W3322" s="3">
        <v>241.0</v>
      </c>
      <c r="X3322" s="172">
        <v>46094.74937423611</v>
      </c>
      <c r="Y3322" s="172">
        <v>46091.72709768519</v>
      </c>
      <c r="Z3322" s="3">
        <v>46091.0</v>
      </c>
    </row>
    <row r="3323">
      <c r="A3323" s="3">
        <v>6.946031698179E12</v>
      </c>
      <c r="B3323" s="2" t="s">
        <v>13595</v>
      </c>
      <c r="C3323" s="2" t="s">
        <v>13596</v>
      </c>
      <c r="D3323" s="169">
        <v>46091.0</v>
      </c>
      <c r="E3323" s="2">
        <v>3.246412182E9</v>
      </c>
      <c r="F3323" s="2" t="s">
        <v>13597</v>
      </c>
      <c r="G3323" s="2" t="s">
        <v>13598</v>
      </c>
      <c r="H3323" s="2">
        <v>3347.5</v>
      </c>
      <c r="I3323" s="2">
        <v>2.2120050022534E13</v>
      </c>
      <c r="J3323" s="3">
        <v>2.0</v>
      </c>
      <c r="K3323" s="2" t="s">
        <v>13599</v>
      </c>
      <c r="L3323" s="2" t="s">
        <v>1116</v>
      </c>
      <c r="M3323" s="2" t="s">
        <v>409</v>
      </c>
      <c r="N3323" s="2" t="s">
        <v>462</v>
      </c>
      <c r="O3323" s="3"/>
      <c r="P3323" s="2" t="s">
        <v>73</v>
      </c>
      <c r="Q3323" s="3">
        <v>800.0</v>
      </c>
      <c r="R3323" s="3">
        <v>0.5</v>
      </c>
      <c r="T3323" s="2" t="s">
        <v>11534</v>
      </c>
      <c r="U3323" s="171">
        <v>3347.5</v>
      </c>
      <c r="V3323" s="172">
        <v>46097.0</v>
      </c>
      <c r="W3323" s="3">
        <v>334.0</v>
      </c>
      <c r="X3323" s="172">
        <v>46095.520912569445</v>
      </c>
      <c r="Y3323" s="172">
        <v>46091.727097696756</v>
      </c>
      <c r="Z3323" s="3">
        <v>46091.0</v>
      </c>
    </row>
    <row r="3324">
      <c r="A3324" s="3">
        <v>6.946033336579E12</v>
      </c>
      <c r="B3324" s="2" t="s">
        <v>13600</v>
      </c>
      <c r="C3324" s="2" t="s">
        <v>13601</v>
      </c>
      <c r="D3324" s="169">
        <v>46091.0</v>
      </c>
      <c r="E3324" s="2">
        <v>3.175555511E9</v>
      </c>
      <c r="F3324" s="2" t="s">
        <v>13602</v>
      </c>
      <c r="G3324" s="2" t="s">
        <v>506</v>
      </c>
      <c r="H3324" s="2">
        <v>3348.0</v>
      </c>
      <c r="I3324" s="2">
        <v>2.6120050022533E13</v>
      </c>
      <c r="J3324" s="3">
        <v>2.0</v>
      </c>
      <c r="K3324" s="2" t="s">
        <v>12223</v>
      </c>
      <c r="L3324" s="2" t="s">
        <v>1116</v>
      </c>
      <c r="M3324" s="2" t="s">
        <v>409</v>
      </c>
      <c r="N3324" s="2" t="s">
        <v>462</v>
      </c>
      <c r="O3324" s="3"/>
      <c r="P3324" s="2" t="s">
        <v>73</v>
      </c>
      <c r="Q3324" s="3">
        <v>800.0</v>
      </c>
      <c r="R3324" s="3">
        <v>0.5</v>
      </c>
      <c r="T3324" s="2" t="s">
        <v>11534</v>
      </c>
      <c r="U3324" s="171">
        <v>3348.0</v>
      </c>
      <c r="V3324" s="172">
        <v>46097.0</v>
      </c>
      <c r="W3324" s="3">
        <v>334.0</v>
      </c>
      <c r="X3324" s="172">
        <v>46096.832647152776</v>
      </c>
      <c r="Y3324" s="172">
        <v>46091.727097696756</v>
      </c>
      <c r="Z3324" s="3">
        <v>46091.0</v>
      </c>
    </row>
    <row r="3325">
      <c r="A3325" s="3">
        <v>6.946098249987E12</v>
      </c>
      <c r="B3325" s="2" t="s">
        <v>13603</v>
      </c>
      <c r="C3325" s="2" t="s">
        <v>13604</v>
      </c>
      <c r="D3325" s="169">
        <v>46091.0</v>
      </c>
      <c r="E3325" s="2">
        <v>3.008753402E9</v>
      </c>
      <c r="F3325" s="2" t="s">
        <v>13605</v>
      </c>
      <c r="G3325" s="2" t="s">
        <v>2905</v>
      </c>
      <c r="H3325" s="2">
        <v>1799.0</v>
      </c>
      <c r="I3325" s="2">
        <v>2.7120050022532E13</v>
      </c>
      <c r="J3325" s="3">
        <v>1.0</v>
      </c>
      <c r="K3325" s="2" t="s">
        <v>13375</v>
      </c>
      <c r="L3325" s="2" t="s">
        <v>3222</v>
      </c>
      <c r="M3325" s="2" t="s">
        <v>409</v>
      </c>
      <c r="N3325" s="2" t="s">
        <v>462</v>
      </c>
      <c r="O3325" s="3"/>
      <c r="P3325" s="2" t="s">
        <v>73</v>
      </c>
      <c r="Q3325" s="3">
        <v>490.0</v>
      </c>
      <c r="R3325" s="3">
        <v>0.5</v>
      </c>
      <c r="T3325" s="2" t="s">
        <v>12177</v>
      </c>
      <c r="U3325" s="171">
        <v>1799.0</v>
      </c>
      <c r="V3325" s="172">
        <v>46105.0</v>
      </c>
      <c r="W3325" s="3">
        <v>272.0</v>
      </c>
      <c r="X3325" s="172">
        <v>46097.66608509259</v>
      </c>
      <c r="Y3325" s="172">
        <v>46091.81043165509</v>
      </c>
      <c r="Z3325" s="3">
        <v>46091.0</v>
      </c>
    </row>
    <row r="3326">
      <c r="A3326" s="3">
        <v>6.946116993283E12</v>
      </c>
      <c r="B3326" s="2" t="s">
        <v>13606</v>
      </c>
      <c r="C3326" s="2" t="s">
        <v>1853</v>
      </c>
      <c r="D3326" s="169">
        <v>46091.0</v>
      </c>
      <c r="E3326" s="2">
        <v>3.217623928E9</v>
      </c>
      <c r="F3326" s="2" t="s">
        <v>13607</v>
      </c>
      <c r="G3326" s="2" t="s">
        <v>10257</v>
      </c>
      <c r="H3326" s="2">
        <v>249.0</v>
      </c>
      <c r="I3326" s="2">
        <v>2.9120050022531E13</v>
      </c>
      <c r="J3326" s="3">
        <v>0.0</v>
      </c>
      <c r="K3326" s="2" t="s">
        <v>13608</v>
      </c>
      <c r="L3326" s="2"/>
      <c r="M3326" s="170" t="s">
        <v>455</v>
      </c>
      <c r="N3326" s="2" t="s">
        <v>406</v>
      </c>
      <c r="O3326" s="3"/>
      <c r="P3326" s="2" t="s">
        <v>73</v>
      </c>
      <c r="Q3326" s="3">
        <v>0.0</v>
      </c>
      <c r="R3326" s="3">
        <v>0.5</v>
      </c>
      <c r="U3326" s="141"/>
      <c r="W3326" s="3">
        <v>200.1</v>
      </c>
      <c r="X3326" s="172">
        <v>46105.83269877315</v>
      </c>
      <c r="Y3326" s="172">
        <v>46091.81043165509</v>
      </c>
      <c r="Z3326" s="3">
        <v>46091.0</v>
      </c>
    </row>
    <row r="3327">
      <c r="A3327" s="3">
        <v>6.946117910787E12</v>
      </c>
      <c r="B3327" s="2" t="s">
        <v>13609</v>
      </c>
      <c r="C3327" s="2" t="s">
        <v>13610</v>
      </c>
      <c r="D3327" s="169">
        <v>46091.0</v>
      </c>
      <c r="E3327" s="2">
        <v>3.402038146E9</v>
      </c>
      <c r="F3327" s="2" t="s">
        <v>13611</v>
      </c>
      <c r="G3327" s="2" t="s">
        <v>13612</v>
      </c>
      <c r="H3327" s="2">
        <v>0.0</v>
      </c>
      <c r="J3327" s="3">
        <v>0.0</v>
      </c>
      <c r="K3327" s="2" t="s">
        <v>13613</v>
      </c>
      <c r="L3327" s="2"/>
      <c r="M3327" s="2" t="s">
        <v>468</v>
      </c>
      <c r="N3327" s="2" t="s">
        <v>406</v>
      </c>
      <c r="O3327" s="3"/>
      <c r="Q3327" s="3">
        <v>0.0</v>
      </c>
      <c r="R3327" s="3">
        <v>0.5</v>
      </c>
      <c r="U3327" s="141"/>
      <c r="X3327" s="172"/>
      <c r="Y3327" s="172">
        <v>46091.81043165509</v>
      </c>
      <c r="Z3327" s="3">
        <v>46091.0</v>
      </c>
    </row>
    <row r="3328">
      <c r="A3328" s="3">
        <v>6.946121285891E12</v>
      </c>
      <c r="B3328" s="2" t="s">
        <v>13614</v>
      </c>
      <c r="C3328" s="2" t="s">
        <v>12713</v>
      </c>
      <c r="D3328" s="169">
        <v>46091.0</v>
      </c>
      <c r="E3328" s="173" t="s">
        <v>12831</v>
      </c>
      <c r="F3328" s="2" t="s">
        <v>12832</v>
      </c>
      <c r="G3328" s="2" t="s">
        <v>368</v>
      </c>
      <c r="H3328" s="2">
        <v>3098.0</v>
      </c>
      <c r="I3328" s="2" t="s">
        <v>13615</v>
      </c>
      <c r="J3328" s="3">
        <v>2.0</v>
      </c>
      <c r="K3328" s="2" t="s">
        <v>13616</v>
      </c>
      <c r="L3328" s="2" t="s">
        <v>13617</v>
      </c>
      <c r="M3328" s="2" t="s">
        <v>409</v>
      </c>
      <c r="N3328" s="2" t="s">
        <v>462</v>
      </c>
      <c r="O3328" s="3"/>
      <c r="P3328" s="2"/>
      <c r="Q3328" s="3">
        <v>910.0</v>
      </c>
      <c r="R3328" s="3">
        <v>0.5</v>
      </c>
      <c r="U3328" s="141"/>
      <c r="X3328" s="172"/>
      <c r="Y3328" s="172">
        <v>46091.81043165509</v>
      </c>
      <c r="Z3328" s="3">
        <v>46091.0</v>
      </c>
    </row>
    <row r="3329">
      <c r="A3329" s="3">
        <v>6.946346041603E12</v>
      </c>
      <c r="B3329" s="2" t="s">
        <v>13618</v>
      </c>
      <c r="C3329" s="2" t="s">
        <v>13619</v>
      </c>
      <c r="D3329" s="169">
        <v>46091.0</v>
      </c>
      <c r="E3329" s="173" t="s">
        <v>13620</v>
      </c>
      <c r="F3329" s="2" t="s">
        <v>13621</v>
      </c>
      <c r="G3329" s="2" t="s">
        <v>374</v>
      </c>
      <c r="H3329" s="2">
        <v>0.0</v>
      </c>
      <c r="J3329" s="3">
        <v>0.0</v>
      </c>
      <c r="K3329" s="2" t="s">
        <v>8402</v>
      </c>
      <c r="L3329" s="2"/>
      <c r="M3329" s="2" t="s">
        <v>468</v>
      </c>
      <c r="N3329" s="2" t="s">
        <v>406</v>
      </c>
      <c r="O3329" s="3"/>
      <c r="Q3329" s="3">
        <v>0.0</v>
      </c>
      <c r="R3329" s="3">
        <v>0.5</v>
      </c>
      <c r="U3329" s="141"/>
      <c r="X3329" s="172"/>
      <c r="Y3329" s="172">
        <v>46091.935448275464</v>
      </c>
      <c r="Z3329" s="3">
        <v>46091.0</v>
      </c>
    </row>
    <row r="3330">
      <c r="A3330" s="3">
        <v>6.946377498883E12</v>
      </c>
      <c r="B3330" s="2" t="s">
        <v>13622</v>
      </c>
      <c r="C3330" s="2" t="s">
        <v>13623</v>
      </c>
      <c r="D3330" s="169">
        <v>46091.0</v>
      </c>
      <c r="E3330" s="2">
        <v>3.364363533E9</v>
      </c>
      <c r="F3330" s="2" t="s">
        <v>13624</v>
      </c>
      <c r="G3330" s="2" t="s">
        <v>368</v>
      </c>
      <c r="H3330" s="2">
        <v>2049.0</v>
      </c>
      <c r="I3330" s="2">
        <v>2.712005002253E13</v>
      </c>
      <c r="J3330" s="3">
        <v>1.0</v>
      </c>
      <c r="K3330" s="2" t="s">
        <v>13548</v>
      </c>
      <c r="L3330" s="2" t="s">
        <v>13625</v>
      </c>
      <c r="M3330" s="2" t="s">
        <v>409</v>
      </c>
      <c r="N3330" s="2" t="s">
        <v>462</v>
      </c>
      <c r="O3330" s="3"/>
      <c r="P3330" s="2" t="s">
        <v>73</v>
      </c>
      <c r="Q3330" s="3">
        <v>400.0</v>
      </c>
      <c r="R3330" s="3">
        <v>0.5</v>
      </c>
      <c r="T3330" s="2" t="s">
        <v>11534</v>
      </c>
      <c r="U3330" s="171">
        <v>2049.0</v>
      </c>
      <c r="V3330" s="172">
        <v>46097.0</v>
      </c>
      <c r="W3330" s="3">
        <v>189.0</v>
      </c>
      <c r="X3330" s="172">
        <v>46094.49940696759</v>
      </c>
      <c r="Y3330" s="172">
        <v>46091.935448275464</v>
      </c>
      <c r="Z3330" s="3">
        <v>46091.0</v>
      </c>
    </row>
    <row r="3331">
      <c r="A3331" s="3">
        <v>6.946415739139E12</v>
      </c>
      <c r="B3331" s="2" t="s">
        <v>13626</v>
      </c>
      <c r="C3331" s="2" t="s">
        <v>13627</v>
      </c>
      <c r="D3331" s="169">
        <v>46091.0</v>
      </c>
      <c r="E3331" s="173" t="s">
        <v>13628</v>
      </c>
      <c r="F3331" s="2" t="s">
        <v>13629</v>
      </c>
      <c r="G3331" s="2" t="s">
        <v>368</v>
      </c>
      <c r="H3331" s="2">
        <v>3348.0</v>
      </c>
      <c r="I3331" s="2">
        <v>2.1120050022529E13</v>
      </c>
      <c r="J3331" s="3">
        <v>2.0</v>
      </c>
      <c r="K3331" s="2" t="s">
        <v>12223</v>
      </c>
      <c r="L3331" s="2" t="s">
        <v>296</v>
      </c>
      <c r="M3331" s="2" t="s">
        <v>409</v>
      </c>
      <c r="N3331" s="2" t="s">
        <v>462</v>
      </c>
      <c r="O3331" s="3"/>
      <c r="P3331" s="2" t="s">
        <v>73</v>
      </c>
      <c r="Q3331" s="3">
        <v>720.0</v>
      </c>
      <c r="R3331" s="3">
        <v>0.5</v>
      </c>
      <c r="T3331" s="2" t="s">
        <v>11534</v>
      </c>
      <c r="U3331" s="171">
        <v>3348.0</v>
      </c>
      <c r="V3331" s="172">
        <v>46097.0</v>
      </c>
      <c r="W3331" s="3">
        <v>241.0</v>
      </c>
      <c r="X3331" s="172">
        <v>46095.77098296296</v>
      </c>
      <c r="Y3331" s="172">
        <v>46091.97716376158</v>
      </c>
      <c r="Z3331" s="3">
        <v>46091.0</v>
      </c>
    </row>
    <row r="3332">
      <c r="A3332" s="3">
        <v>6.946444869891E12</v>
      </c>
      <c r="B3332" s="2" t="s">
        <v>13630</v>
      </c>
      <c r="C3332" s="2" t="s">
        <v>13631</v>
      </c>
      <c r="D3332" s="169">
        <v>46091.0</v>
      </c>
      <c r="E3332" s="2">
        <v>3.369755249E9</v>
      </c>
      <c r="F3332" s="2" t="s">
        <v>13632</v>
      </c>
      <c r="G3332" s="2" t="s">
        <v>3500</v>
      </c>
      <c r="H3332" s="2">
        <v>249.0</v>
      </c>
      <c r="I3332" s="2">
        <v>2.3120050022528E13</v>
      </c>
      <c r="J3332" s="3">
        <v>0.0</v>
      </c>
      <c r="K3332" s="2" t="s">
        <v>13276</v>
      </c>
      <c r="L3332" s="2"/>
      <c r="M3332" s="170" t="s">
        <v>455</v>
      </c>
      <c r="N3332" s="2" t="s">
        <v>406</v>
      </c>
      <c r="O3332" s="3"/>
      <c r="P3332" s="2" t="s">
        <v>73</v>
      </c>
      <c r="Q3332" s="3">
        <v>0.0</v>
      </c>
      <c r="R3332" s="3">
        <v>0.5</v>
      </c>
      <c r="U3332" s="141"/>
      <c r="W3332" s="3">
        <v>213.44</v>
      </c>
      <c r="X3332" s="172">
        <v>46107.87437439815</v>
      </c>
      <c r="Y3332" s="172">
        <v>46091.97716376158</v>
      </c>
      <c r="Z3332" s="3">
        <v>46091.0</v>
      </c>
    </row>
    <row r="3333">
      <c r="A3333" s="3">
        <v>6.946466496771E12</v>
      </c>
      <c r="B3333" s="2" t="s">
        <v>13633</v>
      </c>
      <c r="C3333" s="2" t="s">
        <v>13634</v>
      </c>
      <c r="D3333" s="169">
        <v>46091.0</v>
      </c>
      <c r="E3333" s="2">
        <v>3.255727119E9</v>
      </c>
      <c r="F3333" s="2" t="s">
        <v>13635</v>
      </c>
      <c r="G3333" s="2" t="s">
        <v>1328</v>
      </c>
      <c r="H3333" s="2">
        <v>2749.0</v>
      </c>
      <c r="I3333" s="2">
        <v>2.5120050022527E13</v>
      </c>
      <c r="J3333" s="3">
        <v>2.0</v>
      </c>
      <c r="K3333" s="2" t="s">
        <v>13636</v>
      </c>
      <c r="L3333" s="2" t="s">
        <v>13637</v>
      </c>
      <c r="M3333" s="2" t="s">
        <v>409</v>
      </c>
      <c r="N3333" s="2" t="s">
        <v>462</v>
      </c>
      <c r="O3333" s="3"/>
      <c r="P3333" s="2" t="s">
        <v>73</v>
      </c>
      <c r="Q3333" s="3">
        <v>1500.0</v>
      </c>
      <c r="R3333" s="3">
        <v>0.5</v>
      </c>
      <c r="T3333" s="2" t="s">
        <v>11534</v>
      </c>
      <c r="U3333" s="171">
        <v>2749.0</v>
      </c>
      <c r="V3333" s="172">
        <v>46097.0</v>
      </c>
      <c r="W3333" s="3">
        <v>310.0</v>
      </c>
      <c r="X3333" s="172">
        <v>46095.54102819445</v>
      </c>
      <c r="Y3333" s="172">
        <v>46092.018775439814</v>
      </c>
      <c r="Z3333" s="3">
        <v>46091.0</v>
      </c>
    </row>
    <row r="3334">
      <c r="A3334" s="3">
        <v>6.946485764355E12</v>
      </c>
      <c r="B3334" s="2" t="s">
        <v>13638</v>
      </c>
      <c r="C3334" s="2" t="s">
        <v>13639</v>
      </c>
      <c r="D3334" s="169">
        <v>46091.0</v>
      </c>
      <c r="E3334" s="2">
        <v>3.422912905E9</v>
      </c>
      <c r="F3334" s="2" t="s">
        <v>13640</v>
      </c>
      <c r="G3334" s="2" t="s">
        <v>822</v>
      </c>
      <c r="H3334" s="2">
        <v>249.0</v>
      </c>
      <c r="I3334" s="2">
        <v>2.2120050022526E13</v>
      </c>
      <c r="J3334" s="3">
        <v>0.0</v>
      </c>
      <c r="K3334" s="2" t="s">
        <v>12763</v>
      </c>
      <c r="L3334" s="2"/>
      <c r="M3334" s="170" t="s">
        <v>455</v>
      </c>
      <c r="N3334" s="2" t="s">
        <v>406</v>
      </c>
      <c r="O3334" s="3"/>
      <c r="P3334" s="2" t="s">
        <v>73</v>
      </c>
      <c r="Q3334" s="3">
        <v>0.0</v>
      </c>
      <c r="R3334" s="3">
        <v>0.5</v>
      </c>
      <c r="U3334" s="141"/>
      <c r="W3334" s="3">
        <v>200.0</v>
      </c>
      <c r="X3334" s="172">
        <v>46110.58263853009</v>
      </c>
      <c r="Y3334" s="172">
        <v>46092.018775439814</v>
      </c>
      <c r="Z3334" s="3">
        <v>46091.0</v>
      </c>
    </row>
    <row r="3335">
      <c r="A3335" s="3">
        <v>6.946511356163E12</v>
      </c>
      <c r="B3335" s="2" t="s">
        <v>13641</v>
      </c>
      <c r="C3335" s="2" t="s">
        <v>10087</v>
      </c>
      <c r="D3335" s="169">
        <v>46092.0</v>
      </c>
      <c r="E3335" s="2">
        <v>3.106017011E9</v>
      </c>
      <c r="F3335" s="2" t="s">
        <v>13642</v>
      </c>
      <c r="G3335" s="2" t="s">
        <v>461</v>
      </c>
      <c r="H3335" s="2">
        <v>4598.0</v>
      </c>
      <c r="I3335" s="2">
        <v>2.3120050022653E13</v>
      </c>
      <c r="J3335" s="3">
        <v>3.0</v>
      </c>
      <c r="K3335" s="2" t="s">
        <v>13643</v>
      </c>
      <c r="L3335" s="2" t="s">
        <v>13644</v>
      </c>
      <c r="M3335" s="2" t="s">
        <v>409</v>
      </c>
      <c r="N3335" s="2" t="s">
        <v>462</v>
      </c>
      <c r="O3335" s="3"/>
      <c r="P3335" s="2" t="s">
        <v>73</v>
      </c>
      <c r="Q3335" s="3">
        <v>1550.0</v>
      </c>
      <c r="R3335" s="3">
        <v>0.5</v>
      </c>
      <c r="T3335" s="2" t="s">
        <v>11534</v>
      </c>
      <c r="U3335" s="171">
        <v>4598.0</v>
      </c>
      <c r="V3335" s="172">
        <v>46097.0</v>
      </c>
      <c r="W3335" s="3">
        <v>404.0</v>
      </c>
      <c r="X3335" s="172">
        <v>46096.83264729167</v>
      </c>
      <c r="Y3335" s="172">
        <v>46092.018775439814</v>
      </c>
      <c r="Z3335" s="3">
        <v>46092.0</v>
      </c>
    </row>
    <row r="3336">
      <c r="A3336" s="3">
        <v>6.946518040835E12</v>
      </c>
      <c r="B3336" s="2" t="s">
        <v>13645</v>
      </c>
      <c r="C3336" s="2" t="s">
        <v>10087</v>
      </c>
      <c r="D3336" s="169">
        <v>46092.0</v>
      </c>
      <c r="E3336" s="173" t="s">
        <v>13646</v>
      </c>
      <c r="F3336" s="2" t="s">
        <v>13642</v>
      </c>
      <c r="G3336" s="2" t="s">
        <v>461</v>
      </c>
      <c r="H3336" s="2">
        <v>0.0</v>
      </c>
      <c r="J3336" s="3">
        <v>0.0</v>
      </c>
      <c r="K3336" s="2" t="s">
        <v>7954</v>
      </c>
      <c r="L3336" s="2"/>
      <c r="M3336" s="2" t="s">
        <v>468</v>
      </c>
      <c r="N3336" s="2" t="s">
        <v>406</v>
      </c>
      <c r="O3336" s="3"/>
      <c r="Q3336" s="3">
        <v>0.0</v>
      </c>
      <c r="R3336" s="3">
        <v>0.5</v>
      </c>
      <c r="U3336" s="141"/>
      <c r="X3336" s="172"/>
      <c r="Y3336" s="172">
        <v>46092.018775439814</v>
      </c>
      <c r="Z3336" s="3">
        <v>46092.0</v>
      </c>
    </row>
    <row r="3337">
      <c r="A3337" s="3">
        <v>6.946534785283E12</v>
      </c>
      <c r="B3337" s="2" t="s">
        <v>13647</v>
      </c>
      <c r="C3337" s="2" t="s">
        <v>13499</v>
      </c>
      <c r="D3337" s="169">
        <v>46092.0</v>
      </c>
      <c r="E3337" s="2">
        <v>3.008505659E9</v>
      </c>
      <c r="F3337" s="2" t="s">
        <v>13500</v>
      </c>
      <c r="G3337" s="2" t="s">
        <v>607</v>
      </c>
      <c r="H3337" s="2">
        <v>13250.0</v>
      </c>
      <c r="I3337" s="2">
        <v>2.5120050022525E13</v>
      </c>
      <c r="J3337" s="3">
        <v>9.0</v>
      </c>
      <c r="K3337" s="2" t="s">
        <v>13648</v>
      </c>
      <c r="L3337" s="2" t="s">
        <v>13649</v>
      </c>
      <c r="M3337" s="2" t="s">
        <v>409</v>
      </c>
      <c r="N3337" s="2" t="s">
        <v>462</v>
      </c>
      <c r="O3337" s="3"/>
      <c r="P3337" s="2" t="s">
        <v>73</v>
      </c>
      <c r="Q3337" s="3">
        <v>4880.0</v>
      </c>
      <c r="R3337" s="3">
        <v>0.5</v>
      </c>
      <c r="T3337" s="2" t="s">
        <v>11534</v>
      </c>
      <c r="U3337" s="171">
        <v>13250.0</v>
      </c>
      <c r="V3337" s="172">
        <v>46097.0</v>
      </c>
      <c r="W3337" s="3">
        <v>1030.0</v>
      </c>
      <c r="X3337" s="172">
        <v>46095.457651226854</v>
      </c>
      <c r="Y3337" s="172">
        <v>46092.06043563657</v>
      </c>
      <c r="Z3337" s="3">
        <v>46092.0</v>
      </c>
    </row>
    <row r="3338">
      <c r="A3338" s="3">
        <v>6.946549006595E12</v>
      </c>
      <c r="B3338" s="2" t="s">
        <v>13650</v>
      </c>
      <c r="C3338" s="2" t="s">
        <v>13651</v>
      </c>
      <c r="D3338" s="169">
        <v>46092.0</v>
      </c>
      <c r="E3338" s="173" t="s">
        <v>13652</v>
      </c>
      <c r="F3338" s="2" t="s">
        <v>13653</v>
      </c>
      <c r="G3338" s="2" t="s">
        <v>368</v>
      </c>
      <c r="H3338" s="2">
        <v>0.0</v>
      </c>
      <c r="J3338" s="3">
        <v>0.0</v>
      </c>
      <c r="K3338" s="2" t="s">
        <v>13654</v>
      </c>
      <c r="L3338" s="2"/>
      <c r="M3338" s="2" t="s">
        <v>468</v>
      </c>
      <c r="N3338" s="2" t="s">
        <v>406</v>
      </c>
      <c r="O3338" s="3"/>
      <c r="Q3338" s="3">
        <v>0.0</v>
      </c>
      <c r="R3338" s="3">
        <v>0.5</v>
      </c>
      <c r="U3338" s="141"/>
      <c r="X3338" s="172"/>
      <c r="Y3338" s="172">
        <v>46092.06043563657</v>
      </c>
      <c r="Z3338" s="3">
        <v>46092.0</v>
      </c>
    </row>
    <row r="3339">
      <c r="A3339" s="3">
        <v>6.946556838147E12</v>
      </c>
      <c r="B3339" s="2" t="s">
        <v>13655</v>
      </c>
      <c r="C3339" s="2" t="s">
        <v>13656</v>
      </c>
      <c r="D3339" s="169">
        <v>46092.0</v>
      </c>
      <c r="E3339" s="173" t="s">
        <v>13657</v>
      </c>
      <c r="F3339" s="2" t="s">
        <v>13658</v>
      </c>
      <c r="G3339" s="2" t="s">
        <v>368</v>
      </c>
      <c r="H3339" s="2">
        <v>249.0</v>
      </c>
      <c r="I3339" s="2">
        <v>2.4120050022524E13</v>
      </c>
      <c r="J3339" s="3">
        <v>0.0</v>
      </c>
      <c r="K3339" s="2" t="s">
        <v>13659</v>
      </c>
      <c r="L3339" s="2"/>
      <c r="M3339" s="170" t="s">
        <v>455</v>
      </c>
      <c r="N3339" s="2" t="s">
        <v>406</v>
      </c>
      <c r="O3339" s="3"/>
      <c r="P3339" s="2" t="s">
        <v>73</v>
      </c>
      <c r="Q3339" s="3">
        <v>0.0</v>
      </c>
      <c r="R3339" s="3">
        <v>0.5</v>
      </c>
      <c r="U3339" s="141"/>
      <c r="W3339" s="3">
        <v>106.72</v>
      </c>
      <c r="X3339" s="172">
        <v>46107.874374756946</v>
      </c>
      <c r="Y3339" s="172">
        <v>46092.06043563657</v>
      </c>
      <c r="Z3339" s="3">
        <v>46092.0</v>
      </c>
    </row>
    <row r="3340">
      <c r="A3340" s="3">
        <v>6.946582954243E12</v>
      </c>
      <c r="B3340" s="2" t="s">
        <v>13660</v>
      </c>
      <c r="C3340" s="2" t="s">
        <v>13661</v>
      </c>
      <c r="D3340" s="169">
        <v>46092.0</v>
      </c>
      <c r="E3340" s="2">
        <v>3.006707204E9</v>
      </c>
      <c r="F3340" s="2" t="s">
        <v>13662</v>
      </c>
      <c r="G3340" s="2" t="s">
        <v>1044</v>
      </c>
      <c r="H3340" s="2">
        <v>0.0</v>
      </c>
      <c r="J3340" s="3">
        <v>0.0</v>
      </c>
      <c r="K3340" s="2" t="s">
        <v>13663</v>
      </c>
      <c r="L3340" s="2"/>
      <c r="M3340" s="2" t="s">
        <v>468</v>
      </c>
      <c r="N3340" s="2" t="s">
        <v>406</v>
      </c>
      <c r="O3340" s="3"/>
      <c r="Q3340" s="3">
        <v>0.0</v>
      </c>
      <c r="R3340" s="3">
        <v>0.5</v>
      </c>
      <c r="U3340" s="141"/>
      <c r="X3340" s="172"/>
      <c r="Y3340" s="172">
        <v>46092.06043563657</v>
      </c>
      <c r="Z3340" s="3">
        <v>46092.0</v>
      </c>
    </row>
    <row r="3341">
      <c r="A3341" s="3">
        <v>6.946585968899E12</v>
      </c>
      <c r="B3341" s="2" t="s">
        <v>13664</v>
      </c>
      <c r="C3341" s="2" t="s">
        <v>2239</v>
      </c>
      <c r="D3341" s="169">
        <v>46092.0</v>
      </c>
      <c r="E3341" s="2">
        <v>3.10580495E9</v>
      </c>
      <c r="F3341" s="2" t="s">
        <v>13665</v>
      </c>
      <c r="G3341" s="2" t="s">
        <v>493</v>
      </c>
      <c r="H3341" s="2">
        <v>0.0</v>
      </c>
      <c r="J3341" s="3">
        <v>0.0</v>
      </c>
      <c r="K3341" s="2" t="s">
        <v>13666</v>
      </c>
      <c r="L3341" s="2"/>
      <c r="M3341" s="2" t="s">
        <v>468</v>
      </c>
      <c r="N3341" s="2" t="s">
        <v>406</v>
      </c>
      <c r="O3341" s="3"/>
      <c r="Q3341" s="3">
        <v>0.0</v>
      </c>
      <c r="R3341" s="3">
        <v>0.5</v>
      </c>
      <c r="U3341" s="141"/>
      <c r="X3341" s="172"/>
      <c r="Y3341" s="172">
        <v>46092.06043563657</v>
      </c>
      <c r="Z3341" s="3">
        <v>46092.0</v>
      </c>
    </row>
    <row r="3342">
      <c r="A3342" s="3">
        <v>6.946667299075E12</v>
      </c>
      <c r="B3342" s="2" t="s">
        <v>13667</v>
      </c>
      <c r="C3342" s="2" t="s">
        <v>13668</v>
      </c>
      <c r="D3342" s="169">
        <v>46092.0</v>
      </c>
      <c r="E3342" s="2">
        <v>3.405763549E9</v>
      </c>
      <c r="F3342" s="2" t="s">
        <v>13669</v>
      </c>
      <c r="G3342" s="2" t="s">
        <v>13670</v>
      </c>
      <c r="H3342" s="2">
        <v>249.0</v>
      </c>
      <c r="I3342" s="2">
        <v>2.1120050022523E13</v>
      </c>
      <c r="J3342" s="3">
        <v>0.0</v>
      </c>
      <c r="K3342" s="2" t="s">
        <v>12763</v>
      </c>
      <c r="L3342" s="2"/>
      <c r="M3342" s="170" t="s">
        <v>455</v>
      </c>
      <c r="N3342" s="2" t="s">
        <v>406</v>
      </c>
      <c r="O3342" s="3"/>
      <c r="P3342" s="2" t="s">
        <v>73</v>
      </c>
      <c r="Q3342" s="3">
        <v>0.0</v>
      </c>
      <c r="R3342" s="3">
        <v>0.5</v>
      </c>
      <c r="U3342" s="141"/>
      <c r="W3342" s="3">
        <v>200.0</v>
      </c>
      <c r="X3342" s="172">
        <v>46110.582638541666</v>
      </c>
      <c r="Y3342" s="172">
        <v>46092.14373876157</v>
      </c>
      <c r="Z3342" s="3">
        <v>46092.0</v>
      </c>
    </row>
    <row r="3343">
      <c r="A3343" s="3">
        <v>6.946695217411E12</v>
      </c>
      <c r="B3343" s="2" t="s">
        <v>13671</v>
      </c>
      <c r="C3343" s="2" t="s">
        <v>13672</v>
      </c>
      <c r="D3343" s="169">
        <v>46092.0</v>
      </c>
      <c r="E3343" s="2">
        <v>3.027135756E9</v>
      </c>
      <c r="F3343" s="2" t="s">
        <v>13673</v>
      </c>
      <c r="G3343" s="2" t="s">
        <v>368</v>
      </c>
      <c r="H3343" s="2">
        <v>249.0</v>
      </c>
      <c r="I3343" s="2">
        <v>2.2120050022522E13</v>
      </c>
      <c r="J3343" s="3">
        <v>0.0</v>
      </c>
      <c r="K3343" s="2" t="s">
        <v>13674</v>
      </c>
      <c r="L3343" s="2"/>
      <c r="M3343" s="170" t="s">
        <v>455</v>
      </c>
      <c r="N3343" s="2" t="s">
        <v>406</v>
      </c>
      <c r="O3343" s="3"/>
      <c r="P3343" s="2" t="s">
        <v>73</v>
      </c>
      <c r="Q3343" s="3">
        <v>0.0</v>
      </c>
      <c r="R3343" s="3">
        <v>0.5</v>
      </c>
      <c r="U3343" s="141"/>
      <c r="W3343" s="3">
        <v>107.0</v>
      </c>
      <c r="X3343" s="172">
        <v>46098.70768486111</v>
      </c>
      <c r="Y3343" s="172">
        <v>46092.14373876157</v>
      </c>
      <c r="Z3343" s="3">
        <v>46092.0</v>
      </c>
    </row>
    <row r="3344">
      <c r="A3344" s="3">
        <v>6.946744140035E12</v>
      </c>
      <c r="B3344" s="2" t="s">
        <v>13675</v>
      </c>
      <c r="C3344" s="2" t="s">
        <v>13676</v>
      </c>
      <c r="D3344" s="169">
        <v>46092.0</v>
      </c>
      <c r="E3344" s="2">
        <v>3.005142195E9</v>
      </c>
      <c r="F3344" s="2" t="s">
        <v>13677</v>
      </c>
      <c r="G3344" s="2" t="s">
        <v>13678</v>
      </c>
      <c r="H3344" s="2">
        <v>249.0</v>
      </c>
      <c r="I3344" s="2">
        <v>2.5120050022521E13</v>
      </c>
      <c r="J3344" s="3">
        <v>0.0</v>
      </c>
      <c r="K3344" s="2" t="s">
        <v>12246</v>
      </c>
      <c r="L3344" s="2"/>
      <c r="M3344" s="170" t="s">
        <v>455</v>
      </c>
      <c r="N3344" s="2" t="s">
        <v>406</v>
      </c>
      <c r="O3344" s="3"/>
      <c r="P3344" s="2" t="s">
        <v>73</v>
      </c>
      <c r="Q3344" s="3">
        <v>0.0</v>
      </c>
      <c r="R3344" s="3">
        <v>0.5</v>
      </c>
      <c r="U3344" s="141"/>
      <c r="W3344" s="3">
        <v>200.1</v>
      </c>
      <c r="X3344" s="172">
        <v>46105.8326990625</v>
      </c>
      <c r="Y3344" s="172">
        <v>46092.18543442129</v>
      </c>
      <c r="Z3344" s="3">
        <v>46092.0</v>
      </c>
    </row>
    <row r="3345">
      <c r="A3345" s="3">
        <v>6.946745581827E12</v>
      </c>
      <c r="B3345" s="2" t="s">
        <v>13679</v>
      </c>
      <c r="C3345" s="2" t="s">
        <v>13680</v>
      </c>
      <c r="D3345" s="169">
        <v>46092.0</v>
      </c>
      <c r="E3345" s="2">
        <v>3.218882223E9</v>
      </c>
      <c r="F3345" s="2" t="s">
        <v>13681</v>
      </c>
      <c r="G3345" s="2" t="s">
        <v>368</v>
      </c>
      <c r="H3345" s="2">
        <v>3347.5</v>
      </c>
      <c r="I3345" s="2">
        <v>2.812005002252E13</v>
      </c>
      <c r="J3345" s="3">
        <v>2.0</v>
      </c>
      <c r="K3345" s="2" t="s">
        <v>13682</v>
      </c>
      <c r="L3345" s="2" t="s">
        <v>40</v>
      </c>
      <c r="M3345" s="2" t="s">
        <v>409</v>
      </c>
      <c r="N3345" s="2" t="s">
        <v>462</v>
      </c>
      <c r="O3345" s="3"/>
      <c r="P3345" s="2" t="s">
        <v>73</v>
      </c>
      <c r="Q3345" s="3">
        <v>720.0</v>
      </c>
      <c r="R3345" s="3">
        <v>0.5</v>
      </c>
      <c r="T3345" s="2" t="s">
        <v>11534</v>
      </c>
      <c r="U3345" s="171">
        <v>3347.5</v>
      </c>
      <c r="V3345" s="172">
        <v>46097.0</v>
      </c>
      <c r="W3345" s="3">
        <v>241.0</v>
      </c>
      <c r="X3345" s="172">
        <v>46094.749375590276</v>
      </c>
      <c r="Y3345" s="172">
        <v>46092.18543442129</v>
      </c>
      <c r="Z3345" s="3">
        <v>46092.0</v>
      </c>
    </row>
    <row r="3346">
      <c r="A3346" s="3">
        <v>6.946775335171E12</v>
      </c>
      <c r="B3346" s="2" t="s">
        <v>13683</v>
      </c>
      <c r="C3346" s="2" t="s">
        <v>13684</v>
      </c>
      <c r="D3346" s="169">
        <v>46092.0</v>
      </c>
      <c r="E3346" s="2">
        <v>3.107348437E9</v>
      </c>
      <c r="F3346" s="2" t="s">
        <v>13685</v>
      </c>
      <c r="G3346" s="2" t="s">
        <v>688</v>
      </c>
      <c r="H3346" s="2">
        <v>3348.0</v>
      </c>
      <c r="I3346" s="2">
        <v>2.3120050022519E13</v>
      </c>
      <c r="J3346" s="3">
        <v>2.0</v>
      </c>
      <c r="K3346" s="2" t="s">
        <v>12223</v>
      </c>
      <c r="L3346" s="2" t="s">
        <v>50</v>
      </c>
      <c r="M3346" s="2" t="s">
        <v>409</v>
      </c>
      <c r="N3346" s="2" t="s">
        <v>462</v>
      </c>
      <c r="O3346" s="3"/>
      <c r="P3346" s="2" t="s">
        <v>73</v>
      </c>
      <c r="Q3346" s="3">
        <v>720.0</v>
      </c>
      <c r="R3346" s="3">
        <v>0.5</v>
      </c>
      <c r="T3346" s="2" t="s">
        <v>11534</v>
      </c>
      <c r="U3346" s="171">
        <v>3348.0</v>
      </c>
      <c r="V3346" s="172">
        <v>46097.0</v>
      </c>
      <c r="W3346" s="3">
        <v>334.0</v>
      </c>
      <c r="X3346" s="172">
        <v>46096.62436267361</v>
      </c>
      <c r="Y3346" s="172">
        <v>46092.185434432875</v>
      </c>
      <c r="Z3346" s="3">
        <v>46092.0</v>
      </c>
    </row>
    <row r="3347">
      <c r="A3347" s="3">
        <v>6.946790048003E12</v>
      </c>
      <c r="B3347" s="2" t="s">
        <v>13686</v>
      </c>
      <c r="C3347" s="2" t="s">
        <v>13687</v>
      </c>
      <c r="D3347" s="169">
        <v>46092.0</v>
      </c>
      <c r="E3347" s="2">
        <v>3.004100029E9</v>
      </c>
      <c r="F3347" s="2" t="s">
        <v>13688</v>
      </c>
      <c r="G3347" s="2" t="s">
        <v>368</v>
      </c>
      <c r="H3347" s="2">
        <v>3348.0</v>
      </c>
      <c r="I3347" s="2">
        <v>2.7120050022518E13</v>
      </c>
      <c r="J3347" s="3">
        <v>2.0</v>
      </c>
      <c r="K3347" s="2" t="s">
        <v>12223</v>
      </c>
      <c r="L3347" s="2" t="s">
        <v>296</v>
      </c>
      <c r="M3347" s="2" t="s">
        <v>409</v>
      </c>
      <c r="N3347" s="2" t="s">
        <v>462</v>
      </c>
      <c r="O3347" s="3"/>
      <c r="P3347" s="2" t="s">
        <v>73</v>
      </c>
      <c r="Q3347" s="3">
        <v>720.0</v>
      </c>
      <c r="R3347" s="3">
        <v>0.5</v>
      </c>
      <c r="T3347" s="2" t="s">
        <v>11534</v>
      </c>
      <c r="U3347" s="171">
        <v>3348.0</v>
      </c>
      <c r="V3347" s="172">
        <v>46097.0</v>
      </c>
      <c r="W3347" s="3">
        <v>241.0</v>
      </c>
      <c r="X3347" s="172">
        <v>46094.749375671294</v>
      </c>
      <c r="Y3347" s="172">
        <v>46092.185434432875</v>
      </c>
      <c r="Z3347" s="3">
        <v>46092.0</v>
      </c>
    </row>
    <row r="3348">
      <c r="A3348" s="3">
        <v>6.946808955139E12</v>
      </c>
      <c r="B3348" s="2" t="s">
        <v>13689</v>
      </c>
      <c r="C3348" s="2" t="s">
        <v>13690</v>
      </c>
      <c r="D3348" s="169">
        <v>46092.0</v>
      </c>
      <c r="E3348" s="2">
        <v>3.016602434E9</v>
      </c>
      <c r="F3348" s="2" t="s">
        <v>13691</v>
      </c>
      <c r="G3348" s="2" t="s">
        <v>2725</v>
      </c>
      <c r="H3348" s="2">
        <v>0.0</v>
      </c>
      <c r="J3348" s="3">
        <v>0.0</v>
      </c>
      <c r="K3348" s="2" t="s">
        <v>13692</v>
      </c>
      <c r="L3348" s="2"/>
      <c r="M3348" s="2" t="s">
        <v>468</v>
      </c>
      <c r="N3348" s="2" t="s">
        <v>406</v>
      </c>
      <c r="O3348" s="3"/>
      <c r="Q3348" s="3">
        <v>0.0</v>
      </c>
      <c r="R3348" s="3">
        <v>0.5</v>
      </c>
      <c r="U3348" s="141"/>
      <c r="X3348" s="172"/>
      <c r="Y3348" s="172">
        <v>46092.22709696759</v>
      </c>
      <c r="Z3348" s="3">
        <v>46092.0</v>
      </c>
    </row>
    <row r="3349">
      <c r="A3349" s="3">
        <v>6.946810495235E12</v>
      </c>
      <c r="B3349" s="2" t="s">
        <v>13693</v>
      </c>
      <c r="C3349" s="2" t="s">
        <v>13690</v>
      </c>
      <c r="D3349" s="169">
        <v>46092.0</v>
      </c>
      <c r="E3349" s="173" t="s">
        <v>13694</v>
      </c>
      <c r="F3349" s="2" t="s">
        <v>13691</v>
      </c>
      <c r="G3349" s="2" t="s">
        <v>2725</v>
      </c>
      <c r="H3349" s="2">
        <v>0.0</v>
      </c>
      <c r="J3349" s="3">
        <v>0.0</v>
      </c>
      <c r="K3349" s="2" t="s">
        <v>13692</v>
      </c>
      <c r="L3349" s="2"/>
      <c r="M3349" s="2" t="s">
        <v>468</v>
      </c>
      <c r="N3349" s="2" t="s">
        <v>406</v>
      </c>
      <c r="O3349" s="3"/>
      <c r="Q3349" s="3">
        <v>0.0</v>
      </c>
      <c r="R3349" s="3">
        <v>0.5</v>
      </c>
      <c r="U3349" s="141"/>
      <c r="X3349" s="172"/>
      <c r="Y3349" s="172">
        <v>46092.22709696759</v>
      </c>
      <c r="Z3349" s="3">
        <v>46092.0</v>
      </c>
    </row>
    <row r="3350">
      <c r="A3350" s="3">
        <v>6.946861023491E12</v>
      </c>
      <c r="B3350" s="2" t="s">
        <v>13695</v>
      </c>
      <c r="C3350" s="2" t="s">
        <v>13696</v>
      </c>
      <c r="D3350" s="169">
        <v>46092.0</v>
      </c>
      <c r="E3350" s="2">
        <v>3.004781715E9</v>
      </c>
      <c r="F3350" s="2" t="s">
        <v>13697</v>
      </c>
      <c r="G3350" s="2" t="s">
        <v>13698</v>
      </c>
      <c r="H3350" s="2">
        <v>1799.0</v>
      </c>
      <c r="I3350" s="2">
        <v>2.1120050022517E13</v>
      </c>
      <c r="J3350" s="3">
        <v>1.0</v>
      </c>
      <c r="K3350" s="2" t="s">
        <v>13699</v>
      </c>
      <c r="L3350" s="2" t="s">
        <v>3222</v>
      </c>
      <c r="M3350" s="2" t="s">
        <v>409</v>
      </c>
      <c r="N3350" s="2" t="s">
        <v>462</v>
      </c>
      <c r="O3350" s="3"/>
      <c r="P3350" s="2" t="s">
        <v>73</v>
      </c>
      <c r="Q3350" s="3">
        <v>490.0</v>
      </c>
      <c r="R3350" s="3">
        <v>0.5</v>
      </c>
      <c r="T3350" s="2" t="s">
        <v>11534</v>
      </c>
      <c r="U3350" s="171">
        <v>1799.0</v>
      </c>
      <c r="V3350" s="172">
        <v>46097.0</v>
      </c>
      <c r="W3350" s="3">
        <v>272.0</v>
      </c>
      <c r="X3350" s="172">
        <v>46094.58275403935</v>
      </c>
      <c r="Y3350" s="172">
        <v>46092.22709697917</v>
      </c>
      <c r="Z3350" s="3">
        <v>46092.0</v>
      </c>
    </row>
    <row r="3351">
      <c r="A3351" s="3">
        <v>6.946934685955E12</v>
      </c>
      <c r="B3351" s="2" t="s">
        <v>13700</v>
      </c>
      <c r="C3351" s="2" t="s">
        <v>13701</v>
      </c>
      <c r="D3351" s="169">
        <v>46092.0</v>
      </c>
      <c r="E3351" s="2">
        <v>3.024869864E9</v>
      </c>
      <c r="F3351" s="2" t="s">
        <v>13702</v>
      </c>
      <c r="G3351" s="2" t="s">
        <v>1619</v>
      </c>
      <c r="H3351" s="2">
        <v>2924.0</v>
      </c>
      <c r="I3351" s="2">
        <v>2.712005002251E13</v>
      </c>
      <c r="J3351" s="3">
        <v>2.0</v>
      </c>
      <c r="K3351" s="2" t="s">
        <v>13703</v>
      </c>
      <c r="L3351" s="2" t="s">
        <v>35</v>
      </c>
      <c r="M3351" s="2" t="s">
        <v>409</v>
      </c>
      <c r="N3351" s="2" t="s">
        <v>462</v>
      </c>
      <c r="O3351" s="3"/>
      <c r="P3351" s="2" t="s">
        <v>73</v>
      </c>
      <c r="Q3351" s="3">
        <v>980.0</v>
      </c>
      <c r="R3351" s="3">
        <v>0.5</v>
      </c>
      <c r="T3351" s="2" t="s">
        <v>11534</v>
      </c>
      <c r="U3351" s="171">
        <v>2924.0</v>
      </c>
      <c r="V3351" s="172">
        <v>46097.0</v>
      </c>
      <c r="W3351" s="3">
        <v>224.0</v>
      </c>
      <c r="X3351" s="172">
        <v>46095.74936082176</v>
      </c>
      <c r="Y3351" s="172">
        <v>46092.26877840278</v>
      </c>
      <c r="Z3351" s="3">
        <v>46092.0</v>
      </c>
    </row>
    <row r="3352">
      <c r="A3352" s="3">
        <v>6.946967781635E12</v>
      </c>
      <c r="B3352" s="2" t="s">
        <v>13704</v>
      </c>
      <c r="C3352" s="2" t="s">
        <v>13705</v>
      </c>
      <c r="D3352" s="169">
        <v>46092.0</v>
      </c>
      <c r="E3352" s="2">
        <v>3.325282669E9</v>
      </c>
      <c r="F3352" s="2" t="s">
        <v>13706</v>
      </c>
      <c r="G3352" s="2" t="s">
        <v>506</v>
      </c>
      <c r="H3352" s="2">
        <v>3348.0</v>
      </c>
      <c r="I3352" s="2">
        <v>2.1120050022516E13</v>
      </c>
      <c r="J3352" s="3">
        <v>2.0</v>
      </c>
      <c r="K3352" s="2" t="s">
        <v>12223</v>
      </c>
      <c r="L3352" s="2" t="s">
        <v>906</v>
      </c>
      <c r="M3352" s="2" t="s">
        <v>409</v>
      </c>
      <c r="N3352" s="2" t="s">
        <v>462</v>
      </c>
      <c r="O3352" s="3"/>
      <c r="P3352" s="2" t="s">
        <v>73</v>
      </c>
      <c r="Q3352" s="3">
        <v>720.0</v>
      </c>
      <c r="R3352" s="3">
        <v>0.5</v>
      </c>
      <c r="T3352" s="2" t="s">
        <v>11534</v>
      </c>
      <c r="U3352" s="171">
        <v>3348.0</v>
      </c>
      <c r="V3352" s="172">
        <v>46097.0</v>
      </c>
      <c r="W3352" s="3">
        <v>334.0</v>
      </c>
      <c r="X3352" s="172">
        <v>46095.49940314815</v>
      </c>
      <c r="Y3352" s="172">
        <v>46092.31042454861</v>
      </c>
      <c r="Z3352" s="3">
        <v>46092.0</v>
      </c>
    </row>
    <row r="3353">
      <c r="A3353" s="3">
        <v>6.947000549635E12</v>
      </c>
      <c r="B3353" s="2" t="s">
        <v>13707</v>
      </c>
      <c r="C3353" s="2" t="s">
        <v>13708</v>
      </c>
      <c r="D3353" s="169">
        <v>46092.0</v>
      </c>
      <c r="E3353" s="2">
        <v>3.008005106E9</v>
      </c>
      <c r="F3353" s="2" t="s">
        <v>13709</v>
      </c>
      <c r="G3353" s="2" t="s">
        <v>850</v>
      </c>
      <c r="H3353" s="2">
        <v>249.0</v>
      </c>
      <c r="I3353" s="2">
        <v>2.7120050022515E13</v>
      </c>
      <c r="J3353" s="3">
        <v>0.0</v>
      </c>
      <c r="K3353" s="2" t="s">
        <v>12246</v>
      </c>
      <c r="L3353" s="2"/>
      <c r="M3353" s="170" t="s">
        <v>455</v>
      </c>
      <c r="N3353" s="2" t="s">
        <v>406</v>
      </c>
      <c r="O3353" s="3"/>
      <c r="P3353" s="2" t="s">
        <v>73</v>
      </c>
      <c r="Q3353" s="3">
        <v>0.0</v>
      </c>
      <c r="R3353" s="3">
        <v>0.5</v>
      </c>
      <c r="U3353" s="141"/>
      <c r="W3353" s="3">
        <v>200.1</v>
      </c>
      <c r="X3353" s="172">
        <v>46105.832699085644</v>
      </c>
      <c r="Y3353" s="172">
        <v>46092.35208527777</v>
      </c>
      <c r="Z3353" s="3">
        <v>46092.0</v>
      </c>
    </row>
    <row r="3354">
      <c r="A3354" s="3">
        <v>6.947008839939E12</v>
      </c>
      <c r="B3354" s="2" t="s">
        <v>13710</v>
      </c>
      <c r="C3354" s="2" t="s">
        <v>4249</v>
      </c>
      <c r="D3354" s="169">
        <v>46092.0</v>
      </c>
      <c r="E3354" s="173" t="s">
        <v>11790</v>
      </c>
      <c r="F3354" s="2" t="s">
        <v>4250</v>
      </c>
      <c r="G3354" s="2" t="s">
        <v>678</v>
      </c>
      <c r="H3354" s="2">
        <v>5000.0</v>
      </c>
      <c r="I3354" s="2">
        <v>2.7120050022514E13</v>
      </c>
      <c r="J3354" s="3">
        <v>4.0</v>
      </c>
      <c r="K3354" s="2" t="s">
        <v>13711</v>
      </c>
      <c r="L3354" s="2" t="s">
        <v>13712</v>
      </c>
      <c r="M3354" s="2" t="s">
        <v>409</v>
      </c>
      <c r="N3354" s="2" t="s">
        <v>462</v>
      </c>
      <c r="O3354" s="3"/>
      <c r="P3354" s="2" t="s">
        <v>73</v>
      </c>
      <c r="Q3354" s="3">
        <v>3000.0</v>
      </c>
      <c r="R3354" s="3">
        <v>0.5</v>
      </c>
      <c r="T3354" s="2" t="s">
        <v>11534</v>
      </c>
      <c r="U3354" s="171">
        <v>5000.0</v>
      </c>
      <c r="V3354" s="172">
        <v>46097.0</v>
      </c>
      <c r="W3354" s="3">
        <v>307.0</v>
      </c>
      <c r="X3354" s="172">
        <v>46095.62445372685</v>
      </c>
      <c r="Y3354" s="172">
        <v>46092.35208527777</v>
      </c>
      <c r="Z3354" s="3">
        <v>46092.0</v>
      </c>
    </row>
    <row r="3355">
      <c r="A3355" s="3">
        <v>6.947048882435E12</v>
      </c>
      <c r="B3355" s="2" t="s">
        <v>13713</v>
      </c>
      <c r="C3355" s="2" t="s">
        <v>13112</v>
      </c>
      <c r="D3355" s="169">
        <v>46092.0</v>
      </c>
      <c r="E3355" s="2">
        <v>3.702434679E9</v>
      </c>
      <c r="F3355" s="2" t="s">
        <v>13113</v>
      </c>
      <c r="G3355" s="2" t="s">
        <v>13114</v>
      </c>
      <c r="H3355" s="2">
        <v>0.0</v>
      </c>
      <c r="J3355" s="3">
        <v>0.0</v>
      </c>
      <c r="K3355" s="2" t="s">
        <v>13714</v>
      </c>
      <c r="L3355" s="2"/>
      <c r="M3355" s="2" t="s">
        <v>468</v>
      </c>
      <c r="N3355" s="2" t="s">
        <v>406</v>
      </c>
      <c r="O3355" s="3"/>
      <c r="Q3355" s="3">
        <v>0.0</v>
      </c>
      <c r="R3355" s="3">
        <v>0.5</v>
      </c>
      <c r="U3355" s="141"/>
      <c r="X3355" s="172"/>
      <c r="Y3355" s="172">
        <v>46092.393813055554</v>
      </c>
      <c r="Z3355" s="3">
        <v>46092.0</v>
      </c>
    </row>
    <row r="3356">
      <c r="A3356" s="3">
        <v>6.947055698179E12</v>
      </c>
      <c r="B3356" s="2" t="s">
        <v>13715</v>
      </c>
      <c r="C3356" s="2" t="s">
        <v>13716</v>
      </c>
      <c r="D3356" s="169">
        <v>46092.0</v>
      </c>
      <c r="E3356" s="2">
        <v>3.205330022E9</v>
      </c>
      <c r="F3356" s="2" t="s">
        <v>13717</v>
      </c>
      <c r="G3356" s="2" t="s">
        <v>368</v>
      </c>
      <c r="H3356" s="2">
        <v>2924.0</v>
      </c>
      <c r="I3356" s="2">
        <v>2.3120050022513E13</v>
      </c>
      <c r="J3356" s="3">
        <v>2.0</v>
      </c>
      <c r="K3356" s="2" t="s">
        <v>13718</v>
      </c>
      <c r="L3356" s="2" t="s">
        <v>35</v>
      </c>
      <c r="M3356" s="2" t="s">
        <v>409</v>
      </c>
      <c r="N3356" s="2" t="s">
        <v>462</v>
      </c>
      <c r="O3356" s="3"/>
      <c r="P3356" s="2" t="s">
        <v>73</v>
      </c>
      <c r="Q3356" s="3">
        <v>980.0</v>
      </c>
      <c r="R3356" s="3">
        <v>0.5</v>
      </c>
      <c r="T3356" s="2" t="s">
        <v>12177</v>
      </c>
      <c r="U3356" s="171">
        <v>2924.0</v>
      </c>
      <c r="V3356" s="172">
        <v>46105.0</v>
      </c>
      <c r="W3356" s="3">
        <v>224.0</v>
      </c>
      <c r="X3356" s="172">
        <v>46098.62445613426</v>
      </c>
      <c r="Y3356" s="172">
        <v>46092.393813055554</v>
      </c>
      <c r="Z3356" s="3">
        <v>46092.0</v>
      </c>
    </row>
    <row r="3357">
      <c r="A3357" s="3">
        <v>6.947102032131E12</v>
      </c>
      <c r="B3357" s="2" t="s">
        <v>13719</v>
      </c>
      <c r="C3357" s="2" t="s">
        <v>13720</v>
      </c>
      <c r="D3357" s="169">
        <v>46092.0</v>
      </c>
      <c r="E3357" s="2">
        <v>3.092392294E9</v>
      </c>
      <c r="F3357" s="2" t="s">
        <v>13721</v>
      </c>
      <c r="G3357" s="2" t="s">
        <v>1133</v>
      </c>
      <c r="H3357" s="2">
        <v>2924.0</v>
      </c>
      <c r="I3357" s="2">
        <v>2.0120050022509E13</v>
      </c>
      <c r="J3357" s="3">
        <v>2.0</v>
      </c>
      <c r="K3357" s="2" t="s">
        <v>13722</v>
      </c>
      <c r="L3357" s="2" t="s">
        <v>16</v>
      </c>
      <c r="M3357" s="2" t="s">
        <v>409</v>
      </c>
      <c r="N3357" s="2" t="s">
        <v>462</v>
      </c>
      <c r="O3357" s="3"/>
      <c r="P3357" s="2" t="s">
        <v>73</v>
      </c>
      <c r="Q3357" s="3">
        <v>980.0</v>
      </c>
      <c r="R3357" s="3">
        <v>0.5</v>
      </c>
      <c r="T3357" s="2" t="s">
        <v>12177</v>
      </c>
      <c r="U3357" s="171">
        <v>2924.0</v>
      </c>
      <c r="V3357" s="172">
        <v>46105.0</v>
      </c>
      <c r="W3357" s="3">
        <v>330.0</v>
      </c>
      <c r="X3357" s="172">
        <v>46099.62439966435</v>
      </c>
      <c r="Y3357" s="172">
        <v>46092.43541855324</v>
      </c>
      <c r="Z3357" s="3">
        <v>46092.0</v>
      </c>
    </row>
    <row r="3358">
      <c r="A3358" s="3">
        <v>6.947136405763E12</v>
      </c>
      <c r="B3358" s="2" t="s">
        <v>13723</v>
      </c>
      <c r="C3358" s="2" t="s">
        <v>13724</v>
      </c>
      <c r="D3358" s="169">
        <v>46092.0</v>
      </c>
      <c r="E3358" s="2">
        <v>3.469656178E9</v>
      </c>
      <c r="F3358" s="2" t="s">
        <v>13725</v>
      </c>
      <c r="G3358" s="2" t="s">
        <v>787</v>
      </c>
      <c r="H3358" s="2">
        <v>249.0</v>
      </c>
      <c r="I3358" s="2">
        <v>2.1120050022652E13</v>
      </c>
      <c r="J3358" s="3">
        <v>0.0</v>
      </c>
      <c r="K3358" s="2" t="s">
        <v>11849</v>
      </c>
      <c r="L3358" s="2"/>
      <c r="M3358" s="170" t="s">
        <v>455</v>
      </c>
      <c r="N3358" s="2" t="s">
        <v>406</v>
      </c>
      <c r="O3358" s="3"/>
      <c r="P3358" s="2" t="s">
        <v>73</v>
      </c>
      <c r="Q3358" s="3">
        <v>0.0</v>
      </c>
      <c r="R3358" s="3">
        <v>0.5</v>
      </c>
      <c r="U3358" s="141"/>
      <c r="W3358" s="3">
        <v>213.0</v>
      </c>
      <c r="X3358" s="172">
        <v>46110.58263855324</v>
      </c>
      <c r="Y3358" s="172">
        <v>46092.43541855324</v>
      </c>
      <c r="Z3358" s="3">
        <v>46092.0</v>
      </c>
    </row>
    <row r="3359">
      <c r="A3359" s="3">
        <v>6.947202433283E12</v>
      </c>
      <c r="B3359" s="2" t="s">
        <v>13726</v>
      </c>
      <c r="C3359" s="2" t="s">
        <v>1892</v>
      </c>
      <c r="D3359" s="169">
        <v>46092.0</v>
      </c>
      <c r="E3359" s="2">
        <v>3.170106073E9</v>
      </c>
      <c r="F3359" s="2" t="s">
        <v>13727</v>
      </c>
      <c r="G3359" s="2" t="s">
        <v>1323</v>
      </c>
      <c r="H3359" s="2">
        <v>249.0</v>
      </c>
      <c r="I3359" s="2">
        <v>2.7120050023017E13</v>
      </c>
      <c r="J3359" s="3">
        <v>0.0</v>
      </c>
      <c r="K3359" s="2" t="s">
        <v>13728</v>
      </c>
      <c r="L3359" s="2"/>
      <c r="M3359" s="170" t="s">
        <v>455</v>
      </c>
      <c r="N3359" s="2" t="s">
        <v>406</v>
      </c>
      <c r="O3359" s="3"/>
      <c r="P3359" s="2" t="s">
        <v>73</v>
      </c>
      <c r="Q3359" s="3">
        <v>0.0</v>
      </c>
      <c r="R3359" s="3">
        <v>0.5</v>
      </c>
      <c r="U3359" s="141"/>
      <c r="W3359" s="3">
        <v>220.98</v>
      </c>
      <c r="X3359" s="172">
        <v>46115.832684884255</v>
      </c>
      <c r="Y3359" s="172">
        <v>46092.47708292824</v>
      </c>
      <c r="Z3359" s="3">
        <v>46092.0</v>
      </c>
    </row>
    <row r="3360">
      <c r="A3360" s="3">
        <v>6.947207676163E12</v>
      </c>
      <c r="B3360" s="2" t="s">
        <v>13729</v>
      </c>
      <c r="C3360" s="2" t="s">
        <v>13730</v>
      </c>
      <c r="D3360" s="169">
        <v>46092.0</v>
      </c>
      <c r="E3360" s="173" t="s">
        <v>13731</v>
      </c>
      <c r="F3360" s="2" t="s">
        <v>13732</v>
      </c>
      <c r="G3360" s="2" t="s">
        <v>13733</v>
      </c>
      <c r="H3360" s="2">
        <v>6198.0</v>
      </c>
      <c r="I3360" s="2">
        <v>2.5120050022508E13</v>
      </c>
      <c r="J3360" s="3">
        <v>4.0</v>
      </c>
      <c r="K3360" s="2" t="s">
        <v>13734</v>
      </c>
      <c r="L3360" s="2" t="s">
        <v>13735</v>
      </c>
      <c r="M3360" s="2" t="s">
        <v>409</v>
      </c>
      <c r="N3360" s="2" t="s">
        <v>462</v>
      </c>
      <c r="O3360" s="3"/>
      <c r="P3360" s="2" t="s">
        <v>73</v>
      </c>
      <c r="Q3360" s="3">
        <v>1440.0</v>
      </c>
      <c r="R3360" s="3">
        <v>0.5</v>
      </c>
      <c r="T3360" s="2" t="s">
        <v>11534</v>
      </c>
      <c r="U3360" s="171">
        <v>6198.0</v>
      </c>
      <c r="V3360" s="172">
        <v>46097.0</v>
      </c>
      <c r="W3360" s="3">
        <v>468.0</v>
      </c>
      <c r="X3360" s="172">
        <v>46094.70788103009</v>
      </c>
      <c r="Y3360" s="172">
        <v>46092.47708292824</v>
      </c>
      <c r="Z3360" s="3">
        <v>46092.0</v>
      </c>
    </row>
    <row r="3361">
      <c r="A3361" s="3">
        <v>6.947253289219E12</v>
      </c>
      <c r="B3361" s="2" t="s">
        <v>13736</v>
      </c>
      <c r="C3361" s="2" t="s">
        <v>13737</v>
      </c>
      <c r="D3361" s="169">
        <v>46092.0</v>
      </c>
      <c r="E3361" s="173" t="s">
        <v>13738</v>
      </c>
      <c r="F3361" s="2" t="s">
        <v>13739</v>
      </c>
      <c r="G3361" s="2" t="s">
        <v>2241</v>
      </c>
      <c r="H3361" s="2">
        <v>249.0</v>
      </c>
      <c r="I3361" s="2">
        <v>2.3120050022557E13</v>
      </c>
      <c r="J3361" s="3">
        <v>0.0</v>
      </c>
      <c r="K3361" s="2" t="s">
        <v>12246</v>
      </c>
      <c r="L3361" s="2"/>
      <c r="M3361" s="170" t="s">
        <v>455</v>
      </c>
      <c r="N3361" s="2" t="s">
        <v>406</v>
      </c>
      <c r="O3361" s="3"/>
      <c r="P3361" s="2" t="s">
        <v>73</v>
      </c>
      <c r="Q3361" s="3">
        <v>0.0</v>
      </c>
      <c r="R3361" s="3">
        <v>0.5</v>
      </c>
      <c r="U3361" s="141"/>
      <c r="W3361" s="3">
        <v>200.1</v>
      </c>
      <c r="X3361" s="172">
        <v>46107.874376168984</v>
      </c>
      <c r="Y3361" s="172">
        <v>46092.51874422454</v>
      </c>
      <c r="Z3361" s="3">
        <v>46092.0</v>
      </c>
    </row>
    <row r="3362">
      <c r="A3362" s="3">
        <v>6.947261776131E12</v>
      </c>
      <c r="B3362" s="2" t="s">
        <v>13740</v>
      </c>
      <c r="C3362" s="2" t="s">
        <v>13741</v>
      </c>
      <c r="D3362" s="169">
        <v>46092.0</v>
      </c>
      <c r="E3362" s="2">
        <v>3.244390023E9</v>
      </c>
      <c r="F3362" s="2" t="s">
        <v>13742</v>
      </c>
      <c r="G3362" s="2" t="s">
        <v>1257</v>
      </c>
      <c r="H3362" s="2">
        <v>249.0</v>
      </c>
      <c r="I3362" s="2">
        <v>2.1120050022507E13</v>
      </c>
      <c r="J3362" s="3">
        <v>0.0</v>
      </c>
      <c r="K3362" s="2" t="s">
        <v>13743</v>
      </c>
      <c r="L3362" s="2"/>
      <c r="M3362" s="170" t="s">
        <v>455</v>
      </c>
      <c r="N3362" s="2" t="s">
        <v>406</v>
      </c>
      <c r="O3362" s="3"/>
      <c r="P3362" s="2" t="s">
        <v>73</v>
      </c>
      <c r="Q3362" s="3">
        <v>0.0</v>
      </c>
      <c r="R3362" s="3">
        <v>0.5</v>
      </c>
      <c r="U3362" s="141"/>
      <c r="W3362" s="3">
        <v>200.0</v>
      </c>
      <c r="X3362" s="172">
        <v>46109.832611273145</v>
      </c>
      <c r="Y3362" s="172">
        <v>46092.51874422454</v>
      </c>
      <c r="Z3362" s="3">
        <v>46092.0</v>
      </c>
    </row>
    <row r="3363">
      <c r="A3363" s="3">
        <v>6.947301589251E12</v>
      </c>
      <c r="B3363" s="2" t="s">
        <v>13744</v>
      </c>
      <c r="C3363" s="2" t="s">
        <v>13745</v>
      </c>
      <c r="D3363" s="169">
        <v>46092.0</v>
      </c>
      <c r="E3363" s="2">
        <v>3.119222337E9</v>
      </c>
      <c r="F3363" s="2" t="s">
        <v>13746</v>
      </c>
      <c r="G3363" s="2" t="s">
        <v>541</v>
      </c>
      <c r="H3363" s="2">
        <v>0.0</v>
      </c>
      <c r="J3363" s="3">
        <v>0.0</v>
      </c>
      <c r="K3363" s="2" t="s">
        <v>8554</v>
      </c>
      <c r="L3363" s="2"/>
      <c r="M3363" s="2" t="s">
        <v>468</v>
      </c>
      <c r="N3363" s="2" t="s">
        <v>406</v>
      </c>
      <c r="O3363" s="3"/>
      <c r="Q3363" s="3">
        <v>0.0</v>
      </c>
      <c r="R3363" s="3">
        <v>0.5</v>
      </c>
      <c r="U3363" s="141"/>
      <c r="X3363" s="172"/>
      <c r="Y3363" s="172">
        <v>46092.56043099537</v>
      </c>
      <c r="Z3363" s="3">
        <v>46092.0</v>
      </c>
    </row>
    <row r="3364">
      <c r="A3364" s="3">
        <v>6.947321610499E12</v>
      </c>
      <c r="B3364" s="2" t="s">
        <v>13747</v>
      </c>
      <c r="C3364" s="2" t="s">
        <v>13748</v>
      </c>
      <c r="D3364" s="169">
        <v>46092.0</v>
      </c>
      <c r="E3364" s="173" t="s">
        <v>13749</v>
      </c>
      <c r="F3364" s="2" t="s">
        <v>13750</v>
      </c>
      <c r="G3364" s="2" t="s">
        <v>688</v>
      </c>
      <c r="H3364" s="2">
        <v>3099.0</v>
      </c>
      <c r="I3364" s="2">
        <v>2.6120050022506E13</v>
      </c>
      <c r="J3364" s="3">
        <v>2.0</v>
      </c>
      <c r="K3364" s="2" t="s">
        <v>13751</v>
      </c>
      <c r="L3364" s="2" t="s">
        <v>1116</v>
      </c>
      <c r="M3364" s="2" t="s">
        <v>409</v>
      </c>
      <c r="N3364" s="2" t="s">
        <v>462</v>
      </c>
      <c r="O3364" s="3"/>
      <c r="P3364" s="2" t="s">
        <v>73</v>
      </c>
      <c r="Q3364" s="3">
        <v>800.0</v>
      </c>
      <c r="R3364" s="3">
        <v>0.5</v>
      </c>
      <c r="T3364" s="2" t="s">
        <v>11534</v>
      </c>
      <c r="U3364" s="171">
        <v>3099.0</v>
      </c>
      <c r="V3364" s="172">
        <v>46097.0</v>
      </c>
      <c r="W3364" s="3">
        <v>324.0</v>
      </c>
      <c r="X3364" s="172">
        <v>46095.5410884375</v>
      </c>
      <c r="Y3364" s="172">
        <v>46092.60208732639</v>
      </c>
      <c r="Z3364" s="3">
        <v>46092.0</v>
      </c>
    </row>
    <row r="3365">
      <c r="A3365" s="3">
        <v>6.947334029571E12</v>
      </c>
      <c r="B3365" s="2" t="s">
        <v>13752</v>
      </c>
      <c r="C3365" s="2" t="s">
        <v>13753</v>
      </c>
      <c r="D3365" s="169">
        <v>46092.0</v>
      </c>
      <c r="E3365" s="2">
        <v>3.492133516E9</v>
      </c>
      <c r="F3365" s="2" t="s">
        <v>13754</v>
      </c>
      <c r="G3365" s="2" t="s">
        <v>13755</v>
      </c>
      <c r="H3365" s="2">
        <v>249.0</v>
      </c>
      <c r="I3365" s="2">
        <v>2.9120050022651E13</v>
      </c>
      <c r="J3365" s="3">
        <v>0.0</v>
      </c>
      <c r="K3365" s="2" t="s">
        <v>13756</v>
      </c>
      <c r="L3365" s="2"/>
      <c r="M3365" s="170" t="s">
        <v>455</v>
      </c>
      <c r="N3365" s="2" t="s">
        <v>406</v>
      </c>
      <c r="O3365" s="3"/>
      <c r="P3365" s="2" t="s">
        <v>73</v>
      </c>
      <c r="Q3365" s="3">
        <v>0.0</v>
      </c>
      <c r="R3365" s="3">
        <v>0.5</v>
      </c>
      <c r="U3365" s="141"/>
      <c r="W3365" s="3">
        <v>200.1</v>
      </c>
      <c r="X3365" s="172">
        <v>46115.83268489584</v>
      </c>
      <c r="Y3365" s="172">
        <v>46092.60208732639</v>
      </c>
      <c r="Z3365" s="3">
        <v>46092.0</v>
      </c>
    </row>
    <row r="3366">
      <c r="A3366" s="3">
        <v>6.947358540035E12</v>
      </c>
      <c r="B3366" s="2" t="s">
        <v>13757</v>
      </c>
      <c r="C3366" s="2" t="s">
        <v>13758</v>
      </c>
      <c r="D3366" s="169">
        <v>46092.0</v>
      </c>
      <c r="E3366" s="2">
        <v>3.326971525E9</v>
      </c>
      <c r="F3366" s="2" t="s">
        <v>13759</v>
      </c>
      <c r="G3366" s="2" t="s">
        <v>374</v>
      </c>
      <c r="H3366" s="2">
        <v>3348.0</v>
      </c>
      <c r="I3366" s="2">
        <v>2.312005002265E13</v>
      </c>
      <c r="J3366" s="3">
        <v>2.0</v>
      </c>
      <c r="K3366" s="2" t="s">
        <v>13072</v>
      </c>
      <c r="L3366" s="2" t="s">
        <v>1258</v>
      </c>
      <c r="M3366" s="2" t="s">
        <v>409</v>
      </c>
      <c r="N3366" s="2" t="s">
        <v>462</v>
      </c>
      <c r="O3366" s="3"/>
      <c r="P3366" s="2" t="s">
        <v>73</v>
      </c>
      <c r="Q3366" s="3">
        <v>800.0</v>
      </c>
      <c r="R3366" s="3">
        <v>0.5</v>
      </c>
      <c r="T3366" s="2" t="s">
        <v>12177</v>
      </c>
      <c r="U3366" s="171">
        <v>3348.0</v>
      </c>
      <c r="V3366" s="172">
        <v>46105.0</v>
      </c>
      <c r="W3366" s="3">
        <v>334.0</v>
      </c>
      <c r="X3366" s="172">
        <v>46099.62440006944</v>
      </c>
      <c r="Y3366" s="172">
        <v>46092.64375982639</v>
      </c>
      <c r="Z3366" s="3">
        <v>46092.0</v>
      </c>
    </row>
    <row r="3367">
      <c r="A3367" s="3">
        <v>6.947369779459E12</v>
      </c>
      <c r="B3367" s="2" t="s">
        <v>13760</v>
      </c>
      <c r="C3367" s="2" t="s">
        <v>13761</v>
      </c>
      <c r="D3367" s="169">
        <v>46092.0</v>
      </c>
      <c r="E3367" s="2">
        <v>3.228585437E9</v>
      </c>
      <c r="F3367" s="2" t="s">
        <v>13762</v>
      </c>
      <c r="G3367" s="2" t="s">
        <v>506</v>
      </c>
      <c r="H3367" s="2">
        <v>2849.0</v>
      </c>
      <c r="I3367" s="2">
        <v>2.5120050022649E13</v>
      </c>
      <c r="J3367" s="3">
        <v>2.0</v>
      </c>
      <c r="K3367" s="2" t="s">
        <v>13763</v>
      </c>
      <c r="L3367" s="2" t="s">
        <v>2324</v>
      </c>
      <c r="M3367" s="2" t="s">
        <v>409</v>
      </c>
      <c r="N3367" s="2" t="s">
        <v>462</v>
      </c>
      <c r="O3367" s="3"/>
      <c r="P3367" s="2" t="s">
        <v>73</v>
      </c>
      <c r="Q3367" s="3">
        <v>720.0</v>
      </c>
      <c r="R3367" s="3">
        <v>0.5</v>
      </c>
      <c r="T3367" s="2" t="s">
        <v>12177</v>
      </c>
      <c r="U3367" s="171">
        <v>2849.0</v>
      </c>
      <c r="V3367" s="172">
        <v>46105.0</v>
      </c>
      <c r="W3367" s="3">
        <v>314.0</v>
      </c>
      <c r="X3367" s="172">
        <v>46097.62436811342</v>
      </c>
      <c r="Y3367" s="172">
        <v>46092.64375982639</v>
      </c>
      <c r="Z3367" s="3">
        <v>46092.0</v>
      </c>
    </row>
    <row r="3368">
      <c r="A3368" s="3">
        <v>6.947439640835E12</v>
      </c>
      <c r="B3368" s="2" t="s">
        <v>13764</v>
      </c>
      <c r="C3368" s="2" t="s">
        <v>13765</v>
      </c>
      <c r="D3368" s="169">
        <v>46092.0</v>
      </c>
      <c r="E3368" s="2">
        <v>3.129544214E9</v>
      </c>
      <c r="F3368" s="2" t="s">
        <v>13766</v>
      </c>
      <c r="G3368" s="2" t="s">
        <v>1180</v>
      </c>
      <c r="H3368" s="2">
        <v>3348.0</v>
      </c>
      <c r="I3368" s="2" t="s">
        <v>13767</v>
      </c>
      <c r="J3368" s="3">
        <v>2.0</v>
      </c>
      <c r="K3368" s="2" t="s">
        <v>12424</v>
      </c>
      <c r="L3368" s="2" t="s">
        <v>27</v>
      </c>
      <c r="M3368" s="2" t="s">
        <v>409</v>
      </c>
      <c r="N3368" s="2" t="s">
        <v>406</v>
      </c>
      <c r="O3368" s="3"/>
      <c r="P3368" s="2" t="s">
        <v>640</v>
      </c>
      <c r="Q3368" s="3">
        <v>720.0</v>
      </c>
      <c r="R3368" s="3">
        <v>0.5</v>
      </c>
      <c r="U3368" s="141"/>
      <c r="X3368" s="172">
        <v>46113.7726415162</v>
      </c>
      <c r="Y3368" s="172">
        <v>46092.72712309028</v>
      </c>
      <c r="Z3368" s="3">
        <v>46092.0</v>
      </c>
    </row>
    <row r="3369">
      <c r="A3369" s="3">
        <v>6.947467460867E12</v>
      </c>
      <c r="B3369" s="2" t="s">
        <v>13768</v>
      </c>
      <c r="C3369" s="2" t="s">
        <v>13262</v>
      </c>
      <c r="D3369" s="169">
        <v>46092.0</v>
      </c>
      <c r="E3369" s="173" t="s">
        <v>13263</v>
      </c>
      <c r="F3369" s="175" t="s">
        <v>13264</v>
      </c>
      <c r="G3369" s="2" t="s">
        <v>3725</v>
      </c>
      <c r="H3369" s="2">
        <v>249.0</v>
      </c>
      <c r="I3369" s="2">
        <v>2.5120050022648E13</v>
      </c>
      <c r="J3369" s="3">
        <v>0.0</v>
      </c>
      <c r="K3369" s="2" t="s">
        <v>12763</v>
      </c>
      <c r="L3369" s="2"/>
      <c r="M3369" s="170" t="s">
        <v>455</v>
      </c>
      <c r="N3369" s="2" t="s">
        <v>406</v>
      </c>
      <c r="O3369" s="3"/>
      <c r="P3369" s="2" t="s">
        <v>73</v>
      </c>
      <c r="Q3369" s="3">
        <v>0.0</v>
      </c>
      <c r="R3369" s="3">
        <v>0.5</v>
      </c>
      <c r="U3369" s="141"/>
      <c r="W3369" s="3">
        <v>200.0</v>
      </c>
      <c r="X3369" s="172">
        <v>46110.58263859954</v>
      </c>
      <c r="Y3369" s="172">
        <v>46092.72712309028</v>
      </c>
      <c r="Z3369" s="3">
        <v>46092.0</v>
      </c>
    </row>
    <row r="3370">
      <c r="A3370" s="3">
        <v>6.947484074243E12</v>
      </c>
      <c r="B3370" s="2" t="s">
        <v>13769</v>
      </c>
      <c r="C3370" s="2" t="s">
        <v>11409</v>
      </c>
      <c r="D3370" s="169">
        <v>46092.0</v>
      </c>
      <c r="E3370" s="2">
        <v>3.044428453E9</v>
      </c>
      <c r="F3370" s="2" t="s">
        <v>13770</v>
      </c>
      <c r="G3370" s="2" t="s">
        <v>13771</v>
      </c>
      <c r="H3370" s="2">
        <v>3348.0</v>
      </c>
      <c r="I3370" s="2">
        <v>2.8120050022647E13</v>
      </c>
      <c r="J3370" s="3">
        <v>2.0</v>
      </c>
      <c r="K3370" s="2" t="s">
        <v>13072</v>
      </c>
      <c r="L3370" s="2" t="s">
        <v>296</v>
      </c>
      <c r="M3370" s="2" t="s">
        <v>409</v>
      </c>
      <c r="N3370" s="2" t="s">
        <v>462</v>
      </c>
      <c r="O3370" s="3"/>
      <c r="P3370" s="2" t="s">
        <v>73</v>
      </c>
      <c r="Q3370" s="3">
        <v>720.0</v>
      </c>
      <c r="R3370" s="3">
        <v>0.5</v>
      </c>
      <c r="T3370" s="2" t="s">
        <v>12177</v>
      </c>
      <c r="U3370" s="171">
        <v>3348.0</v>
      </c>
      <c r="V3370" s="172">
        <v>46105.0</v>
      </c>
      <c r="W3370" s="3">
        <v>334.0</v>
      </c>
      <c r="X3370" s="172">
        <v>46099.74949672454</v>
      </c>
      <c r="Y3370" s="172">
        <v>46092.768799178244</v>
      </c>
      <c r="Z3370" s="3">
        <v>46092.0</v>
      </c>
    </row>
    <row r="3371">
      <c r="A3371" s="3">
        <v>6.947535323395E12</v>
      </c>
      <c r="B3371" s="2" t="s">
        <v>13772</v>
      </c>
      <c r="C3371" s="2" t="s">
        <v>7842</v>
      </c>
      <c r="D3371" s="169">
        <v>46092.0</v>
      </c>
      <c r="E3371" s="2">
        <v>3.224652634E9</v>
      </c>
      <c r="F3371" s="2" t="s">
        <v>13773</v>
      </c>
      <c r="G3371" s="2" t="s">
        <v>368</v>
      </c>
      <c r="H3371" s="2">
        <v>3348.0</v>
      </c>
      <c r="I3371" s="2">
        <v>2.8120050022646E13</v>
      </c>
      <c r="J3371" s="3">
        <v>2.0</v>
      </c>
      <c r="K3371" s="2" t="s">
        <v>13072</v>
      </c>
      <c r="L3371" s="2" t="s">
        <v>4209</v>
      </c>
      <c r="M3371" s="2" t="s">
        <v>409</v>
      </c>
      <c r="N3371" s="2" t="s">
        <v>462</v>
      </c>
      <c r="O3371" s="3"/>
      <c r="P3371" s="2" t="s">
        <v>73</v>
      </c>
      <c r="Q3371" s="3">
        <v>720.0</v>
      </c>
      <c r="R3371" s="3">
        <v>0.5</v>
      </c>
      <c r="T3371" s="2" t="s">
        <v>12177</v>
      </c>
      <c r="U3371" s="171">
        <v>3348.0</v>
      </c>
      <c r="V3371" s="172">
        <v>46105.0</v>
      </c>
      <c r="W3371" s="3">
        <v>241.0</v>
      </c>
      <c r="X3371" s="172">
        <v>46097.58281491898</v>
      </c>
      <c r="Y3371" s="172">
        <v>46092.768799178244</v>
      </c>
      <c r="Z3371" s="3">
        <v>46092.0</v>
      </c>
    </row>
    <row r="3372">
      <c r="A3372" s="3">
        <v>6.947578740995E12</v>
      </c>
      <c r="B3372" s="2" t="s">
        <v>13774</v>
      </c>
      <c r="C3372" s="2" t="s">
        <v>13775</v>
      </c>
      <c r="D3372" s="169">
        <v>46092.0</v>
      </c>
      <c r="E3372" s="2">
        <v>3.218496184E9</v>
      </c>
      <c r="F3372" s="2" t="s">
        <v>13776</v>
      </c>
      <c r="G3372" s="2" t="s">
        <v>368</v>
      </c>
      <c r="H3372" s="2">
        <v>249.0</v>
      </c>
      <c r="I3372" s="2">
        <v>2.3120050022645E13</v>
      </c>
      <c r="J3372" s="3">
        <v>0.0</v>
      </c>
      <c r="K3372" s="2" t="s">
        <v>13777</v>
      </c>
      <c r="L3372" s="2"/>
      <c r="M3372" s="2" t="s">
        <v>409</v>
      </c>
      <c r="N3372" s="2" t="s">
        <v>406</v>
      </c>
      <c r="O3372" s="3"/>
      <c r="P3372" s="2" t="s">
        <v>73</v>
      </c>
      <c r="Q3372" s="3">
        <v>0.0</v>
      </c>
      <c r="R3372" s="3">
        <v>0.5</v>
      </c>
      <c r="T3372" s="2" t="s">
        <v>11534</v>
      </c>
      <c r="U3372" s="171">
        <v>249.0</v>
      </c>
      <c r="V3372" s="172">
        <v>46097.0</v>
      </c>
      <c r="W3372" s="3">
        <v>311.0</v>
      </c>
      <c r="X3372" s="172">
        <v>46096.62442248843</v>
      </c>
      <c r="Y3372" s="172">
        <v>46092.810428125</v>
      </c>
      <c r="Z3372" s="3">
        <v>46092.0</v>
      </c>
    </row>
    <row r="3373">
      <c r="A3373" s="3">
        <v>6.947647619331E12</v>
      </c>
      <c r="B3373" s="2" t="s">
        <v>13778</v>
      </c>
      <c r="C3373" s="2" t="s">
        <v>13779</v>
      </c>
      <c r="D3373" s="169">
        <v>46092.0</v>
      </c>
      <c r="E3373" s="173" t="s">
        <v>13780</v>
      </c>
      <c r="F3373" s="2" t="s">
        <v>13781</v>
      </c>
      <c r="G3373" s="2" t="s">
        <v>3653</v>
      </c>
      <c r="H3373" s="2">
        <v>0.0</v>
      </c>
      <c r="J3373" s="3">
        <v>0.0</v>
      </c>
      <c r="K3373" s="2" t="s">
        <v>13782</v>
      </c>
      <c r="L3373" s="2"/>
      <c r="M3373" s="2" t="s">
        <v>468</v>
      </c>
      <c r="N3373" s="2" t="s">
        <v>406</v>
      </c>
      <c r="O3373" s="3"/>
      <c r="Q3373" s="3">
        <v>0.0</v>
      </c>
      <c r="R3373" s="3">
        <v>0.5</v>
      </c>
      <c r="U3373" s="141"/>
      <c r="X3373" s="172"/>
      <c r="Y3373" s="172">
        <v>46092.810428125</v>
      </c>
      <c r="Z3373" s="3">
        <v>46092.0</v>
      </c>
    </row>
    <row r="3374">
      <c r="A3374" s="3">
        <v>6.947651092739E12</v>
      </c>
      <c r="B3374" s="2" t="s">
        <v>13783</v>
      </c>
      <c r="C3374" s="2" t="s">
        <v>12887</v>
      </c>
      <c r="D3374" s="169">
        <v>46092.0</v>
      </c>
      <c r="E3374" s="2" t="s">
        <v>13784</v>
      </c>
      <c r="F3374" s="2" t="s">
        <v>13785</v>
      </c>
      <c r="G3374" s="2" t="s">
        <v>688</v>
      </c>
      <c r="H3374" s="2">
        <v>3347.0</v>
      </c>
      <c r="I3374" s="2">
        <v>2.7120050022556E13</v>
      </c>
      <c r="J3374" s="3">
        <v>1.0</v>
      </c>
      <c r="K3374" s="2" t="s">
        <v>13786</v>
      </c>
      <c r="L3374" s="2" t="s">
        <v>13787</v>
      </c>
      <c r="M3374" s="2" t="s">
        <v>409</v>
      </c>
      <c r="N3374" s="2" t="s">
        <v>462</v>
      </c>
      <c r="O3374" s="3"/>
      <c r="P3374" s="2" t="s">
        <v>73</v>
      </c>
      <c r="Q3374" s="3">
        <v>720.0</v>
      </c>
      <c r="R3374" s="3">
        <v>0.5</v>
      </c>
      <c r="T3374" s="2" t="s">
        <v>12177</v>
      </c>
      <c r="U3374" s="171">
        <v>3347.0</v>
      </c>
      <c r="V3374" s="172">
        <v>46105.0</v>
      </c>
      <c r="W3374" s="3">
        <v>334.0</v>
      </c>
      <c r="X3374" s="172">
        <v>46099.6660429051</v>
      </c>
      <c r="Y3374" s="172">
        <v>46092.810428125</v>
      </c>
      <c r="Z3374" s="3">
        <v>46092.0</v>
      </c>
    </row>
    <row r="3375">
      <c r="A3375" s="3">
        <v>6.947657220355E12</v>
      </c>
      <c r="B3375" s="2" t="s">
        <v>13788</v>
      </c>
      <c r="C3375" s="2" t="s">
        <v>11819</v>
      </c>
      <c r="D3375" s="169">
        <v>46092.0</v>
      </c>
      <c r="E3375" s="2">
        <v>3.098329027E9</v>
      </c>
      <c r="F3375" s="2" t="s">
        <v>11820</v>
      </c>
      <c r="G3375" s="2" t="s">
        <v>1016</v>
      </c>
      <c r="H3375" s="2">
        <v>249.0</v>
      </c>
      <c r="I3375" s="2">
        <v>2.6120050022591E13</v>
      </c>
      <c r="J3375" s="3">
        <v>0.0</v>
      </c>
      <c r="K3375" s="2" t="s">
        <v>13789</v>
      </c>
      <c r="L3375" s="2"/>
      <c r="M3375" s="170" t="s">
        <v>455</v>
      </c>
      <c r="N3375" s="2" t="s">
        <v>406</v>
      </c>
      <c r="O3375" s="3"/>
      <c r="P3375" s="2" t="s">
        <v>73</v>
      </c>
      <c r="Q3375" s="3">
        <v>0.0</v>
      </c>
      <c r="R3375" s="3">
        <v>0.5</v>
      </c>
      <c r="U3375" s="141"/>
      <c r="W3375" s="3">
        <v>200.0</v>
      </c>
      <c r="X3375" s="172">
        <v>46108.833234687496</v>
      </c>
      <c r="Y3375" s="172">
        <v>46092.810428125</v>
      </c>
      <c r="Z3375" s="3">
        <v>46092.0</v>
      </c>
    </row>
    <row r="3376">
      <c r="A3376" s="3">
        <v>6.947660038403E12</v>
      </c>
      <c r="B3376" s="2" t="s">
        <v>13790</v>
      </c>
      <c r="C3376" s="2" t="s">
        <v>1431</v>
      </c>
      <c r="D3376" s="169">
        <v>46092.0</v>
      </c>
      <c r="E3376" s="173" t="s">
        <v>12998</v>
      </c>
      <c r="F3376" s="2" t="s">
        <v>12999</v>
      </c>
      <c r="G3376" s="2" t="s">
        <v>368</v>
      </c>
      <c r="H3376" s="2">
        <v>3347.0</v>
      </c>
      <c r="I3376" s="2" t="s">
        <v>13791</v>
      </c>
      <c r="J3376" s="3">
        <v>2.0</v>
      </c>
      <c r="K3376" s="2" t="s">
        <v>13792</v>
      </c>
      <c r="L3376" s="2" t="s">
        <v>13793</v>
      </c>
      <c r="M3376" s="2" t="s">
        <v>409</v>
      </c>
      <c r="N3376" s="2" t="s">
        <v>406</v>
      </c>
      <c r="O3376" s="3"/>
      <c r="Q3376" s="3">
        <v>720.0</v>
      </c>
      <c r="R3376" s="3">
        <v>0.5</v>
      </c>
      <c r="U3376" s="141"/>
      <c r="X3376" s="172"/>
      <c r="Y3376" s="172">
        <v>46092.85209583333</v>
      </c>
      <c r="Z3376" s="3">
        <v>46092.0</v>
      </c>
    </row>
    <row r="3377">
      <c r="A3377" s="3">
        <v>6.947691168003E12</v>
      </c>
      <c r="B3377" s="2" t="s">
        <v>13794</v>
      </c>
      <c r="C3377" s="2" t="s">
        <v>13795</v>
      </c>
      <c r="D3377" s="169">
        <v>46092.0</v>
      </c>
      <c r="E3377" s="173" t="s">
        <v>13796</v>
      </c>
      <c r="F3377" s="2" t="s">
        <v>13797</v>
      </c>
      <c r="G3377" s="2" t="s">
        <v>13798</v>
      </c>
      <c r="H3377" s="2">
        <v>3100.0</v>
      </c>
      <c r="I3377" s="2">
        <v>2.0120050022555E13</v>
      </c>
      <c r="J3377" s="3">
        <v>2.0</v>
      </c>
      <c r="K3377" s="2" t="s">
        <v>13799</v>
      </c>
      <c r="L3377" s="2" t="s">
        <v>906</v>
      </c>
      <c r="M3377" s="2" t="s">
        <v>409</v>
      </c>
      <c r="N3377" s="2" t="s">
        <v>462</v>
      </c>
      <c r="O3377" s="3"/>
      <c r="P3377" s="2" t="s">
        <v>73</v>
      </c>
      <c r="Q3377" s="3">
        <v>720.0</v>
      </c>
      <c r="R3377" s="3">
        <v>0.5</v>
      </c>
      <c r="T3377" s="2" t="s">
        <v>11534</v>
      </c>
      <c r="U3377" s="171">
        <v>3100.0</v>
      </c>
      <c r="V3377" s="172">
        <v>46097.0</v>
      </c>
      <c r="W3377" s="3">
        <v>324.0</v>
      </c>
      <c r="X3377" s="172">
        <v>46095.666061041666</v>
      </c>
      <c r="Y3377" s="172">
        <v>46092.85209584491</v>
      </c>
      <c r="Z3377" s="3">
        <v>46092.0</v>
      </c>
    </row>
    <row r="3378">
      <c r="A3378" s="3">
        <v>6.947704799491E12</v>
      </c>
      <c r="B3378" s="2" t="s">
        <v>13800</v>
      </c>
      <c r="C3378" s="2" t="s">
        <v>11322</v>
      </c>
      <c r="D3378" s="169">
        <v>46092.0</v>
      </c>
      <c r="E3378" s="2">
        <v>3.226429516E9</v>
      </c>
      <c r="F3378" s="2" t="s">
        <v>13801</v>
      </c>
      <c r="G3378" s="2" t="s">
        <v>855</v>
      </c>
      <c r="H3378" s="2">
        <v>249.0</v>
      </c>
      <c r="I3378" s="2">
        <v>2.8120050022554E13</v>
      </c>
      <c r="J3378" s="3">
        <v>0.0</v>
      </c>
      <c r="K3378" s="2" t="s">
        <v>12246</v>
      </c>
      <c r="L3378" s="2"/>
      <c r="M3378" s="170" t="s">
        <v>455</v>
      </c>
      <c r="N3378" s="2" t="s">
        <v>406</v>
      </c>
      <c r="O3378" s="3"/>
      <c r="P3378" s="2" t="s">
        <v>73</v>
      </c>
      <c r="Q3378" s="3">
        <v>0.0</v>
      </c>
      <c r="R3378" s="3">
        <v>0.5</v>
      </c>
      <c r="U3378" s="141"/>
      <c r="W3378" s="3">
        <v>200.1</v>
      </c>
      <c r="X3378" s="172">
        <v>46106.91603021991</v>
      </c>
      <c r="Y3378" s="172">
        <v>46092.85209584491</v>
      </c>
      <c r="Z3378" s="3">
        <v>46092.0</v>
      </c>
    </row>
    <row r="3379">
      <c r="A3379" s="3">
        <v>6.947715973379E12</v>
      </c>
      <c r="B3379" s="2" t="s">
        <v>13802</v>
      </c>
      <c r="C3379" s="2" t="s">
        <v>13803</v>
      </c>
      <c r="D3379" s="169">
        <v>46092.0</v>
      </c>
      <c r="E3379" s="2">
        <v>3.337000708E9</v>
      </c>
      <c r="F3379" s="2" t="s">
        <v>13804</v>
      </c>
      <c r="G3379" s="2" t="s">
        <v>368</v>
      </c>
      <c r="H3379" s="2">
        <v>249.0</v>
      </c>
      <c r="I3379" s="2">
        <v>2.0120050022644E13</v>
      </c>
      <c r="J3379" s="3">
        <v>0.0</v>
      </c>
      <c r="K3379" s="2" t="s">
        <v>13805</v>
      </c>
      <c r="L3379" s="2"/>
      <c r="M3379" s="170" t="s">
        <v>455</v>
      </c>
      <c r="N3379" s="2" t="s">
        <v>406</v>
      </c>
      <c r="O3379" s="3"/>
      <c r="P3379" s="2" t="s">
        <v>73</v>
      </c>
      <c r="Q3379" s="3">
        <v>0.0</v>
      </c>
      <c r="R3379" s="3">
        <v>0.5</v>
      </c>
      <c r="U3379" s="141"/>
      <c r="W3379" s="3">
        <v>120.0</v>
      </c>
      <c r="X3379" s="172">
        <v>46109.83261131945</v>
      </c>
      <c r="Y3379" s="172">
        <v>46092.85209584491</v>
      </c>
      <c r="Z3379" s="3">
        <v>46092.0</v>
      </c>
    </row>
    <row r="3380">
      <c r="A3380" s="3">
        <v>6.947748577539E12</v>
      </c>
      <c r="B3380" s="2" t="s">
        <v>13806</v>
      </c>
      <c r="C3380" s="2" t="s">
        <v>1819</v>
      </c>
      <c r="D3380" s="169">
        <v>46092.0</v>
      </c>
      <c r="E3380" s="2">
        <v>9.2308542714E11</v>
      </c>
      <c r="F3380" s="2" t="s">
        <v>13807</v>
      </c>
      <c r="G3380" s="2" t="s">
        <v>366</v>
      </c>
      <c r="H3380" s="2">
        <v>249.0</v>
      </c>
      <c r="I3380" s="2">
        <v>2.0120050022553E13</v>
      </c>
      <c r="J3380" s="3">
        <v>0.0</v>
      </c>
      <c r="K3380" s="2" t="s">
        <v>12763</v>
      </c>
      <c r="L3380" s="2"/>
      <c r="M3380" s="170" t="s">
        <v>455</v>
      </c>
      <c r="N3380" s="2" t="s">
        <v>406</v>
      </c>
      <c r="O3380" s="3"/>
      <c r="P3380" s="2" t="s">
        <v>73</v>
      </c>
      <c r="Q3380" s="3">
        <v>0.0</v>
      </c>
      <c r="R3380" s="3">
        <v>0.5</v>
      </c>
      <c r="U3380" s="141"/>
      <c r="W3380" s="3">
        <v>200.0</v>
      </c>
      <c r="X3380" s="172">
        <v>46109.83261133102</v>
      </c>
      <c r="Y3380" s="172">
        <v>46092.893773275464</v>
      </c>
      <c r="Z3380" s="3">
        <v>46092.0</v>
      </c>
    </row>
    <row r="3381">
      <c r="A3381" s="3">
        <v>6.947757293827E12</v>
      </c>
      <c r="B3381" s="2" t="s">
        <v>13808</v>
      </c>
      <c r="C3381" s="2" t="s">
        <v>5473</v>
      </c>
      <c r="D3381" s="169">
        <v>46092.0</v>
      </c>
      <c r="E3381" s="2">
        <v>3.1300676E9</v>
      </c>
      <c r="F3381" s="2" t="s">
        <v>13809</v>
      </c>
      <c r="G3381" s="2" t="s">
        <v>368</v>
      </c>
      <c r="H3381" s="2">
        <v>3348.0</v>
      </c>
      <c r="I3381" s="2">
        <v>2.212005002257E13</v>
      </c>
      <c r="J3381" s="3">
        <v>2.0</v>
      </c>
      <c r="K3381" s="2" t="s">
        <v>12223</v>
      </c>
      <c r="L3381" s="2" t="s">
        <v>228</v>
      </c>
      <c r="M3381" s="2" t="s">
        <v>409</v>
      </c>
      <c r="N3381" s="2" t="s">
        <v>462</v>
      </c>
      <c r="O3381" s="3"/>
      <c r="P3381" s="2" t="s">
        <v>73</v>
      </c>
      <c r="Q3381" s="3">
        <v>720.0</v>
      </c>
      <c r="R3381" s="3">
        <v>0.5</v>
      </c>
      <c r="T3381" s="2" t="s">
        <v>11534</v>
      </c>
      <c r="U3381" s="171">
        <v>3348.0</v>
      </c>
      <c r="V3381" s="172">
        <v>46097.0</v>
      </c>
      <c r="W3381" s="3">
        <v>241.0</v>
      </c>
      <c r="X3381" s="172">
        <v>46094.66603907407</v>
      </c>
      <c r="Y3381" s="172">
        <v>46092.893773275464</v>
      </c>
      <c r="Z3381" s="3">
        <v>46092.0</v>
      </c>
    </row>
    <row r="3382">
      <c r="A3382" s="3">
        <v>6.947770827011E12</v>
      </c>
      <c r="B3382" s="2" t="s">
        <v>13810</v>
      </c>
      <c r="C3382" s="2" t="s">
        <v>13811</v>
      </c>
      <c r="D3382" s="169">
        <v>46092.0</v>
      </c>
      <c r="E3382" s="173" t="s">
        <v>13812</v>
      </c>
      <c r="F3382" s="2" t="s">
        <v>13813</v>
      </c>
      <c r="G3382" s="2" t="s">
        <v>855</v>
      </c>
      <c r="H3382" s="2">
        <v>1899.0</v>
      </c>
      <c r="I3382" s="2">
        <v>2.3120050022552E13</v>
      </c>
      <c r="J3382" s="3">
        <v>1.0</v>
      </c>
      <c r="K3382" s="2" t="s">
        <v>13814</v>
      </c>
      <c r="L3382" s="2" t="s">
        <v>13815</v>
      </c>
      <c r="M3382" s="2" t="s">
        <v>409</v>
      </c>
      <c r="N3382" s="2" t="s">
        <v>462</v>
      </c>
      <c r="O3382" s="3"/>
      <c r="P3382" s="2" t="s">
        <v>73</v>
      </c>
      <c r="Q3382" s="3">
        <v>550.0</v>
      </c>
      <c r="R3382" s="3">
        <v>0.5</v>
      </c>
      <c r="T3382" s="2" t="s">
        <v>11534</v>
      </c>
      <c r="U3382" s="171">
        <v>1899.0</v>
      </c>
      <c r="V3382" s="172">
        <v>46097.0</v>
      </c>
      <c r="W3382" s="3">
        <v>276.0</v>
      </c>
      <c r="X3382" s="172">
        <v>46096.70776909722</v>
      </c>
      <c r="Y3382" s="172">
        <v>46092.893773275464</v>
      </c>
      <c r="Z3382" s="3">
        <v>46092.0</v>
      </c>
    </row>
    <row r="3383">
      <c r="A3383" s="3">
        <v>6.947776921859E12</v>
      </c>
      <c r="B3383" s="2" t="s">
        <v>13816</v>
      </c>
      <c r="C3383" s="2" t="s">
        <v>13817</v>
      </c>
      <c r="D3383" s="169">
        <v>46092.0</v>
      </c>
      <c r="E3383" s="2">
        <v>3.451618074E9</v>
      </c>
      <c r="F3383" s="2" t="s">
        <v>13818</v>
      </c>
      <c r="G3383" s="2" t="s">
        <v>4667</v>
      </c>
      <c r="H3383" s="2">
        <v>3348.0</v>
      </c>
      <c r="I3383" s="2">
        <v>2.1120050022569E13</v>
      </c>
      <c r="J3383" s="3">
        <v>2.0</v>
      </c>
      <c r="K3383" s="2" t="s">
        <v>13072</v>
      </c>
      <c r="L3383" s="2" t="s">
        <v>27</v>
      </c>
      <c r="M3383" s="2" t="s">
        <v>409</v>
      </c>
      <c r="N3383" s="2" t="s">
        <v>462</v>
      </c>
      <c r="O3383" s="3"/>
      <c r="P3383" s="2" t="s">
        <v>73</v>
      </c>
      <c r="Q3383" s="3">
        <v>720.0</v>
      </c>
      <c r="R3383" s="3">
        <v>0.5</v>
      </c>
      <c r="T3383" s="2" t="s">
        <v>12177</v>
      </c>
      <c r="U3383" s="171">
        <v>3348.0</v>
      </c>
      <c r="V3383" s="172">
        <v>46105.0</v>
      </c>
      <c r="W3383" s="3">
        <v>334.0</v>
      </c>
      <c r="X3383" s="172">
        <v>46099.66604297454</v>
      </c>
      <c r="Y3383" s="172">
        <v>46092.893773275464</v>
      </c>
      <c r="Z3383" s="3">
        <v>46092.0</v>
      </c>
    </row>
    <row r="3384">
      <c r="A3384" s="3">
        <v>6.947776954627E12</v>
      </c>
      <c r="B3384" s="2" t="s">
        <v>13819</v>
      </c>
      <c r="C3384" s="2" t="s">
        <v>13820</v>
      </c>
      <c r="D3384" s="169">
        <v>46092.0</v>
      </c>
      <c r="E3384" s="2">
        <v>3.077022E9</v>
      </c>
      <c r="F3384" s="2" t="s">
        <v>13821</v>
      </c>
      <c r="G3384" s="2" t="s">
        <v>855</v>
      </c>
      <c r="H3384" s="2">
        <v>3348.0</v>
      </c>
      <c r="I3384" s="2">
        <v>2.4120050022568E13</v>
      </c>
      <c r="J3384" s="3">
        <v>2.0</v>
      </c>
      <c r="K3384" s="2" t="s">
        <v>13822</v>
      </c>
      <c r="L3384" s="2" t="s">
        <v>228</v>
      </c>
      <c r="M3384" s="2" t="s">
        <v>409</v>
      </c>
      <c r="N3384" s="2" t="s">
        <v>462</v>
      </c>
      <c r="O3384" s="3"/>
      <c r="P3384" s="2" t="s">
        <v>73</v>
      </c>
      <c r="Q3384" s="3">
        <v>720.0</v>
      </c>
      <c r="R3384" s="3">
        <v>0.5</v>
      </c>
      <c r="T3384" s="2" t="s">
        <v>11534</v>
      </c>
      <c r="U3384" s="171">
        <v>3348.0</v>
      </c>
      <c r="V3384" s="172">
        <v>46097.0</v>
      </c>
      <c r="W3384" s="3">
        <v>334.0</v>
      </c>
      <c r="X3384" s="172">
        <v>46094.582755138894</v>
      </c>
      <c r="Y3384" s="172">
        <v>46092.893773275464</v>
      </c>
      <c r="Z3384" s="3">
        <v>46092.0</v>
      </c>
    </row>
    <row r="3385">
      <c r="A3385" s="3">
        <v>6.947814637827E12</v>
      </c>
      <c r="B3385" s="2" t="s">
        <v>13823</v>
      </c>
      <c r="C3385" s="2" t="s">
        <v>13824</v>
      </c>
      <c r="D3385" s="169">
        <v>46092.0</v>
      </c>
      <c r="E3385" s="173" t="s">
        <v>13825</v>
      </c>
      <c r="F3385" s="2" t="s">
        <v>13826</v>
      </c>
      <c r="G3385" s="2" t="s">
        <v>4844</v>
      </c>
      <c r="H3385" s="2">
        <v>3348.0</v>
      </c>
      <c r="I3385" s="2">
        <v>2.6120050022643E13</v>
      </c>
      <c r="J3385" s="3">
        <v>2.0</v>
      </c>
      <c r="K3385" s="2" t="s">
        <v>13827</v>
      </c>
      <c r="L3385" s="2" t="s">
        <v>1446</v>
      </c>
      <c r="M3385" s="2" t="s">
        <v>409</v>
      </c>
      <c r="N3385" s="2" t="s">
        <v>462</v>
      </c>
      <c r="O3385" s="3"/>
      <c r="P3385" s="2" t="s">
        <v>73</v>
      </c>
      <c r="Q3385" s="3">
        <v>720.0</v>
      </c>
      <c r="R3385" s="3">
        <v>0.5</v>
      </c>
      <c r="T3385" s="2" t="s">
        <v>12177</v>
      </c>
      <c r="U3385" s="171">
        <v>3348.0</v>
      </c>
      <c r="V3385" s="172">
        <v>46105.0</v>
      </c>
      <c r="W3385" s="3">
        <v>347.0</v>
      </c>
      <c r="X3385" s="172">
        <v>46098.520938622685</v>
      </c>
      <c r="Y3385" s="172">
        <v>46092.93541871528</v>
      </c>
      <c r="Z3385" s="3">
        <v>46092.0</v>
      </c>
    </row>
    <row r="3386">
      <c r="A3386" s="3">
        <v>6.947822960899E12</v>
      </c>
      <c r="B3386" s="2" t="s">
        <v>13828</v>
      </c>
      <c r="C3386" s="2" t="s">
        <v>13829</v>
      </c>
      <c r="D3386" s="169">
        <v>46092.0</v>
      </c>
      <c r="E3386" s="2">
        <v>3.700037265E9</v>
      </c>
      <c r="F3386" s="2" t="s">
        <v>13524</v>
      </c>
      <c r="G3386" s="2" t="s">
        <v>4949</v>
      </c>
      <c r="H3386" s="2">
        <v>249.0</v>
      </c>
      <c r="I3386" s="2">
        <v>2.1120050022567E13</v>
      </c>
      <c r="J3386" s="3">
        <v>0.0</v>
      </c>
      <c r="K3386" s="2" t="s">
        <v>12763</v>
      </c>
      <c r="L3386" s="2"/>
      <c r="M3386" s="170" t="s">
        <v>455</v>
      </c>
      <c r="N3386" s="2" t="s">
        <v>406</v>
      </c>
      <c r="O3386" s="3"/>
      <c r="P3386" s="2" t="s">
        <v>73</v>
      </c>
      <c r="Q3386" s="3">
        <v>0.0</v>
      </c>
      <c r="R3386" s="3">
        <v>0.5</v>
      </c>
      <c r="U3386" s="141"/>
      <c r="W3386" s="3">
        <v>200.0</v>
      </c>
      <c r="X3386" s="172">
        <v>46108.83323506944</v>
      </c>
      <c r="Y3386" s="172">
        <v>46092.93541871528</v>
      </c>
      <c r="Z3386" s="3">
        <v>46092.0</v>
      </c>
    </row>
    <row r="3387">
      <c r="A3387" s="3">
        <v>6.947829874947E12</v>
      </c>
      <c r="B3387" s="2" t="s">
        <v>13830</v>
      </c>
      <c r="C3387" s="2" t="s">
        <v>13831</v>
      </c>
      <c r="D3387" s="169">
        <v>46092.0</v>
      </c>
      <c r="E3387" s="2">
        <v>3.241258038E9</v>
      </c>
      <c r="F3387" s="2" t="s">
        <v>13832</v>
      </c>
      <c r="G3387" s="2" t="s">
        <v>493</v>
      </c>
      <c r="H3387" s="2">
        <v>249.0</v>
      </c>
      <c r="I3387" s="2">
        <v>2.8120050022642E13</v>
      </c>
      <c r="J3387" s="3">
        <v>0.0</v>
      </c>
      <c r="K3387" s="2" t="s">
        <v>13833</v>
      </c>
      <c r="L3387" s="2"/>
      <c r="M3387" s="170" t="s">
        <v>455</v>
      </c>
      <c r="N3387" s="2" t="s">
        <v>406</v>
      </c>
      <c r="O3387" s="3"/>
      <c r="P3387" s="2" t="s">
        <v>73</v>
      </c>
      <c r="Q3387" s="3">
        <v>0.0</v>
      </c>
      <c r="R3387" s="3">
        <v>0.5</v>
      </c>
      <c r="U3387" s="141"/>
      <c r="W3387" s="3">
        <v>213.44</v>
      </c>
      <c r="X3387" s="172">
        <v>46112.9160322338</v>
      </c>
      <c r="Y3387" s="172">
        <v>46092.93541871528</v>
      </c>
      <c r="Z3387" s="3">
        <v>46092.0</v>
      </c>
    </row>
    <row r="3388">
      <c r="A3388" s="3">
        <v>6.947831841027E12</v>
      </c>
      <c r="B3388" s="2" t="s">
        <v>13834</v>
      </c>
      <c r="C3388" s="2" t="s">
        <v>13835</v>
      </c>
      <c r="D3388" s="169">
        <v>46092.0</v>
      </c>
      <c r="E3388" s="2">
        <v>9.23218333378E11</v>
      </c>
      <c r="F3388" s="2" t="s">
        <v>13836</v>
      </c>
      <c r="G3388" s="2" t="s">
        <v>368</v>
      </c>
      <c r="H3388" s="2">
        <v>3348.0</v>
      </c>
      <c r="I3388" s="2">
        <v>2.4120050022566E13</v>
      </c>
      <c r="J3388" s="3">
        <v>2.0</v>
      </c>
      <c r="K3388" s="2" t="s">
        <v>12223</v>
      </c>
      <c r="L3388" s="2" t="s">
        <v>2219</v>
      </c>
      <c r="M3388" s="2" t="s">
        <v>409</v>
      </c>
      <c r="N3388" s="2" t="s">
        <v>462</v>
      </c>
      <c r="O3388" s="3"/>
      <c r="P3388" s="2" t="s">
        <v>73</v>
      </c>
      <c r="Q3388" s="3">
        <v>800.0</v>
      </c>
      <c r="R3388" s="3">
        <v>0.5</v>
      </c>
      <c r="T3388" s="2" t="s">
        <v>11534</v>
      </c>
      <c r="U3388" s="171">
        <v>3348.0</v>
      </c>
      <c r="V3388" s="172">
        <v>46097.0</v>
      </c>
      <c r="W3388" s="3">
        <v>241.0</v>
      </c>
      <c r="X3388" s="172">
        <v>46094.54108912037</v>
      </c>
      <c r="Y3388" s="172">
        <v>46092.93541871528</v>
      </c>
      <c r="Z3388" s="3">
        <v>46092.0</v>
      </c>
    </row>
    <row r="3389">
      <c r="A3389" s="3">
        <v>6.947839705347E12</v>
      </c>
      <c r="B3389" s="2" t="s">
        <v>13837</v>
      </c>
      <c r="C3389" s="2" t="s">
        <v>3829</v>
      </c>
      <c r="D3389" s="169">
        <v>46092.0</v>
      </c>
      <c r="E3389" s="2">
        <v>3.003181587E9</v>
      </c>
      <c r="F3389" s="2" t="s">
        <v>13838</v>
      </c>
      <c r="G3389" s="2" t="s">
        <v>1466</v>
      </c>
      <c r="H3389" s="2">
        <v>3348.0</v>
      </c>
      <c r="I3389" s="2">
        <v>2.1120050023016E13</v>
      </c>
      <c r="J3389" s="3">
        <v>2.0</v>
      </c>
      <c r="K3389" s="2" t="s">
        <v>13839</v>
      </c>
      <c r="L3389" s="2" t="s">
        <v>1116</v>
      </c>
      <c r="M3389" s="2" t="s">
        <v>409</v>
      </c>
      <c r="N3389" s="2" t="s">
        <v>462</v>
      </c>
      <c r="O3389" s="3"/>
      <c r="P3389" s="2" t="s">
        <v>73</v>
      </c>
      <c r="Q3389" s="3">
        <v>800.0</v>
      </c>
      <c r="R3389" s="3">
        <v>0.5</v>
      </c>
      <c r="T3389" s="2" t="s">
        <v>12503</v>
      </c>
      <c r="U3389" s="171">
        <v>3348.0</v>
      </c>
      <c r="V3389" s="172">
        <v>46115.0</v>
      </c>
      <c r="W3389" s="3">
        <v>369.63</v>
      </c>
      <c r="X3389" s="172">
        <v>46112.74962150463</v>
      </c>
      <c r="Y3389" s="172">
        <v>46092.93541871528</v>
      </c>
      <c r="Z3389" s="3">
        <v>46092.0</v>
      </c>
    </row>
    <row r="3390">
      <c r="A3390" s="3">
        <v>6.947916316931E12</v>
      </c>
      <c r="B3390" s="2" t="s">
        <v>13840</v>
      </c>
      <c r="C3390" s="2" t="s">
        <v>13841</v>
      </c>
      <c r="D3390" s="169">
        <v>46092.0</v>
      </c>
      <c r="E3390" s="2">
        <v>3.027944036E9</v>
      </c>
      <c r="F3390" s="2" t="s">
        <v>13842</v>
      </c>
      <c r="G3390" s="2" t="s">
        <v>13843</v>
      </c>
      <c r="H3390" s="2">
        <v>249.0</v>
      </c>
      <c r="I3390" s="2">
        <v>2.4120050022585E13</v>
      </c>
      <c r="J3390" s="3">
        <v>0.0</v>
      </c>
      <c r="K3390" s="2" t="s">
        <v>12246</v>
      </c>
      <c r="L3390" s="2"/>
      <c r="M3390" s="170" t="s">
        <v>455</v>
      </c>
      <c r="N3390" s="2" t="s">
        <v>406</v>
      </c>
      <c r="O3390" s="3"/>
      <c r="P3390" s="2" t="s">
        <v>73</v>
      </c>
      <c r="Q3390" s="3">
        <v>0.0</v>
      </c>
      <c r="R3390" s="3">
        <v>0.5</v>
      </c>
      <c r="U3390" s="141"/>
      <c r="W3390" s="3">
        <v>200.1</v>
      </c>
      <c r="X3390" s="172">
        <v>46106.91610758102</v>
      </c>
      <c r="Y3390" s="172">
        <v>46092.977102696765</v>
      </c>
      <c r="Z3390" s="3">
        <v>46092.0</v>
      </c>
    </row>
    <row r="3391">
      <c r="A3391" s="3">
        <v>6.947937517827E12</v>
      </c>
      <c r="B3391" s="2" t="s">
        <v>13844</v>
      </c>
      <c r="C3391" s="2" t="s">
        <v>13845</v>
      </c>
      <c r="D3391" s="169">
        <v>46092.0</v>
      </c>
      <c r="E3391" s="2">
        <v>3.005588778E9</v>
      </c>
      <c r="F3391" s="2" t="s">
        <v>13846</v>
      </c>
      <c r="G3391" s="2" t="s">
        <v>8377</v>
      </c>
      <c r="H3391" s="2">
        <v>249.0</v>
      </c>
      <c r="I3391" s="2">
        <v>2.4120050022551E13</v>
      </c>
      <c r="J3391" s="3">
        <v>0.0</v>
      </c>
      <c r="K3391" s="2" t="s">
        <v>11849</v>
      </c>
      <c r="L3391" s="2"/>
      <c r="M3391" s="170" t="s">
        <v>455</v>
      </c>
      <c r="N3391" s="2" t="s">
        <v>406</v>
      </c>
      <c r="O3391" s="3"/>
      <c r="P3391" s="2" t="s">
        <v>73</v>
      </c>
      <c r="Q3391" s="3">
        <v>0.0</v>
      </c>
      <c r="R3391" s="3">
        <v>0.5</v>
      </c>
      <c r="U3391" s="141"/>
      <c r="W3391" s="3">
        <v>213.0</v>
      </c>
      <c r="X3391" s="172">
        <v>46110.582638645836</v>
      </c>
      <c r="Y3391" s="172">
        <v>46092.977102696765</v>
      </c>
      <c r="Z3391" s="3">
        <v>46092.0</v>
      </c>
    </row>
    <row r="3392">
      <c r="A3392" s="3">
        <v>6.947961929987E12</v>
      </c>
      <c r="B3392" s="2" t="s">
        <v>13847</v>
      </c>
      <c r="C3392" s="2" t="s">
        <v>13848</v>
      </c>
      <c r="D3392" s="169">
        <v>46092.0</v>
      </c>
      <c r="E3392" s="2">
        <v>3.3087397E9</v>
      </c>
      <c r="F3392" s="2" t="s">
        <v>13849</v>
      </c>
      <c r="G3392" s="2" t="s">
        <v>688</v>
      </c>
      <c r="H3392" s="2">
        <v>249.0</v>
      </c>
      <c r="I3392" s="2" t="s">
        <v>13850</v>
      </c>
      <c r="J3392" s="3">
        <v>0.0</v>
      </c>
      <c r="K3392" s="2" t="s">
        <v>204</v>
      </c>
      <c r="L3392" s="2"/>
      <c r="M3392" s="170" t="s">
        <v>455</v>
      </c>
      <c r="N3392" s="2" t="s">
        <v>406</v>
      </c>
      <c r="O3392" s="3"/>
      <c r="P3392" s="2" t="s">
        <v>640</v>
      </c>
      <c r="Q3392" s="3">
        <v>0.0</v>
      </c>
      <c r="R3392" s="3">
        <v>0.5</v>
      </c>
      <c r="U3392" s="141"/>
      <c r="X3392" s="172">
        <v>46122.08275890046</v>
      </c>
      <c r="Y3392" s="172">
        <v>46092.977102696765</v>
      </c>
      <c r="Z3392" s="3">
        <v>46092.0</v>
      </c>
    </row>
    <row r="3393">
      <c r="A3393" s="3">
        <v>6.947999449347E12</v>
      </c>
      <c r="B3393" s="2" t="s">
        <v>13851</v>
      </c>
      <c r="C3393" s="2" t="s">
        <v>13852</v>
      </c>
      <c r="D3393" s="169">
        <v>46092.0</v>
      </c>
      <c r="E3393" s="2">
        <v>3.00652414E9</v>
      </c>
      <c r="F3393" s="2" t="s">
        <v>13853</v>
      </c>
      <c r="G3393" s="2" t="s">
        <v>701</v>
      </c>
      <c r="H3393" s="2">
        <v>249.0</v>
      </c>
      <c r="I3393" s="2">
        <v>2.812005002255E13</v>
      </c>
      <c r="J3393" s="3">
        <v>0.0</v>
      </c>
      <c r="K3393" s="2" t="s">
        <v>13854</v>
      </c>
      <c r="L3393" s="2"/>
      <c r="M3393" s="170" t="s">
        <v>455</v>
      </c>
      <c r="N3393" s="2" t="s">
        <v>406</v>
      </c>
      <c r="O3393" s="3"/>
      <c r="P3393" s="2" t="s">
        <v>73</v>
      </c>
      <c r="Q3393" s="3">
        <v>0.0</v>
      </c>
      <c r="R3393" s="3">
        <v>0.5</v>
      </c>
      <c r="U3393" s="141"/>
      <c r="W3393" s="3">
        <v>200.0</v>
      </c>
      <c r="X3393" s="172">
        <v>46109.83261135417</v>
      </c>
      <c r="Y3393" s="172">
        <v>46093.01876491898</v>
      </c>
      <c r="Z3393" s="3">
        <v>46092.0</v>
      </c>
    </row>
    <row r="3394">
      <c r="A3394" s="3">
        <v>6.948003184899E12</v>
      </c>
      <c r="B3394" s="2" t="s">
        <v>13855</v>
      </c>
      <c r="C3394" s="2" t="s">
        <v>13856</v>
      </c>
      <c r="D3394" s="169">
        <v>46092.0</v>
      </c>
      <c r="E3394" s="2">
        <v>3.417080688E9</v>
      </c>
      <c r="F3394" s="2" t="s">
        <v>13857</v>
      </c>
      <c r="G3394" s="2" t="s">
        <v>461</v>
      </c>
      <c r="H3394" s="2">
        <v>1899.0</v>
      </c>
      <c r="I3394" s="2">
        <v>2.2120050022549E13</v>
      </c>
      <c r="J3394" s="3">
        <v>1.0</v>
      </c>
      <c r="K3394" s="2" t="s">
        <v>13814</v>
      </c>
      <c r="L3394" s="2" t="s">
        <v>13858</v>
      </c>
      <c r="M3394" s="2" t="s">
        <v>409</v>
      </c>
      <c r="N3394" s="2" t="s">
        <v>462</v>
      </c>
      <c r="O3394" s="3"/>
      <c r="P3394" s="2" t="s">
        <v>73</v>
      </c>
      <c r="Q3394" s="3">
        <v>550.0</v>
      </c>
      <c r="R3394" s="3">
        <v>0.5</v>
      </c>
      <c r="T3394" s="2" t="s">
        <v>11534</v>
      </c>
      <c r="U3394" s="171">
        <v>1899.0</v>
      </c>
      <c r="V3394" s="172">
        <v>46097.0</v>
      </c>
      <c r="W3394" s="3">
        <v>276.0</v>
      </c>
      <c r="X3394" s="172">
        <v>46095.58274601852</v>
      </c>
      <c r="Y3394" s="172">
        <v>46093.01876491898</v>
      </c>
      <c r="Z3394" s="3">
        <v>46092.0</v>
      </c>
    </row>
    <row r="3395">
      <c r="A3395" s="3">
        <v>6.948024844547E12</v>
      </c>
      <c r="B3395" s="2" t="s">
        <v>13859</v>
      </c>
      <c r="C3395" s="2" t="s">
        <v>13860</v>
      </c>
      <c r="D3395" s="169">
        <v>46093.0</v>
      </c>
      <c r="E3395" s="2">
        <v>3.01791864E9</v>
      </c>
      <c r="F3395" s="2" t="s">
        <v>13861</v>
      </c>
      <c r="G3395" s="2" t="s">
        <v>368</v>
      </c>
      <c r="H3395" s="2">
        <v>3348.0</v>
      </c>
      <c r="I3395" s="2">
        <v>2.5120050022548E13</v>
      </c>
      <c r="J3395" s="3">
        <v>2.0</v>
      </c>
      <c r="K3395" s="2" t="s">
        <v>12223</v>
      </c>
      <c r="L3395" s="2" t="s">
        <v>27</v>
      </c>
      <c r="M3395" s="2" t="s">
        <v>409</v>
      </c>
      <c r="N3395" s="2" t="s">
        <v>462</v>
      </c>
      <c r="O3395" s="3"/>
      <c r="P3395" s="2" t="s">
        <v>73</v>
      </c>
      <c r="Q3395" s="3">
        <v>720.0</v>
      </c>
      <c r="R3395" s="3">
        <v>0.5</v>
      </c>
      <c r="T3395" s="2" t="s">
        <v>11534</v>
      </c>
      <c r="U3395" s="171">
        <v>3348.0</v>
      </c>
      <c r="V3395" s="172">
        <v>46097.0</v>
      </c>
      <c r="W3395" s="3">
        <v>241.0</v>
      </c>
      <c r="X3395" s="172">
        <v>46096.58273736111</v>
      </c>
      <c r="Y3395" s="172">
        <v>46093.01876491898</v>
      </c>
      <c r="Z3395" s="3">
        <v>46093.0</v>
      </c>
    </row>
    <row r="3396">
      <c r="A3396" s="3">
        <v>6.948040212739E12</v>
      </c>
      <c r="B3396" s="2" t="s">
        <v>13862</v>
      </c>
      <c r="C3396" s="2" t="s">
        <v>13863</v>
      </c>
      <c r="D3396" s="169">
        <v>46093.0</v>
      </c>
      <c r="E3396" s="2">
        <v>3.448838474E9</v>
      </c>
      <c r="F3396" s="2" t="s">
        <v>13864</v>
      </c>
      <c r="G3396" s="2" t="s">
        <v>366</v>
      </c>
      <c r="H3396" s="2">
        <v>3348.0</v>
      </c>
      <c r="J3396" s="3">
        <v>2.0</v>
      </c>
      <c r="K3396" s="2" t="s">
        <v>13865</v>
      </c>
      <c r="L3396" s="2" t="s">
        <v>27</v>
      </c>
      <c r="M3396" s="2" t="s">
        <v>406</v>
      </c>
      <c r="N3396" s="2" t="s">
        <v>406</v>
      </c>
      <c r="O3396" s="3"/>
      <c r="Q3396" s="3">
        <v>720.0</v>
      </c>
      <c r="R3396" s="3">
        <v>0.5</v>
      </c>
      <c r="U3396" s="141"/>
      <c r="X3396" s="172"/>
      <c r="Y3396" s="172">
        <v>46093.060422291666</v>
      </c>
      <c r="Z3396" s="3">
        <v>46093.0</v>
      </c>
    </row>
    <row r="3397">
      <c r="A3397" s="3">
        <v>6.948060430595E12</v>
      </c>
      <c r="B3397" s="2" t="s">
        <v>13866</v>
      </c>
      <c r="C3397" s="2" t="s">
        <v>13867</v>
      </c>
      <c r="D3397" s="169">
        <v>46093.0</v>
      </c>
      <c r="E3397" s="2">
        <v>3.004271109E9</v>
      </c>
      <c r="F3397" s="2" t="s">
        <v>13868</v>
      </c>
      <c r="G3397" s="2" t="s">
        <v>13869</v>
      </c>
      <c r="H3397" s="2">
        <v>249.0</v>
      </c>
      <c r="I3397" s="2">
        <v>2.5120050022584E13</v>
      </c>
      <c r="J3397" s="3">
        <v>0.0</v>
      </c>
      <c r="K3397" s="2" t="s">
        <v>13870</v>
      </c>
      <c r="L3397" s="2"/>
      <c r="M3397" s="170" t="s">
        <v>455</v>
      </c>
      <c r="N3397" s="2" t="s">
        <v>406</v>
      </c>
      <c r="O3397" s="3"/>
      <c r="P3397" s="2" t="s">
        <v>73</v>
      </c>
      <c r="Q3397" s="3">
        <v>0.0</v>
      </c>
      <c r="R3397" s="3">
        <v>0.5</v>
      </c>
      <c r="U3397" s="141"/>
      <c r="W3397" s="3">
        <v>200.1</v>
      </c>
      <c r="X3397" s="172">
        <v>46112.916032256944</v>
      </c>
      <c r="Y3397" s="172">
        <v>46093.060422291666</v>
      </c>
      <c r="Z3397" s="3">
        <v>46093.0</v>
      </c>
    </row>
    <row r="3398">
      <c r="A3398" s="3">
        <v>6.948117676291E12</v>
      </c>
      <c r="B3398" s="2" t="s">
        <v>13871</v>
      </c>
      <c r="C3398" s="2" t="s">
        <v>13872</v>
      </c>
      <c r="D3398" s="169">
        <v>46093.0</v>
      </c>
      <c r="E3398" s="2">
        <v>3.214651067E9</v>
      </c>
      <c r="F3398" s="2" t="s">
        <v>13873</v>
      </c>
      <c r="G3398" s="2" t="s">
        <v>368</v>
      </c>
      <c r="H3398" s="2">
        <v>3348.0</v>
      </c>
      <c r="I3398" s="2">
        <v>2.9120050022547E13</v>
      </c>
      <c r="J3398" s="3">
        <v>2.0</v>
      </c>
      <c r="K3398" s="2" t="s">
        <v>12223</v>
      </c>
      <c r="L3398" s="2" t="s">
        <v>4209</v>
      </c>
      <c r="M3398" s="2" t="s">
        <v>409</v>
      </c>
      <c r="N3398" s="2" t="s">
        <v>462</v>
      </c>
      <c r="O3398" s="3"/>
      <c r="P3398" s="2" t="s">
        <v>73</v>
      </c>
      <c r="Q3398" s="3">
        <v>720.0</v>
      </c>
      <c r="R3398" s="3">
        <v>0.5</v>
      </c>
      <c r="T3398" s="2" t="s">
        <v>11534</v>
      </c>
      <c r="U3398" s="171">
        <v>3348.0</v>
      </c>
      <c r="V3398" s="172">
        <v>46097.0</v>
      </c>
      <c r="W3398" s="3">
        <v>241.0</v>
      </c>
      <c r="X3398" s="172">
        <v>46094.499408958334</v>
      </c>
      <c r="Y3398" s="172">
        <v>46093.10210174769</v>
      </c>
      <c r="Z3398" s="3">
        <v>46093.0</v>
      </c>
    </row>
    <row r="3399">
      <c r="A3399" s="3">
        <v>6.948168564995E12</v>
      </c>
      <c r="B3399" s="2" t="s">
        <v>13874</v>
      </c>
      <c r="C3399" s="2" t="s">
        <v>13875</v>
      </c>
      <c r="D3399" s="169">
        <v>46093.0</v>
      </c>
      <c r="E3399" s="2">
        <v>3.174099348E9</v>
      </c>
      <c r="F3399" s="2" t="s">
        <v>13876</v>
      </c>
      <c r="G3399" s="2" t="s">
        <v>368</v>
      </c>
      <c r="H3399" s="2">
        <v>3348.0</v>
      </c>
      <c r="I3399" s="2">
        <v>2.7120050022583E13</v>
      </c>
      <c r="J3399" s="3">
        <v>2.0</v>
      </c>
      <c r="K3399" s="2" t="s">
        <v>11726</v>
      </c>
      <c r="L3399" s="2" t="s">
        <v>27</v>
      </c>
      <c r="M3399" s="2" t="s">
        <v>409</v>
      </c>
      <c r="N3399" s="2" t="s">
        <v>462</v>
      </c>
      <c r="O3399" s="3"/>
      <c r="P3399" s="2" t="s">
        <v>73</v>
      </c>
      <c r="Q3399" s="3">
        <v>720.0</v>
      </c>
      <c r="R3399" s="3">
        <v>0.5</v>
      </c>
      <c r="T3399" s="2" t="s">
        <v>11534</v>
      </c>
      <c r="U3399" s="171">
        <v>3348.0</v>
      </c>
      <c r="V3399" s="172">
        <v>46097.0</v>
      </c>
      <c r="W3399" s="3">
        <v>241.0</v>
      </c>
      <c r="X3399" s="172">
        <v>46095.457695798614</v>
      </c>
      <c r="Y3399" s="172">
        <v>46093.10210174769</v>
      </c>
      <c r="Z3399" s="3">
        <v>46093.0</v>
      </c>
    </row>
    <row r="3400">
      <c r="A3400" s="3">
        <v>6.948178559235E12</v>
      </c>
      <c r="B3400" s="2" t="s">
        <v>13877</v>
      </c>
      <c r="C3400" s="2" t="s">
        <v>5704</v>
      </c>
      <c r="D3400" s="169">
        <v>46093.0</v>
      </c>
      <c r="E3400" s="2">
        <v>3.190271348E9</v>
      </c>
      <c r="F3400" s="2" t="s">
        <v>13878</v>
      </c>
      <c r="G3400" s="2" t="s">
        <v>693</v>
      </c>
      <c r="H3400" s="2">
        <v>3248.0</v>
      </c>
      <c r="I3400" s="2">
        <v>2.7120050022546E13</v>
      </c>
      <c r="J3400" s="3">
        <v>2.0</v>
      </c>
      <c r="K3400" s="2" t="s">
        <v>13879</v>
      </c>
      <c r="L3400" s="2" t="s">
        <v>16</v>
      </c>
      <c r="M3400" s="2" t="s">
        <v>409</v>
      </c>
      <c r="N3400" s="2" t="s">
        <v>462</v>
      </c>
      <c r="O3400" s="3"/>
      <c r="P3400" s="2" t="s">
        <v>73</v>
      </c>
      <c r="Q3400" s="3">
        <v>980.0</v>
      </c>
      <c r="R3400" s="3">
        <v>0.5</v>
      </c>
      <c r="T3400" s="2" t="s">
        <v>12177</v>
      </c>
      <c r="U3400" s="171">
        <v>3248.0</v>
      </c>
      <c r="V3400" s="172">
        <v>46105.0</v>
      </c>
      <c r="W3400" s="3">
        <v>343.0</v>
      </c>
      <c r="X3400" s="172">
        <v>46100.70769711805</v>
      </c>
      <c r="Y3400" s="172">
        <v>46093.14377730324</v>
      </c>
      <c r="Z3400" s="3">
        <v>46093.0</v>
      </c>
    </row>
    <row r="3401">
      <c r="A3401" s="3">
        <v>6.948189896963E12</v>
      </c>
      <c r="B3401" s="2" t="s">
        <v>13880</v>
      </c>
      <c r="C3401" s="2" t="s">
        <v>201</v>
      </c>
      <c r="D3401" s="169">
        <v>46093.0</v>
      </c>
      <c r="E3401" s="2">
        <v>3.132452596E9</v>
      </c>
      <c r="F3401" s="2" t="s">
        <v>13881</v>
      </c>
      <c r="G3401" s="2" t="s">
        <v>493</v>
      </c>
      <c r="H3401" s="2">
        <v>3348.0</v>
      </c>
      <c r="I3401" s="2">
        <v>2.0120050022641E13</v>
      </c>
      <c r="J3401" s="3">
        <v>2.0</v>
      </c>
      <c r="K3401" s="2" t="s">
        <v>204</v>
      </c>
      <c r="L3401" s="2" t="s">
        <v>27</v>
      </c>
      <c r="M3401" s="2" t="s">
        <v>17</v>
      </c>
      <c r="N3401" s="2" t="s">
        <v>406</v>
      </c>
      <c r="O3401" s="3"/>
      <c r="P3401" s="2" t="s">
        <v>73</v>
      </c>
      <c r="Q3401" s="3">
        <v>720.0</v>
      </c>
      <c r="R3401" s="3">
        <v>0.5</v>
      </c>
      <c r="U3401" s="141"/>
      <c r="X3401" s="172">
        <v>46126.08104605324</v>
      </c>
      <c r="Y3401" s="172">
        <v>46093.14377730324</v>
      </c>
      <c r="Z3401" s="3">
        <v>46093.0</v>
      </c>
    </row>
    <row r="3402">
      <c r="A3402" s="3">
        <v>6.948228104451E12</v>
      </c>
      <c r="B3402" s="2" t="s">
        <v>13882</v>
      </c>
      <c r="C3402" s="2" t="s">
        <v>13883</v>
      </c>
      <c r="D3402" s="169">
        <v>46093.0</v>
      </c>
      <c r="E3402" s="2">
        <v>3.099492127E9</v>
      </c>
      <c r="F3402" s="2" t="s">
        <v>13884</v>
      </c>
      <c r="G3402" s="2" t="s">
        <v>1016</v>
      </c>
      <c r="H3402" s="2">
        <v>3347.5</v>
      </c>
      <c r="I3402" s="2">
        <v>2.3120050022582E13</v>
      </c>
      <c r="J3402" s="3">
        <v>2.0</v>
      </c>
      <c r="K3402" s="2" t="s">
        <v>13885</v>
      </c>
      <c r="L3402" s="2" t="s">
        <v>13886</v>
      </c>
      <c r="M3402" s="2" t="s">
        <v>409</v>
      </c>
      <c r="N3402" s="2" t="s">
        <v>462</v>
      </c>
      <c r="O3402" s="3"/>
      <c r="P3402" s="2" t="s">
        <v>73</v>
      </c>
      <c r="Q3402" s="3">
        <v>720.0</v>
      </c>
      <c r="R3402" s="3">
        <v>0.5</v>
      </c>
      <c r="T3402" s="2" t="s">
        <v>12177</v>
      </c>
      <c r="U3402" s="171">
        <v>3347.5</v>
      </c>
      <c r="V3402" s="172">
        <v>46105.0</v>
      </c>
      <c r="W3402" s="3">
        <v>334.0</v>
      </c>
      <c r="X3402" s="172">
        <v>46097.66616537037</v>
      </c>
      <c r="Y3402" s="172">
        <v>46093.14377730324</v>
      </c>
      <c r="Z3402" s="3">
        <v>46093.0</v>
      </c>
    </row>
    <row r="3403">
      <c r="A3403" s="3">
        <v>6.948233117955E12</v>
      </c>
      <c r="B3403" s="2" t="s">
        <v>13887</v>
      </c>
      <c r="C3403" s="2" t="s">
        <v>13888</v>
      </c>
      <c r="D3403" s="169">
        <v>46093.0</v>
      </c>
      <c r="E3403" s="2">
        <v>3.236623581E9</v>
      </c>
      <c r="F3403" s="2" t="s">
        <v>13889</v>
      </c>
      <c r="G3403" s="2" t="s">
        <v>13890</v>
      </c>
      <c r="H3403" s="2">
        <v>1799.0</v>
      </c>
      <c r="I3403" s="2">
        <v>2.4120050022581E13</v>
      </c>
      <c r="J3403" s="3">
        <v>1.0</v>
      </c>
      <c r="K3403" s="2" t="s">
        <v>13891</v>
      </c>
      <c r="L3403" s="2" t="s">
        <v>1185</v>
      </c>
      <c r="M3403" s="2" t="s">
        <v>409</v>
      </c>
      <c r="N3403" s="2" t="s">
        <v>462</v>
      </c>
      <c r="O3403" s="3"/>
      <c r="P3403" s="2" t="s">
        <v>73</v>
      </c>
      <c r="Q3403" s="3">
        <v>490.0</v>
      </c>
      <c r="R3403" s="3">
        <v>0.5</v>
      </c>
      <c r="T3403" s="2" t="s">
        <v>12177</v>
      </c>
      <c r="U3403" s="171">
        <v>1799.0</v>
      </c>
      <c r="V3403" s="172">
        <v>46105.0</v>
      </c>
      <c r="W3403" s="3">
        <v>285.0</v>
      </c>
      <c r="X3403" s="172">
        <v>46099.66604309028</v>
      </c>
      <c r="Y3403" s="172">
        <v>46093.18542883101</v>
      </c>
      <c r="Z3403" s="3">
        <v>46093.0</v>
      </c>
    </row>
    <row r="3404">
      <c r="A3404" s="3">
        <v>6.948249338115E12</v>
      </c>
      <c r="B3404" s="2" t="s">
        <v>13892</v>
      </c>
      <c r="C3404" s="2" t="s">
        <v>13893</v>
      </c>
      <c r="D3404" s="169">
        <v>46093.0</v>
      </c>
      <c r="E3404" s="2">
        <v>3.331868989E9</v>
      </c>
      <c r="F3404" s="2" t="s">
        <v>13894</v>
      </c>
      <c r="G3404" s="2" t="s">
        <v>2725</v>
      </c>
      <c r="H3404" s="2">
        <v>0.0</v>
      </c>
      <c r="J3404" s="3">
        <v>0.0</v>
      </c>
      <c r="K3404" s="2" t="s">
        <v>7954</v>
      </c>
      <c r="L3404" s="2"/>
      <c r="M3404" s="2" t="s">
        <v>468</v>
      </c>
      <c r="N3404" s="2" t="s">
        <v>406</v>
      </c>
      <c r="O3404" s="3"/>
      <c r="Q3404" s="3">
        <v>0.0</v>
      </c>
      <c r="R3404" s="3">
        <v>0.5</v>
      </c>
      <c r="U3404" s="141"/>
      <c r="X3404" s="172"/>
      <c r="Y3404" s="172">
        <v>46093.18542883101</v>
      </c>
      <c r="Z3404" s="3">
        <v>46093.0</v>
      </c>
    </row>
    <row r="3405">
      <c r="A3405" s="3">
        <v>6.948258021635E12</v>
      </c>
      <c r="B3405" s="2" t="s">
        <v>13895</v>
      </c>
      <c r="C3405" s="2" t="s">
        <v>13893</v>
      </c>
      <c r="D3405" s="169">
        <v>46093.0</v>
      </c>
      <c r="E3405" s="173" t="s">
        <v>13896</v>
      </c>
      <c r="F3405" s="2" t="s">
        <v>13894</v>
      </c>
      <c r="G3405" s="2" t="s">
        <v>2725</v>
      </c>
      <c r="H3405" s="2">
        <v>3248.0</v>
      </c>
      <c r="I3405" s="2">
        <v>2.912005002258E13</v>
      </c>
      <c r="J3405" s="3">
        <v>2.0</v>
      </c>
      <c r="K3405" s="2" t="s">
        <v>13897</v>
      </c>
      <c r="L3405" s="2" t="s">
        <v>926</v>
      </c>
      <c r="M3405" s="2" t="s">
        <v>409</v>
      </c>
      <c r="N3405" s="2" t="s">
        <v>462</v>
      </c>
      <c r="O3405" s="3"/>
      <c r="P3405" s="2" t="s">
        <v>73</v>
      </c>
      <c r="Q3405" s="3">
        <v>980.0</v>
      </c>
      <c r="R3405" s="3">
        <v>0.5</v>
      </c>
      <c r="T3405" s="2" t="s">
        <v>12177</v>
      </c>
      <c r="U3405" s="171">
        <v>3248.0</v>
      </c>
      <c r="V3405" s="172">
        <v>46105.0</v>
      </c>
      <c r="W3405" s="3">
        <v>350.0</v>
      </c>
      <c r="X3405" s="172">
        <v>46098.58286306713</v>
      </c>
      <c r="Y3405" s="172">
        <v>46093.18542883101</v>
      </c>
      <c r="Z3405" s="3">
        <v>46093.0</v>
      </c>
    </row>
    <row r="3406">
      <c r="A3406" s="3">
        <v>6.948268867843E12</v>
      </c>
      <c r="B3406" s="2" t="s">
        <v>13898</v>
      </c>
      <c r="C3406" s="2" t="s">
        <v>13899</v>
      </c>
      <c r="D3406" s="169">
        <v>46093.0</v>
      </c>
      <c r="E3406" s="2">
        <v>3.045535559E9</v>
      </c>
      <c r="F3406" s="2" t="s">
        <v>13900</v>
      </c>
      <c r="G3406" s="2" t="s">
        <v>368</v>
      </c>
      <c r="H3406" s="2">
        <v>3348.0</v>
      </c>
      <c r="I3406" s="2">
        <v>2.5120050022545E13</v>
      </c>
      <c r="J3406" s="3">
        <v>2.0</v>
      </c>
      <c r="K3406" s="2" t="s">
        <v>12223</v>
      </c>
      <c r="L3406" s="2" t="s">
        <v>1116</v>
      </c>
      <c r="M3406" s="2" t="s">
        <v>409</v>
      </c>
      <c r="N3406" s="2" t="s">
        <v>462</v>
      </c>
      <c r="O3406" s="3"/>
      <c r="P3406" s="2" t="s">
        <v>73</v>
      </c>
      <c r="Q3406" s="3">
        <v>800.0</v>
      </c>
      <c r="R3406" s="3">
        <v>0.5</v>
      </c>
      <c r="T3406" s="2" t="s">
        <v>11534</v>
      </c>
      <c r="U3406" s="171">
        <v>3348.0</v>
      </c>
      <c r="V3406" s="172">
        <v>46097.0</v>
      </c>
      <c r="W3406" s="3">
        <v>241.0</v>
      </c>
      <c r="X3406" s="172">
        <v>46095.70771501157</v>
      </c>
      <c r="Y3406" s="172">
        <v>46093.18542883101</v>
      </c>
      <c r="Z3406" s="3">
        <v>46093.0</v>
      </c>
    </row>
    <row r="3407">
      <c r="A3407" s="3">
        <v>6.948285415683E12</v>
      </c>
      <c r="B3407" s="2" t="s">
        <v>13901</v>
      </c>
      <c r="C3407" s="2" t="s">
        <v>13902</v>
      </c>
      <c r="D3407" s="169">
        <v>46093.0</v>
      </c>
      <c r="E3407" s="2">
        <v>3.223666662E9</v>
      </c>
      <c r="F3407" s="2" t="s">
        <v>13903</v>
      </c>
      <c r="G3407" s="2" t="s">
        <v>506</v>
      </c>
      <c r="H3407" s="2">
        <v>3348.0</v>
      </c>
      <c r="I3407" s="2">
        <v>2.0120050022544E13</v>
      </c>
      <c r="J3407" s="3">
        <v>2.0</v>
      </c>
      <c r="K3407" s="2" t="s">
        <v>11726</v>
      </c>
      <c r="L3407" s="2" t="s">
        <v>1116</v>
      </c>
      <c r="M3407" s="2" t="s">
        <v>409</v>
      </c>
      <c r="N3407" s="2" t="s">
        <v>462</v>
      </c>
      <c r="O3407" s="3"/>
      <c r="P3407" s="2" t="s">
        <v>73</v>
      </c>
      <c r="Q3407" s="3">
        <v>800.0</v>
      </c>
      <c r="R3407" s="3">
        <v>0.5</v>
      </c>
      <c r="T3407" s="2" t="s">
        <v>11534</v>
      </c>
      <c r="U3407" s="171">
        <v>3348.0</v>
      </c>
      <c r="V3407" s="172">
        <v>46097.0</v>
      </c>
      <c r="W3407" s="3">
        <v>334.0</v>
      </c>
      <c r="X3407" s="172">
        <v>46095.62445394676</v>
      </c>
      <c r="Y3407" s="172">
        <v>46093.18542883101</v>
      </c>
      <c r="Z3407" s="3">
        <v>46093.0</v>
      </c>
    </row>
    <row r="3408">
      <c r="A3408" s="3">
        <v>6.948292395267E12</v>
      </c>
      <c r="B3408" s="2" t="s">
        <v>13904</v>
      </c>
      <c r="C3408" s="2" t="s">
        <v>13905</v>
      </c>
      <c r="D3408" s="169">
        <v>46093.0</v>
      </c>
      <c r="E3408" s="2">
        <v>3.224759741E9</v>
      </c>
      <c r="F3408" s="2" t="s">
        <v>13906</v>
      </c>
      <c r="G3408" s="2" t="s">
        <v>368</v>
      </c>
      <c r="H3408" s="2">
        <v>3348.0</v>
      </c>
      <c r="I3408" s="2">
        <v>2.5120050022579E13</v>
      </c>
      <c r="J3408" s="3">
        <v>2.0</v>
      </c>
      <c r="K3408" s="2" t="s">
        <v>11726</v>
      </c>
      <c r="L3408" s="2" t="s">
        <v>27</v>
      </c>
      <c r="M3408" s="2" t="s">
        <v>409</v>
      </c>
      <c r="N3408" s="2" t="s">
        <v>462</v>
      </c>
      <c r="O3408" s="3"/>
      <c r="P3408" s="2" t="s">
        <v>73</v>
      </c>
      <c r="Q3408" s="3">
        <v>720.0</v>
      </c>
      <c r="R3408" s="3">
        <v>0.5</v>
      </c>
      <c r="T3408" s="2" t="s">
        <v>11534</v>
      </c>
      <c r="U3408" s="171">
        <v>3348.0</v>
      </c>
      <c r="V3408" s="172">
        <v>46097.0</v>
      </c>
      <c r="W3408" s="3">
        <v>241.0</v>
      </c>
      <c r="X3408" s="172">
        <v>46095.624453958335</v>
      </c>
      <c r="Y3408" s="172">
        <v>46093.18542883101</v>
      </c>
      <c r="Z3408" s="3">
        <v>46093.0</v>
      </c>
    </row>
    <row r="3409">
      <c r="A3409" s="3">
        <v>6.948304617731E12</v>
      </c>
      <c r="B3409" s="2" t="s">
        <v>13907</v>
      </c>
      <c r="C3409" s="2" t="s">
        <v>10137</v>
      </c>
      <c r="D3409" s="169">
        <v>46093.0</v>
      </c>
      <c r="E3409" s="2">
        <v>3.022493737E9</v>
      </c>
      <c r="F3409" s="2" t="s">
        <v>13908</v>
      </c>
      <c r="G3409" s="2" t="s">
        <v>749</v>
      </c>
      <c r="H3409" s="2">
        <v>3348.0</v>
      </c>
      <c r="I3409" s="2" t="s">
        <v>13909</v>
      </c>
      <c r="J3409" s="3">
        <v>2.0</v>
      </c>
      <c r="K3409" s="2" t="s">
        <v>13910</v>
      </c>
      <c r="L3409" s="2" t="s">
        <v>27</v>
      </c>
      <c r="M3409" s="2" t="s">
        <v>409</v>
      </c>
      <c r="N3409" s="2" t="s">
        <v>406</v>
      </c>
      <c r="O3409" s="3"/>
      <c r="P3409" s="2" t="s">
        <v>640</v>
      </c>
      <c r="Q3409" s="3">
        <v>720.0</v>
      </c>
      <c r="R3409" s="3">
        <v>0.5</v>
      </c>
      <c r="U3409" s="141"/>
      <c r="X3409" s="172">
        <v>46111.77200388889</v>
      </c>
      <c r="Y3409" s="172">
        <v>46093.22710041667</v>
      </c>
      <c r="Z3409" s="3">
        <v>46093.0</v>
      </c>
    </row>
    <row r="3410">
      <c r="A3410" s="3">
        <v>6.948344398083E12</v>
      </c>
      <c r="B3410" s="2" t="s">
        <v>13911</v>
      </c>
      <c r="C3410" s="2" t="s">
        <v>5446</v>
      </c>
      <c r="D3410" s="169">
        <v>46093.0</v>
      </c>
      <c r="E3410" s="2">
        <v>3.000785668E9</v>
      </c>
      <c r="F3410" s="2" t="s">
        <v>13912</v>
      </c>
      <c r="G3410" s="2" t="s">
        <v>541</v>
      </c>
      <c r="H3410" s="2">
        <v>249.0</v>
      </c>
      <c r="I3410" s="2">
        <v>2.3120050022578E13</v>
      </c>
      <c r="J3410" s="3">
        <v>0.0</v>
      </c>
      <c r="K3410" s="2" t="s">
        <v>13913</v>
      </c>
      <c r="L3410" s="2"/>
      <c r="M3410" s="170" t="s">
        <v>455</v>
      </c>
      <c r="N3410" s="2" t="s">
        <v>406</v>
      </c>
      <c r="O3410" s="3"/>
      <c r="P3410" s="2" t="s">
        <v>73</v>
      </c>
      <c r="Q3410" s="3">
        <v>0.0</v>
      </c>
      <c r="R3410" s="3">
        <v>0.5</v>
      </c>
      <c r="U3410" s="141"/>
      <c r="W3410" s="3">
        <v>200.1</v>
      </c>
      <c r="X3410" s="172">
        <v>46112.91603226852</v>
      </c>
      <c r="Y3410" s="172">
        <v>46093.22710041667</v>
      </c>
      <c r="Z3410" s="3">
        <v>46093.0</v>
      </c>
    </row>
    <row r="3411">
      <c r="A3411" s="3">
        <v>6.948393255171E12</v>
      </c>
      <c r="B3411" s="2" t="s">
        <v>13914</v>
      </c>
      <c r="C3411" s="2" t="s">
        <v>13915</v>
      </c>
      <c r="D3411" s="169">
        <v>46093.0</v>
      </c>
      <c r="E3411" s="2">
        <v>3.353737231E9</v>
      </c>
      <c r="F3411" s="2" t="s">
        <v>13916</v>
      </c>
      <c r="G3411" s="2" t="s">
        <v>506</v>
      </c>
      <c r="H3411" s="2">
        <v>249.0</v>
      </c>
      <c r="I3411" s="2">
        <v>2.6120050022577E13</v>
      </c>
      <c r="J3411" s="3">
        <v>0.0</v>
      </c>
      <c r="K3411" s="2" t="s">
        <v>13743</v>
      </c>
      <c r="L3411" s="2"/>
      <c r="M3411" s="170" t="s">
        <v>455</v>
      </c>
      <c r="N3411" s="2" t="s">
        <v>406</v>
      </c>
      <c r="O3411" s="3"/>
      <c r="P3411" s="2" t="s">
        <v>73</v>
      </c>
      <c r="Q3411" s="3">
        <v>0.0</v>
      </c>
      <c r="R3411" s="3">
        <v>0.5</v>
      </c>
      <c r="U3411" s="141"/>
      <c r="W3411" s="3">
        <v>200.0</v>
      </c>
      <c r="X3411" s="172">
        <v>46110.58263870371</v>
      </c>
      <c r="Y3411" s="172">
        <v>46093.26874846064</v>
      </c>
      <c r="Z3411" s="3">
        <v>46093.0</v>
      </c>
    </row>
    <row r="3412">
      <c r="A3412" s="3">
        <v>6.948394238211E12</v>
      </c>
      <c r="B3412" s="2" t="s">
        <v>13917</v>
      </c>
      <c r="C3412" s="2" t="s">
        <v>13918</v>
      </c>
      <c r="D3412" s="169">
        <v>46093.0</v>
      </c>
      <c r="E3412" s="2">
        <v>3.222223297E9</v>
      </c>
      <c r="F3412" s="2" t="s">
        <v>13919</v>
      </c>
      <c r="G3412" s="2" t="s">
        <v>368</v>
      </c>
      <c r="H3412" s="2">
        <v>3348.0</v>
      </c>
      <c r="I3412" s="2">
        <v>2.9120050022576E13</v>
      </c>
      <c r="J3412" s="3">
        <v>2.0</v>
      </c>
      <c r="K3412" s="2" t="s">
        <v>12223</v>
      </c>
      <c r="L3412" s="2" t="s">
        <v>296</v>
      </c>
      <c r="M3412" s="2" t="s">
        <v>409</v>
      </c>
      <c r="N3412" s="2" t="s">
        <v>462</v>
      </c>
      <c r="O3412" s="3"/>
      <c r="P3412" s="2" t="s">
        <v>73</v>
      </c>
      <c r="Q3412" s="3">
        <v>720.0</v>
      </c>
      <c r="R3412" s="3">
        <v>0.5</v>
      </c>
      <c r="T3412" s="2" t="s">
        <v>11534</v>
      </c>
      <c r="U3412" s="171">
        <v>3348.0</v>
      </c>
      <c r="V3412" s="172">
        <v>46097.0</v>
      </c>
      <c r="W3412" s="3">
        <v>241.0</v>
      </c>
      <c r="X3412" s="172">
        <v>46096.582741990744</v>
      </c>
      <c r="Y3412" s="172">
        <v>46093.26874846064</v>
      </c>
      <c r="Z3412" s="3">
        <v>46093.0</v>
      </c>
    </row>
    <row r="3413">
      <c r="A3413" s="3">
        <v>6.948434870531E12</v>
      </c>
      <c r="B3413" s="2" t="s">
        <v>13920</v>
      </c>
      <c r="C3413" s="2" t="s">
        <v>13921</v>
      </c>
      <c r="D3413" s="169">
        <v>46093.0</v>
      </c>
      <c r="E3413" s="173" t="s">
        <v>13922</v>
      </c>
      <c r="F3413" s="2" t="s">
        <v>13923</v>
      </c>
      <c r="G3413" s="2" t="s">
        <v>2074</v>
      </c>
      <c r="H3413" s="2">
        <v>3348.0</v>
      </c>
      <c r="I3413" s="2">
        <v>2.8120050022575E13</v>
      </c>
      <c r="J3413" s="3">
        <v>2.0</v>
      </c>
      <c r="K3413" s="2" t="s">
        <v>12223</v>
      </c>
      <c r="L3413" s="2" t="s">
        <v>275</v>
      </c>
      <c r="M3413" s="2" t="s">
        <v>409</v>
      </c>
      <c r="N3413" s="2" t="s">
        <v>462</v>
      </c>
      <c r="O3413" s="3"/>
      <c r="P3413" s="2" t="s">
        <v>73</v>
      </c>
      <c r="Q3413" s="3">
        <v>800.0</v>
      </c>
      <c r="R3413" s="3">
        <v>0.5</v>
      </c>
      <c r="T3413" s="2" t="s">
        <v>11534</v>
      </c>
      <c r="U3413" s="171">
        <v>3348.0</v>
      </c>
      <c r="V3413" s="172">
        <v>46097.0</v>
      </c>
      <c r="W3413" s="3">
        <v>241.0</v>
      </c>
      <c r="X3413" s="172">
        <v>46096.707782673606</v>
      </c>
      <c r="Y3413" s="172">
        <v>46093.310437210646</v>
      </c>
      <c r="Z3413" s="3">
        <v>46093.0</v>
      </c>
    </row>
    <row r="3414">
      <c r="A3414" s="3">
        <v>6.948445323523E12</v>
      </c>
      <c r="B3414" s="2" t="s">
        <v>13924</v>
      </c>
      <c r="C3414" s="2" t="s">
        <v>11384</v>
      </c>
      <c r="D3414" s="169">
        <v>46093.0</v>
      </c>
      <c r="E3414" s="2">
        <v>3.062827276E9</v>
      </c>
      <c r="F3414" s="2" t="s">
        <v>13925</v>
      </c>
      <c r="G3414" s="2" t="s">
        <v>493</v>
      </c>
      <c r="H3414" s="2">
        <v>3949.0</v>
      </c>
      <c r="I3414" s="2">
        <v>2.8120050022543E13</v>
      </c>
      <c r="J3414" s="3">
        <v>2.0</v>
      </c>
      <c r="K3414" s="2" t="s">
        <v>13926</v>
      </c>
      <c r="L3414" s="2" t="s">
        <v>13927</v>
      </c>
      <c r="M3414" s="2" t="s">
        <v>409</v>
      </c>
      <c r="N3414" s="2" t="s">
        <v>462</v>
      </c>
      <c r="O3414" s="3"/>
      <c r="P3414" s="2" t="s">
        <v>73</v>
      </c>
      <c r="Q3414" s="3">
        <v>1490.0</v>
      </c>
      <c r="R3414" s="3">
        <v>0.5</v>
      </c>
      <c r="T3414" s="2" t="s">
        <v>12177</v>
      </c>
      <c r="U3414" s="171">
        <v>3949.0</v>
      </c>
      <c r="V3414" s="172">
        <v>46105.0</v>
      </c>
      <c r="W3414" s="3">
        <v>371.0</v>
      </c>
      <c r="X3414" s="172">
        <v>46097.624419837965</v>
      </c>
      <c r="Y3414" s="172">
        <v>46093.310437210646</v>
      </c>
      <c r="Z3414" s="3">
        <v>46093.0</v>
      </c>
    </row>
    <row r="3415">
      <c r="A3415" s="3">
        <v>6.948465541379E12</v>
      </c>
      <c r="B3415" s="2" t="s">
        <v>13928</v>
      </c>
      <c r="C3415" s="2" t="s">
        <v>13929</v>
      </c>
      <c r="D3415" s="169">
        <v>46093.0</v>
      </c>
      <c r="E3415" s="2">
        <v>3.117329004E9</v>
      </c>
      <c r="F3415" s="175" t="s">
        <v>13930</v>
      </c>
      <c r="G3415" s="2" t="s">
        <v>3305</v>
      </c>
      <c r="H3415" s="2">
        <v>249.0</v>
      </c>
      <c r="I3415" s="2">
        <v>2.5120050022574E13</v>
      </c>
      <c r="J3415" s="3">
        <v>0.0</v>
      </c>
      <c r="K3415" s="2" t="s">
        <v>12763</v>
      </c>
      <c r="L3415" s="2"/>
      <c r="M3415" s="170" t="s">
        <v>455</v>
      </c>
      <c r="N3415" s="2" t="s">
        <v>406</v>
      </c>
      <c r="O3415" s="3"/>
      <c r="P3415" s="2" t="s">
        <v>73</v>
      </c>
      <c r="Q3415" s="3">
        <v>0.0</v>
      </c>
      <c r="R3415" s="3">
        <v>0.5</v>
      </c>
      <c r="U3415" s="141"/>
      <c r="W3415" s="3">
        <v>200.0</v>
      </c>
      <c r="X3415" s="172">
        <v>46109.832611412035</v>
      </c>
      <c r="Y3415" s="172">
        <v>46093.352084328704</v>
      </c>
      <c r="Z3415" s="3">
        <v>46093.0</v>
      </c>
    </row>
    <row r="3416">
      <c r="A3416" s="3">
        <v>6.948518723843E12</v>
      </c>
      <c r="B3416" s="2" t="s">
        <v>13931</v>
      </c>
      <c r="C3416" s="2" t="s">
        <v>13932</v>
      </c>
      <c r="D3416" s="169">
        <v>46093.0</v>
      </c>
      <c r="E3416" s="2">
        <v>3.0240057E9</v>
      </c>
      <c r="F3416" s="2" t="s">
        <v>13933</v>
      </c>
      <c r="G3416" s="2" t="s">
        <v>368</v>
      </c>
      <c r="H3416" s="2">
        <v>249.0</v>
      </c>
      <c r="I3416" s="2">
        <v>2.2120050022573E13</v>
      </c>
      <c r="J3416" s="3">
        <v>0.0</v>
      </c>
      <c r="K3416" s="2" t="s">
        <v>13805</v>
      </c>
      <c r="L3416" s="2"/>
      <c r="M3416" s="170" t="s">
        <v>455</v>
      </c>
      <c r="N3416" s="2" t="s">
        <v>406</v>
      </c>
      <c r="O3416" s="3"/>
      <c r="P3416" s="2" t="s">
        <v>73</v>
      </c>
      <c r="Q3416" s="3">
        <v>0.0</v>
      </c>
      <c r="R3416" s="3">
        <v>0.5</v>
      </c>
      <c r="U3416" s="141"/>
      <c r="W3416" s="3">
        <v>120.0</v>
      </c>
      <c r="X3416" s="172">
        <v>46109.83261143518</v>
      </c>
      <c r="Y3416" s="172">
        <v>46093.39374706018</v>
      </c>
      <c r="Z3416" s="3">
        <v>46093.0</v>
      </c>
    </row>
    <row r="3417">
      <c r="A3417" s="3">
        <v>6.948523016451E12</v>
      </c>
      <c r="B3417" s="2" t="s">
        <v>13934</v>
      </c>
      <c r="C3417" s="2" t="s">
        <v>13935</v>
      </c>
      <c r="D3417" s="169">
        <v>46093.0</v>
      </c>
      <c r="E3417" s="2">
        <v>3.084994049E9</v>
      </c>
      <c r="F3417" s="2" t="s">
        <v>13936</v>
      </c>
      <c r="G3417" s="2" t="s">
        <v>1133</v>
      </c>
      <c r="H3417" s="2">
        <v>3348.0</v>
      </c>
      <c r="I3417" s="2">
        <v>2.3120050022542E13</v>
      </c>
      <c r="J3417" s="3">
        <v>2.0</v>
      </c>
      <c r="K3417" s="2" t="s">
        <v>13072</v>
      </c>
      <c r="L3417" s="2" t="s">
        <v>50</v>
      </c>
      <c r="M3417" s="2" t="s">
        <v>409</v>
      </c>
      <c r="N3417" s="2" t="s">
        <v>462</v>
      </c>
      <c r="O3417" s="3"/>
      <c r="P3417" s="2" t="s">
        <v>73</v>
      </c>
      <c r="Q3417" s="3">
        <v>720.0</v>
      </c>
      <c r="R3417" s="3">
        <v>0.5</v>
      </c>
      <c r="T3417" s="2" t="s">
        <v>12177</v>
      </c>
      <c r="U3417" s="171">
        <v>3348.0</v>
      </c>
      <c r="V3417" s="172">
        <v>46105.0</v>
      </c>
      <c r="W3417" s="3">
        <v>347.0</v>
      </c>
      <c r="X3417" s="172">
        <v>46097.66616748842</v>
      </c>
      <c r="Y3417" s="172">
        <v>46093.39374706018</v>
      </c>
      <c r="Z3417" s="3">
        <v>46093.0</v>
      </c>
    </row>
    <row r="3418">
      <c r="A3418" s="3">
        <v>6.948533141763E12</v>
      </c>
      <c r="B3418" s="2" t="s">
        <v>13937</v>
      </c>
      <c r="C3418" s="2" t="s">
        <v>1436</v>
      </c>
      <c r="D3418" s="169">
        <v>46093.0</v>
      </c>
      <c r="E3418" s="2">
        <v>3.215045524E9</v>
      </c>
      <c r="F3418" s="2" t="s">
        <v>13938</v>
      </c>
      <c r="G3418" s="2" t="s">
        <v>368</v>
      </c>
      <c r="H3418" s="2">
        <v>3348.0</v>
      </c>
      <c r="I3418" s="2">
        <v>2.1120050022565E13</v>
      </c>
      <c r="J3418" s="3">
        <v>2.0</v>
      </c>
      <c r="K3418" s="2" t="s">
        <v>12223</v>
      </c>
      <c r="L3418" s="2" t="s">
        <v>1258</v>
      </c>
      <c r="M3418" s="2" t="s">
        <v>409</v>
      </c>
      <c r="N3418" s="2" t="s">
        <v>462</v>
      </c>
      <c r="O3418" s="3"/>
      <c r="P3418" s="2" t="s">
        <v>73</v>
      </c>
      <c r="Q3418" s="3">
        <v>800.0</v>
      </c>
      <c r="R3418" s="3">
        <v>0.5</v>
      </c>
      <c r="T3418" s="2" t="s">
        <v>11534</v>
      </c>
      <c r="U3418" s="171">
        <v>3348.0</v>
      </c>
      <c r="V3418" s="172">
        <v>46097.0</v>
      </c>
      <c r="W3418" s="3">
        <v>241.0</v>
      </c>
      <c r="X3418" s="172">
        <v>46094.58278949074</v>
      </c>
      <c r="Y3418" s="172">
        <v>46093.39374706018</v>
      </c>
      <c r="Z3418" s="3">
        <v>46093.0</v>
      </c>
    </row>
    <row r="3419">
      <c r="A3419" s="3">
        <v>6.948538089731E12</v>
      </c>
      <c r="B3419" s="2" t="s">
        <v>13939</v>
      </c>
      <c r="C3419" s="2" t="s">
        <v>13561</v>
      </c>
      <c r="D3419" s="169">
        <v>46093.0</v>
      </c>
      <c r="E3419" s="2">
        <v>3.204773911E9</v>
      </c>
      <c r="F3419" s="2" t="s">
        <v>13562</v>
      </c>
      <c r="G3419" s="2" t="s">
        <v>368</v>
      </c>
      <c r="H3419" s="2">
        <v>0.0</v>
      </c>
      <c r="J3419" s="3">
        <v>0.0</v>
      </c>
      <c r="K3419" s="2" t="s">
        <v>7809</v>
      </c>
      <c r="L3419" s="2"/>
      <c r="M3419" s="2" t="s">
        <v>468</v>
      </c>
      <c r="N3419" s="2" t="s">
        <v>406</v>
      </c>
      <c r="O3419" s="3"/>
      <c r="Q3419" s="3">
        <v>0.0</v>
      </c>
      <c r="R3419" s="3">
        <v>0.5</v>
      </c>
      <c r="U3419" s="141"/>
      <c r="X3419" s="172"/>
      <c r="Y3419" s="172">
        <v>46093.39374706018</v>
      </c>
      <c r="Z3419" s="3">
        <v>46093.0</v>
      </c>
    </row>
    <row r="3420">
      <c r="A3420" s="3">
        <v>6.948548870403E12</v>
      </c>
      <c r="B3420" s="2" t="s">
        <v>13940</v>
      </c>
      <c r="C3420" s="2" t="s">
        <v>13941</v>
      </c>
      <c r="D3420" s="169">
        <v>46093.0</v>
      </c>
      <c r="E3420" s="2">
        <v>3.295431455E9</v>
      </c>
      <c r="F3420" s="2" t="s">
        <v>13942</v>
      </c>
      <c r="G3420" s="2" t="s">
        <v>13943</v>
      </c>
      <c r="H3420" s="2">
        <v>249.0</v>
      </c>
      <c r="I3420" s="2">
        <v>2.7120050022572E13</v>
      </c>
      <c r="J3420" s="3">
        <v>0.0</v>
      </c>
      <c r="K3420" s="2" t="s">
        <v>11849</v>
      </c>
      <c r="L3420" s="2"/>
      <c r="M3420" s="170" t="s">
        <v>455</v>
      </c>
      <c r="N3420" s="2" t="s">
        <v>406</v>
      </c>
      <c r="O3420" s="3"/>
      <c r="P3420" s="2" t="s">
        <v>73</v>
      </c>
      <c r="Q3420" s="3">
        <v>0.0</v>
      </c>
      <c r="R3420" s="3">
        <v>0.5</v>
      </c>
      <c r="U3420" s="141"/>
      <c r="W3420" s="3">
        <v>213.0</v>
      </c>
      <c r="X3420" s="172">
        <v>46110.58263871528</v>
      </c>
      <c r="Y3420" s="172">
        <v>46093.39374706018</v>
      </c>
      <c r="Z3420" s="3">
        <v>46093.0</v>
      </c>
    </row>
    <row r="3421">
      <c r="A3421" s="3">
        <v>6.948553326851E12</v>
      </c>
      <c r="B3421" s="2" t="s">
        <v>13944</v>
      </c>
      <c r="C3421" s="2" t="s">
        <v>13945</v>
      </c>
      <c r="D3421" s="169">
        <v>46093.0</v>
      </c>
      <c r="E3421" s="2">
        <v>3.480867108E9</v>
      </c>
      <c r="F3421" s="2" t="s">
        <v>13946</v>
      </c>
      <c r="G3421" s="2" t="s">
        <v>13947</v>
      </c>
      <c r="H3421" s="2">
        <v>1449.0</v>
      </c>
      <c r="I3421" s="2">
        <v>2.3120050022541E13</v>
      </c>
      <c r="J3421" s="3">
        <v>1.0</v>
      </c>
      <c r="K3421" s="2" t="s">
        <v>13324</v>
      </c>
      <c r="L3421" s="2" t="s">
        <v>4808</v>
      </c>
      <c r="M3421" s="2" t="s">
        <v>409</v>
      </c>
      <c r="N3421" s="2" t="s">
        <v>462</v>
      </c>
      <c r="O3421" s="3"/>
      <c r="P3421" s="2" t="s">
        <v>73</v>
      </c>
      <c r="Q3421" s="3">
        <v>550.0</v>
      </c>
      <c r="R3421" s="3">
        <v>0.5</v>
      </c>
      <c r="T3421" s="2" t="s">
        <v>12177</v>
      </c>
      <c r="U3421" s="171">
        <v>1449.0</v>
      </c>
      <c r="V3421" s="172">
        <v>46105.0</v>
      </c>
      <c r="W3421" s="3">
        <v>271.0</v>
      </c>
      <c r="X3421" s="172">
        <v>46098.521013668986</v>
      </c>
      <c r="Y3421" s="172">
        <v>46093.39374706018</v>
      </c>
      <c r="Z3421" s="3">
        <v>46093.0</v>
      </c>
    </row>
    <row r="3422">
      <c r="A3422" s="3">
        <v>6.948583964931E12</v>
      </c>
      <c r="B3422" s="2" t="s">
        <v>13948</v>
      </c>
      <c r="C3422" s="2" t="s">
        <v>13949</v>
      </c>
      <c r="D3422" s="169">
        <v>46093.0</v>
      </c>
      <c r="E3422" s="2">
        <v>3.344440016E9</v>
      </c>
      <c r="F3422" s="2" t="s">
        <v>13950</v>
      </c>
      <c r="G3422" s="2" t="s">
        <v>366</v>
      </c>
      <c r="H3422" s="2">
        <v>3348.0</v>
      </c>
      <c r="I3422" s="2">
        <v>2.512005002254E13</v>
      </c>
      <c r="J3422" s="3">
        <v>2.0</v>
      </c>
      <c r="K3422" s="2" t="s">
        <v>12223</v>
      </c>
      <c r="L3422" s="2" t="s">
        <v>296</v>
      </c>
      <c r="M3422" s="2" t="s">
        <v>409</v>
      </c>
      <c r="N3422" s="2" t="s">
        <v>462</v>
      </c>
      <c r="O3422" s="3"/>
      <c r="P3422" s="2" t="s">
        <v>73</v>
      </c>
      <c r="Q3422" s="3">
        <v>720.0</v>
      </c>
      <c r="R3422" s="3">
        <v>0.5</v>
      </c>
      <c r="T3422" s="2" t="s">
        <v>11534</v>
      </c>
      <c r="U3422" s="171">
        <v>3348.0</v>
      </c>
      <c r="V3422" s="172">
        <v>46097.0</v>
      </c>
      <c r="W3422" s="3">
        <v>334.0</v>
      </c>
      <c r="X3422" s="172">
        <v>46095.74941881944</v>
      </c>
      <c r="Y3422" s="172">
        <v>46093.43541053241</v>
      </c>
      <c r="Z3422" s="3">
        <v>46093.0</v>
      </c>
    </row>
    <row r="3423">
      <c r="A3423" s="3">
        <v>6.948603494659E12</v>
      </c>
      <c r="B3423" s="2" t="s">
        <v>13951</v>
      </c>
      <c r="C3423" s="2" t="s">
        <v>13952</v>
      </c>
      <c r="D3423" s="169">
        <v>46093.0</v>
      </c>
      <c r="E3423" s="2">
        <v>3.028000614E9</v>
      </c>
      <c r="F3423" s="2" t="s">
        <v>13953</v>
      </c>
      <c r="G3423" s="2" t="s">
        <v>368</v>
      </c>
      <c r="H3423" s="2">
        <v>249.0</v>
      </c>
      <c r="I3423" s="2">
        <v>2.0120050022539E13</v>
      </c>
      <c r="J3423" s="3">
        <v>0.0</v>
      </c>
      <c r="K3423" s="2" t="s">
        <v>13954</v>
      </c>
      <c r="L3423" s="2"/>
      <c r="M3423" s="170" t="s">
        <v>455</v>
      </c>
      <c r="N3423" s="2" t="s">
        <v>406</v>
      </c>
      <c r="O3423" s="3"/>
      <c r="P3423" s="2" t="s">
        <v>73</v>
      </c>
      <c r="Q3423" s="3">
        <v>0.0</v>
      </c>
      <c r="R3423" s="3">
        <v>0.5</v>
      </c>
      <c r="U3423" s="141"/>
      <c r="W3423" s="3">
        <v>106.72</v>
      </c>
      <c r="X3423" s="172">
        <v>46107.87444829861</v>
      </c>
      <c r="Y3423" s="172">
        <v>46093.43541053241</v>
      </c>
      <c r="Z3423" s="3">
        <v>46093.0</v>
      </c>
    </row>
    <row r="3424">
      <c r="A3424" s="3">
        <v>6.948645175555E12</v>
      </c>
      <c r="B3424" s="2" t="s">
        <v>13955</v>
      </c>
      <c r="C3424" s="2" t="s">
        <v>3811</v>
      </c>
      <c r="D3424" s="169">
        <v>46093.0</v>
      </c>
      <c r="E3424" s="2">
        <v>3.004646116E9</v>
      </c>
      <c r="F3424" s="2" t="s">
        <v>13956</v>
      </c>
      <c r="G3424" s="2" t="s">
        <v>13957</v>
      </c>
      <c r="H3424" s="2">
        <v>249.0</v>
      </c>
      <c r="I3424" s="2">
        <v>2.3120050022538E13</v>
      </c>
      <c r="J3424" s="3">
        <v>0.0</v>
      </c>
      <c r="K3424" s="2" t="s">
        <v>13958</v>
      </c>
      <c r="L3424" s="2"/>
      <c r="M3424" s="170" t="s">
        <v>455</v>
      </c>
      <c r="N3424" s="2" t="s">
        <v>406</v>
      </c>
      <c r="O3424" s="3"/>
      <c r="P3424" s="2" t="s">
        <v>73</v>
      </c>
      <c r="Q3424" s="3">
        <v>0.0</v>
      </c>
      <c r="R3424" s="3">
        <v>0.5</v>
      </c>
      <c r="U3424" s="141"/>
      <c r="W3424" s="3">
        <v>200.0</v>
      </c>
      <c r="X3424" s="172">
        <v>46109.83261146991</v>
      </c>
      <c r="Y3424" s="172">
        <v>46093.47707547454</v>
      </c>
      <c r="Z3424" s="3">
        <v>46093.0</v>
      </c>
    </row>
    <row r="3425">
      <c r="A3425" s="3">
        <v>6.948655792387E12</v>
      </c>
      <c r="B3425" s="2" t="s">
        <v>13959</v>
      </c>
      <c r="C3425" s="2" t="s">
        <v>13960</v>
      </c>
      <c r="D3425" s="169">
        <v>46093.0</v>
      </c>
      <c r="E3425" s="2">
        <v>3.219393433E9</v>
      </c>
      <c r="F3425" s="2" t="s">
        <v>13961</v>
      </c>
      <c r="G3425" s="2" t="s">
        <v>688</v>
      </c>
      <c r="H3425" s="2">
        <v>7848.0</v>
      </c>
      <c r="I3425" s="2">
        <v>2.0120050022564E13</v>
      </c>
      <c r="J3425" s="3">
        <v>5.0</v>
      </c>
      <c r="K3425" s="2" t="s">
        <v>13962</v>
      </c>
      <c r="L3425" s="2" t="s">
        <v>13963</v>
      </c>
      <c r="M3425" s="2" t="s">
        <v>409</v>
      </c>
      <c r="N3425" s="2" t="s">
        <v>462</v>
      </c>
      <c r="O3425" s="3"/>
      <c r="P3425" s="2" t="s">
        <v>73</v>
      </c>
      <c r="Q3425" s="3">
        <v>2150.0</v>
      </c>
      <c r="R3425" s="3">
        <v>0.5</v>
      </c>
      <c r="T3425" s="2" t="s">
        <v>11534</v>
      </c>
      <c r="U3425" s="171">
        <v>7848.0</v>
      </c>
      <c r="V3425" s="172">
        <v>46097.0</v>
      </c>
      <c r="W3425" s="3">
        <v>627.0</v>
      </c>
      <c r="X3425" s="172">
        <v>46095.666064282406</v>
      </c>
      <c r="Y3425" s="172">
        <v>46093.47707547454</v>
      </c>
      <c r="Z3425" s="3">
        <v>46093.0</v>
      </c>
    </row>
    <row r="3426">
      <c r="A3426" s="3">
        <v>6.948657430787E12</v>
      </c>
      <c r="B3426" s="2" t="s">
        <v>13964</v>
      </c>
      <c r="C3426" s="2" t="s">
        <v>13965</v>
      </c>
      <c r="D3426" s="169">
        <v>46093.0</v>
      </c>
      <c r="E3426" s="2">
        <v>3.15544851E9</v>
      </c>
      <c r="F3426" s="2" t="s">
        <v>13966</v>
      </c>
      <c r="G3426" s="2" t="s">
        <v>493</v>
      </c>
      <c r="H3426" s="2">
        <v>3348.0</v>
      </c>
      <c r="I3426" s="2">
        <v>2.1120050022537E13</v>
      </c>
      <c r="J3426" s="3">
        <v>2.0</v>
      </c>
      <c r="K3426" s="2" t="s">
        <v>12223</v>
      </c>
      <c r="L3426" s="2" t="s">
        <v>1116</v>
      </c>
      <c r="M3426" s="2" t="s">
        <v>409</v>
      </c>
      <c r="N3426" s="2" t="s">
        <v>462</v>
      </c>
      <c r="O3426" s="3"/>
      <c r="P3426" s="2" t="s">
        <v>73</v>
      </c>
      <c r="Q3426" s="3">
        <v>800.0</v>
      </c>
      <c r="R3426" s="3">
        <v>0.5</v>
      </c>
      <c r="T3426" s="2" t="s">
        <v>11534</v>
      </c>
      <c r="U3426" s="171">
        <v>3348.0</v>
      </c>
      <c r="V3426" s="172">
        <v>46097.0</v>
      </c>
      <c r="W3426" s="3">
        <v>347.0</v>
      </c>
      <c r="X3426" s="172">
        <v>46096.54101561343</v>
      </c>
      <c r="Y3426" s="172">
        <v>46093.47707547454</v>
      </c>
      <c r="Z3426" s="3">
        <v>46093.0</v>
      </c>
    </row>
    <row r="3427">
      <c r="A3427" s="3">
        <v>6.948672766211E12</v>
      </c>
      <c r="B3427" s="2" t="s">
        <v>13967</v>
      </c>
      <c r="C3427" s="2" t="s">
        <v>13968</v>
      </c>
      <c r="D3427" s="169">
        <v>46093.0</v>
      </c>
      <c r="E3427" s="2">
        <v>3.353450911E9</v>
      </c>
      <c r="F3427" s="2" t="s">
        <v>13969</v>
      </c>
      <c r="G3427" s="2" t="s">
        <v>493</v>
      </c>
      <c r="H3427" s="2">
        <v>249.0</v>
      </c>
      <c r="I3427" s="2">
        <v>2.3120050022563E13</v>
      </c>
      <c r="J3427" s="3">
        <v>0.0</v>
      </c>
      <c r="K3427" s="2" t="s">
        <v>13970</v>
      </c>
      <c r="L3427" s="2"/>
      <c r="M3427" s="170" t="s">
        <v>455</v>
      </c>
      <c r="N3427" s="2" t="s">
        <v>406</v>
      </c>
      <c r="O3427" s="3"/>
      <c r="P3427" s="2" t="s">
        <v>73</v>
      </c>
      <c r="Q3427" s="3">
        <v>0.0</v>
      </c>
      <c r="R3427" s="3">
        <v>0.5</v>
      </c>
      <c r="U3427" s="141"/>
      <c r="W3427" s="3">
        <v>213.0</v>
      </c>
      <c r="X3427" s="172">
        <v>46109.832611481484</v>
      </c>
      <c r="Y3427" s="172">
        <v>46093.51874699074</v>
      </c>
      <c r="Z3427" s="3">
        <v>46093.0</v>
      </c>
    </row>
    <row r="3428">
      <c r="A3428" s="3">
        <v>6.948695900419E12</v>
      </c>
      <c r="B3428" s="2" t="s">
        <v>13971</v>
      </c>
      <c r="C3428" s="2" t="s">
        <v>13972</v>
      </c>
      <c r="D3428" s="169">
        <v>46093.0</v>
      </c>
      <c r="E3428" s="2">
        <v>3.193666085E9</v>
      </c>
      <c r="F3428" s="2" t="s">
        <v>13973</v>
      </c>
      <c r="G3428" s="2" t="s">
        <v>493</v>
      </c>
      <c r="H3428" s="2">
        <v>3348.0</v>
      </c>
      <c r="I3428" s="2">
        <v>2.0120050022536E13</v>
      </c>
      <c r="J3428" s="3">
        <v>2.0</v>
      </c>
      <c r="K3428" s="2" t="s">
        <v>13974</v>
      </c>
      <c r="L3428" s="2" t="s">
        <v>275</v>
      </c>
      <c r="M3428" s="2" t="s">
        <v>409</v>
      </c>
      <c r="N3428" s="2" t="s">
        <v>462</v>
      </c>
      <c r="O3428" s="3"/>
      <c r="P3428" s="2" t="s">
        <v>73</v>
      </c>
      <c r="Q3428" s="3">
        <v>800.0</v>
      </c>
      <c r="R3428" s="3">
        <v>0.5</v>
      </c>
      <c r="T3428" s="2" t="s">
        <v>11534</v>
      </c>
      <c r="U3428" s="171">
        <v>3348.0</v>
      </c>
      <c r="V3428" s="172">
        <v>46097.0</v>
      </c>
      <c r="W3428" s="3">
        <v>347.0</v>
      </c>
      <c r="X3428" s="172">
        <v>46096.77096917824</v>
      </c>
      <c r="Y3428" s="172">
        <v>46093.51874699074</v>
      </c>
      <c r="Z3428" s="3">
        <v>46093.0</v>
      </c>
    </row>
    <row r="3429">
      <c r="A3429" s="3">
        <v>6.948755734787E12</v>
      </c>
      <c r="B3429" s="2" t="s">
        <v>13975</v>
      </c>
      <c r="C3429" s="2" t="s">
        <v>13976</v>
      </c>
      <c r="D3429" s="169">
        <v>46093.0</v>
      </c>
      <c r="E3429" s="2">
        <v>3.32980709E9</v>
      </c>
      <c r="F3429" s="2" t="s">
        <v>13977</v>
      </c>
      <c r="G3429" s="2" t="s">
        <v>13978</v>
      </c>
      <c r="H3429" s="2">
        <v>3348.0</v>
      </c>
      <c r="I3429" s="2">
        <v>1.73011806283E11</v>
      </c>
      <c r="J3429" s="3">
        <v>2.0</v>
      </c>
      <c r="K3429" s="2" t="s">
        <v>7745</v>
      </c>
      <c r="L3429" s="2" t="s">
        <v>296</v>
      </c>
      <c r="M3429" s="2" t="s">
        <v>409</v>
      </c>
      <c r="N3429" s="2" t="s">
        <v>406</v>
      </c>
      <c r="O3429" s="3"/>
      <c r="P3429" s="2" t="s">
        <v>501</v>
      </c>
      <c r="Q3429" s="3">
        <v>720.0</v>
      </c>
      <c r="R3429" s="3">
        <v>0.5</v>
      </c>
      <c r="U3429" s="141"/>
      <c r="X3429" s="172">
        <v>46106.75134412037</v>
      </c>
      <c r="Y3429" s="172">
        <v>46093.56044298611</v>
      </c>
      <c r="Z3429" s="3">
        <v>46093.0</v>
      </c>
    </row>
    <row r="3430">
      <c r="A3430" s="3">
        <v>6.948773822723E12</v>
      </c>
      <c r="B3430" s="2" t="s">
        <v>13979</v>
      </c>
      <c r="C3430" s="2" t="s">
        <v>13980</v>
      </c>
      <c r="D3430" s="169">
        <v>46093.0</v>
      </c>
      <c r="E3430" s="2">
        <v>3.332612217E9</v>
      </c>
      <c r="F3430" s="2" t="s">
        <v>13981</v>
      </c>
      <c r="G3430" s="2" t="s">
        <v>493</v>
      </c>
      <c r="H3430" s="2">
        <v>3248.0</v>
      </c>
      <c r="I3430" s="2">
        <v>2.6120050022562E13</v>
      </c>
      <c r="J3430" s="3">
        <v>2.0</v>
      </c>
      <c r="K3430" s="2" t="s">
        <v>13982</v>
      </c>
      <c r="L3430" s="2" t="s">
        <v>16</v>
      </c>
      <c r="M3430" s="2" t="s">
        <v>409</v>
      </c>
      <c r="N3430" s="2" t="s">
        <v>462</v>
      </c>
      <c r="O3430" s="3"/>
      <c r="P3430" s="2" t="s">
        <v>73</v>
      </c>
      <c r="Q3430" s="3">
        <v>980.0</v>
      </c>
      <c r="R3430" s="3">
        <v>0.5</v>
      </c>
      <c r="T3430" s="2" t="s">
        <v>12177</v>
      </c>
      <c r="U3430" s="171">
        <v>3248.0</v>
      </c>
      <c r="V3430" s="172">
        <v>46105.0</v>
      </c>
      <c r="W3430" s="3">
        <v>343.0</v>
      </c>
      <c r="X3430" s="172">
        <v>46099.62440237269</v>
      </c>
      <c r="Y3430" s="172">
        <v>46093.60208081019</v>
      </c>
      <c r="Z3430" s="3">
        <v>46093.0</v>
      </c>
    </row>
    <row r="3431">
      <c r="A3431" s="3">
        <v>6.948788961539E12</v>
      </c>
      <c r="B3431" s="2" t="s">
        <v>13983</v>
      </c>
      <c r="C3431" s="2" t="s">
        <v>13984</v>
      </c>
      <c r="D3431" s="169">
        <v>46093.0</v>
      </c>
      <c r="E3431" s="2">
        <v>3.423335409E9</v>
      </c>
      <c r="F3431" s="2" t="s">
        <v>13985</v>
      </c>
      <c r="G3431" s="2" t="s">
        <v>461</v>
      </c>
      <c r="H3431" s="2">
        <v>249.0</v>
      </c>
      <c r="I3431" s="2">
        <v>2.6120050022571E13</v>
      </c>
      <c r="J3431" s="3">
        <v>0.0</v>
      </c>
      <c r="K3431" s="2" t="s">
        <v>12763</v>
      </c>
      <c r="L3431" s="2"/>
      <c r="M3431" s="170" t="s">
        <v>455</v>
      </c>
      <c r="N3431" s="2" t="s">
        <v>406</v>
      </c>
      <c r="O3431" s="3"/>
      <c r="P3431" s="2" t="s">
        <v>73</v>
      </c>
      <c r="Q3431" s="3">
        <v>0.0</v>
      </c>
      <c r="R3431" s="3">
        <v>0.5</v>
      </c>
      <c r="U3431" s="141"/>
      <c r="W3431" s="3">
        <v>200.0</v>
      </c>
      <c r="X3431" s="172">
        <v>46109.832611481484</v>
      </c>
      <c r="Y3431" s="172">
        <v>46093.60208081019</v>
      </c>
      <c r="Z3431" s="3">
        <v>46093.0</v>
      </c>
    </row>
    <row r="3432">
      <c r="A3432" s="3">
        <v>6.948820156675E12</v>
      </c>
      <c r="B3432" s="2" t="s">
        <v>13986</v>
      </c>
      <c r="C3432" s="2" t="s">
        <v>13987</v>
      </c>
      <c r="D3432" s="169">
        <v>46093.0</v>
      </c>
      <c r="E3432" s="2">
        <v>3.060717536E9</v>
      </c>
      <c r="F3432" s="2" t="s">
        <v>13988</v>
      </c>
      <c r="G3432" s="2" t="s">
        <v>541</v>
      </c>
      <c r="H3432" s="2">
        <v>249.0</v>
      </c>
      <c r="I3432" s="2">
        <v>2.6120050022634E13</v>
      </c>
      <c r="J3432" s="3">
        <v>0.0</v>
      </c>
      <c r="K3432" s="2" t="s">
        <v>12763</v>
      </c>
      <c r="L3432" s="2"/>
      <c r="M3432" s="170" t="s">
        <v>455</v>
      </c>
      <c r="N3432" s="2" t="s">
        <v>406</v>
      </c>
      <c r="O3432" s="3"/>
      <c r="P3432" s="2" t="s">
        <v>73</v>
      </c>
      <c r="Q3432" s="3">
        <v>0.0</v>
      </c>
      <c r="R3432" s="3">
        <v>0.5</v>
      </c>
      <c r="U3432" s="141"/>
      <c r="W3432" s="3">
        <v>200.0</v>
      </c>
      <c r="X3432" s="172">
        <v>46110.58263872685</v>
      </c>
      <c r="Y3432" s="172">
        <v>46093.64376796296</v>
      </c>
      <c r="Z3432" s="3">
        <v>46093.0</v>
      </c>
    </row>
    <row r="3433">
      <c r="A3433" s="3">
        <v>6.948877435139E12</v>
      </c>
      <c r="B3433" s="2" t="s">
        <v>178</v>
      </c>
      <c r="C3433" s="2" t="s">
        <v>13989</v>
      </c>
      <c r="D3433" s="169">
        <v>46093.0</v>
      </c>
      <c r="E3433" s="2">
        <v>3.00295867E9</v>
      </c>
      <c r="F3433" s="2" t="s">
        <v>13990</v>
      </c>
      <c r="G3433" s="2" t="s">
        <v>493</v>
      </c>
      <c r="H3433" s="2">
        <v>249.0</v>
      </c>
      <c r="I3433" s="2">
        <v>2.3120050023015E13</v>
      </c>
      <c r="J3433" s="3">
        <v>0.0</v>
      </c>
      <c r="K3433" s="2" t="s">
        <v>13991</v>
      </c>
      <c r="L3433" s="2"/>
      <c r="M3433" s="170" t="s">
        <v>455</v>
      </c>
      <c r="N3433" s="2" t="s">
        <v>406</v>
      </c>
      <c r="O3433" s="3"/>
      <c r="P3433" s="2" t="s">
        <v>73</v>
      </c>
      <c r="Q3433" s="3">
        <v>0.0</v>
      </c>
      <c r="R3433" s="3">
        <v>0.5</v>
      </c>
      <c r="U3433" s="141"/>
      <c r="W3433" s="3">
        <v>235.70999999999998</v>
      </c>
      <c r="X3433" s="172">
        <v>46127.0809659838</v>
      </c>
      <c r="Y3433" s="172">
        <v>46093.72709189815</v>
      </c>
      <c r="Z3433" s="3">
        <v>46093.0</v>
      </c>
    </row>
    <row r="3434">
      <c r="A3434" s="3">
        <v>6.948889755907E12</v>
      </c>
      <c r="B3434" s="2" t="s">
        <v>13992</v>
      </c>
      <c r="C3434" s="2" t="s">
        <v>13993</v>
      </c>
      <c r="D3434" s="169">
        <v>46093.0</v>
      </c>
      <c r="E3434" s="2">
        <v>3.154212329E9</v>
      </c>
      <c r="F3434" s="2" t="s">
        <v>13994</v>
      </c>
      <c r="G3434" s="2" t="s">
        <v>9453</v>
      </c>
      <c r="H3434" s="2">
        <v>3348.0</v>
      </c>
      <c r="I3434" s="2" t="s">
        <v>13995</v>
      </c>
      <c r="J3434" s="3">
        <v>2.0</v>
      </c>
      <c r="K3434" s="2" t="s">
        <v>13996</v>
      </c>
      <c r="L3434" s="2" t="s">
        <v>296</v>
      </c>
      <c r="M3434" s="2" t="s">
        <v>409</v>
      </c>
      <c r="N3434" s="2" t="s">
        <v>406</v>
      </c>
      <c r="O3434" s="3"/>
      <c r="P3434" s="2" t="s">
        <v>640</v>
      </c>
      <c r="Q3434" s="3">
        <v>720.0</v>
      </c>
      <c r="R3434" s="3">
        <v>0.5</v>
      </c>
      <c r="U3434" s="141"/>
      <c r="X3434" s="172">
        <v>46100.584330474536</v>
      </c>
      <c r="Y3434" s="172">
        <v>46093.72709189815</v>
      </c>
      <c r="Z3434" s="3">
        <v>46093.0</v>
      </c>
    </row>
    <row r="3435">
      <c r="A3435" s="3">
        <v>6.948895719683E12</v>
      </c>
      <c r="B3435" s="2" t="s">
        <v>13997</v>
      </c>
      <c r="C3435" s="2" t="s">
        <v>13998</v>
      </c>
      <c r="D3435" s="169">
        <v>46093.0</v>
      </c>
      <c r="E3435" s="2">
        <v>3.017838684E9</v>
      </c>
      <c r="F3435" s="2" t="s">
        <v>13999</v>
      </c>
      <c r="G3435" s="2" t="s">
        <v>541</v>
      </c>
      <c r="H3435" s="2">
        <v>249.0</v>
      </c>
      <c r="I3435" s="2">
        <v>2.1120050023014E13</v>
      </c>
      <c r="J3435" s="3">
        <v>0.0</v>
      </c>
      <c r="K3435" s="2" t="s">
        <v>14000</v>
      </c>
      <c r="L3435" s="2"/>
      <c r="M3435" s="170" t="s">
        <v>455</v>
      </c>
      <c r="N3435" s="2" t="s">
        <v>406</v>
      </c>
      <c r="O3435" s="3"/>
      <c r="P3435" s="2" t="s">
        <v>73</v>
      </c>
      <c r="Q3435" s="3">
        <v>0.0</v>
      </c>
      <c r="R3435" s="3">
        <v>0.5</v>
      </c>
      <c r="U3435" s="141"/>
      <c r="W3435" s="3">
        <v>243.08</v>
      </c>
      <c r="X3435" s="172">
        <v>46116.874331087965</v>
      </c>
      <c r="Y3435" s="172">
        <v>46093.72709189815</v>
      </c>
      <c r="Z3435" s="3">
        <v>46093.0</v>
      </c>
    </row>
    <row r="3436">
      <c r="A3436" s="3">
        <v>6.948901650691E12</v>
      </c>
      <c r="B3436" s="2" t="s">
        <v>14001</v>
      </c>
      <c r="C3436" s="2" t="s">
        <v>13998</v>
      </c>
      <c r="D3436" s="169">
        <v>46093.0</v>
      </c>
      <c r="E3436" s="2">
        <v>3.017838684E9</v>
      </c>
      <c r="F3436" s="2" t="s">
        <v>13999</v>
      </c>
      <c r="G3436" s="2" t="s">
        <v>541</v>
      </c>
      <c r="H3436" s="2">
        <v>0.0</v>
      </c>
      <c r="J3436" s="3">
        <v>0.0</v>
      </c>
      <c r="K3436" s="2" t="s">
        <v>14002</v>
      </c>
      <c r="L3436" s="2"/>
      <c r="M3436" s="2" t="s">
        <v>468</v>
      </c>
      <c r="N3436" s="2" t="s">
        <v>406</v>
      </c>
      <c r="O3436" s="3"/>
      <c r="Q3436" s="3">
        <v>0.0</v>
      </c>
      <c r="R3436" s="3">
        <v>0.5</v>
      </c>
      <c r="U3436" s="141"/>
      <c r="X3436" s="172"/>
      <c r="Y3436" s="172">
        <v>46093.72709189815</v>
      </c>
      <c r="Z3436" s="3">
        <v>46093.0</v>
      </c>
    </row>
    <row r="3437">
      <c r="A3437" s="3">
        <v>6.948918329603E12</v>
      </c>
      <c r="B3437" s="2" t="s">
        <v>14003</v>
      </c>
      <c r="C3437" s="2" t="s">
        <v>3992</v>
      </c>
      <c r="D3437" s="169">
        <v>46093.0</v>
      </c>
      <c r="E3437" s="2">
        <v>3.339211201E9</v>
      </c>
      <c r="F3437" s="2" t="s">
        <v>3993</v>
      </c>
      <c r="G3437" s="2" t="s">
        <v>493</v>
      </c>
      <c r="H3437" s="2">
        <v>3348.0</v>
      </c>
      <c r="I3437" s="2">
        <v>2.712005002259E13</v>
      </c>
      <c r="J3437" s="3">
        <v>2.0</v>
      </c>
      <c r="K3437" s="2" t="s">
        <v>13072</v>
      </c>
      <c r="L3437" s="2" t="s">
        <v>906</v>
      </c>
      <c r="M3437" s="2" t="s">
        <v>409</v>
      </c>
      <c r="N3437" s="2" t="s">
        <v>462</v>
      </c>
      <c r="O3437" s="3"/>
      <c r="P3437" s="2" t="s">
        <v>73</v>
      </c>
      <c r="Q3437" s="3">
        <v>720.0</v>
      </c>
      <c r="R3437" s="3">
        <v>0.5</v>
      </c>
      <c r="T3437" s="2" t="s">
        <v>12177</v>
      </c>
      <c r="U3437" s="171">
        <v>3348.0</v>
      </c>
      <c r="V3437" s="172">
        <v>46105.0</v>
      </c>
      <c r="W3437" s="3">
        <v>347.0</v>
      </c>
      <c r="X3437" s="172">
        <v>46098.62453608796</v>
      </c>
      <c r="Y3437" s="172">
        <v>46093.72709189815</v>
      </c>
      <c r="Z3437" s="3">
        <v>46093.0</v>
      </c>
    </row>
    <row r="3438">
      <c r="A3438" s="3">
        <v>6.948929765635E12</v>
      </c>
      <c r="B3438" s="2" t="s">
        <v>14004</v>
      </c>
      <c r="C3438" s="2" t="s">
        <v>14005</v>
      </c>
      <c r="D3438" s="169">
        <v>46093.0</v>
      </c>
      <c r="E3438" s="173" t="s">
        <v>14006</v>
      </c>
      <c r="F3438" s="2" t="s">
        <v>14007</v>
      </c>
      <c r="G3438" s="2" t="s">
        <v>368</v>
      </c>
      <c r="H3438" s="2">
        <v>3348.0</v>
      </c>
      <c r="I3438" s="2">
        <v>2.5120050022589E13</v>
      </c>
      <c r="J3438" s="3">
        <v>2.0</v>
      </c>
      <c r="K3438" s="2" t="s">
        <v>12223</v>
      </c>
      <c r="L3438" s="2" t="s">
        <v>296</v>
      </c>
      <c r="M3438" s="2" t="s">
        <v>409</v>
      </c>
      <c r="N3438" s="2" t="s">
        <v>462</v>
      </c>
      <c r="O3438" s="3"/>
      <c r="P3438" s="2" t="s">
        <v>73</v>
      </c>
      <c r="Q3438" s="3">
        <v>720.0</v>
      </c>
      <c r="R3438" s="3">
        <v>0.5</v>
      </c>
      <c r="T3438" s="2" t="s">
        <v>11534</v>
      </c>
      <c r="U3438" s="171">
        <v>3348.0</v>
      </c>
      <c r="V3438" s="172">
        <v>46097.0</v>
      </c>
      <c r="W3438" s="3">
        <v>241.0</v>
      </c>
      <c r="X3438" s="172">
        <v>46095.45773521991</v>
      </c>
      <c r="Y3438" s="172">
        <v>46093.72709189815</v>
      </c>
      <c r="Z3438" s="3">
        <v>46093.0</v>
      </c>
    </row>
    <row r="3439">
      <c r="A3439" s="3">
        <v>6.948958830851E12</v>
      </c>
      <c r="B3439" s="2" t="s">
        <v>14008</v>
      </c>
      <c r="C3439" s="2" t="s">
        <v>14009</v>
      </c>
      <c r="D3439" s="169">
        <v>46093.0</v>
      </c>
      <c r="E3439" s="2">
        <v>3.408476979E9</v>
      </c>
      <c r="F3439" s="2" t="s">
        <v>14010</v>
      </c>
      <c r="G3439" s="2" t="s">
        <v>473</v>
      </c>
      <c r="H3439" s="2">
        <v>1799.0</v>
      </c>
      <c r="I3439" s="2">
        <v>2.5120050022599E13</v>
      </c>
      <c r="J3439" s="3">
        <v>1.0</v>
      </c>
      <c r="K3439" s="2" t="s">
        <v>13375</v>
      </c>
      <c r="L3439" s="2" t="s">
        <v>2154</v>
      </c>
      <c r="M3439" s="2" t="s">
        <v>409</v>
      </c>
      <c r="N3439" s="2" t="s">
        <v>462</v>
      </c>
      <c r="O3439" s="3"/>
      <c r="P3439" s="2" t="s">
        <v>73</v>
      </c>
      <c r="Q3439" s="3">
        <v>490.0</v>
      </c>
      <c r="R3439" s="3">
        <v>0.5</v>
      </c>
      <c r="T3439" s="2" t="s">
        <v>12177</v>
      </c>
      <c r="U3439" s="171">
        <v>1799.0</v>
      </c>
      <c r="V3439" s="172">
        <v>46105.0</v>
      </c>
      <c r="W3439" s="3">
        <v>272.0</v>
      </c>
      <c r="X3439" s="172">
        <v>46099.666043310186</v>
      </c>
      <c r="Y3439" s="172">
        <v>46093.72709189815</v>
      </c>
      <c r="Z3439" s="3">
        <v>46093.0</v>
      </c>
    </row>
    <row r="3440">
      <c r="A3440" s="3">
        <v>6.949079515395E12</v>
      </c>
      <c r="B3440" s="2" t="s">
        <v>14011</v>
      </c>
      <c r="C3440" s="2" t="s">
        <v>14012</v>
      </c>
      <c r="D3440" s="169">
        <v>46093.0</v>
      </c>
      <c r="E3440" s="2">
        <v>3.033208484E9</v>
      </c>
      <c r="F3440" s="2" t="s">
        <v>14013</v>
      </c>
      <c r="G3440" s="2" t="s">
        <v>14014</v>
      </c>
      <c r="H3440" s="2">
        <v>3248.0</v>
      </c>
      <c r="I3440" s="2">
        <v>2.1120050022626E13</v>
      </c>
      <c r="J3440" s="3">
        <v>2.0</v>
      </c>
      <c r="K3440" s="2" t="s">
        <v>13897</v>
      </c>
      <c r="L3440" s="2" t="s">
        <v>926</v>
      </c>
      <c r="M3440" s="2" t="s">
        <v>409</v>
      </c>
      <c r="N3440" s="2" t="s">
        <v>462</v>
      </c>
      <c r="O3440" s="3"/>
      <c r="P3440" s="2" t="s">
        <v>73</v>
      </c>
      <c r="Q3440" s="3">
        <v>980.0</v>
      </c>
      <c r="R3440" s="3">
        <v>0.5</v>
      </c>
      <c r="T3440" s="2" t="s">
        <v>12177</v>
      </c>
      <c r="U3440" s="171">
        <v>3248.0</v>
      </c>
      <c r="V3440" s="172">
        <v>46105.0</v>
      </c>
      <c r="W3440" s="3">
        <v>330.0</v>
      </c>
      <c r="X3440" s="172">
        <v>46100.66606391204</v>
      </c>
      <c r="Y3440" s="172">
        <v>46093.810463877315</v>
      </c>
      <c r="Z3440" s="3">
        <v>46093.0</v>
      </c>
    </row>
    <row r="3441">
      <c r="A3441" s="3">
        <v>6.949087314179E12</v>
      </c>
      <c r="B3441" s="2" t="s">
        <v>14015</v>
      </c>
      <c r="C3441" s="2" t="s">
        <v>14016</v>
      </c>
      <c r="D3441" s="169">
        <v>46093.0</v>
      </c>
      <c r="E3441" s="2">
        <v>3.218112365E9</v>
      </c>
      <c r="F3441" s="2" t="s">
        <v>14017</v>
      </c>
      <c r="G3441" s="2" t="s">
        <v>506</v>
      </c>
      <c r="H3441" s="2">
        <v>3348.0</v>
      </c>
      <c r="I3441" s="2">
        <v>2.4120050022625E13</v>
      </c>
      <c r="J3441" s="3">
        <v>2.0</v>
      </c>
      <c r="K3441" s="2" t="s">
        <v>13072</v>
      </c>
      <c r="L3441" s="2" t="s">
        <v>12060</v>
      </c>
      <c r="M3441" s="2" t="s">
        <v>409</v>
      </c>
      <c r="N3441" s="2" t="s">
        <v>462</v>
      </c>
      <c r="O3441" s="3"/>
      <c r="P3441" s="2" t="s">
        <v>73</v>
      </c>
      <c r="Q3441" s="3">
        <v>720.0</v>
      </c>
      <c r="R3441" s="3">
        <v>0.5</v>
      </c>
      <c r="T3441" s="2" t="s">
        <v>12177</v>
      </c>
      <c r="U3441" s="171">
        <v>3348.0</v>
      </c>
      <c r="V3441" s="172">
        <v>46105.0</v>
      </c>
      <c r="W3441" s="3">
        <v>334.0</v>
      </c>
      <c r="X3441" s="172">
        <v>46097.62442046296</v>
      </c>
      <c r="Y3441" s="172">
        <v>46093.810463877315</v>
      </c>
      <c r="Z3441" s="3">
        <v>46093.0</v>
      </c>
    </row>
    <row r="3442">
      <c r="A3442" s="3">
        <v>6.949126537475E12</v>
      </c>
      <c r="B3442" s="2" t="s">
        <v>14018</v>
      </c>
      <c r="C3442" s="2" t="s">
        <v>14019</v>
      </c>
      <c r="D3442" s="169">
        <v>46093.0</v>
      </c>
      <c r="E3442" s="2">
        <v>3.096002121E9</v>
      </c>
      <c r="F3442" s="2" t="s">
        <v>14020</v>
      </c>
      <c r="G3442" s="2" t="s">
        <v>14021</v>
      </c>
      <c r="H3442" s="2">
        <v>3348.0</v>
      </c>
      <c r="I3442" s="2">
        <v>2.7120050022624E13</v>
      </c>
      <c r="J3442" s="3">
        <v>2.0</v>
      </c>
      <c r="K3442" s="2" t="s">
        <v>13072</v>
      </c>
      <c r="L3442" s="2" t="s">
        <v>40</v>
      </c>
      <c r="M3442" s="2" t="s">
        <v>409</v>
      </c>
      <c r="N3442" s="2" t="s">
        <v>462</v>
      </c>
      <c r="O3442" s="3"/>
      <c r="P3442" s="2" t="s">
        <v>73</v>
      </c>
      <c r="Q3442" s="3">
        <v>720.0</v>
      </c>
      <c r="R3442" s="3">
        <v>0.5</v>
      </c>
      <c r="T3442" s="2" t="s">
        <v>12177</v>
      </c>
      <c r="U3442" s="171">
        <v>3348.0</v>
      </c>
      <c r="V3442" s="172">
        <v>46105.0</v>
      </c>
      <c r="W3442" s="3">
        <v>334.0</v>
      </c>
      <c r="X3442" s="172">
        <v>46100.62434141204</v>
      </c>
      <c r="Y3442" s="172">
        <v>46093.818218541666</v>
      </c>
      <c r="Z3442" s="3">
        <v>46093.0</v>
      </c>
      <c r="AA3442" s="2" t="s">
        <v>14022</v>
      </c>
    </row>
    <row r="3443">
      <c r="A3443" s="3">
        <v>6.949149638915E12</v>
      </c>
      <c r="B3443" s="2" t="s">
        <v>14023</v>
      </c>
      <c r="C3443" s="2" t="s">
        <v>13352</v>
      </c>
      <c r="D3443" s="169">
        <v>46093.0</v>
      </c>
      <c r="E3443" s="2">
        <v>3.004008889E9</v>
      </c>
      <c r="F3443" s="2" t="s">
        <v>13353</v>
      </c>
      <c r="G3443" s="2" t="s">
        <v>368</v>
      </c>
      <c r="H3443" s="2">
        <v>3347.0</v>
      </c>
      <c r="I3443" s="2" t="s">
        <v>14024</v>
      </c>
      <c r="J3443" s="3">
        <v>2.0</v>
      </c>
      <c r="K3443" s="2" t="s">
        <v>14025</v>
      </c>
      <c r="L3443" s="2" t="s">
        <v>1258</v>
      </c>
      <c r="M3443" s="2" t="s">
        <v>409</v>
      </c>
      <c r="N3443" s="2" t="s">
        <v>406</v>
      </c>
      <c r="O3443" s="3"/>
      <c r="P3443" s="2"/>
      <c r="Q3443" s="3">
        <v>800.0</v>
      </c>
      <c r="R3443" s="3">
        <v>0.5</v>
      </c>
      <c r="U3443" s="141"/>
      <c r="X3443" s="172"/>
      <c r="Y3443" s="172">
        <v>46093.852259872685</v>
      </c>
      <c r="Z3443" s="3">
        <v>46093.0</v>
      </c>
      <c r="AA3443" s="2" t="s">
        <v>14026</v>
      </c>
    </row>
    <row r="3444">
      <c r="A3444" s="3">
        <v>6.949235458307E12</v>
      </c>
      <c r="B3444" s="2" t="s">
        <v>14027</v>
      </c>
      <c r="C3444" s="2" t="s">
        <v>14028</v>
      </c>
      <c r="D3444" s="169">
        <v>46093.0</v>
      </c>
      <c r="E3444" s="173" t="s">
        <v>14029</v>
      </c>
      <c r="F3444" s="2" t="s">
        <v>14030</v>
      </c>
      <c r="G3444" s="2" t="s">
        <v>14031</v>
      </c>
      <c r="H3444" s="2">
        <v>3348.0</v>
      </c>
      <c r="I3444" s="2">
        <v>2.0120050022623E13</v>
      </c>
      <c r="J3444" s="3">
        <v>2.0</v>
      </c>
      <c r="K3444" s="2" t="s">
        <v>13072</v>
      </c>
      <c r="L3444" s="2" t="s">
        <v>4209</v>
      </c>
      <c r="M3444" s="2" t="s">
        <v>409</v>
      </c>
      <c r="N3444" s="2" t="s">
        <v>462</v>
      </c>
      <c r="O3444" s="3"/>
      <c r="P3444" s="2" t="s">
        <v>73</v>
      </c>
      <c r="Q3444" s="3">
        <v>720.0</v>
      </c>
      <c r="R3444" s="3">
        <v>0.5</v>
      </c>
      <c r="T3444" s="2" t="s">
        <v>12177</v>
      </c>
      <c r="U3444" s="171">
        <v>3348.0</v>
      </c>
      <c r="V3444" s="172">
        <v>46105.0</v>
      </c>
      <c r="W3444" s="3">
        <v>334.0</v>
      </c>
      <c r="X3444" s="172">
        <v>46099.582746053246</v>
      </c>
      <c r="Y3444" s="172">
        <v>46093.893776296296</v>
      </c>
      <c r="Z3444" s="3">
        <v>46093.0</v>
      </c>
      <c r="AA3444" s="2" t="s">
        <v>14032</v>
      </c>
    </row>
    <row r="3445">
      <c r="A3445" s="3">
        <v>6.949244240131E12</v>
      </c>
      <c r="B3445" s="2" t="s">
        <v>14033</v>
      </c>
      <c r="C3445" s="2" t="s">
        <v>14034</v>
      </c>
      <c r="D3445" s="169">
        <v>46093.0</v>
      </c>
      <c r="E3445" s="2">
        <v>3.232240569E9</v>
      </c>
      <c r="F3445" s="2" t="s">
        <v>14035</v>
      </c>
      <c r="G3445" s="2" t="s">
        <v>493</v>
      </c>
      <c r="H3445" s="2">
        <v>3348.0</v>
      </c>
      <c r="I3445" s="2">
        <v>2.5120050022633E13</v>
      </c>
      <c r="J3445" s="3">
        <v>2.0</v>
      </c>
      <c r="K3445" s="2" t="s">
        <v>14036</v>
      </c>
      <c r="L3445" s="2" t="s">
        <v>275</v>
      </c>
      <c r="M3445" s="2" t="s">
        <v>409</v>
      </c>
      <c r="N3445" s="2" t="s">
        <v>462</v>
      </c>
      <c r="O3445" s="3"/>
      <c r="P3445" s="2" t="s">
        <v>73</v>
      </c>
      <c r="Q3445" s="3">
        <v>800.0</v>
      </c>
      <c r="R3445" s="3">
        <v>0.5</v>
      </c>
      <c r="T3445" s="2" t="s">
        <v>14037</v>
      </c>
      <c r="U3445" s="171">
        <v>3348.0</v>
      </c>
      <c r="V3445" s="172">
        <v>46112.0</v>
      </c>
      <c r="W3445" s="3">
        <v>370.0</v>
      </c>
      <c r="X3445" s="172">
        <v>46110.540970138885</v>
      </c>
      <c r="Y3445" s="172">
        <v>46093.893776296296</v>
      </c>
      <c r="Z3445" s="3">
        <v>46093.0</v>
      </c>
      <c r="AA3445" s="2" t="s">
        <v>14032</v>
      </c>
    </row>
    <row r="3446">
      <c r="A3446" s="3">
        <v>6.949392810243E12</v>
      </c>
      <c r="B3446" s="2" t="s">
        <v>14038</v>
      </c>
      <c r="C3446" s="2" t="s">
        <v>14039</v>
      </c>
      <c r="D3446" s="169">
        <v>46093.0</v>
      </c>
      <c r="E3446" s="2">
        <v>3.346582828E9</v>
      </c>
      <c r="F3446" s="2" t="s">
        <v>14040</v>
      </c>
      <c r="G3446" s="2" t="s">
        <v>368</v>
      </c>
      <c r="H3446" s="2">
        <v>3348.0</v>
      </c>
      <c r="I3446" s="2">
        <v>2.3120050022622E13</v>
      </c>
      <c r="J3446" s="3">
        <v>2.0</v>
      </c>
      <c r="K3446" s="2" t="s">
        <v>13072</v>
      </c>
      <c r="L3446" s="2" t="s">
        <v>4209</v>
      </c>
      <c r="M3446" s="2" t="s">
        <v>409</v>
      </c>
      <c r="N3446" s="2" t="s">
        <v>462</v>
      </c>
      <c r="O3446" s="3"/>
      <c r="P3446" s="2" t="s">
        <v>73</v>
      </c>
      <c r="Q3446" s="3">
        <v>720.0</v>
      </c>
      <c r="R3446" s="3">
        <v>0.5</v>
      </c>
      <c r="T3446" s="2" t="s">
        <v>12177</v>
      </c>
      <c r="U3446" s="171">
        <v>3348.0</v>
      </c>
      <c r="V3446" s="172">
        <v>46105.0</v>
      </c>
      <c r="W3446" s="3">
        <v>241.0</v>
      </c>
      <c r="X3446" s="172">
        <v>46098.66619459491</v>
      </c>
      <c r="Y3446" s="172">
        <v>46093.97710278935</v>
      </c>
      <c r="Z3446" s="3">
        <v>46093.0</v>
      </c>
      <c r="AA3446" s="2" t="s">
        <v>14041</v>
      </c>
    </row>
    <row r="3447">
      <c r="A3447" s="3">
        <v>6.949408932099E12</v>
      </c>
      <c r="B3447" s="2" t="s">
        <v>14042</v>
      </c>
      <c r="C3447" s="2" t="s">
        <v>14043</v>
      </c>
      <c r="D3447" s="169">
        <v>46093.0</v>
      </c>
      <c r="E3447" s="2">
        <v>3.334209254E9</v>
      </c>
      <c r="F3447" s="2" t="s">
        <v>14044</v>
      </c>
      <c r="G3447" s="2" t="s">
        <v>368</v>
      </c>
      <c r="H3447" s="2">
        <v>3348.0</v>
      </c>
      <c r="I3447" s="2">
        <v>2.3120050022621E13</v>
      </c>
      <c r="J3447" s="3">
        <v>2.0</v>
      </c>
      <c r="K3447" s="2" t="s">
        <v>13072</v>
      </c>
      <c r="L3447" s="2" t="s">
        <v>4209</v>
      </c>
      <c r="M3447" s="2" t="s">
        <v>409</v>
      </c>
      <c r="N3447" s="2" t="s">
        <v>462</v>
      </c>
      <c r="O3447" s="3"/>
      <c r="P3447" s="2" t="s">
        <v>73</v>
      </c>
      <c r="Q3447" s="3">
        <v>720.0</v>
      </c>
      <c r="R3447" s="3">
        <v>0.5</v>
      </c>
      <c r="T3447" s="2" t="s">
        <v>12177</v>
      </c>
      <c r="U3447" s="171">
        <v>3348.0</v>
      </c>
      <c r="V3447" s="172">
        <v>46105.0</v>
      </c>
      <c r="W3447" s="3">
        <v>254.0</v>
      </c>
      <c r="X3447" s="172">
        <v>46099.66609745371</v>
      </c>
      <c r="Y3447" s="172">
        <v>46093.97710278935</v>
      </c>
      <c r="Z3447" s="3">
        <v>46093.0</v>
      </c>
      <c r="AA3447" s="2" t="s">
        <v>14022</v>
      </c>
    </row>
    <row r="3448">
      <c r="A3448" s="3">
        <v>6.949416173827E12</v>
      </c>
      <c r="B3448" s="2" t="s">
        <v>14045</v>
      </c>
      <c r="C3448" s="2" t="s">
        <v>14046</v>
      </c>
      <c r="D3448" s="169">
        <v>46093.0</v>
      </c>
      <c r="E3448" s="2">
        <v>3.102605555E9</v>
      </c>
      <c r="F3448" s="2" t="s">
        <v>14047</v>
      </c>
      <c r="G3448" s="2" t="s">
        <v>366</v>
      </c>
      <c r="H3448" s="2">
        <v>3348.0</v>
      </c>
      <c r="I3448" s="2">
        <v>2.412005002262E13</v>
      </c>
      <c r="J3448" s="3">
        <v>2.0</v>
      </c>
      <c r="K3448" s="2" t="s">
        <v>13072</v>
      </c>
      <c r="L3448" s="2" t="s">
        <v>8563</v>
      </c>
      <c r="M3448" s="2" t="s">
        <v>409</v>
      </c>
      <c r="N3448" s="2" t="s">
        <v>462</v>
      </c>
      <c r="O3448" s="3"/>
      <c r="P3448" s="2" t="s">
        <v>73</v>
      </c>
      <c r="Q3448" s="3">
        <v>720.0</v>
      </c>
      <c r="R3448" s="3">
        <v>0.5</v>
      </c>
      <c r="T3448" s="2" t="s">
        <v>12177</v>
      </c>
      <c r="U3448" s="171">
        <v>3348.0</v>
      </c>
      <c r="V3448" s="172">
        <v>46105.0</v>
      </c>
      <c r="W3448" s="3">
        <v>334.0</v>
      </c>
      <c r="X3448" s="172">
        <v>46097.70788934028</v>
      </c>
      <c r="Y3448" s="172">
        <v>46093.97710278935</v>
      </c>
      <c r="Z3448" s="3">
        <v>46093.0</v>
      </c>
      <c r="AA3448" s="2" t="s">
        <v>14032</v>
      </c>
    </row>
    <row r="3449">
      <c r="A3449" s="3">
        <v>6.949433770243E12</v>
      </c>
      <c r="B3449" s="2" t="s">
        <v>14048</v>
      </c>
      <c r="C3449" s="2" t="s">
        <v>14049</v>
      </c>
      <c r="D3449" s="169">
        <v>46093.0</v>
      </c>
      <c r="E3449" s="2">
        <v>5.55317754E8</v>
      </c>
      <c r="F3449" s="2" t="s">
        <v>14050</v>
      </c>
      <c r="G3449" s="2" t="s">
        <v>14051</v>
      </c>
      <c r="H3449" s="2">
        <v>0.0</v>
      </c>
      <c r="J3449" s="3">
        <v>0.0</v>
      </c>
      <c r="K3449" s="2" t="s">
        <v>14052</v>
      </c>
      <c r="L3449" s="2"/>
      <c r="M3449" s="2" t="s">
        <v>468</v>
      </c>
      <c r="N3449" s="2" t="s">
        <v>406</v>
      </c>
      <c r="O3449" s="3"/>
      <c r="Q3449" s="3">
        <v>0.0</v>
      </c>
      <c r="R3449" s="3">
        <v>0.5</v>
      </c>
      <c r="U3449" s="141"/>
      <c r="X3449" s="172"/>
      <c r="Y3449" s="172">
        <v>46094.018787187495</v>
      </c>
      <c r="Z3449" s="3">
        <v>46093.0</v>
      </c>
      <c r="AA3449" s="2" t="s">
        <v>14053</v>
      </c>
    </row>
    <row r="3450">
      <c r="A3450" s="3">
        <v>6.949456904451E12</v>
      </c>
      <c r="B3450" s="2" t="s">
        <v>14054</v>
      </c>
      <c r="C3450" s="2" t="s">
        <v>14055</v>
      </c>
      <c r="D3450" s="169">
        <v>46093.0</v>
      </c>
      <c r="E3450" s="2">
        <v>3.127439848E9</v>
      </c>
      <c r="F3450" s="2" t="s">
        <v>14056</v>
      </c>
      <c r="G3450" s="2" t="s">
        <v>368</v>
      </c>
      <c r="H3450" s="2">
        <v>3348.0</v>
      </c>
      <c r="I3450" s="2">
        <v>2.9120050022619E13</v>
      </c>
      <c r="J3450" s="3">
        <v>2.0</v>
      </c>
      <c r="K3450" s="2" t="s">
        <v>14057</v>
      </c>
      <c r="L3450" s="2" t="s">
        <v>27</v>
      </c>
      <c r="M3450" s="2" t="s">
        <v>409</v>
      </c>
      <c r="N3450" s="2" t="s">
        <v>462</v>
      </c>
      <c r="O3450" s="3"/>
      <c r="P3450" s="2" t="s">
        <v>73</v>
      </c>
      <c r="Q3450" s="3">
        <v>720.0</v>
      </c>
      <c r="R3450" s="3">
        <v>0.5</v>
      </c>
      <c r="T3450" s="2" t="s">
        <v>13421</v>
      </c>
      <c r="U3450" s="171">
        <v>3348.0</v>
      </c>
      <c r="V3450" s="172">
        <v>46108.0</v>
      </c>
      <c r="W3450" s="3">
        <v>240.64</v>
      </c>
      <c r="X3450" s="172">
        <v>46106.54107112269</v>
      </c>
      <c r="Y3450" s="172">
        <v>46094.01878719908</v>
      </c>
      <c r="Z3450" s="3">
        <v>46093.0</v>
      </c>
      <c r="AA3450" s="2" t="s">
        <v>14032</v>
      </c>
    </row>
    <row r="3451">
      <c r="A3451" s="3">
        <v>6.949492228355E12</v>
      </c>
      <c r="B3451" s="2" t="s">
        <v>14058</v>
      </c>
      <c r="C3451" s="2" t="s">
        <v>13067</v>
      </c>
      <c r="D3451" s="169">
        <v>46094.0</v>
      </c>
      <c r="E3451" s="2">
        <v>3.008424333E9</v>
      </c>
      <c r="F3451" s="2" t="s">
        <v>14059</v>
      </c>
      <c r="G3451" s="2" t="s">
        <v>14060</v>
      </c>
      <c r="H3451" s="2">
        <v>3348.0</v>
      </c>
      <c r="I3451" s="2">
        <v>2.2120050022618E13</v>
      </c>
      <c r="J3451" s="3">
        <v>2.0</v>
      </c>
      <c r="K3451" s="2" t="s">
        <v>13072</v>
      </c>
      <c r="L3451" s="2" t="s">
        <v>4209</v>
      </c>
      <c r="M3451" s="2" t="s">
        <v>409</v>
      </c>
      <c r="N3451" s="2" t="s">
        <v>462</v>
      </c>
      <c r="O3451" s="3"/>
      <c r="P3451" s="2" t="s">
        <v>73</v>
      </c>
      <c r="Q3451" s="3">
        <v>720.0</v>
      </c>
      <c r="R3451" s="3">
        <v>0.5</v>
      </c>
      <c r="T3451" s="2" t="s">
        <v>12177</v>
      </c>
      <c r="U3451" s="171">
        <v>3348.0</v>
      </c>
      <c r="V3451" s="172">
        <v>46105.0</v>
      </c>
      <c r="W3451" s="3">
        <v>241.0</v>
      </c>
      <c r="X3451" s="172">
        <v>46097.49945200232</v>
      </c>
      <c r="Y3451" s="172">
        <v>46094.01878719908</v>
      </c>
      <c r="Z3451" s="3">
        <v>46094.0</v>
      </c>
      <c r="AA3451" s="2" t="s">
        <v>14022</v>
      </c>
    </row>
    <row r="3452">
      <c r="A3452" s="3">
        <v>6.949534105859E12</v>
      </c>
      <c r="B3452" s="2" t="s">
        <v>14061</v>
      </c>
      <c r="C3452" s="2" t="s">
        <v>14062</v>
      </c>
      <c r="D3452" s="169">
        <v>46094.0</v>
      </c>
      <c r="E3452" s="2">
        <v>3.257993838E9</v>
      </c>
      <c r="F3452" s="2" t="s">
        <v>14063</v>
      </c>
      <c r="G3452" s="2" t="s">
        <v>3016</v>
      </c>
      <c r="H3452" s="2">
        <v>3348.0</v>
      </c>
      <c r="I3452" s="2">
        <v>2.0120050022617E13</v>
      </c>
      <c r="J3452" s="3">
        <v>2.0</v>
      </c>
      <c r="K3452" s="2" t="s">
        <v>13827</v>
      </c>
      <c r="L3452" s="2" t="s">
        <v>40</v>
      </c>
      <c r="M3452" s="2" t="s">
        <v>409</v>
      </c>
      <c r="N3452" s="2" t="s">
        <v>462</v>
      </c>
      <c r="O3452" s="3"/>
      <c r="P3452" s="2" t="s">
        <v>73</v>
      </c>
      <c r="Q3452" s="3">
        <v>720.0</v>
      </c>
      <c r="R3452" s="3">
        <v>0.5</v>
      </c>
      <c r="T3452" s="2" t="s">
        <v>12177</v>
      </c>
      <c r="U3452" s="171">
        <v>3348.0</v>
      </c>
      <c r="V3452" s="172">
        <v>46105.0</v>
      </c>
      <c r="W3452" s="3">
        <v>334.0</v>
      </c>
      <c r="X3452" s="172">
        <v>46100.624341574076</v>
      </c>
      <c r="Y3452" s="172">
        <v>46094.06042086806</v>
      </c>
      <c r="Z3452" s="3">
        <v>46094.0</v>
      </c>
      <c r="AA3452" s="2" t="s">
        <v>14032</v>
      </c>
    </row>
    <row r="3453">
      <c r="A3453" s="3">
        <v>6.949568872707E12</v>
      </c>
      <c r="B3453" s="2" t="s">
        <v>14064</v>
      </c>
      <c r="C3453" s="2" t="s">
        <v>14065</v>
      </c>
      <c r="D3453" s="169">
        <v>46094.0</v>
      </c>
      <c r="E3453" s="2">
        <v>3.005430918E9</v>
      </c>
      <c r="F3453" s="2" t="s">
        <v>14066</v>
      </c>
      <c r="G3453" s="2" t="s">
        <v>4949</v>
      </c>
      <c r="H3453" s="2">
        <v>3248.0</v>
      </c>
      <c r="J3453" s="3">
        <v>2.0</v>
      </c>
      <c r="K3453" s="2" t="s">
        <v>7809</v>
      </c>
      <c r="L3453" s="2" t="s">
        <v>926</v>
      </c>
      <c r="M3453" s="2" t="s">
        <v>406</v>
      </c>
      <c r="N3453" s="2" t="s">
        <v>406</v>
      </c>
      <c r="O3453" s="3"/>
      <c r="Q3453" s="3">
        <v>980.0</v>
      </c>
      <c r="R3453" s="3">
        <v>0.5</v>
      </c>
      <c r="U3453" s="141"/>
      <c r="X3453" s="172"/>
      <c r="Y3453" s="172">
        <v>46094.06042086806</v>
      </c>
      <c r="Z3453" s="3">
        <v>46094.0</v>
      </c>
      <c r="AA3453" s="2" t="s">
        <v>14032</v>
      </c>
    </row>
    <row r="3454">
      <c r="A3454" s="3">
        <v>6.949628182787E12</v>
      </c>
      <c r="B3454" s="2" t="s">
        <v>14067</v>
      </c>
      <c r="C3454" s="2" t="s">
        <v>14068</v>
      </c>
      <c r="D3454" s="169">
        <v>46094.0</v>
      </c>
      <c r="E3454" s="2">
        <v>3.201048521E9</v>
      </c>
      <c r="F3454" s="2" t="s">
        <v>14069</v>
      </c>
      <c r="G3454" s="2" t="s">
        <v>368</v>
      </c>
      <c r="H3454" s="2">
        <v>3348.0</v>
      </c>
      <c r="I3454" s="2">
        <v>2.5120050022616E13</v>
      </c>
      <c r="J3454" s="3">
        <v>2.0</v>
      </c>
      <c r="K3454" s="2" t="s">
        <v>13072</v>
      </c>
      <c r="L3454" s="2" t="s">
        <v>218</v>
      </c>
      <c r="M3454" s="2" t="s">
        <v>409</v>
      </c>
      <c r="N3454" s="2" t="s">
        <v>462</v>
      </c>
      <c r="O3454" s="3"/>
      <c r="P3454" s="2" t="s">
        <v>73</v>
      </c>
      <c r="Q3454" s="3">
        <v>720.0</v>
      </c>
      <c r="R3454" s="3">
        <v>0.5</v>
      </c>
      <c r="T3454" s="2" t="s">
        <v>12177</v>
      </c>
      <c r="U3454" s="171">
        <v>3348.0</v>
      </c>
      <c r="V3454" s="172">
        <v>46105.0</v>
      </c>
      <c r="W3454" s="3">
        <v>241.0</v>
      </c>
      <c r="X3454" s="172">
        <v>46099.74958645833</v>
      </c>
      <c r="Y3454" s="172">
        <v>46094.102093379624</v>
      </c>
      <c r="Z3454" s="3">
        <v>46094.0</v>
      </c>
      <c r="AA3454" s="2" t="s">
        <v>14032</v>
      </c>
    </row>
    <row r="3455">
      <c r="A3455" s="3">
        <v>6.949684379907E12</v>
      </c>
      <c r="B3455" s="2" t="s">
        <v>14070</v>
      </c>
      <c r="C3455" s="2" t="s">
        <v>14071</v>
      </c>
      <c r="D3455" s="169">
        <v>46094.0</v>
      </c>
      <c r="E3455" s="2">
        <v>3.113172111E9</v>
      </c>
      <c r="F3455" s="2" t="s">
        <v>14072</v>
      </c>
      <c r="G3455" s="2" t="s">
        <v>493</v>
      </c>
      <c r="H3455" s="2">
        <v>3348.0</v>
      </c>
      <c r="I3455" s="2">
        <v>2.8120050022615E13</v>
      </c>
      <c r="J3455" s="3">
        <v>2.0</v>
      </c>
      <c r="K3455" s="2" t="s">
        <v>13072</v>
      </c>
      <c r="L3455" s="2" t="s">
        <v>14073</v>
      </c>
      <c r="M3455" s="2" t="s">
        <v>409</v>
      </c>
      <c r="N3455" s="2" t="s">
        <v>462</v>
      </c>
      <c r="O3455" s="3"/>
      <c r="P3455" s="2" t="s">
        <v>73</v>
      </c>
      <c r="Q3455" s="3">
        <v>1280.0</v>
      </c>
      <c r="R3455" s="3">
        <v>0.5</v>
      </c>
      <c r="T3455" s="2" t="s">
        <v>12177</v>
      </c>
      <c r="U3455" s="171">
        <v>3348.0</v>
      </c>
      <c r="V3455" s="172">
        <v>46105.0</v>
      </c>
      <c r="W3455" s="3">
        <v>361.0</v>
      </c>
      <c r="X3455" s="172">
        <v>46098.624546527775</v>
      </c>
      <c r="Y3455" s="172">
        <v>46094.14377650463</v>
      </c>
      <c r="Z3455" s="3">
        <v>46094.0</v>
      </c>
      <c r="AA3455" s="2" t="s">
        <v>14022</v>
      </c>
    </row>
    <row r="3456">
      <c r="A3456" s="3">
        <v>6.949690278147E12</v>
      </c>
      <c r="B3456" s="2" t="s">
        <v>14074</v>
      </c>
      <c r="C3456" s="2" t="s">
        <v>205</v>
      </c>
      <c r="D3456" s="169">
        <v>46094.0</v>
      </c>
      <c r="E3456" s="2">
        <v>3.05800727E9</v>
      </c>
      <c r="F3456" s="2" t="s">
        <v>14075</v>
      </c>
      <c r="G3456" s="2" t="s">
        <v>855</v>
      </c>
      <c r="H3456" s="2">
        <v>5247.0</v>
      </c>
      <c r="I3456" s="2">
        <v>2.9120050023561E13</v>
      </c>
      <c r="J3456" s="3">
        <v>3.0</v>
      </c>
      <c r="K3456" s="2" t="s">
        <v>208</v>
      </c>
      <c r="L3456" s="2" t="s">
        <v>209</v>
      </c>
      <c r="M3456" s="2" t="s">
        <v>14076</v>
      </c>
      <c r="N3456" s="2" t="s">
        <v>406</v>
      </c>
      <c r="O3456" s="3"/>
      <c r="P3456" s="2" t="s">
        <v>73</v>
      </c>
      <c r="Q3456" s="3">
        <v>1780.0</v>
      </c>
      <c r="R3456" s="3">
        <v>0.5</v>
      </c>
      <c r="U3456" s="141"/>
      <c r="X3456" s="172">
        <v>46128.08098370371</v>
      </c>
      <c r="Y3456" s="172">
        <v>46094.143776516205</v>
      </c>
      <c r="Z3456" s="3">
        <v>46094.0</v>
      </c>
      <c r="AA3456" s="2" t="s">
        <v>14041</v>
      </c>
    </row>
    <row r="3457">
      <c r="A3457" s="3">
        <v>6.949699584259E12</v>
      </c>
      <c r="B3457" s="2" t="s">
        <v>14077</v>
      </c>
      <c r="C3457" s="2" t="s">
        <v>205</v>
      </c>
      <c r="D3457" s="169">
        <v>46094.0</v>
      </c>
      <c r="E3457" s="2">
        <v>3.05800727E9</v>
      </c>
      <c r="F3457" s="2" t="s">
        <v>14078</v>
      </c>
      <c r="G3457" s="2" t="s">
        <v>10559</v>
      </c>
      <c r="H3457" s="2">
        <v>249.0</v>
      </c>
      <c r="I3457" s="2">
        <v>2.8120050022609E13</v>
      </c>
      <c r="J3457" s="3">
        <v>0.0</v>
      </c>
      <c r="K3457" s="2" t="s">
        <v>14079</v>
      </c>
      <c r="L3457" s="2"/>
      <c r="M3457" s="170" t="s">
        <v>455</v>
      </c>
      <c r="N3457" s="2" t="s">
        <v>406</v>
      </c>
      <c r="O3457" s="3"/>
      <c r="P3457" s="2" t="s">
        <v>73</v>
      </c>
      <c r="Q3457" s="3">
        <v>0.0</v>
      </c>
      <c r="R3457" s="3">
        <v>0.5</v>
      </c>
      <c r="U3457" s="141"/>
      <c r="W3457" s="3">
        <v>200.0</v>
      </c>
      <c r="X3457" s="172">
        <v>46109.83265527777</v>
      </c>
      <c r="Y3457" s="172">
        <v>46094.143776516205</v>
      </c>
      <c r="Z3457" s="3">
        <v>46094.0</v>
      </c>
      <c r="AA3457" s="2" t="s">
        <v>14022</v>
      </c>
    </row>
    <row r="3458">
      <c r="A3458" s="3">
        <v>6.949724258563E12</v>
      </c>
      <c r="B3458" s="2" t="s">
        <v>14080</v>
      </c>
      <c r="C3458" s="2" t="s">
        <v>14081</v>
      </c>
      <c r="D3458" s="169">
        <v>46094.0</v>
      </c>
      <c r="E3458" s="2">
        <v>3.482524122E9</v>
      </c>
      <c r="F3458" s="2" t="s">
        <v>14082</v>
      </c>
      <c r="G3458" s="2" t="s">
        <v>817</v>
      </c>
      <c r="H3458" s="2">
        <v>3248.0</v>
      </c>
      <c r="I3458" s="2">
        <v>2.8120050022608E13</v>
      </c>
      <c r="J3458" s="3">
        <v>2.0</v>
      </c>
      <c r="K3458" s="2" t="s">
        <v>13897</v>
      </c>
      <c r="L3458" s="2" t="s">
        <v>35</v>
      </c>
      <c r="M3458" s="2" t="s">
        <v>409</v>
      </c>
      <c r="N3458" s="2" t="s">
        <v>462</v>
      </c>
      <c r="O3458" s="3"/>
      <c r="P3458" s="2" t="s">
        <v>73</v>
      </c>
      <c r="Q3458" s="3">
        <v>980.0</v>
      </c>
      <c r="R3458" s="3">
        <v>0.5</v>
      </c>
      <c r="T3458" s="2" t="s">
        <v>12177</v>
      </c>
      <c r="U3458" s="171">
        <v>3248.0</v>
      </c>
      <c r="V3458" s="172">
        <v>46105.0</v>
      </c>
      <c r="W3458" s="3">
        <v>343.0</v>
      </c>
      <c r="X3458" s="172">
        <v>46099.74958664352</v>
      </c>
      <c r="Y3458" s="172">
        <v>46094.18545337963</v>
      </c>
      <c r="Z3458" s="3">
        <v>46094.0</v>
      </c>
      <c r="AA3458" s="2" t="s">
        <v>14041</v>
      </c>
    </row>
    <row r="3459">
      <c r="A3459" s="3">
        <v>6.949745754371E12</v>
      </c>
      <c r="B3459" s="2" t="s">
        <v>14083</v>
      </c>
      <c r="C3459" s="2" t="s">
        <v>1274</v>
      </c>
      <c r="D3459" s="169">
        <v>46094.0</v>
      </c>
      <c r="E3459" s="2">
        <v>3.19929485E9</v>
      </c>
      <c r="F3459" s="2" t="s">
        <v>14084</v>
      </c>
      <c r="G3459" s="2" t="s">
        <v>1873</v>
      </c>
      <c r="H3459" s="2">
        <v>3348.0</v>
      </c>
      <c r="I3459" s="2" t="s">
        <v>14085</v>
      </c>
      <c r="J3459" s="3">
        <v>2.0</v>
      </c>
      <c r="K3459" s="2" t="s">
        <v>12065</v>
      </c>
      <c r="L3459" s="2" t="s">
        <v>906</v>
      </c>
      <c r="M3459" s="2" t="s">
        <v>409</v>
      </c>
      <c r="N3459" s="2" t="s">
        <v>406</v>
      </c>
      <c r="O3459" s="3"/>
      <c r="P3459" s="2" t="s">
        <v>640</v>
      </c>
      <c r="Q3459" s="3">
        <v>720.0</v>
      </c>
      <c r="R3459" s="3">
        <v>0.5</v>
      </c>
      <c r="U3459" s="141"/>
      <c r="X3459" s="172">
        <v>46100.458821458335</v>
      </c>
      <c r="Y3459" s="172">
        <v>46094.18545337963</v>
      </c>
      <c r="Z3459" s="3">
        <v>46094.0</v>
      </c>
      <c r="AA3459" s="2" t="s">
        <v>14022</v>
      </c>
    </row>
    <row r="3460">
      <c r="A3460" s="3">
        <v>6.949749588227E12</v>
      </c>
      <c r="B3460" s="2" t="s">
        <v>14086</v>
      </c>
      <c r="C3460" s="2" t="s">
        <v>14087</v>
      </c>
      <c r="D3460" s="169">
        <v>46094.0</v>
      </c>
      <c r="E3460" s="2">
        <v>3.116790908E9</v>
      </c>
      <c r="F3460" s="2" t="s">
        <v>14088</v>
      </c>
      <c r="G3460" s="2" t="s">
        <v>541</v>
      </c>
      <c r="H3460" s="2">
        <v>249.0</v>
      </c>
      <c r="I3460" s="2">
        <v>2.7120050022607E13</v>
      </c>
      <c r="J3460" s="3">
        <v>0.0</v>
      </c>
      <c r="K3460" s="2" t="s">
        <v>14089</v>
      </c>
      <c r="L3460" s="2"/>
      <c r="M3460" s="170" t="s">
        <v>455</v>
      </c>
      <c r="N3460" s="2" t="s">
        <v>406</v>
      </c>
      <c r="O3460" s="3"/>
      <c r="P3460" s="2" t="s">
        <v>73</v>
      </c>
      <c r="Q3460" s="3">
        <v>0.0</v>
      </c>
      <c r="R3460" s="3">
        <v>0.5</v>
      </c>
      <c r="U3460" s="141"/>
      <c r="W3460" s="3">
        <v>220.0</v>
      </c>
      <c r="X3460" s="172">
        <v>46109.83265527777</v>
      </c>
      <c r="Y3460" s="172">
        <v>46094.185453391205</v>
      </c>
      <c r="Z3460" s="3">
        <v>46094.0</v>
      </c>
      <c r="AA3460" s="2" t="s">
        <v>14032</v>
      </c>
    </row>
    <row r="3461">
      <c r="A3461" s="3">
        <v>6.949790187779E12</v>
      </c>
      <c r="B3461" s="2" t="s">
        <v>14090</v>
      </c>
      <c r="C3461" s="2" t="s">
        <v>14091</v>
      </c>
      <c r="D3461" s="169">
        <v>46094.0</v>
      </c>
      <c r="E3461" s="2">
        <v>3.004176465E9</v>
      </c>
      <c r="F3461" s="2" t="s">
        <v>14092</v>
      </c>
      <c r="G3461" s="2" t="s">
        <v>1257</v>
      </c>
      <c r="H3461" s="2">
        <v>6848.0</v>
      </c>
      <c r="I3461" s="2">
        <v>2.3120050022613E13</v>
      </c>
      <c r="J3461" s="3">
        <v>4.0</v>
      </c>
      <c r="K3461" s="2" t="s">
        <v>14093</v>
      </c>
      <c r="L3461" s="2" t="s">
        <v>14094</v>
      </c>
      <c r="M3461" s="2" t="s">
        <v>409</v>
      </c>
      <c r="N3461" s="2" t="s">
        <v>462</v>
      </c>
      <c r="O3461" s="3"/>
      <c r="P3461" s="2" t="s">
        <v>73</v>
      </c>
      <c r="Q3461" s="3">
        <v>2420.0</v>
      </c>
      <c r="R3461" s="3">
        <v>0.5</v>
      </c>
      <c r="T3461" s="2" t="s">
        <v>11534</v>
      </c>
      <c r="U3461" s="171">
        <v>6848.0</v>
      </c>
      <c r="V3461" s="172">
        <v>46097.0</v>
      </c>
      <c r="W3461" s="3">
        <v>494.0</v>
      </c>
      <c r="X3461" s="172">
        <v>46096.49950398148</v>
      </c>
      <c r="Y3461" s="172">
        <v>46094.227091458335</v>
      </c>
      <c r="Z3461" s="3">
        <v>46094.0</v>
      </c>
      <c r="AA3461" s="2" t="s">
        <v>14032</v>
      </c>
    </row>
    <row r="3462">
      <c r="A3462" s="3">
        <v>6.949796577539E12</v>
      </c>
      <c r="B3462" s="2" t="s">
        <v>14095</v>
      </c>
      <c r="C3462" s="2" t="s">
        <v>14096</v>
      </c>
      <c r="D3462" s="169">
        <v>46094.0</v>
      </c>
      <c r="E3462" s="2">
        <v>3.156547235E9</v>
      </c>
      <c r="F3462" s="2" t="s">
        <v>14097</v>
      </c>
      <c r="G3462" s="2" t="s">
        <v>14098</v>
      </c>
      <c r="H3462" s="2">
        <v>0.0</v>
      </c>
      <c r="J3462" s="3">
        <v>0.0</v>
      </c>
      <c r="K3462" s="2" t="s">
        <v>7809</v>
      </c>
      <c r="L3462" s="2"/>
      <c r="M3462" s="2" t="s">
        <v>468</v>
      </c>
      <c r="N3462" s="2" t="s">
        <v>406</v>
      </c>
      <c r="O3462" s="3"/>
      <c r="Q3462" s="3">
        <v>0.0</v>
      </c>
      <c r="R3462" s="3">
        <v>0.5</v>
      </c>
      <c r="U3462" s="141"/>
      <c r="X3462" s="172"/>
      <c r="Y3462" s="172">
        <v>46094.227091458335</v>
      </c>
      <c r="Z3462" s="3">
        <v>46094.0</v>
      </c>
      <c r="AA3462" s="2" t="s">
        <v>14041</v>
      </c>
    </row>
    <row r="3463">
      <c r="A3463" s="3">
        <v>6.949868568835E12</v>
      </c>
      <c r="B3463" s="2" t="s">
        <v>14099</v>
      </c>
      <c r="C3463" s="2" t="s">
        <v>14100</v>
      </c>
      <c r="D3463" s="169">
        <v>46094.0</v>
      </c>
      <c r="E3463" s="173" t="s">
        <v>14101</v>
      </c>
      <c r="F3463" s="2" t="s">
        <v>14102</v>
      </c>
      <c r="G3463" s="2" t="s">
        <v>506</v>
      </c>
      <c r="H3463" s="2">
        <v>3348.0</v>
      </c>
      <c r="I3463" s="2">
        <v>2.4120050022606E13</v>
      </c>
      <c r="J3463" s="3">
        <v>2.0</v>
      </c>
      <c r="K3463" s="2" t="s">
        <v>13072</v>
      </c>
      <c r="L3463" s="2" t="s">
        <v>50</v>
      </c>
      <c r="M3463" s="2" t="s">
        <v>409</v>
      </c>
      <c r="N3463" s="2" t="s">
        <v>462</v>
      </c>
      <c r="O3463" s="3"/>
      <c r="P3463" s="2" t="s">
        <v>73</v>
      </c>
      <c r="Q3463" s="3">
        <v>720.0</v>
      </c>
      <c r="R3463" s="3">
        <v>0.5</v>
      </c>
      <c r="T3463" s="2" t="s">
        <v>12177</v>
      </c>
      <c r="U3463" s="171">
        <v>3348.0</v>
      </c>
      <c r="V3463" s="172">
        <v>46105.0</v>
      </c>
      <c r="W3463" s="3">
        <v>334.0</v>
      </c>
      <c r="X3463" s="172">
        <v>46097.771254837964</v>
      </c>
      <c r="Y3463" s="172">
        <v>46094.26875175926</v>
      </c>
      <c r="Z3463" s="3">
        <v>46094.0</v>
      </c>
      <c r="AA3463" s="2" t="s">
        <v>14103</v>
      </c>
    </row>
    <row r="3464">
      <c r="A3464" s="3">
        <v>6.949887639811E12</v>
      </c>
      <c r="B3464" s="2" t="s">
        <v>14104</v>
      </c>
      <c r="C3464" s="2" t="s">
        <v>10223</v>
      </c>
      <c r="D3464" s="169">
        <v>46094.0</v>
      </c>
      <c r="E3464" s="2">
        <v>3.336847601E9</v>
      </c>
      <c r="F3464" s="2" t="s">
        <v>14105</v>
      </c>
      <c r="G3464" s="2" t="s">
        <v>506</v>
      </c>
      <c r="H3464" s="2">
        <v>249.0</v>
      </c>
      <c r="I3464" s="2">
        <v>2.7120050022605E13</v>
      </c>
      <c r="J3464" s="3">
        <v>0.0</v>
      </c>
      <c r="K3464" s="2" t="s">
        <v>13072</v>
      </c>
      <c r="L3464" s="2"/>
      <c r="M3464" s="2" t="s">
        <v>409</v>
      </c>
      <c r="N3464" s="2" t="s">
        <v>406</v>
      </c>
      <c r="O3464" s="3"/>
      <c r="P3464" s="2" t="s">
        <v>73</v>
      </c>
      <c r="Q3464" s="3">
        <v>0.0</v>
      </c>
      <c r="R3464" s="3">
        <v>0.5</v>
      </c>
      <c r="T3464" s="2" t="s">
        <v>12177</v>
      </c>
      <c r="U3464" s="171">
        <v>249.0</v>
      </c>
      <c r="V3464" s="172">
        <v>46105.0</v>
      </c>
      <c r="W3464" s="3">
        <v>334.0</v>
      </c>
      <c r="X3464" s="172">
        <v>46098.457728298614</v>
      </c>
      <c r="Y3464" s="172">
        <v>46094.26875175926</v>
      </c>
      <c r="Z3464" s="3">
        <v>46094.0</v>
      </c>
      <c r="AA3464" s="2" t="s">
        <v>14022</v>
      </c>
    </row>
    <row r="3465">
      <c r="A3465" s="3">
        <v>6.949897994499E12</v>
      </c>
      <c r="B3465" s="2" t="s">
        <v>14106</v>
      </c>
      <c r="C3465" s="2" t="s">
        <v>14107</v>
      </c>
      <c r="D3465" s="169">
        <v>46094.0</v>
      </c>
      <c r="E3465" s="2">
        <v>3.117104307E9</v>
      </c>
      <c r="F3465" s="2" t="s">
        <v>14108</v>
      </c>
      <c r="G3465" s="2" t="s">
        <v>374</v>
      </c>
      <c r="H3465" s="2">
        <v>3348.0</v>
      </c>
      <c r="I3465" s="2">
        <v>2.0120050022604E13</v>
      </c>
      <c r="J3465" s="3">
        <v>2.0</v>
      </c>
      <c r="K3465" s="2" t="s">
        <v>14109</v>
      </c>
      <c r="L3465" s="2" t="s">
        <v>40</v>
      </c>
      <c r="M3465" s="2" t="s">
        <v>409</v>
      </c>
      <c r="N3465" s="2" t="s">
        <v>462</v>
      </c>
      <c r="O3465" s="3"/>
      <c r="P3465" s="2" t="s">
        <v>73</v>
      </c>
      <c r="Q3465" s="3">
        <v>720.0</v>
      </c>
      <c r="R3465" s="3">
        <v>0.5</v>
      </c>
      <c r="T3465" s="2" t="s">
        <v>11534</v>
      </c>
      <c r="U3465" s="171">
        <v>3348.0</v>
      </c>
      <c r="V3465" s="172">
        <v>46097.0</v>
      </c>
      <c r="W3465" s="3">
        <v>334.0</v>
      </c>
      <c r="X3465" s="172">
        <v>46095.707758159726</v>
      </c>
      <c r="Y3465" s="172">
        <v>46094.31043798611</v>
      </c>
      <c r="Z3465" s="3">
        <v>46094.0</v>
      </c>
      <c r="AA3465" s="2" t="s">
        <v>14032</v>
      </c>
    </row>
    <row r="3466">
      <c r="A3466" s="3">
        <v>6.949991088387E12</v>
      </c>
      <c r="B3466" s="2" t="s">
        <v>14110</v>
      </c>
      <c r="C3466" s="2" t="s">
        <v>14111</v>
      </c>
      <c r="D3466" s="169">
        <v>46094.0</v>
      </c>
      <c r="E3466" s="2">
        <v>3.093310926E9</v>
      </c>
      <c r="F3466" s="2" t="s">
        <v>14112</v>
      </c>
      <c r="G3466" s="2" t="s">
        <v>14113</v>
      </c>
      <c r="H3466" s="2">
        <v>0.0</v>
      </c>
      <c r="J3466" s="3">
        <v>0.0</v>
      </c>
      <c r="K3466" s="2" t="s">
        <v>14114</v>
      </c>
      <c r="L3466" s="2"/>
      <c r="M3466" s="2" t="s">
        <v>468</v>
      </c>
      <c r="N3466" s="2" t="s">
        <v>406</v>
      </c>
      <c r="O3466" s="3"/>
      <c r="Q3466" s="3">
        <v>0.0</v>
      </c>
      <c r="R3466" s="3">
        <v>0.5</v>
      </c>
      <c r="U3466" s="141"/>
      <c r="X3466" s="172"/>
      <c r="Y3466" s="172">
        <v>46094.35209719907</v>
      </c>
      <c r="Z3466" s="3">
        <v>46094.0</v>
      </c>
      <c r="AA3466" s="2" t="s">
        <v>14041</v>
      </c>
    </row>
    <row r="3467">
      <c r="A3467" s="3">
        <v>6.949992792323E12</v>
      </c>
      <c r="B3467" s="2" t="s">
        <v>14115</v>
      </c>
      <c r="C3467" s="2" t="s">
        <v>14111</v>
      </c>
      <c r="D3467" s="169">
        <v>46094.0</v>
      </c>
      <c r="E3467" s="2">
        <v>3.093310926E9</v>
      </c>
      <c r="F3467" s="2" t="s">
        <v>14112</v>
      </c>
      <c r="G3467" s="2" t="s">
        <v>14113</v>
      </c>
      <c r="H3467" s="2">
        <v>249.0</v>
      </c>
      <c r="I3467" s="2">
        <v>2.4120050022603E13</v>
      </c>
      <c r="J3467" s="3">
        <v>0.0</v>
      </c>
      <c r="K3467" s="2" t="s">
        <v>14116</v>
      </c>
      <c r="L3467" s="2"/>
      <c r="M3467" s="170" t="s">
        <v>455</v>
      </c>
      <c r="N3467" s="2" t="s">
        <v>406</v>
      </c>
      <c r="O3467" s="3"/>
      <c r="P3467" s="2" t="s">
        <v>73</v>
      </c>
      <c r="Q3467" s="3">
        <v>0.0</v>
      </c>
      <c r="R3467" s="3">
        <v>0.5</v>
      </c>
      <c r="U3467" s="141"/>
      <c r="W3467" s="3">
        <v>220.0</v>
      </c>
      <c r="X3467" s="172">
        <v>46110.58263877315</v>
      </c>
      <c r="Y3467" s="172">
        <v>46094.35209719907</v>
      </c>
      <c r="Z3467" s="3">
        <v>46094.0</v>
      </c>
      <c r="AA3467" s="2" t="s">
        <v>14041</v>
      </c>
    </row>
    <row r="3468">
      <c r="A3468" s="3">
        <v>6.950017827075E12</v>
      </c>
      <c r="B3468" s="2" t="s">
        <v>14117</v>
      </c>
      <c r="C3468" s="2" t="s">
        <v>14118</v>
      </c>
      <c r="D3468" s="169">
        <v>46094.0</v>
      </c>
      <c r="E3468" s="2">
        <v>3.303800414E9</v>
      </c>
      <c r="F3468" s="2" t="s">
        <v>14119</v>
      </c>
      <c r="G3468" s="2" t="s">
        <v>493</v>
      </c>
      <c r="H3468" s="2">
        <v>3348.0</v>
      </c>
      <c r="I3468" s="2">
        <v>2.0120050022588E13</v>
      </c>
      <c r="J3468" s="3">
        <v>2.0</v>
      </c>
      <c r="K3468" s="2" t="s">
        <v>13072</v>
      </c>
      <c r="L3468" s="2" t="s">
        <v>27</v>
      </c>
      <c r="M3468" s="2" t="s">
        <v>409</v>
      </c>
      <c r="N3468" s="2" t="s">
        <v>462</v>
      </c>
      <c r="O3468" s="3"/>
      <c r="P3468" s="2" t="s">
        <v>73</v>
      </c>
      <c r="Q3468" s="3">
        <v>720.0</v>
      </c>
      <c r="R3468" s="3">
        <v>0.5</v>
      </c>
      <c r="T3468" s="2" t="s">
        <v>12177</v>
      </c>
      <c r="U3468" s="171">
        <v>3348.0</v>
      </c>
      <c r="V3468" s="172">
        <v>46105.0</v>
      </c>
      <c r="W3468" s="3">
        <v>347.0</v>
      </c>
      <c r="X3468" s="172">
        <v>46097.7078927199</v>
      </c>
      <c r="Y3468" s="172">
        <v>46094.393769918985</v>
      </c>
      <c r="Z3468" s="3">
        <v>46094.0</v>
      </c>
      <c r="AA3468" s="2" t="s">
        <v>14022</v>
      </c>
    </row>
    <row r="3469">
      <c r="A3469" s="3">
        <v>6.950068912387E12</v>
      </c>
      <c r="B3469" s="2" t="s">
        <v>14120</v>
      </c>
      <c r="C3469" s="2" t="s">
        <v>14121</v>
      </c>
      <c r="D3469" s="169">
        <v>46094.0</v>
      </c>
      <c r="E3469" s="173" t="s">
        <v>14122</v>
      </c>
      <c r="F3469" s="2" t="s">
        <v>14123</v>
      </c>
      <c r="G3469" s="2" t="s">
        <v>546</v>
      </c>
      <c r="H3469" s="2">
        <v>1499.0</v>
      </c>
      <c r="I3469" s="2">
        <v>2.6120050022587E13</v>
      </c>
      <c r="J3469" s="3">
        <v>1.0</v>
      </c>
      <c r="K3469" s="2" t="s">
        <v>14124</v>
      </c>
      <c r="L3469" s="2" t="s">
        <v>2574</v>
      </c>
      <c r="M3469" s="2" t="s">
        <v>409</v>
      </c>
      <c r="N3469" s="2" t="s">
        <v>462</v>
      </c>
      <c r="O3469" s="3"/>
      <c r="P3469" s="2" t="s">
        <v>73</v>
      </c>
      <c r="Q3469" s="3">
        <v>750.0</v>
      </c>
      <c r="R3469" s="3">
        <v>0.5</v>
      </c>
      <c r="T3469" s="2" t="s">
        <v>12177</v>
      </c>
      <c r="U3469" s="171">
        <v>1499.0</v>
      </c>
      <c r="V3469" s="172">
        <v>46105.0</v>
      </c>
      <c r="W3469" s="3">
        <v>260.0</v>
      </c>
      <c r="X3469" s="172">
        <v>46097.582957199076</v>
      </c>
      <c r="Y3469" s="172">
        <v>46094.4355233449</v>
      </c>
      <c r="Z3469" s="3">
        <v>46094.0</v>
      </c>
      <c r="AA3469" s="2" t="s">
        <v>14032</v>
      </c>
    </row>
    <row r="3470">
      <c r="A3470" s="3">
        <v>6.950105809155E12</v>
      </c>
      <c r="B3470" s="2" t="s">
        <v>14125</v>
      </c>
      <c r="C3470" s="2" t="s">
        <v>14126</v>
      </c>
      <c r="D3470" s="169">
        <v>46094.0</v>
      </c>
      <c r="E3470" s="2">
        <v>3.216147806E9</v>
      </c>
      <c r="F3470" s="2" t="s">
        <v>14127</v>
      </c>
      <c r="G3470" s="2" t="s">
        <v>688</v>
      </c>
      <c r="H3470" s="2">
        <v>5199.0</v>
      </c>
      <c r="I3470" s="2">
        <v>2.3120050022602E13</v>
      </c>
      <c r="J3470" s="3">
        <v>3.0</v>
      </c>
      <c r="K3470" s="2" t="s">
        <v>14128</v>
      </c>
      <c r="L3470" s="2" t="s">
        <v>14129</v>
      </c>
      <c r="M3470" s="2" t="s">
        <v>409</v>
      </c>
      <c r="N3470" s="2" t="s">
        <v>462</v>
      </c>
      <c r="O3470" s="3"/>
      <c r="P3470" s="2" t="s">
        <v>73</v>
      </c>
      <c r="Q3470" s="3">
        <v>1650.0</v>
      </c>
      <c r="R3470" s="3">
        <v>0.5</v>
      </c>
      <c r="T3470" s="2" t="s">
        <v>12177</v>
      </c>
      <c r="U3470" s="171">
        <v>5199.0</v>
      </c>
      <c r="V3470" s="172">
        <v>46105.0</v>
      </c>
      <c r="W3470" s="3">
        <v>428.0</v>
      </c>
      <c r="X3470" s="172">
        <v>46097.66624770833</v>
      </c>
      <c r="Y3470" s="172">
        <v>46094.47707393518</v>
      </c>
      <c r="Z3470" s="3">
        <v>46094.0</v>
      </c>
      <c r="AA3470" s="2" t="s">
        <v>14041</v>
      </c>
    </row>
    <row r="3471">
      <c r="A3471" s="3">
        <v>6.950107021571E12</v>
      </c>
      <c r="B3471" s="2" t="s">
        <v>14130</v>
      </c>
      <c r="C3471" s="2" t="s">
        <v>14131</v>
      </c>
      <c r="D3471" s="169">
        <v>46094.0</v>
      </c>
      <c r="E3471" s="2">
        <v>3.206012238E9</v>
      </c>
      <c r="F3471" s="2" t="s">
        <v>14132</v>
      </c>
      <c r="G3471" s="2" t="s">
        <v>688</v>
      </c>
      <c r="H3471" s="2">
        <v>2199.0</v>
      </c>
      <c r="I3471" s="2">
        <v>2.9120050022601E13</v>
      </c>
      <c r="J3471" s="3">
        <v>1.0</v>
      </c>
      <c r="K3471" s="2" t="s">
        <v>14133</v>
      </c>
      <c r="L3471" s="2" t="s">
        <v>243</v>
      </c>
      <c r="M3471" s="2" t="s">
        <v>409</v>
      </c>
      <c r="N3471" s="2" t="s">
        <v>462</v>
      </c>
      <c r="O3471" s="3"/>
      <c r="P3471" s="2" t="s">
        <v>73</v>
      </c>
      <c r="Q3471" s="3">
        <v>360.0</v>
      </c>
      <c r="R3471" s="3">
        <v>0.5</v>
      </c>
      <c r="T3471" s="2" t="s">
        <v>11534</v>
      </c>
      <c r="U3471" s="171">
        <v>2199.0</v>
      </c>
      <c r="V3471" s="172">
        <v>46097.0</v>
      </c>
      <c r="W3471" s="3">
        <v>288.0</v>
      </c>
      <c r="X3471" s="172">
        <v>46096.70783777778</v>
      </c>
      <c r="Y3471" s="172">
        <v>46094.47707393518</v>
      </c>
      <c r="Z3471" s="3">
        <v>46094.0</v>
      </c>
      <c r="AA3471" s="2" t="s">
        <v>14041</v>
      </c>
    </row>
    <row r="3472">
      <c r="A3472" s="3">
        <v>6.950141788419E12</v>
      </c>
      <c r="B3472" s="2" t="s">
        <v>14134</v>
      </c>
      <c r="C3472" s="2" t="s">
        <v>13987</v>
      </c>
      <c r="D3472" s="169">
        <v>46094.0</v>
      </c>
      <c r="E3472" s="173" t="s">
        <v>14135</v>
      </c>
      <c r="F3472" s="2" t="s">
        <v>13988</v>
      </c>
      <c r="G3472" s="2" t="s">
        <v>541</v>
      </c>
      <c r="H3472" s="2">
        <v>249.0</v>
      </c>
      <c r="I3472" s="2">
        <v>2.51200500226E13</v>
      </c>
      <c r="J3472" s="3">
        <v>0.0</v>
      </c>
      <c r="K3472" s="2" t="s">
        <v>204</v>
      </c>
      <c r="L3472" s="2"/>
      <c r="M3472" s="2" t="s">
        <v>409</v>
      </c>
      <c r="N3472" s="2" t="s">
        <v>462</v>
      </c>
      <c r="O3472" s="3"/>
      <c r="P3472" s="2" t="s">
        <v>73</v>
      </c>
      <c r="Q3472" s="3">
        <v>0.0</v>
      </c>
      <c r="R3472" s="3">
        <v>0.5</v>
      </c>
      <c r="U3472" s="171">
        <v>249.0</v>
      </c>
      <c r="X3472" s="172">
        <v>46097.749742025466</v>
      </c>
      <c r="Y3472" s="172">
        <v>46094.47707393518</v>
      </c>
      <c r="Z3472" s="3">
        <v>46094.0</v>
      </c>
      <c r="AA3472" s="2" t="s">
        <v>14053</v>
      </c>
    </row>
    <row r="3473">
      <c r="A3473" s="3">
        <v>6.950177440003E12</v>
      </c>
      <c r="B3473" s="2" t="s">
        <v>14136</v>
      </c>
      <c r="C3473" s="2" t="s">
        <v>14137</v>
      </c>
      <c r="D3473" s="169">
        <v>46094.0</v>
      </c>
      <c r="E3473" s="173" t="s">
        <v>14138</v>
      </c>
      <c r="F3473" s="2" t="s">
        <v>14139</v>
      </c>
      <c r="G3473" s="2" t="s">
        <v>11814</v>
      </c>
      <c r="H3473" s="2">
        <v>249.0</v>
      </c>
      <c r="I3473" s="2">
        <v>2.1120050022598E13</v>
      </c>
      <c r="J3473" s="3">
        <v>0.0</v>
      </c>
      <c r="K3473" s="2" t="s">
        <v>14140</v>
      </c>
      <c r="L3473" s="2"/>
      <c r="M3473" s="170" t="s">
        <v>455</v>
      </c>
      <c r="N3473" s="2" t="s">
        <v>406</v>
      </c>
      <c r="O3473" s="3"/>
      <c r="P3473" s="2" t="s">
        <v>73</v>
      </c>
      <c r="Q3473" s="3">
        <v>0.0</v>
      </c>
      <c r="R3473" s="3">
        <v>0.5</v>
      </c>
      <c r="U3473" s="141"/>
      <c r="W3473" s="3">
        <v>200.1</v>
      </c>
      <c r="X3473" s="172">
        <v>46113.91595322917</v>
      </c>
      <c r="Y3473" s="172">
        <v>46094.51876982639</v>
      </c>
      <c r="Z3473" s="3">
        <v>46094.0</v>
      </c>
      <c r="AA3473" s="2" t="s">
        <v>14032</v>
      </c>
    </row>
    <row r="3474">
      <c r="A3474" s="3">
        <v>6.950187598083E12</v>
      </c>
      <c r="B3474" s="2" t="s">
        <v>14141</v>
      </c>
      <c r="C3474" s="2" t="s">
        <v>14142</v>
      </c>
      <c r="D3474" s="169">
        <v>46094.0</v>
      </c>
      <c r="E3474" s="173" t="s">
        <v>14143</v>
      </c>
      <c r="F3474" s="2" t="s">
        <v>14144</v>
      </c>
      <c r="G3474" s="2" t="s">
        <v>14145</v>
      </c>
      <c r="H3474" s="2">
        <v>1799.0</v>
      </c>
      <c r="I3474" s="2">
        <v>2.6120050022597E13</v>
      </c>
      <c r="J3474" s="3">
        <v>1.0</v>
      </c>
      <c r="K3474" s="2" t="s">
        <v>13375</v>
      </c>
      <c r="L3474" s="2" t="s">
        <v>2154</v>
      </c>
      <c r="M3474" s="2" t="s">
        <v>409</v>
      </c>
      <c r="N3474" s="2" t="s">
        <v>462</v>
      </c>
      <c r="O3474" s="3"/>
      <c r="P3474" s="2" t="s">
        <v>73</v>
      </c>
      <c r="Q3474" s="3">
        <v>490.0</v>
      </c>
      <c r="R3474" s="3">
        <v>0.5</v>
      </c>
      <c r="T3474" s="2" t="s">
        <v>12177</v>
      </c>
      <c r="U3474" s="171">
        <v>1799.0</v>
      </c>
      <c r="V3474" s="172">
        <v>46105.0</v>
      </c>
      <c r="W3474" s="3">
        <v>179.0</v>
      </c>
      <c r="X3474" s="172">
        <v>46100.49947030093</v>
      </c>
      <c r="Y3474" s="172">
        <v>46094.51876982639</v>
      </c>
      <c r="Z3474" s="3">
        <v>46094.0</v>
      </c>
      <c r="AA3474" s="2" t="s">
        <v>14053</v>
      </c>
    </row>
    <row r="3475">
      <c r="A3475" s="3">
        <v>6.950192218371E12</v>
      </c>
      <c r="B3475" s="2" t="s">
        <v>14146</v>
      </c>
      <c r="C3475" s="2" t="s">
        <v>14147</v>
      </c>
      <c r="D3475" s="169">
        <v>46094.0</v>
      </c>
      <c r="E3475" s="2">
        <v>3.335382493E9</v>
      </c>
      <c r="F3475" s="2" t="s">
        <v>14148</v>
      </c>
      <c r="G3475" s="2" t="s">
        <v>366</v>
      </c>
      <c r="H3475" s="2">
        <v>3348.0</v>
      </c>
      <c r="I3475" s="2">
        <v>2.5120050022596E13</v>
      </c>
      <c r="J3475" s="3">
        <v>2.0</v>
      </c>
      <c r="K3475" s="2" t="s">
        <v>13072</v>
      </c>
      <c r="L3475" s="2" t="s">
        <v>50</v>
      </c>
      <c r="M3475" s="2" t="s">
        <v>409</v>
      </c>
      <c r="N3475" s="2" t="s">
        <v>462</v>
      </c>
      <c r="O3475" s="3"/>
      <c r="P3475" s="2" t="s">
        <v>73</v>
      </c>
      <c r="Q3475" s="3">
        <v>720.0</v>
      </c>
      <c r="R3475" s="3">
        <v>0.5</v>
      </c>
      <c r="T3475" s="2" t="s">
        <v>12177</v>
      </c>
      <c r="U3475" s="171">
        <v>3348.0</v>
      </c>
      <c r="V3475" s="172">
        <v>46105.0</v>
      </c>
      <c r="W3475" s="3">
        <v>334.0</v>
      </c>
      <c r="X3475" s="172">
        <v>46097.582957384264</v>
      </c>
      <c r="Y3475" s="172">
        <v>46094.560429791665</v>
      </c>
      <c r="Z3475" s="3">
        <v>46094.0</v>
      </c>
      <c r="AA3475" s="2" t="s">
        <v>14022</v>
      </c>
    </row>
    <row r="3476">
      <c r="A3476" s="3">
        <v>6.950209847555E12</v>
      </c>
      <c r="B3476" s="2" t="s">
        <v>14149</v>
      </c>
      <c r="C3476" s="2" t="s">
        <v>14150</v>
      </c>
      <c r="D3476" s="169">
        <v>46094.0</v>
      </c>
      <c r="E3476" s="173" t="s">
        <v>14151</v>
      </c>
      <c r="F3476" s="2" t="s">
        <v>14152</v>
      </c>
      <c r="G3476" s="2" t="s">
        <v>9905</v>
      </c>
      <c r="H3476" s="2">
        <v>250.0</v>
      </c>
      <c r="I3476" s="2">
        <v>2.7120050022586E13</v>
      </c>
      <c r="J3476" s="3">
        <v>0.0</v>
      </c>
      <c r="K3476" s="2" t="s">
        <v>14153</v>
      </c>
      <c r="L3476" s="2"/>
      <c r="M3476" s="170" t="s">
        <v>455</v>
      </c>
      <c r="N3476" s="2" t="s">
        <v>406</v>
      </c>
      <c r="O3476" s="3"/>
      <c r="P3476" s="2" t="s">
        <v>73</v>
      </c>
      <c r="Q3476" s="3">
        <v>0.0</v>
      </c>
      <c r="R3476" s="3">
        <v>0.5</v>
      </c>
      <c r="U3476" s="141"/>
      <c r="W3476" s="3">
        <v>313.49</v>
      </c>
      <c r="X3476" s="172">
        <v>46113.915953240736</v>
      </c>
      <c r="Y3476" s="172">
        <v>46094.560429791665</v>
      </c>
      <c r="Z3476" s="3">
        <v>46094.0</v>
      </c>
      <c r="AA3476" s="2" t="s">
        <v>14026</v>
      </c>
    </row>
    <row r="3477">
      <c r="A3477" s="3">
        <v>6.950213910787E12</v>
      </c>
      <c r="B3477" s="2" t="s">
        <v>14154</v>
      </c>
      <c r="C3477" s="2" t="s">
        <v>14155</v>
      </c>
      <c r="D3477" s="169">
        <v>46094.0</v>
      </c>
      <c r="E3477" s="173" t="s">
        <v>14156</v>
      </c>
      <c r="F3477" s="2" t="s">
        <v>14157</v>
      </c>
      <c r="G3477" s="2" t="s">
        <v>14158</v>
      </c>
      <c r="H3477" s="2">
        <v>249.0</v>
      </c>
      <c r="I3477" s="2" t="s">
        <v>14159</v>
      </c>
      <c r="J3477" s="3">
        <v>0.0</v>
      </c>
      <c r="K3477" s="2" t="s">
        <v>369</v>
      </c>
      <c r="L3477" s="2"/>
      <c r="M3477" s="170" t="s">
        <v>455</v>
      </c>
      <c r="N3477" s="2" t="s">
        <v>406</v>
      </c>
      <c r="O3477" s="3"/>
      <c r="P3477" s="2" t="s">
        <v>640</v>
      </c>
      <c r="Q3477" s="3">
        <v>0.0</v>
      </c>
      <c r="R3477" s="3">
        <v>0.5</v>
      </c>
      <c r="U3477" s="141"/>
      <c r="X3477" s="172">
        <v>46122.08275893518</v>
      </c>
      <c r="Y3477" s="172">
        <v>46094.560429791665</v>
      </c>
      <c r="Z3477" s="3">
        <v>46094.0</v>
      </c>
      <c r="AA3477" s="2" t="s">
        <v>14026</v>
      </c>
    </row>
    <row r="3478">
      <c r="A3478" s="3">
        <v>6.950219710723E12</v>
      </c>
      <c r="B3478" s="2" t="s">
        <v>14160</v>
      </c>
      <c r="C3478" s="2" t="s">
        <v>14161</v>
      </c>
      <c r="D3478" s="169">
        <v>46094.0</v>
      </c>
      <c r="E3478" s="173" t="s">
        <v>14162</v>
      </c>
      <c r="F3478" s="2" t="s">
        <v>14163</v>
      </c>
      <c r="G3478" s="2" t="s">
        <v>541</v>
      </c>
      <c r="H3478" s="2">
        <v>3347.0</v>
      </c>
      <c r="I3478" s="2">
        <v>2.9120050022595E13</v>
      </c>
      <c r="J3478" s="3">
        <v>2.0</v>
      </c>
      <c r="K3478" s="2" t="s">
        <v>13786</v>
      </c>
      <c r="L3478" s="2" t="s">
        <v>22</v>
      </c>
      <c r="M3478" s="2" t="s">
        <v>409</v>
      </c>
      <c r="N3478" s="2" t="s">
        <v>462</v>
      </c>
      <c r="O3478" s="3"/>
      <c r="P3478" s="2" t="s">
        <v>73</v>
      </c>
      <c r="Q3478" s="3">
        <v>800.0</v>
      </c>
      <c r="R3478" s="3">
        <v>0.5</v>
      </c>
      <c r="T3478" s="2" t="s">
        <v>12177</v>
      </c>
      <c r="U3478" s="171">
        <v>3347.0</v>
      </c>
      <c r="V3478" s="172">
        <v>46105.0</v>
      </c>
      <c r="W3478" s="3">
        <v>334.0</v>
      </c>
      <c r="X3478" s="172">
        <v>46097.749743645836</v>
      </c>
      <c r="Y3478" s="172">
        <v>46094.560429791665</v>
      </c>
      <c r="Z3478" s="3">
        <v>46094.0</v>
      </c>
      <c r="AA3478" s="2" t="s">
        <v>14026</v>
      </c>
    </row>
    <row r="3479">
      <c r="A3479" s="3">
        <v>6.950226559235E12</v>
      </c>
      <c r="B3479" s="2" t="s">
        <v>14164</v>
      </c>
      <c r="C3479" s="2" t="s">
        <v>14165</v>
      </c>
      <c r="D3479" s="169">
        <v>46094.0</v>
      </c>
      <c r="E3479" s="173" t="s">
        <v>14166</v>
      </c>
      <c r="F3479" s="2" t="s">
        <v>14167</v>
      </c>
      <c r="G3479" s="2" t="s">
        <v>14168</v>
      </c>
      <c r="H3479" s="2">
        <v>250.0</v>
      </c>
      <c r="I3479" s="2">
        <v>2.8120050022594E13</v>
      </c>
      <c r="J3479" s="3">
        <v>0.0</v>
      </c>
      <c r="K3479" s="2" t="s">
        <v>14169</v>
      </c>
      <c r="L3479" s="2"/>
      <c r="M3479" s="170" t="s">
        <v>455</v>
      </c>
      <c r="N3479" s="2" t="s">
        <v>406</v>
      </c>
      <c r="O3479" s="3"/>
      <c r="P3479" s="2" t="s">
        <v>73</v>
      </c>
      <c r="Q3479" s="3">
        <v>0.0</v>
      </c>
      <c r="R3479" s="3">
        <v>0.5</v>
      </c>
      <c r="U3479" s="141"/>
      <c r="W3479" s="3">
        <v>220.11</v>
      </c>
      <c r="X3479" s="172">
        <v>46107.874454467594</v>
      </c>
      <c r="Y3479" s="172">
        <v>46094.60208466435</v>
      </c>
      <c r="Z3479" s="3">
        <v>46094.0</v>
      </c>
      <c r="AA3479" s="2" t="s">
        <v>14026</v>
      </c>
    </row>
    <row r="3480">
      <c r="A3480" s="3">
        <v>6.950261195011E12</v>
      </c>
      <c r="B3480" s="2" t="s">
        <v>14170</v>
      </c>
      <c r="C3480" s="2" t="s">
        <v>14171</v>
      </c>
      <c r="D3480" s="169">
        <v>46094.0</v>
      </c>
      <c r="E3480" s="2">
        <v>3.041430109E9</v>
      </c>
      <c r="F3480" s="2" t="s">
        <v>14172</v>
      </c>
      <c r="G3480" s="2" t="s">
        <v>14173</v>
      </c>
      <c r="H3480" s="2">
        <v>3348.0</v>
      </c>
      <c r="J3480" s="3">
        <v>2.0</v>
      </c>
      <c r="K3480" s="2" t="s">
        <v>537</v>
      </c>
      <c r="L3480" s="2" t="s">
        <v>27</v>
      </c>
      <c r="M3480" s="2" t="s">
        <v>406</v>
      </c>
      <c r="N3480" s="2" t="s">
        <v>406</v>
      </c>
      <c r="O3480" s="3"/>
      <c r="Q3480" s="3">
        <v>720.0</v>
      </c>
      <c r="R3480" s="3">
        <v>0.5</v>
      </c>
      <c r="U3480" s="141"/>
      <c r="X3480" s="172"/>
      <c r="Y3480" s="172">
        <v>46094.60208466435</v>
      </c>
      <c r="Z3480" s="3">
        <v>46094.0</v>
      </c>
      <c r="AA3480" s="2" t="s">
        <v>14041</v>
      </c>
    </row>
    <row r="3481">
      <c r="A3481" s="3">
        <v>6.950273024259E12</v>
      </c>
      <c r="B3481" s="2" t="s">
        <v>14174</v>
      </c>
      <c r="C3481" s="2" t="s">
        <v>14175</v>
      </c>
      <c r="D3481" s="169">
        <v>46094.0</v>
      </c>
      <c r="E3481" s="2">
        <v>3.115785499E9</v>
      </c>
      <c r="F3481" s="2" t="s">
        <v>14176</v>
      </c>
      <c r="G3481" s="2" t="s">
        <v>506</v>
      </c>
      <c r="H3481" s="2">
        <v>3348.0</v>
      </c>
      <c r="I3481" s="2">
        <v>2.2120050022593E13</v>
      </c>
      <c r="J3481" s="3">
        <v>2.0</v>
      </c>
      <c r="K3481" s="2" t="s">
        <v>13072</v>
      </c>
      <c r="L3481" s="2" t="s">
        <v>593</v>
      </c>
      <c r="M3481" s="2" t="s">
        <v>409</v>
      </c>
      <c r="N3481" s="2" t="s">
        <v>462</v>
      </c>
      <c r="O3481" s="3"/>
      <c r="P3481" s="2" t="s">
        <v>73</v>
      </c>
      <c r="Q3481" s="3">
        <v>1050.0</v>
      </c>
      <c r="R3481" s="3">
        <v>0.5</v>
      </c>
      <c r="T3481" s="2" t="s">
        <v>12177</v>
      </c>
      <c r="U3481" s="171">
        <v>3348.0</v>
      </c>
      <c r="V3481" s="172">
        <v>46105.0</v>
      </c>
      <c r="W3481" s="3">
        <v>334.0</v>
      </c>
      <c r="X3481" s="172">
        <v>46097.49951366898</v>
      </c>
      <c r="Y3481" s="172">
        <v>46094.643793043986</v>
      </c>
      <c r="Z3481" s="3">
        <v>46094.0</v>
      </c>
      <c r="AA3481" s="2" t="s">
        <v>14032</v>
      </c>
    </row>
    <row r="3482">
      <c r="A3482" s="3">
        <v>6.950275318019E12</v>
      </c>
      <c r="B3482" s="2" t="s">
        <v>14177</v>
      </c>
      <c r="C3482" s="2" t="s">
        <v>14178</v>
      </c>
      <c r="D3482" s="169">
        <v>46094.0</v>
      </c>
      <c r="E3482" s="173" t="s">
        <v>14179</v>
      </c>
      <c r="F3482" s="2" t="s">
        <v>14180</v>
      </c>
      <c r="G3482" s="2" t="s">
        <v>855</v>
      </c>
      <c r="H3482" s="2">
        <v>3099.0</v>
      </c>
      <c r="I3482" s="2">
        <v>2.4120050022592E13</v>
      </c>
      <c r="J3482" s="3">
        <v>2.0</v>
      </c>
      <c r="K3482" s="2" t="s">
        <v>14181</v>
      </c>
      <c r="L3482" s="2" t="s">
        <v>50</v>
      </c>
      <c r="M3482" s="2" t="s">
        <v>409</v>
      </c>
      <c r="N3482" s="2" t="s">
        <v>462</v>
      </c>
      <c r="O3482" s="3"/>
      <c r="P3482" s="2" t="s">
        <v>73</v>
      </c>
      <c r="Q3482" s="3">
        <v>720.0</v>
      </c>
      <c r="R3482" s="3">
        <v>0.5</v>
      </c>
      <c r="T3482" s="2" t="s">
        <v>12177</v>
      </c>
      <c r="U3482" s="171">
        <v>3099.0</v>
      </c>
      <c r="V3482" s="172">
        <v>46105.0</v>
      </c>
      <c r="W3482" s="3">
        <v>324.0</v>
      </c>
      <c r="X3482" s="172">
        <v>46100.54112711806</v>
      </c>
      <c r="Y3482" s="172">
        <v>46094.643793043986</v>
      </c>
      <c r="Z3482" s="3">
        <v>46094.0</v>
      </c>
      <c r="AA3482" s="2" t="s">
        <v>14026</v>
      </c>
    </row>
    <row r="3483">
      <c r="A3483" s="3">
        <v>6.950321520899E12</v>
      </c>
      <c r="B3483" s="2" t="s">
        <v>14182</v>
      </c>
      <c r="C3483" s="2" t="s">
        <v>14183</v>
      </c>
      <c r="D3483" s="169">
        <v>46094.0</v>
      </c>
      <c r="E3483" s="173" t="s">
        <v>14184</v>
      </c>
      <c r="F3483" s="2" t="s">
        <v>14185</v>
      </c>
      <c r="G3483" s="2" t="s">
        <v>493</v>
      </c>
      <c r="H3483" s="2">
        <v>3348.0</v>
      </c>
      <c r="I3483" s="2">
        <v>2.9120050022675E13</v>
      </c>
      <c r="J3483" s="3">
        <v>2.0</v>
      </c>
      <c r="K3483" s="2" t="s">
        <v>13072</v>
      </c>
      <c r="L3483" s="2" t="s">
        <v>275</v>
      </c>
      <c r="M3483" s="2" t="s">
        <v>409</v>
      </c>
      <c r="N3483" s="2" t="s">
        <v>462</v>
      </c>
      <c r="O3483" s="3"/>
      <c r="P3483" s="2" t="s">
        <v>73</v>
      </c>
      <c r="Q3483" s="3">
        <v>800.0</v>
      </c>
      <c r="R3483" s="3">
        <v>0.5</v>
      </c>
      <c r="T3483" s="2" t="s">
        <v>12177</v>
      </c>
      <c r="U3483" s="171">
        <v>3348.0</v>
      </c>
      <c r="V3483" s="172">
        <v>46105.0</v>
      </c>
      <c r="W3483" s="3">
        <v>347.0</v>
      </c>
      <c r="X3483" s="172">
        <v>46099.74959048611</v>
      </c>
      <c r="Y3483" s="172">
        <v>46094.68543763889</v>
      </c>
      <c r="Z3483" s="3">
        <v>46094.0</v>
      </c>
      <c r="AA3483" s="2" t="s">
        <v>14032</v>
      </c>
    </row>
    <row r="3484">
      <c r="A3484" s="3">
        <v>6.950327779587E12</v>
      </c>
      <c r="B3484" s="2" t="s">
        <v>14186</v>
      </c>
      <c r="C3484" s="2" t="s">
        <v>14187</v>
      </c>
      <c r="D3484" s="169">
        <v>46094.0</v>
      </c>
      <c r="E3484" s="2">
        <v>3.455154381E9</v>
      </c>
      <c r="F3484" s="2" t="s">
        <v>14188</v>
      </c>
      <c r="G3484" s="2" t="s">
        <v>4928</v>
      </c>
      <c r="H3484" s="2">
        <v>3348.0</v>
      </c>
      <c r="I3484" s="2">
        <v>2.7120050022674E13</v>
      </c>
      <c r="J3484" s="3">
        <v>2.0</v>
      </c>
      <c r="K3484" s="2" t="s">
        <v>13072</v>
      </c>
      <c r="L3484" s="2" t="s">
        <v>2324</v>
      </c>
      <c r="M3484" s="2" t="s">
        <v>409</v>
      </c>
      <c r="N3484" s="2" t="s">
        <v>462</v>
      </c>
      <c r="O3484" s="3"/>
      <c r="P3484" s="2" t="s">
        <v>73</v>
      </c>
      <c r="Q3484" s="3">
        <v>720.0</v>
      </c>
      <c r="R3484" s="3">
        <v>0.5</v>
      </c>
      <c r="T3484" s="2" t="s">
        <v>12177</v>
      </c>
      <c r="U3484" s="171">
        <v>3348.0</v>
      </c>
      <c r="V3484" s="172">
        <v>46105.0</v>
      </c>
      <c r="W3484" s="3">
        <v>334.0</v>
      </c>
      <c r="X3484" s="172">
        <v>46098.91606773148</v>
      </c>
      <c r="Y3484" s="172">
        <v>46094.68543763889</v>
      </c>
      <c r="Z3484" s="3">
        <v>46094.0</v>
      </c>
      <c r="AA3484" s="2" t="s">
        <v>14022</v>
      </c>
    </row>
    <row r="3485">
      <c r="A3485" s="3">
        <v>6.950344032515E12</v>
      </c>
      <c r="B3485" s="2" t="s">
        <v>14189</v>
      </c>
      <c r="C3485" s="2" t="s">
        <v>12038</v>
      </c>
      <c r="D3485" s="169">
        <v>46094.0</v>
      </c>
      <c r="E3485" s="2">
        <v>3.005018992E9</v>
      </c>
      <c r="F3485" s="2" t="s">
        <v>14190</v>
      </c>
      <c r="G3485" s="2" t="s">
        <v>14191</v>
      </c>
      <c r="H3485" s="2">
        <v>249.0</v>
      </c>
      <c r="I3485" s="2">
        <v>2.6120050022673E13</v>
      </c>
      <c r="J3485" s="3">
        <v>0.0</v>
      </c>
      <c r="K3485" s="2" t="s">
        <v>14192</v>
      </c>
      <c r="L3485" s="2"/>
      <c r="M3485" s="170" t="s">
        <v>455</v>
      </c>
      <c r="N3485" s="2" t="s">
        <v>406</v>
      </c>
      <c r="O3485" s="3"/>
      <c r="P3485" s="2" t="s">
        <v>73</v>
      </c>
      <c r="Q3485" s="3">
        <v>0.0</v>
      </c>
      <c r="R3485" s="3">
        <v>0.5</v>
      </c>
      <c r="U3485" s="141"/>
      <c r="W3485" s="3">
        <v>200.1</v>
      </c>
      <c r="X3485" s="172">
        <v>46113.91595325232</v>
      </c>
      <c r="Y3485" s="172">
        <v>46094.68543765046</v>
      </c>
      <c r="Z3485" s="3">
        <v>46094.0</v>
      </c>
      <c r="AA3485" s="2" t="s">
        <v>14041</v>
      </c>
    </row>
    <row r="3486">
      <c r="A3486" s="3">
        <v>6.950371098883E12</v>
      </c>
      <c r="B3486" s="2" t="s">
        <v>14193</v>
      </c>
      <c r="C3486" s="2" t="s">
        <v>14194</v>
      </c>
      <c r="D3486" s="169">
        <v>46094.0</v>
      </c>
      <c r="E3486" s="2">
        <v>3.305166993E9</v>
      </c>
      <c r="F3486" s="2" t="s">
        <v>14195</v>
      </c>
      <c r="G3486" s="2" t="s">
        <v>506</v>
      </c>
      <c r="H3486" s="2">
        <v>3248.0</v>
      </c>
      <c r="I3486" s="2">
        <v>2.8120050022672E13</v>
      </c>
      <c r="J3486" s="3">
        <v>2.0</v>
      </c>
      <c r="K3486" s="2" t="s">
        <v>14196</v>
      </c>
      <c r="L3486" s="2" t="s">
        <v>16</v>
      </c>
      <c r="M3486" s="2" t="s">
        <v>409</v>
      </c>
      <c r="N3486" s="2" t="s">
        <v>462</v>
      </c>
      <c r="O3486" s="3"/>
      <c r="P3486" s="2" t="s">
        <v>73</v>
      </c>
      <c r="Q3486" s="3">
        <v>980.0</v>
      </c>
      <c r="R3486" s="3">
        <v>0.5</v>
      </c>
      <c r="T3486" s="2" t="s">
        <v>12177</v>
      </c>
      <c r="U3486" s="171">
        <v>3248.0</v>
      </c>
      <c r="V3486" s="172">
        <v>46105.0</v>
      </c>
      <c r="W3486" s="3">
        <v>330.0</v>
      </c>
      <c r="X3486" s="172">
        <v>46099.66609767361</v>
      </c>
      <c r="Y3486" s="172">
        <v>46094.727098460644</v>
      </c>
      <c r="Z3486" s="3">
        <v>46094.0</v>
      </c>
      <c r="AA3486" s="2" t="s">
        <v>14041</v>
      </c>
    </row>
    <row r="3487">
      <c r="A3487" s="3">
        <v>6.950408290563E12</v>
      </c>
      <c r="B3487" s="2" t="s">
        <v>14197</v>
      </c>
      <c r="C3487" s="2" t="s">
        <v>14198</v>
      </c>
      <c r="D3487" s="169">
        <v>46094.0</v>
      </c>
      <c r="E3487" s="173" t="s">
        <v>14199</v>
      </c>
      <c r="F3487" s="2" t="s">
        <v>14200</v>
      </c>
      <c r="G3487" s="2" t="s">
        <v>817</v>
      </c>
      <c r="H3487" s="2">
        <v>3100.0</v>
      </c>
      <c r="I3487" s="2">
        <v>2.2120050022612E13</v>
      </c>
      <c r="J3487" s="3">
        <v>2.0</v>
      </c>
      <c r="K3487" s="2" t="s">
        <v>14201</v>
      </c>
      <c r="L3487" s="2" t="s">
        <v>27</v>
      </c>
      <c r="M3487" s="2" t="s">
        <v>409</v>
      </c>
      <c r="N3487" s="2" t="s">
        <v>462</v>
      </c>
      <c r="O3487" s="3"/>
      <c r="P3487" s="2" t="s">
        <v>73</v>
      </c>
      <c r="Q3487" s="3">
        <v>720.0</v>
      </c>
      <c r="R3487" s="3">
        <v>0.5</v>
      </c>
      <c r="T3487" s="2" t="s">
        <v>12177</v>
      </c>
      <c r="U3487" s="171">
        <v>3100.0</v>
      </c>
      <c r="V3487" s="172">
        <v>46105.0</v>
      </c>
      <c r="W3487" s="3">
        <v>337.0</v>
      </c>
      <c r="X3487" s="172">
        <v>46098.66619695602</v>
      </c>
      <c r="Y3487" s="172">
        <v>46094.768766215275</v>
      </c>
      <c r="Z3487" s="3">
        <v>46094.0</v>
      </c>
      <c r="AA3487" s="2" t="s">
        <v>14026</v>
      </c>
    </row>
    <row r="3488">
      <c r="A3488" s="3">
        <v>6.950410060035E12</v>
      </c>
      <c r="B3488" s="2" t="s">
        <v>14202</v>
      </c>
      <c r="C3488" s="2" t="s">
        <v>5193</v>
      </c>
      <c r="D3488" s="169">
        <v>46094.0</v>
      </c>
      <c r="E3488" s="2">
        <v>3.200889005E9</v>
      </c>
      <c r="F3488" s="2" t="s">
        <v>13034</v>
      </c>
      <c r="G3488" s="2" t="s">
        <v>368</v>
      </c>
      <c r="H3488" s="2">
        <v>2750.0</v>
      </c>
      <c r="I3488" s="2">
        <v>2.8120050022611E13</v>
      </c>
      <c r="J3488" s="3">
        <v>2.0</v>
      </c>
      <c r="K3488" s="2" t="s">
        <v>14203</v>
      </c>
      <c r="L3488" s="2" t="s">
        <v>14204</v>
      </c>
      <c r="M3488" s="2" t="s">
        <v>409</v>
      </c>
      <c r="N3488" s="2" t="s">
        <v>462</v>
      </c>
      <c r="O3488" s="3"/>
      <c r="P3488" s="2" t="s">
        <v>73</v>
      </c>
      <c r="Q3488" s="3">
        <v>1500.0</v>
      </c>
      <c r="R3488" s="3">
        <v>0.5</v>
      </c>
      <c r="T3488" s="2" t="s">
        <v>11534</v>
      </c>
      <c r="U3488" s="171">
        <v>2750.0</v>
      </c>
      <c r="V3488" s="172">
        <v>46097.0</v>
      </c>
      <c r="W3488" s="3">
        <v>117.0</v>
      </c>
      <c r="X3488" s="172">
        <v>46096.74949076389</v>
      </c>
      <c r="Y3488" s="172">
        <v>46094.768766215275</v>
      </c>
      <c r="Z3488" s="3">
        <v>46094.0</v>
      </c>
      <c r="AA3488" s="2" t="s">
        <v>14026</v>
      </c>
    </row>
    <row r="3489">
      <c r="A3489" s="3">
        <v>6.950450856195E12</v>
      </c>
      <c r="B3489" s="2" t="s">
        <v>14205</v>
      </c>
      <c r="C3489" s="2" t="s">
        <v>14206</v>
      </c>
      <c r="D3489" s="169">
        <v>46094.0</v>
      </c>
      <c r="E3489" s="173" t="s">
        <v>14207</v>
      </c>
      <c r="F3489" s="2" t="s">
        <v>14208</v>
      </c>
      <c r="G3489" s="2" t="s">
        <v>2457</v>
      </c>
      <c r="H3489" s="2">
        <v>3348.0</v>
      </c>
      <c r="I3489" s="2">
        <v>2.6120050022671E13</v>
      </c>
      <c r="J3489" s="3">
        <v>2.0</v>
      </c>
      <c r="K3489" s="2" t="s">
        <v>13072</v>
      </c>
      <c r="L3489" s="2" t="s">
        <v>228</v>
      </c>
      <c r="M3489" s="2" t="s">
        <v>409</v>
      </c>
      <c r="N3489" s="2" t="s">
        <v>462</v>
      </c>
      <c r="O3489" s="3"/>
      <c r="P3489" s="2" t="s">
        <v>73</v>
      </c>
      <c r="Q3489" s="3">
        <v>720.0</v>
      </c>
      <c r="R3489" s="3">
        <v>0.5</v>
      </c>
      <c r="T3489" s="2" t="s">
        <v>12177</v>
      </c>
      <c r="U3489" s="171">
        <v>3348.0</v>
      </c>
      <c r="V3489" s="172">
        <v>46105.0</v>
      </c>
      <c r="W3489" s="3">
        <v>347.0</v>
      </c>
      <c r="X3489" s="172">
        <v>46098.624557118055</v>
      </c>
      <c r="Y3489" s="172">
        <v>46094.810457141204</v>
      </c>
      <c r="Z3489" s="3">
        <v>46094.0</v>
      </c>
      <c r="AA3489" s="2" t="s">
        <v>14032</v>
      </c>
    </row>
    <row r="3490">
      <c r="A3490" s="3">
        <v>6.950470189315E12</v>
      </c>
      <c r="B3490" s="2" t="s">
        <v>14209</v>
      </c>
      <c r="C3490" s="2" t="s">
        <v>12752</v>
      </c>
      <c r="D3490" s="169">
        <v>46094.0</v>
      </c>
      <c r="E3490" s="173" t="s">
        <v>12753</v>
      </c>
      <c r="F3490" s="2" t="s">
        <v>12754</v>
      </c>
      <c r="G3490" s="2" t="s">
        <v>493</v>
      </c>
      <c r="H3490" s="2">
        <v>3347.0</v>
      </c>
      <c r="I3490" s="2">
        <v>2.412005002261E13</v>
      </c>
      <c r="J3490" s="3">
        <v>2.0</v>
      </c>
      <c r="K3490" s="2" t="s">
        <v>14210</v>
      </c>
      <c r="L3490" s="2" t="s">
        <v>1116</v>
      </c>
      <c r="M3490" s="2" t="s">
        <v>409</v>
      </c>
      <c r="N3490" s="2" t="s">
        <v>462</v>
      </c>
      <c r="O3490" s="3"/>
      <c r="P3490" s="2" t="s">
        <v>73</v>
      </c>
      <c r="Q3490" s="3">
        <v>800.0</v>
      </c>
      <c r="R3490" s="3">
        <v>0.5</v>
      </c>
      <c r="T3490" s="2" t="s">
        <v>12177</v>
      </c>
      <c r="U3490" s="171">
        <v>3347.0</v>
      </c>
      <c r="V3490" s="172">
        <v>46105.0</v>
      </c>
      <c r="W3490" s="3">
        <v>223.0</v>
      </c>
      <c r="X3490" s="172">
        <v>46100.66606609954</v>
      </c>
      <c r="Y3490" s="172">
        <v>46094.810457141204</v>
      </c>
      <c r="Z3490" s="3">
        <v>46094.0</v>
      </c>
      <c r="AA3490" s="2" t="s">
        <v>14026</v>
      </c>
    </row>
    <row r="3491">
      <c r="A3491" s="3">
        <v>6.950484672771E12</v>
      </c>
      <c r="B3491" s="2" t="s">
        <v>14211</v>
      </c>
      <c r="C3491" s="2" t="s">
        <v>14212</v>
      </c>
      <c r="D3491" s="169">
        <v>46094.0</v>
      </c>
      <c r="E3491" s="2">
        <v>3.125321104E9</v>
      </c>
      <c r="F3491" s="2" t="s">
        <v>14213</v>
      </c>
      <c r="G3491" s="2" t="s">
        <v>366</v>
      </c>
      <c r="H3491" s="2">
        <v>3348.0</v>
      </c>
      <c r="I3491" s="2">
        <v>2.812005002267E13</v>
      </c>
      <c r="J3491" s="3">
        <v>2.0</v>
      </c>
      <c r="K3491" s="2" t="s">
        <v>13072</v>
      </c>
      <c r="L3491" s="2" t="s">
        <v>1116</v>
      </c>
      <c r="M3491" s="2" t="s">
        <v>409</v>
      </c>
      <c r="N3491" s="2" t="s">
        <v>462</v>
      </c>
      <c r="O3491" s="3"/>
      <c r="P3491" s="2" t="s">
        <v>73</v>
      </c>
      <c r="Q3491" s="3">
        <v>800.0</v>
      </c>
      <c r="R3491" s="3">
        <v>0.5</v>
      </c>
      <c r="T3491" s="2" t="s">
        <v>12177</v>
      </c>
      <c r="U3491" s="171">
        <v>3348.0</v>
      </c>
      <c r="V3491" s="172">
        <v>46105.0</v>
      </c>
      <c r="W3491" s="3">
        <v>334.0</v>
      </c>
      <c r="X3491" s="172">
        <v>46097.58295776621</v>
      </c>
      <c r="Y3491" s="172">
        <v>46094.810457141204</v>
      </c>
      <c r="Z3491" s="3">
        <v>46094.0</v>
      </c>
      <c r="AA3491" s="2" t="s">
        <v>14022</v>
      </c>
    </row>
    <row r="3492">
      <c r="A3492" s="3">
        <v>6.950505185539E12</v>
      </c>
      <c r="B3492" s="2" t="s">
        <v>14214</v>
      </c>
      <c r="C3492" s="2" t="s">
        <v>14215</v>
      </c>
      <c r="D3492" s="169">
        <v>46094.0</v>
      </c>
      <c r="E3492" s="173" t="s">
        <v>14216</v>
      </c>
      <c r="F3492" s="2" t="s">
        <v>14217</v>
      </c>
      <c r="G3492" s="2">
        <v>3.049425303E9</v>
      </c>
      <c r="H3492" s="2">
        <v>250.0</v>
      </c>
      <c r="I3492" s="2" t="s">
        <v>14218</v>
      </c>
      <c r="J3492" s="3">
        <v>0.0</v>
      </c>
      <c r="K3492" s="2" t="s">
        <v>369</v>
      </c>
      <c r="L3492" s="2"/>
      <c r="M3492" s="170" t="s">
        <v>455</v>
      </c>
      <c r="N3492" s="2" t="s">
        <v>406</v>
      </c>
      <c r="O3492" s="3"/>
      <c r="P3492" s="2" t="s">
        <v>640</v>
      </c>
      <c r="Q3492" s="3">
        <v>0.0</v>
      </c>
      <c r="R3492" s="3">
        <v>0.5</v>
      </c>
      <c r="U3492" s="141"/>
      <c r="X3492" s="172">
        <v>46130.082693819444</v>
      </c>
      <c r="Y3492" s="172">
        <v>46094.810457141204</v>
      </c>
      <c r="Z3492" s="3">
        <v>46094.0</v>
      </c>
      <c r="AA3492" s="2" t="s">
        <v>14026</v>
      </c>
    </row>
    <row r="3493">
      <c r="A3493" s="3">
        <v>6.950552502531E12</v>
      </c>
      <c r="B3493" s="2" t="s">
        <v>14219</v>
      </c>
      <c r="C3493" s="2" t="s">
        <v>14220</v>
      </c>
      <c r="D3493" s="169">
        <v>46094.0</v>
      </c>
      <c r="E3493" s="173" t="s">
        <v>14221</v>
      </c>
      <c r="F3493" s="2" t="s">
        <v>14222</v>
      </c>
      <c r="G3493" s="2" t="s">
        <v>14223</v>
      </c>
      <c r="H3493" s="2">
        <v>3100.0</v>
      </c>
      <c r="I3493" s="2">
        <v>2.2120050022632E13</v>
      </c>
      <c r="J3493" s="3">
        <v>2.0</v>
      </c>
      <c r="K3493" s="2" t="s">
        <v>14201</v>
      </c>
      <c r="L3493" s="2" t="s">
        <v>22</v>
      </c>
      <c r="M3493" s="2" t="s">
        <v>409</v>
      </c>
      <c r="N3493" s="2" t="s">
        <v>462</v>
      </c>
      <c r="O3493" s="3"/>
      <c r="P3493" s="2" t="s">
        <v>73</v>
      </c>
      <c r="Q3493" s="3">
        <v>800.0</v>
      </c>
      <c r="R3493" s="3">
        <v>0.5</v>
      </c>
      <c r="T3493" s="2" t="s">
        <v>12177</v>
      </c>
      <c r="U3493" s="171">
        <v>3100.0</v>
      </c>
      <c r="V3493" s="172">
        <v>46105.0</v>
      </c>
      <c r="W3493" s="3">
        <v>337.0</v>
      </c>
      <c r="X3493" s="172">
        <v>46097.74974640046</v>
      </c>
      <c r="Y3493" s="172">
        <v>46094.85209829861</v>
      </c>
      <c r="Z3493" s="3">
        <v>46094.0</v>
      </c>
      <c r="AA3493" s="2" t="s">
        <v>14026</v>
      </c>
    </row>
    <row r="3494">
      <c r="A3494" s="3">
        <v>6.950556598531E12</v>
      </c>
      <c r="B3494" s="2" t="s">
        <v>14224</v>
      </c>
      <c r="C3494" s="2" t="s">
        <v>14225</v>
      </c>
      <c r="D3494" s="169">
        <v>46094.0</v>
      </c>
      <c r="E3494" s="2">
        <v>3.467008688E9</v>
      </c>
      <c r="F3494" s="2" t="s">
        <v>14226</v>
      </c>
      <c r="G3494" s="2" t="s">
        <v>3445</v>
      </c>
      <c r="H3494" s="2">
        <v>3348.0</v>
      </c>
      <c r="I3494" s="2">
        <v>2.5120050022669E13</v>
      </c>
      <c r="J3494" s="3">
        <v>2.0</v>
      </c>
      <c r="K3494" s="2" t="s">
        <v>13072</v>
      </c>
      <c r="L3494" s="2" t="s">
        <v>296</v>
      </c>
      <c r="M3494" s="2" t="s">
        <v>409</v>
      </c>
      <c r="N3494" s="2" t="s">
        <v>462</v>
      </c>
      <c r="O3494" s="3"/>
      <c r="P3494" s="2" t="s">
        <v>73</v>
      </c>
      <c r="Q3494" s="3">
        <v>720.0</v>
      </c>
      <c r="R3494" s="3">
        <v>0.5</v>
      </c>
      <c r="T3494" s="2" t="s">
        <v>12177</v>
      </c>
      <c r="U3494" s="171">
        <v>3348.0</v>
      </c>
      <c r="V3494" s="172">
        <v>46105.0</v>
      </c>
      <c r="W3494" s="3">
        <v>334.0</v>
      </c>
      <c r="X3494" s="172">
        <v>46099.58274633102</v>
      </c>
      <c r="Y3494" s="172">
        <v>46094.85209829861</v>
      </c>
      <c r="Z3494" s="3">
        <v>46094.0</v>
      </c>
      <c r="AA3494" s="2" t="s">
        <v>14032</v>
      </c>
    </row>
    <row r="3495">
      <c r="A3495" s="3">
        <v>6.950563578115E12</v>
      </c>
      <c r="B3495" s="2" t="s">
        <v>14227</v>
      </c>
      <c r="C3495" s="2" t="s">
        <v>14228</v>
      </c>
      <c r="D3495" s="169">
        <v>46094.0</v>
      </c>
      <c r="E3495" s="2">
        <v>3.008404117E9</v>
      </c>
      <c r="F3495" s="2" t="s">
        <v>14229</v>
      </c>
      <c r="G3495" s="2" t="s">
        <v>368</v>
      </c>
      <c r="H3495" s="2">
        <v>3348.0</v>
      </c>
      <c r="I3495" s="2">
        <v>2.9120050022668E13</v>
      </c>
      <c r="J3495" s="3">
        <v>2.0</v>
      </c>
      <c r="K3495" s="2" t="s">
        <v>12223</v>
      </c>
      <c r="L3495" s="2" t="s">
        <v>1446</v>
      </c>
      <c r="M3495" s="2" t="s">
        <v>409</v>
      </c>
      <c r="N3495" s="2" t="s">
        <v>462</v>
      </c>
      <c r="O3495" s="3"/>
      <c r="P3495" s="2" t="s">
        <v>73</v>
      </c>
      <c r="Q3495" s="3">
        <v>720.0</v>
      </c>
      <c r="R3495" s="3">
        <v>0.5</v>
      </c>
      <c r="T3495" s="2" t="s">
        <v>11534</v>
      </c>
      <c r="U3495" s="171">
        <v>3348.0</v>
      </c>
      <c r="V3495" s="172">
        <v>46097.0</v>
      </c>
      <c r="W3495" s="3">
        <v>241.0</v>
      </c>
      <c r="X3495" s="172">
        <v>46096.54108247685</v>
      </c>
      <c r="Y3495" s="172">
        <v>46094.85209829861</v>
      </c>
      <c r="Z3495" s="3">
        <v>46094.0</v>
      </c>
      <c r="AA3495" s="2" t="s">
        <v>14022</v>
      </c>
    </row>
    <row r="3496">
      <c r="A3496" s="3">
        <v>6.950586122499E12</v>
      </c>
      <c r="B3496" s="2" t="s">
        <v>14230</v>
      </c>
      <c r="C3496" s="2" t="s">
        <v>14231</v>
      </c>
      <c r="D3496" s="169">
        <v>46094.0</v>
      </c>
      <c r="E3496" s="2">
        <v>3.034735448E9</v>
      </c>
      <c r="F3496" s="2" t="s">
        <v>14232</v>
      </c>
      <c r="G3496" s="2" t="s">
        <v>993</v>
      </c>
      <c r="H3496" s="2">
        <v>1899.0</v>
      </c>
      <c r="I3496" s="2">
        <v>2.4120050022667E13</v>
      </c>
      <c r="J3496" s="3">
        <v>1.0</v>
      </c>
      <c r="K3496" s="2" t="s">
        <v>14233</v>
      </c>
      <c r="L3496" s="2" t="s">
        <v>14234</v>
      </c>
      <c r="M3496" s="2" t="s">
        <v>409</v>
      </c>
      <c r="N3496" s="2" t="s">
        <v>462</v>
      </c>
      <c r="O3496" s="3"/>
      <c r="P3496" s="2" t="s">
        <v>73</v>
      </c>
      <c r="Q3496" s="3">
        <v>550.0</v>
      </c>
      <c r="R3496" s="3">
        <v>0.5</v>
      </c>
      <c r="T3496" s="2" t="s">
        <v>12177</v>
      </c>
      <c r="U3496" s="171">
        <v>1899.0</v>
      </c>
      <c r="V3496" s="172">
        <v>46105.0</v>
      </c>
      <c r="W3496" s="3">
        <v>276.0</v>
      </c>
      <c r="X3496" s="172">
        <v>46098.707734236115</v>
      </c>
      <c r="Y3496" s="172">
        <v>46094.85209829861</v>
      </c>
      <c r="Z3496" s="3">
        <v>46094.0</v>
      </c>
      <c r="AA3496" s="2" t="s">
        <v>14041</v>
      </c>
    </row>
    <row r="3497">
      <c r="A3497" s="3">
        <v>6.950627115267E12</v>
      </c>
      <c r="B3497" s="2" t="s">
        <v>14235</v>
      </c>
      <c r="C3497" s="2" t="s">
        <v>14236</v>
      </c>
      <c r="D3497" s="169">
        <v>46094.0</v>
      </c>
      <c r="E3497" s="2">
        <v>3.216051915E9</v>
      </c>
      <c r="F3497" s="2" t="s">
        <v>14237</v>
      </c>
      <c r="G3497" s="2" t="s">
        <v>368</v>
      </c>
      <c r="H3497" s="2">
        <v>3348.0</v>
      </c>
      <c r="I3497" s="2">
        <v>2.6120050022666E13</v>
      </c>
      <c r="J3497" s="3">
        <v>2.0</v>
      </c>
      <c r="K3497" s="2" t="s">
        <v>13072</v>
      </c>
      <c r="L3497" s="2" t="s">
        <v>296</v>
      </c>
      <c r="M3497" s="2" t="s">
        <v>409</v>
      </c>
      <c r="N3497" s="2" t="s">
        <v>462</v>
      </c>
      <c r="O3497" s="3"/>
      <c r="P3497" s="2" t="s">
        <v>73</v>
      </c>
      <c r="Q3497" s="3">
        <v>720.0</v>
      </c>
      <c r="R3497" s="3">
        <v>0.5</v>
      </c>
      <c r="T3497" s="2" t="s">
        <v>12177</v>
      </c>
      <c r="U3497" s="171">
        <v>3348.0</v>
      </c>
      <c r="V3497" s="172">
        <v>46105.0</v>
      </c>
      <c r="W3497" s="3">
        <v>254.0</v>
      </c>
      <c r="X3497" s="172">
        <v>46099.62447329861</v>
      </c>
      <c r="Y3497" s="172">
        <v>46094.89377064815</v>
      </c>
      <c r="Z3497" s="3">
        <v>46094.0</v>
      </c>
      <c r="AA3497" s="2" t="s">
        <v>14022</v>
      </c>
    </row>
    <row r="3498">
      <c r="A3498" s="3">
        <v>6.950631145731E12</v>
      </c>
      <c r="B3498" s="2" t="s">
        <v>14238</v>
      </c>
      <c r="C3498" s="2" t="s">
        <v>14239</v>
      </c>
      <c r="D3498" s="169">
        <v>46094.0</v>
      </c>
      <c r="E3498" s="2">
        <v>3.346713935E9</v>
      </c>
      <c r="F3498" s="2" t="s">
        <v>14240</v>
      </c>
      <c r="G3498" s="2" t="s">
        <v>541</v>
      </c>
      <c r="H3498" s="2">
        <v>249.0</v>
      </c>
      <c r="I3498" s="2">
        <v>2.4120050022665E13</v>
      </c>
      <c r="J3498" s="3">
        <v>0.0</v>
      </c>
      <c r="K3498" s="2" t="s">
        <v>14241</v>
      </c>
      <c r="L3498" s="2"/>
      <c r="M3498" s="170" t="s">
        <v>455</v>
      </c>
      <c r="N3498" s="2" t="s">
        <v>406</v>
      </c>
      <c r="O3498" s="3"/>
      <c r="P3498" s="2" t="s">
        <v>73</v>
      </c>
      <c r="Q3498" s="3">
        <v>0.0</v>
      </c>
      <c r="R3498" s="3">
        <v>0.5</v>
      </c>
      <c r="U3498" s="141"/>
      <c r="W3498" s="3">
        <v>200.0</v>
      </c>
      <c r="X3498" s="172">
        <v>46110.58268565973</v>
      </c>
      <c r="Y3498" s="172">
        <v>46094.89377064815</v>
      </c>
      <c r="Z3498" s="3">
        <v>46094.0</v>
      </c>
      <c r="AA3498" s="2" t="s">
        <v>14032</v>
      </c>
    </row>
    <row r="3499">
      <c r="A3499" s="3">
        <v>6.950652215555E12</v>
      </c>
      <c r="B3499" s="2" t="s">
        <v>14242</v>
      </c>
      <c r="C3499" s="2" t="s">
        <v>14243</v>
      </c>
      <c r="D3499" s="169">
        <v>46094.0</v>
      </c>
      <c r="E3499" s="2">
        <v>3.128600538E9</v>
      </c>
      <c r="F3499" s="2" t="s">
        <v>14244</v>
      </c>
      <c r="G3499" s="2" t="s">
        <v>374</v>
      </c>
      <c r="H3499" s="2">
        <v>1899.0</v>
      </c>
      <c r="I3499" s="2">
        <v>2.7120050022664E13</v>
      </c>
      <c r="J3499" s="3">
        <v>1.0</v>
      </c>
      <c r="K3499" s="2" t="s">
        <v>13814</v>
      </c>
      <c r="L3499" s="2" t="s">
        <v>14245</v>
      </c>
      <c r="M3499" s="2" t="s">
        <v>409</v>
      </c>
      <c r="N3499" s="2" t="s">
        <v>462</v>
      </c>
      <c r="O3499" s="3"/>
      <c r="P3499" s="2" t="s">
        <v>73</v>
      </c>
      <c r="Q3499" s="3">
        <v>550.0</v>
      </c>
      <c r="R3499" s="3">
        <v>0.5</v>
      </c>
      <c r="T3499" s="2" t="s">
        <v>11534</v>
      </c>
      <c r="U3499" s="171">
        <v>1899.0</v>
      </c>
      <c r="V3499" s="172">
        <v>46097.0</v>
      </c>
      <c r="W3499" s="3">
        <v>276.0</v>
      </c>
      <c r="X3499" s="172">
        <v>46096.70784003472</v>
      </c>
      <c r="Y3499" s="172">
        <v>46094.89377064815</v>
      </c>
      <c r="Z3499" s="3">
        <v>46094.0</v>
      </c>
      <c r="AA3499" s="2" t="s">
        <v>14022</v>
      </c>
    </row>
    <row r="3500">
      <c r="A3500" s="3">
        <v>6.950658867459E12</v>
      </c>
      <c r="B3500" s="2" t="s">
        <v>14246</v>
      </c>
      <c r="C3500" s="2" t="s">
        <v>14247</v>
      </c>
      <c r="D3500" s="169">
        <v>46094.0</v>
      </c>
      <c r="E3500" s="2">
        <v>9.23000216429E11</v>
      </c>
      <c r="F3500" s="2" t="s">
        <v>14248</v>
      </c>
      <c r="G3500" s="2" t="s">
        <v>3295</v>
      </c>
      <c r="H3500" s="2">
        <v>249.0</v>
      </c>
      <c r="I3500" s="2">
        <v>1.73012118855E11</v>
      </c>
      <c r="J3500" s="3">
        <v>0.0</v>
      </c>
      <c r="K3500" s="2" t="s">
        <v>204</v>
      </c>
      <c r="L3500" s="2"/>
      <c r="M3500" s="170" t="s">
        <v>455</v>
      </c>
      <c r="N3500" s="2" t="s">
        <v>406</v>
      </c>
      <c r="O3500" s="3"/>
      <c r="P3500" s="2" t="s">
        <v>501</v>
      </c>
      <c r="Q3500" s="3">
        <v>0.0</v>
      </c>
      <c r="R3500" s="3">
        <v>0.5</v>
      </c>
      <c r="U3500" s="141"/>
      <c r="X3500" s="172">
        <v>46122.08279945602</v>
      </c>
      <c r="Y3500" s="172">
        <v>46094.89377064815</v>
      </c>
      <c r="Z3500" s="3">
        <v>46094.0</v>
      </c>
      <c r="AA3500" s="2" t="s">
        <v>14032</v>
      </c>
    </row>
    <row r="3501">
      <c r="A3501" s="3">
        <v>6.950720012547E12</v>
      </c>
      <c r="B3501" s="2" t="s">
        <v>14249</v>
      </c>
      <c r="C3501" s="2" t="s">
        <v>14250</v>
      </c>
      <c r="D3501" s="169">
        <v>46094.0</v>
      </c>
      <c r="E3501" s="2">
        <v>3.339888658E9</v>
      </c>
      <c r="F3501" s="2" t="s">
        <v>14251</v>
      </c>
      <c r="G3501" s="2" t="s">
        <v>781</v>
      </c>
      <c r="H3501" s="2">
        <v>3348.0</v>
      </c>
      <c r="I3501" s="2">
        <v>2.4120050022663E13</v>
      </c>
      <c r="J3501" s="3">
        <v>2.0</v>
      </c>
      <c r="K3501" s="2" t="s">
        <v>13827</v>
      </c>
      <c r="L3501" s="2" t="s">
        <v>1258</v>
      </c>
      <c r="M3501" s="2" t="s">
        <v>409</v>
      </c>
      <c r="N3501" s="2" t="s">
        <v>462</v>
      </c>
      <c r="O3501" s="3"/>
      <c r="P3501" s="2" t="s">
        <v>73</v>
      </c>
      <c r="Q3501" s="3">
        <v>800.0</v>
      </c>
      <c r="R3501" s="3">
        <v>0.5</v>
      </c>
      <c r="T3501" s="2" t="s">
        <v>12177</v>
      </c>
      <c r="U3501" s="171">
        <v>3348.0</v>
      </c>
      <c r="V3501" s="172">
        <v>46105.0</v>
      </c>
      <c r="W3501" s="3">
        <v>347.0</v>
      </c>
      <c r="X3501" s="172">
        <v>46097.49951385417</v>
      </c>
      <c r="Y3501" s="172">
        <v>46094.93540696759</v>
      </c>
      <c r="Z3501" s="3">
        <v>46094.0</v>
      </c>
      <c r="AA3501" s="2" t="s">
        <v>14022</v>
      </c>
    </row>
    <row r="3502">
      <c r="A3502" s="3">
        <v>6.950725878019E12</v>
      </c>
      <c r="B3502" s="2" t="s">
        <v>14252</v>
      </c>
      <c r="C3502" s="2" t="s">
        <v>14253</v>
      </c>
      <c r="D3502" s="169">
        <v>46094.0</v>
      </c>
      <c r="E3502" s="2">
        <v>3.052170049E9</v>
      </c>
      <c r="F3502" s="2" t="s">
        <v>14254</v>
      </c>
      <c r="G3502" s="2" t="s">
        <v>368</v>
      </c>
      <c r="H3502" s="2">
        <v>3348.0</v>
      </c>
      <c r="I3502" s="2">
        <v>2.1120050022662E13</v>
      </c>
      <c r="J3502" s="3">
        <v>2.0</v>
      </c>
      <c r="K3502" s="2" t="s">
        <v>12223</v>
      </c>
      <c r="L3502" s="2" t="s">
        <v>22</v>
      </c>
      <c r="M3502" s="2" t="s">
        <v>409</v>
      </c>
      <c r="N3502" s="2" t="s">
        <v>462</v>
      </c>
      <c r="O3502" s="3"/>
      <c r="P3502" s="2" t="s">
        <v>73</v>
      </c>
      <c r="Q3502" s="3">
        <v>800.0</v>
      </c>
      <c r="R3502" s="3">
        <v>0.5</v>
      </c>
      <c r="T3502" s="2" t="s">
        <v>11534</v>
      </c>
      <c r="U3502" s="171">
        <v>3348.0</v>
      </c>
      <c r="V3502" s="172">
        <v>46097.0</v>
      </c>
      <c r="W3502" s="3">
        <v>241.0</v>
      </c>
      <c r="X3502" s="172">
        <v>46096.874377395834</v>
      </c>
      <c r="Y3502" s="172">
        <v>46094.93540696759</v>
      </c>
      <c r="Z3502" s="3">
        <v>46094.0</v>
      </c>
      <c r="AA3502" s="2" t="s">
        <v>14032</v>
      </c>
    </row>
    <row r="3503">
      <c r="A3503" s="3">
        <v>6.950734233859E12</v>
      </c>
      <c r="B3503" s="2" t="s">
        <v>14255</v>
      </c>
      <c r="C3503" s="2" t="s">
        <v>14256</v>
      </c>
      <c r="D3503" s="169">
        <v>46094.0</v>
      </c>
      <c r="E3503" s="2">
        <v>3.330657853E9</v>
      </c>
      <c r="F3503" s="2" t="s">
        <v>14257</v>
      </c>
      <c r="G3503" s="2" t="s">
        <v>7166</v>
      </c>
      <c r="H3503" s="2">
        <v>249.0</v>
      </c>
      <c r="I3503" s="2">
        <v>2.2120050022661E13</v>
      </c>
      <c r="J3503" s="3">
        <v>0.0</v>
      </c>
      <c r="K3503" s="2" t="s">
        <v>12763</v>
      </c>
      <c r="L3503" s="2"/>
      <c r="M3503" s="170" t="s">
        <v>455</v>
      </c>
      <c r="N3503" s="2" t="s">
        <v>406</v>
      </c>
      <c r="O3503" s="3"/>
      <c r="P3503" s="2" t="s">
        <v>73</v>
      </c>
      <c r="Q3503" s="3">
        <v>0.0</v>
      </c>
      <c r="R3503" s="3">
        <v>0.5</v>
      </c>
      <c r="U3503" s="141"/>
      <c r="W3503" s="3">
        <v>200.0</v>
      </c>
      <c r="X3503" s="172">
        <v>46109.83265537037</v>
      </c>
      <c r="Y3503" s="172">
        <v>46094.93540696759</v>
      </c>
      <c r="Z3503" s="3">
        <v>46094.0</v>
      </c>
      <c r="AA3503" s="2" t="s">
        <v>14041</v>
      </c>
    </row>
    <row r="3504">
      <c r="A3504" s="3">
        <v>6.950744031491E12</v>
      </c>
      <c r="B3504" s="2" t="s">
        <v>14258</v>
      </c>
      <c r="C3504" s="2" t="s">
        <v>14259</v>
      </c>
      <c r="D3504" s="169">
        <v>46094.0</v>
      </c>
      <c r="E3504" s="2">
        <v>3.052760007E9</v>
      </c>
      <c r="F3504" s="2" t="s">
        <v>14260</v>
      </c>
      <c r="G3504" s="2" t="s">
        <v>374</v>
      </c>
      <c r="H3504" s="2">
        <v>249.0</v>
      </c>
      <c r="I3504" s="2">
        <v>2.012005002266E13</v>
      </c>
      <c r="J3504" s="3">
        <v>0.0</v>
      </c>
      <c r="K3504" s="2" t="s">
        <v>12763</v>
      </c>
      <c r="L3504" s="2"/>
      <c r="M3504" s="170" t="s">
        <v>455</v>
      </c>
      <c r="N3504" s="2" t="s">
        <v>406</v>
      </c>
      <c r="O3504" s="3"/>
      <c r="P3504" s="2" t="s">
        <v>73</v>
      </c>
      <c r="Q3504" s="3">
        <v>0.0</v>
      </c>
      <c r="R3504" s="3">
        <v>0.5</v>
      </c>
      <c r="U3504" s="141"/>
      <c r="W3504" s="3">
        <v>200.0</v>
      </c>
      <c r="X3504" s="172">
        <v>46110.58268570602</v>
      </c>
      <c r="Y3504" s="172">
        <v>46094.935406979166</v>
      </c>
      <c r="Z3504" s="3">
        <v>46094.0</v>
      </c>
      <c r="AA3504" s="2" t="s">
        <v>14032</v>
      </c>
    </row>
    <row r="3505">
      <c r="A3505" s="3">
        <v>6.950769983747E12</v>
      </c>
      <c r="B3505" s="2" t="s">
        <v>14261</v>
      </c>
      <c r="C3505" s="2" t="s">
        <v>14262</v>
      </c>
      <c r="D3505" s="169">
        <v>46094.0</v>
      </c>
      <c r="E3505" s="173" t="s">
        <v>14263</v>
      </c>
      <c r="F3505" s="2" t="s">
        <v>14264</v>
      </c>
      <c r="G3505" s="2" t="s">
        <v>14265</v>
      </c>
      <c r="H3505" s="2">
        <v>0.0</v>
      </c>
      <c r="J3505" s="3">
        <v>0.0</v>
      </c>
      <c r="K3505" s="2" t="s">
        <v>8402</v>
      </c>
      <c r="L3505" s="2"/>
      <c r="M3505" s="2" t="s">
        <v>468</v>
      </c>
      <c r="N3505" s="2" t="s">
        <v>406</v>
      </c>
      <c r="O3505" s="3"/>
      <c r="Q3505" s="3">
        <v>0.0</v>
      </c>
      <c r="R3505" s="3">
        <v>0.5</v>
      </c>
      <c r="U3505" s="141"/>
      <c r="X3505" s="172"/>
      <c r="Y3505" s="172">
        <v>46094.977096539355</v>
      </c>
      <c r="Z3505" s="3">
        <v>46094.0</v>
      </c>
      <c r="AA3505" s="2" t="s">
        <v>14053</v>
      </c>
    </row>
    <row r="3506">
      <c r="A3506" s="3">
        <v>6.950785057027E12</v>
      </c>
      <c r="B3506" s="2" t="s">
        <v>14266</v>
      </c>
      <c r="C3506" s="2" t="s">
        <v>14267</v>
      </c>
      <c r="D3506" s="169">
        <v>46094.0</v>
      </c>
      <c r="E3506" s="2">
        <v>3.452281426E9</v>
      </c>
      <c r="F3506" s="2" t="s">
        <v>14268</v>
      </c>
      <c r="G3506" s="2" t="s">
        <v>366</v>
      </c>
      <c r="H3506" s="2">
        <v>3348.0</v>
      </c>
      <c r="I3506" s="2">
        <v>2.2120050023013E13</v>
      </c>
      <c r="J3506" s="3">
        <v>2.0</v>
      </c>
      <c r="K3506" s="2" t="s">
        <v>13839</v>
      </c>
      <c r="L3506" s="2" t="s">
        <v>275</v>
      </c>
      <c r="M3506" s="2" t="s">
        <v>409</v>
      </c>
      <c r="N3506" s="2" t="s">
        <v>462</v>
      </c>
      <c r="O3506" s="3"/>
      <c r="P3506" s="2" t="s">
        <v>73</v>
      </c>
      <c r="Q3506" s="3">
        <v>800.0</v>
      </c>
      <c r="R3506" s="3">
        <v>0.5</v>
      </c>
      <c r="T3506" s="2" t="s">
        <v>12503</v>
      </c>
      <c r="U3506" s="171">
        <v>3348.0</v>
      </c>
      <c r="V3506" s="172">
        <v>46115.0</v>
      </c>
      <c r="W3506" s="3">
        <v>354.9</v>
      </c>
      <c r="X3506" s="172">
        <v>46113.540978125</v>
      </c>
      <c r="Y3506" s="172">
        <v>46094.977096539355</v>
      </c>
      <c r="Z3506" s="3">
        <v>46094.0</v>
      </c>
      <c r="AA3506" s="2" t="s">
        <v>14022</v>
      </c>
    </row>
    <row r="3507">
      <c r="A3507" s="3">
        <v>6.950951551235E12</v>
      </c>
      <c r="B3507" s="2" t="s">
        <v>14269</v>
      </c>
      <c r="C3507" s="2" t="s">
        <v>14270</v>
      </c>
      <c r="D3507" s="169">
        <v>46095.0</v>
      </c>
      <c r="E3507" s="2">
        <v>3.018761177E9</v>
      </c>
      <c r="F3507" s="2" t="s">
        <v>14271</v>
      </c>
      <c r="G3507" s="2" t="s">
        <v>688</v>
      </c>
      <c r="H3507" s="2">
        <v>3348.0</v>
      </c>
      <c r="I3507" s="2">
        <v>2.3120050022659E13</v>
      </c>
      <c r="J3507" s="3">
        <v>2.0</v>
      </c>
      <c r="K3507" s="2" t="s">
        <v>14057</v>
      </c>
      <c r="L3507" s="2" t="s">
        <v>27</v>
      </c>
      <c r="M3507" s="2" t="s">
        <v>409</v>
      </c>
      <c r="N3507" s="2" t="s">
        <v>462</v>
      </c>
      <c r="O3507" s="3"/>
      <c r="P3507" s="2" t="s">
        <v>73</v>
      </c>
      <c r="Q3507" s="3">
        <v>720.0</v>
      </c>
      <c r="R3507" s="3">
        <v>0.5</v>
      </c>
      <c r="T3507" s="2" t="s">
        <v>13421</v>
      </c>
      <c r="U3507" s="171">
        <v>3348.0</v>
      </c>
      <c r="V3507" s="172">
        <v>46108.0</v>
      </c>
      <c r="W3507" s="3">
        <v>334.02</v>
      </c>
      <c r="X3507" s="172">
        <v>46106.62447377315</v>
      </c>
      <c r="Y3507" s="172">
        <v>46095.06043884259</v>
      </c>
      <c r="Z3507" s="3">
        <v>46095.0</v>
      </c>
      <c r="AA3507" s="2" t="s">
        <v>14022</v>
      </c>
    </row>
    <row r="3508">
      <c r="A3508" s="3">
        <v>6.950959120643E12</v>
      </c>
      <c r="B3508" s="2" t="s">
        <v>14272</v>
      </c>
      <c r="C3508" s="2" t="s">
        <v>14273</v>
      </c>
      <c r="D3508" s="169">
        <v>46095.0</v>
      </c>
      <c r="E3508" s="173" t="s">
        <v>14274</v>
      </c>
      <c r="F3508" s="2" t="s">
        <v>14275</v>
      </c>
      <c r="G3508" s="2" t="s">
        <v>506</v>
      </c>
      <c r="H3508" s="2">
        <v>3348.0</v>
      </c>
      <c r="I3508" s="2">
        <v>2.412005002264E13</v>
      </c>
      <c r="J3508" s="3">
        <v>2.0</v>
      </c>
      <c r="K3508" s="2" t="s">
        <v>13072</v>
      </c>
      <c r="L3508" s="2" t="s">
        <v>228</v>
      </c>
      <c r="M3508" s="2" t="s">
        <v>409</v>
      </c>
      <c r="N3508" s="2" t="s">
        <v>462</v>
      </c>
      <c r="O3508" s="3"/>
      <c r="P3508" s="2" t="s">
        <v>73</v>
      </c>
      <c r="Q3508" s="3">
        <v>720.0</v>
      </c>
      <c r="R3508" s="3">
        <v>0.5</v>
      </c>
      <c r="T3508" s="2" t="s">
        <v>12177</v>
      </c>
      <c r="U3508" s="171">
        <v>3348.0</v>
      </c>
      <c r="V3508" s="172">
        <v>46105.0</v>
      </c>
      <c r="W3508" s="3">
        <v>334.0</v>
      </c>
      <c r="X3508" s="172">
        <v>46097.707962650464</v>
      </c>
      <c r="Y3508" s="172">
        <v>46095.06043884259</v>
      </c>
      <c r="Z3508" s="3">
        <v>46095.0</v>
      </c>
      <c r="AA3508" s="2" t="s">
        <v>14032</v>
      </c>
    </row>
    <row r="3509">
      <c r="A3509" s="3">
        <v>6.950979272963E12</v>
      </c>
      <c r="B3509" s="2" t="s">
        <v>14276</v>
      </c>
      <c r="C3509" s="2" t="s">
        <v>3829</v>
      </c>
      <c r="D3509" s="169">
        <v>46095.0</v>
      </c>
      <c r="E3509" s="2">
        <v>3.013311183E9</v>
      </c>
      <c r="F3509" s="2" t="s">
        <v>14277</v>
      </c>
      <c r="G3509" s="2" t="s">
        <v>506</v>
      </c>
      <c r="H3509" s="2">
        <v>3348.0</v>
      </c>
      <c r="I3509" s="2">
        <v>2.6120050022639E13</v>
      </c>
      <c r="J3509" s="3">
        <v>2.0</v>
      </c>
      <c r="K3509" s="2" t="s">
        <v>13072</v>
      </c>
      <c r="L3509" s="2" t="s">
        <v>2906</v>
      </c>
      <c r="M3509" s="2" t="s">
        <v>409</v>
      </c>
      <c r="N3509" s="2" t="s">
        <v>462</v>
      </c>
      <c r="O3509" s="3"/>
      <c r="P3509" s="2" t="s">
        <v>73</v>
      </c>
      <c r="Q3509" s="3">
        <v>800.0</v>
      </c>
      <c r="R3509" s="3">
        <v>0.5</v>
      </c>
      <c r="T3509" s="2" t="s">
        <v>12177</v>
      </c>
      <c r="U3509" s="171">
        <v>3348.0</v>
      </c>
      <c r="V3509" s="172">
        <v>46105.0</v>
      </c>
      <c r="W3509" s="3">
        <v>334.0</v>
      </c>
      <c r="X3509" s="172">
        <v>46097.83285997685</v>
      </c>
      <c r="Y3509" s="172">
        <v>46095.06043884259</v>
      </c>
      <c r="Z3509" s="3">
        <v>46095.0</v>
      </c>
      <c r="AA3509" s="2" t="s">
        <v>14278</v>
      </c>
    </row>
    <row r="3510">
      <c r="A3510" s="3">
        <v>6.951227785475E12</v>
      </c>
      <c r="B3510" s="2" t="s">
        <v>14279</v>
      </c>
      <c r="C3510" s="2" t="s">
        <v>14280</v>
      </c>
      <c r="D3510" s="169">
        <v>46095.0</v>
      </c>
      <c r="E3510" s="173" t="s">
        <v>14281</v>
      </c>
      <c r="F3510" s="2" t="s">
        <v>14282</v>
      </c>
      <c r="G3510" s="2" t="s">
        <v>368</v>
      </c>
      <c r="H3510" s="2">
        <v>249.0</v>
      </c>
      <c r="I3510" s="2">
        <v>2.9120050022638E13</v>
      </c>
      <c r="J3510" s="3">
        <v>0.0</v>
      </c>
      <c r="K3510" s="2" t="s">
        <v>204</v>
      </c>
      <c r="L3510" s="2"/>
      <c r="M3510" s="2" t="s">
        <v>409</v>
      </c>
      <c r="N3510" s="2" t="s">
        <v>462</v>
      </c>
      <c r="O3510" s="3"/>
      <c r="P3510" s="2" t="s">
        <v>73</v>
      </c>
      <c r="Q3510" s="3">
        <v>0.0</v>
      </c>
      <c r="R3510" s="3">
        <v>0.5</v>
      </c>
      <c r="U3510" s="141"/>
      <c r="X3510" s="172">
        <v>46096.54108255787</v>
      </c>
      <c r="Y3510" s="172">
        <v>46095.227098414354</v>
      </c>
      <c r="Z3510" s="3">
        <v>46095.0</v>
      </c>
      <c r="AA3510" s="2" t="s">
        <v>14032</v>
      </c>
    </row>
    <row r="3511">
      <c r="A3511" s="3">
        <v>6.951259767043E12</v>
      </c>
      <c r="B3511" s="2" t="s">
        <v>14283</v>
      </c>
      <c r="C3511" s="2" t="s">
        <v>14284</v>
      </c>
      <c r="D3511" s="169">
        <v>46095.0</v>
      </c>
      <c r="E3511" s="173" t="s">
        <v>14285</v>
      </c>
      <c r="F3511" s="2" t="s">
        <v>14286</v>
      </c>
      <c r="G3511" s="2" t="s">
        <v>374</v>
      </c>
      <c r="H3511" s="2">
        <v>0.0</v>
      </c>
      <c r="J3511" s="3">
        <v>0.0</v>
      </c>
      <c r="K3511" s="2" t="s">
        <v>8402</v>
      </c>
      <c r="L3511" s="2"/>
      <c r="M3511" s="2" t="s">
        <v>468</v>
      </c>
      <c r="N3511" s="2" t="s">
        <v>406</v>
      </c>
      <c r="O3511" s="3"/>
      <c r="Q3511" s="3">
        <v>0.0</v>
      </c>
      <c r="R3511" s="3">
        <v>0.5</v>
      </c>
      <c r="U3511" s="141"/>
      <c r="X3511" s="172"/>
      <c r="Y3511" s="172">
        <v>46095.26875710648</v>
      </c>
      <c r="Z3511" s="3">
        <v>46095.0</v>
      </c>
      <c r="AA3511" s="2" t="s">
        <v>14032</v>
      </c>
    </row>
    <row r="3512">
      <c r="A3512" s="3">
        <v>6.951274938627E12</v>
      </c>
      <c r="B3512" s="2" t="s">
        <v>177</v>
      </c>
      <c r="C3512" s="2" t="s">
        <v>14287</v>
      </c>
      <c r="D3512" s="169">
        <v>46095.0</v>
      </c>
      <c r="E3512" s="2">
        <v>3.102578457E9</v>
      </c>
      <c r="F3512" s="2" t="s">
        <v>14288</v>
      </c>
      <c r="G3512" s="2" t="s">
        <v>493</v>
      </c>
      <c r="H3512" s="2">
        <v>249.0</v>
      </c>
      <c r="I3512" s="2">
        <v>2.5120050023012E13</v>
      </c>
      <c r="J3512" s="3">
        <v>0.0</v>
      </c>
      <c r="K3512" s="2" t="s">
        <v>14289</v>
      </c>
      <c r="L3512" s="2"/>
      <c r="M3512" s="170" t="s">
        <v>455</v>
      </c>
      <c r="N3512" s="2" t="s">
        <v>406</v>
      </c>
      <c r="O3512" s="3"/>
      <c r="P3512" s="2" t="s">
        <v>73</v>
      </c>
      <c r="Q3512" s="3">
        <v>0.0</v>
      </c>
      <c r="R3512" s="3">
        <v>0.5</v>
      </c>
      <c r="U3512" s="141"/>
      <c r="W3512" s="3">
        <v>235.70999999999998</v>
      </c>
      <c r="X3512" s="172">
        <v>46127.080966064816</v>
      </c>
      <c r="Y3512" s="172">
        <v>46095.26875711806</v>
      </c>
      <c r="Z3512" s="3">
        <v>46095.0</v>
      </c>
      <c r="AA3512" s="2" t="s">
        <v>14032</v>
      </c>
    </row>
    <row r="3513">
      <c r="A3513" s="3">
        <v>6.951302758659E12</v>
      </c>
      <c r="B3513" s="2" t="s">
        <v>14290</v>
      </c>
      <c r="C3513" s="2" t="s">
        <v>14291</v>
      </c>
      <c r="D3513" s="169">
        <v>46095.0</v>
      </c>
      <c r="E3513" s="2">
        <v>3.002717872E9</v>
      </c>
      <c r="F3513" s="2" t="s">
        <v>14292</v>
      </c>
      <c r="G3513" s="2" t="s">
        <v>688</v>
      </c>
      <c r="H3513" s="2">
        <v>3348.0</v>
      </c>
      <c r="I3513" s="2">
        <v>2.2120050022637E13</v>
      </c>
      <c r="J3513" s="3">
        <v>2.0</v>
      </c>
      <c r="K3513" s="2" t="s">
        <v>14036</v>
      </c>
      <c r="L3513" s="2" t="s">
        <v>27</v>
      </c>
      <c r="M3513" s="2" t="s">
        <v>409</v>
      </c>
      <c r="N3513" s="2" t="s">
        <v>462</v>
      </c>
      <c r="O3513" s="3"/>
      <c r="P3513" s="2" t="s">
        <v>73</v>
      </c>
      <c r="Q3513" s="3">
        <v>720.0</v>
      </c>
      <c r="R3513" s="3">
        <v>0.5</v>
      </c>
      <c r="T3513" s="2" t="s">
        <v>14037</v>
      </c>
      <c r="U3513" s="171">
        <v>3348.0</v>
      </c>
      <c r="V3513" s="172">
        <v>46112.0</v>
      </c>
      <c r="W3513" s="3">
        <v>355.0</v>
      </c>
      <c r="X3513" s="172">
        <v>46109.5409794213</v>
      </c>
      <c r="Y3513" s="172">
        <v>46095.31043167824</v>
      </c>
      <c r="Z3513" s="3">
        <v>46095.0</v>
      </c>
      <c r="AA3513" s="2" t="s">
        <v>14022</v>
      </c>
    </row>
    <row r="3514">
      <c r="A3514" s="3">
        <v>6.951315046659E12</v>
      </c>
      <c r="B3514" s="2" t="s">
        <v>14293</v>
      </c>
      <c r="C3514" s="2" t="s">
        <v>14294</v>
      </c>
      <c r="D3514" s="169">
        <v>46095.0</v>
      </c>
      <c r="E3514" s="2">
        <v>3.339140788E9</v>
      </c>
      <c r="F3514" s="2" t="s">
        <v>14295</v>
      </c>
      <c r="G3514" s="2" t="s">
        <v>4788</v>
      </c>
      <c r="H3514" s="2">
        <v>3299.0</v>
      </c>
      <c r="I3514" s="2">
        <v>2.0120050022658E13</v>
      </c>
      <c r="J3514" s="3">
        <v>2.0</v>
      </c>
      <c r="K3514" s="2" t="s">
        <v>14296</v>
      </c>
      <c r="L3514" s="2" t="s">
        <v>14297</v>
      </c>
      <c r="M3514" s="2" t="s">
        <v>409</v>
      </c>
      <c r="N3514" s="2" t="s">
        <v>462</v>
      </c>
      <c r="O3514" s="3"/>
      <c r="P3514" s="2" t="s">
        <v>73</v>
      </c>
      <c r="Q3514" s="3">
        <v>1110.0</v>
      </c>
      <c r="R3514" s="3">
        <v>0.5</v>
      </c>
      <c r="T3514" s="2" t="s">
        <v>12177</v>
      </c>
      <c r="U3514" s="171">
        <v>3299.0</v>
      </c>
      <c r="V3514" s="172">
        <v>46105.0</v>
      </c>
      <c r="W3514" s="3">
        <v>345.0</v>
      </c>
      <c r="X3514" s="172">
        <v>46097.52112421296</v>
      </c>
      <c r="Y3514" s="172">
        <v>46095.31043167824</v>
      </c>
      <c r="Z3514" s="3">
        <v>46095.0</v>
      </c>
      <c r="AA3514" s="2" t="s">
        <v>14053</v>
      </c>
    </row>
    <row r="3515">
      <c r="A3515" s="3">
        <v>6.951398408451E12</v>
      </c>
      <c r="B3515" s="2" t="s">
        <v>14298</v>
      </c>
      <c r="C3515" s="2" t="s">
        <v>10703</v>
      </c>
      <c r="D3515" s="169">
        <v>46095.0</v>
      </c>
      <c r="E3515" s="2">
        <v>3.038700056E9</v>
      </c>
      <c r="F3515" s="2" t="s">
        <v>14299</v>
      </c>
      <c r="G3515" s="2" t="s">
        <v>7463</v>
      </c>
      <c r="H3515" s="2">
        <v>3038.1</v>
      </c>
      <c r="I3515" s="2">
        <v>2.9120050022631E13</v>
      </c>
      <c r="J3515" s="3">
        <v>2.0</v>
      </c>
      <c r="K3515" s="2" t="s">
        <v>14300</v>
      </c>
      <c r="L3515" s="2" t="s">
        <v>1920</v>
      </c>
      <c r="M3515" s="2" t="s">
        <v>409</v>
      </c>
      <c r="N3515" s="2" t="s">
        <v>462</v>
      </c>
      <c r="O3515" s="3"/>
      <c r="P3515" s="2" t="s">
        <v>73</v>
      </c>
      <c r="Q3515" s="3">
        <v>1050.0</v>
      </c>
      <c r="R3515" s="3">
        <v>0.5</v>
      </c>
      <c r="T3515" s="2" t="s">
        <v>12177</v>
      </c>
      <c r="U3515" s="171">
        <v>3038.1</v>
      </c>
      <c r="V3515" s="172">
        <v>46105.0</v>
      </c>
      <c r="W3515" s="3">
        <v>322.0</v>
      </c>
      <c r="X3515" s="172">
        <v>46097.70796496527</v>
      </c>
      <c r="Y3515" s="172">
        <v>46095.35209905093</v>
      </c>
      <c r="Z3515" s="3">
        <v>46095.0</v>
      </c>
      <c r="AA3515" s="2" t="s">
        <v>14032</v>
      </c>
    </row>
    <row r="3516">
      <c r="A3516" s="3">
        <v>6.951530955011E12</v>
      </c>
      <c r="B3516" s="2" t="s">
        <v>14301</v>
      </c>
      <c r="C3516" s="2" t="s">
        <v>14302</v>
      </c>
      <c r="D3516" s="169">
        <v>46095.0</v>
      </c>
      <c r="E3516" s="2">
        <v>3.35040101E9</v>
      </c>
      <c r="F3516" s="2" t="s">
        <v>14303</v>
      </c>
      <c r="G3516" s="2" t="s">
        <v>4667</v>
      </c>
      <c r="H3516" s="2">
        <v>3548.0</v>
      </c>
      <c r="I3516" s="2">
        <v>2.3120050022636E13</v>
      </c>
      <c r="J3516" s="3">
        <v>2.0</v>
      </c>
      <c r="K3516" s="2" t="s">
        <v>14304</v>
      </c>
      <c r="L3516" s="2" t="s">
        <v>16</v>
      </c>
      <c r="M3516" s="2" t="s">
        <v>409</v>
      </c>
      <c r="N3516" s="2" t="s">
        <v>462</v>
      </c>
      <c r="O3516" s="3"/>
      <c r="P3516" s="2" t="s">
        <v>73</v>
      </c>
      <c r="Q3516" s="3">
        <v>980.0</v>
      </c>
      <c r="R3516" s="3">
        <v>0.5</v>
      </c>
      <c r="T3516" s="2" t="s">
        <v>12177</v>
      </c>
      <c r="U3516" s="171">
        <v>3548.0</v>
      </c>
      <c r="V3516" s="172">
        <v>46105.0</v>
      </c>
      <c r="W3516" s="3">
        <v>342.0</v>
      </c>
      <c r="X3516" s="172">
        <v>46100.582852164356</v>
      </c>
      <c r="Y3516" s="172">
        <v>46095.47710157407</v>
      </c>
      <c r="Z3516" s="3">
        <v>46095.0</v>
      </c>
      <c r="AA3516" s="2" t="s">
        <v>14032</v>
      </c>
    </row>
    <row r="3517">
      <c r="A3517" s="3">
        <v>6.951556907267E12</v>
      </c>
      <c r="B3517" s="2" t="s">
        <v>14305</v>
      </c>
      <c r="C3517" s="2" t="s">
        <v>14306</v>
      </c>
      <c r="D3517" s="169">
        <v>46095.0</v>
      </c>
      <c r="E3517" s="2">
        <v>3.462999727E9</v>
      </c>
      <c r="F3517" s="2" t="s">
        <v>14307</v>
      </c>
      <c r="G3517" s="2" t="s">
        <v>898</v>
      </c>
      <c r="H3517" s="2">
        <v>3347.0</v>
      </c>
      <c r="I3517" s="2">
        <v>2.612005002263E13</v>
      </c>
      <c r="J3517" s="3">
        <v>2.0</v>
      </c>
      <c r="K3517" s="2" t="s">
        <v>13885</v>
      </c>
      <c r="L3517" s="2" t="s">
        <v>11529</v>
      </c>
      <c r="M3517" s="2" t="s">
        <v>409</v>
      </c>
      <c r="N3517" s="2" t="s">
        <v>462</v>
      </c>
      <c r="O3517" s="3"/>
      <c r="P3517" s="2" t="s">
        <v>73</v>
      </c>
      <c r="Q3517" s="3">
        <v>800.0</v>
      </c>
      <c r="R3517" s="3">
        <v>0.5</v>
      </c>
      <c r="T3517" s="2" t="s">
        <v>12177</v>
      </c>
      <c r="U3517" s="171">
        <v>3347.0</v>
      </c>
      <c r="V3517" s="172">
        <v>46105.0</v>
      </c>
      <c r="W3517" s="3">
        <v>334.0</v>
      </c>
      <c r="X3517" s="172">
        <v>46098.58296168981</v>
      </c>
      <c r="Y3517" s="172">
        <v>46095.518777708334</v>
      </c>
      <c r="Z3517" s="3">
        <v>46095.0</v>
      </c>
      <c r="AA3517" s="2" t="s">
        <v>14041</v>
      </c>
    </row>
    <row r="3518">
      <c r="A3518" s="3">
        <v>6.951575912707E12</v>
      </c>
      <c r="B3518" s="2" t="s">
        <v>14308</v>
      </c>
      <c r="C3518" s="2" t="s">
        <v>14309</v>
      </c>
      <c r="D3518" s="169">
        <v>46095.0</v>
      </c>
      <c r="E3518" s="2">
        <v>3.132362541E9</v>
      </c>
      <c r="F3518" s="2" t="s">
        <v>14310</v>
      </c>
      <c r="G3518" s="2" t="s">
        <v>493</v>
      </c>
      <c r="H3518" s="2">
        <v>249.0</v>
      </c>
      <c r="I3518" s="2">
        <v>2.2120050022629E13</v>
      </c>
      <c r="J3518" s="3">
        <v>0.0</v>
      </c>
      <c r="K3518" s="2" t="s">
        <v>13833</v>
      </c>
      <c r="L3518" s="2"/>
      <c r="M3518" s="170" t="s">
        <v>455</v>
      </c>
      <c r="N3518" s="2" t="s">
        <v>406</v>
      </c>
      <c r="O3518" s="3"/>
      <c r="P3518" s="2" t="s">
        <v>73</v>
      </c>
      <c r="Q3518" s="3">
        <v>0.0</v>
      </c>
      <c r="R3518" s="3">
        <v>0.5</v>
      </c>
      <c r="U3518" s="141"/>
      <c r="W3518" s="3">
        <v>213.44</v>
      </c>
      <c r="X3518" s="172">
        <v>46112.916032361114</v>
      </c>
      <c r="Y3518" s="172">
        <v>46095.518777708334</v>
      </c>
      <c r="Z3518" s="3">
        <v>46095.0</v>
      </c>
      <c r="AA3518" s="2" t="s">
        <v>14032</v>
      </c>
    </row>
    <row r="3519">
      <c r="A3519" s="3">
        <v>6.951587152131E12</v>
      </c>
      <c r="B3519" s="2" t="s">
        <v>14311</v>
      </c>
      <c r="C3519" s="2" t="s">
        <v>14312</v>
      </c>
      <c r="D3519" s="169">
        <v>46095.0</v>
      </c>
      <c r="E3519" s="2">
        <v>3.034916523E9</v>
      </c>
      <c r="F3519" s="2" t="s">
        <v>14313</v>
      </c>
      <c r="G3519" s="2" t="s">
        <v>368</v>
      </c>
      <c r="H3519" s="2">
        <v>3348.0</v>
      </c>
      <c r="I3519" s="2">
        <v>2.2120050022628E13</v>
      </c>
      <c r="J3519" s="3">
        <v>2.0</v>
      </c>
      <c r="K3519" s="2" t="s">
        <v>13072</v>
      </c>
      <c r="L3519" s="2" t="s">
        <v>50</v>
      </c>
      <c r="M3519" s="2" t="s">
        <v>409</v>
      </c>
      <c r="N3519" s="2" t="s">
        <v>462</v>
      </c>
      <c r="O3519" s="3"/>
      <c r="P3519" s="2" t="s">
        <v>73</v>
      </c>
      <c r="Q3519" s="3">
        <v>720.0</v>
      </c>
      <c r="R3519" s="3">
        <v>0.5</v>
      </c>
      <c r="T3519" s="2" t="s">
        <v>12177</v>
      </c>
      <c r="U3519" s="171">
        <v>3348.0</v>
      </c>
      <c r="V3519" s="172">
        <v>46105.0</v>
      </c>
      <c r="W3519" s="3">
        <v>241.0</v>
      </c>
      <c r="X3519" s="172">
        <v>46105.4160834375</v>
      </c>
      <c r="Y3519" s="172">
        <v>46095.518777708334</v>
      </c>
      <c r="Z3519" s="3">
        <v>46095.0</v>
      </c>
      <c r="AA3519" s="2" t="s">
        <v>14041</v>
      </c>
    </row>
    <row r="3520">
      <c r="A3520" s="3">
        <v>6.951610351875E12</v>
      </c>
      <c r="B3520" s="2" t="s">
        <v>14314</v>
      </c>
      <c r="C3520" s="2" t="s">
        <v>12934</v>
      </c>
      <c r="D3520" s="169">
        <v>46095.0</v>
      </c>
      <c r="E3520" s="2">
        <v>3.008737163E9</v>
      </c>
      <c r="F3520" s="2" t="s">
        <v>12935</v>
      </c>
      <c r="G3520" s="2" t="s">
        <v>855</v>
      </c>
      <c r="H3520" s="2">
        <v>7500.0</v>
      </c>
      <c r="I3520" s="2">
        <v>2.8120050022635E13</v>
      </c>
      <c r="J3520" s="3">
        <v>6.0</v>
      </c>
      <c r="K3520" s="2" t="s">
        <v>14315</v>
      </c>
      <c r="L3520" s="2" t="s">
        <v>14316</v>
      </c>
      <c r="M3520" s="2" t="s">
        <v>409</v>
      </c>
      <c r="N3520" s="2" t="s">
        <v>462</v>
      </c>
      <c r="O3520" s="3"/>
      <c r="P3520" s="2" t="s">
        <v>73</v>
      </c>
      <c r="Q3520" s="3">
        <v>4500.0</v>
      </c>
      <c r="R3520" s="3">
        <v>0.5</v>
      </c>
      <c r="T3520" s="2" t="s">
        <v>11534</v>
      </c>
      <c r="U3520" s="171">
        <v>7500.0</v>
      </c>
      <c r="V3520" s="172">
        <v>46097.0</v>
      </c>
      <c r="W3520" s="3">
        <v>323.0</v>
      </c>
      <c r="X3520" s="172">
        <v>46096.7078758912</v>
      </c>
      <c r="Y3520" s="172">
        <v>46095.560444386574</v>
      </c>
      <c r="Z3520" s="3">
        <v>46095.0</v>
      </c>
      <c r="AA3520" s="2" t="s">
        <v>14026</v>
      </c>
    </row>
    <row r="3521">
      <c r="A3521" s="3">
        <v>6.951610876163E12</v>
      </c>
      <c r="B3521" s="2" t="s">
        <v>14317</v>
      </c>
      <c r="C3521" s="2" t="s">
        <v>14318</v>
      </c>
      <c r="D3521" s="169">
        <v>46095.0</v>
      </c>
      <c r="E3521" s="2">
        <v>3.161769022E9</v>
      </c>
      <c r="F3521" s="2" t="s">
        <v>14319</v>
      </c>
      <c r="G3521" s="2" t="s">
        <v>14320</v>
      </c>
      <c r="H3521" s="2">
        <v>249.0</v>
      </c>
      <c r="I3521" s="2">
        <v>2.6120050022627E13</v>
      </c>
      <c r="J3521" s="3">
        <v>0.0</v>
      </c>
      <c r="K3521" s="2" t="s">
        <v>13833</v>
      </c>
      <c r="L3521" s="2"/>
      <c r="M3521" s="170" t="s">
        <v>455</v>
      </c>
      <c r="N3521" s="2" t="s">
        <v>406</v>
      </c>
      <c r="O3521" s="3"/>
      <c r="P3521" s="2" t="s">
        <v>73</v>
      </c>
      <c r="Q3521" s="3">
        <v>0.0</v>
      </c>
      <c r="R3521" s="3">
        <v>0.5</v>
      </c>
      <c r="U3521" s="141"/>
      <c r="W3521" s="3">
        <v>213.44</v>
      </c>
      <c r="X3521" s="172">
        <v>46113.91595332176</v>
      </c>
      <c r="Y3521" s="172">
        <v>46095.560444386574</v>
      </c>
      <c r="Z3521" s="3">
        <v>46095.0</v>
      </c>
      <c r="AA3521" s="2" t="s">
        <v>14032</v>
      </c>
    </row>
    <row r="3522">
      <c r="A3522" s="3">
        <v>6.951628636419E12</v>
      </c>
      <c r="B3522" s="2" t="s">
        <v>14321</v>
      </c>
      <c r="C3522" s="2" t="s">
        <v>14322</v>
      </c>
      <c r="D3522" s="169">
        <v>46095.0</v>
      </c>
      <c r="E3522" s="173" t="s">
        <v>14323</v>
      </c>
      <c r="F3522" s="2" t="s">
        <v>14324</v>
      </c>
      <c r="G3522" s="2" t="s">
        <v>14325</v>
      </c>
      <c r="H3522" s="2">
        <v>250.0</v>
      </c>
      <c r="I3522" s="2" t="s">
        <v>14326</v>
      </c>
      <c r="J3522" s="3">
        <v>0.0</v>
      </c>
      <c r="K3522" s="2" t="s">
        <v>14327</v>
      </c>
      <c r="L3522" s="2"/>
      <c r="M3522" s="170" t="s">
        <v>455</v>
      </c>
      <c r="N3522" s="2" t="s">
        <v>406</v>
      </c>
      <c r="O3522" s="3"/>
      <c r="P3522" s="2" t="s">
        <v>640</v>
      </c>
      <c r="Q3522" s="3">
        <v>0.0</v>
      </c>
      <c r="R3522" s="3">
        <v>0.5</v>
      </c>
      <c r="U3522" s="141"/>
      <c r="X3522" s="172">
        <v>46130.08269384259</v>
      </c>
      <c r="Y3522" s="172">
        <v>46095.560444386574</v>
      </c>
      <c r="Z3522" s="3">
        <v>46095.0</v>
      </c>
      <c r="AA3522" s="2" t="s">
        <v>14026</v>
      </c>
    </row>
    <row r="3523">
      <c r="A3523" s="3">
        <v>6.951633453315E12</v>
      </c>
      <c r="B3523" s="2" t="s">
        <v>14328</v>
      </c>
      <c r="C3523" s="2" t="s">
        <v>14329</v>
      </c>
      <c r="D3523" s="169">
        <v>46095.0</v>
      </c>
      <c r="E3523" s="2">
        <v>3.368501999E9</v>
      </c>
      <c r="F3523" s="2" t="s">
        <v>14330</v>
      </c>
      <c r="G3523" s="2" t="s">
        <v>366</v>
      </c>
      <c r="H3523" s="2">
        <v>3348.0</v>
      </c>
      <c r="I3523" s="2">
        <v>2.0120050022689E13</v>
      </c>
      <c r="J3523" s="3">
        <v>2.0</v>
      </c>
      <c r="K3523" s="2" t="s">
        <v>13072</v>
      </c>
      <c r="L3523" s="2" t="s">
        <v>4209</v>
      </c>
      <c r="M3523" s="2" t="s">
        <v>409</v>
      </c>
      <c r="N3523" s="2" t="s">
        <v>462</v>
      </c>
      <c r="O3523" s="3"/>
      <c r="P3523" s="2" t="s">
        <v>73</v>
      </c>
      <c r="Q3523" s="3">
        <v>720.0</v>
      </c>
      <c r="R3523" s="3">
        <v>0.5</v>
      </c>
      <c r="T3523" s="2" t="s">
        <v>12177</v>
      </c>
      <c r="U3523" s="171">
        <v>3348.0</v>
      </c>
      <c r="V3523" s="172">
        <v>46105.0</v>
      </c>
      <c r="W3523" s="3">
        <v>334.0</v>
      </c>
      <c r="X3523" s="172">
        <v>46099.91614695602</v>
      </c>
      <c r="Y3523" s="172">
        <v>46095.60210538194</v>
      </c>
      <c r="Z3523" s="3">
        <v>46095.0</v>
      </c>
      <c r="AA3523" s="2" t="s">
        <v>14053</v>
      </c>
    </row>
    <row r="3524">
      <c r="A3524" s="3">
        <v>6.951649870083E12</v>
      </c>
      <c r="B3524" s="2" t="s">
        <v>14331</v>
      </c>
      <c r="C3524" s="2" t="s">
        <v>14332</v>
      </c>
      <c r="D3524" s="169">
        <v>46095.0</v>
      </c>
      <c r="E3524" s="2">
        <v>3.043332172E9</v>
      </c>
      <c r="F3524" s="2" t="s">
        <v>14333</v>
      </c>
      <c r="G3524" s="2" t="s">
        <v>374</v>
      </c>
      <c r="H3524" s="2">
        <v>3348.0</v>
      </c>
      <c r="I3524" s="2">
        <v>2.5120050022657E13</v>
      </c>
      <c r="J3524" s="3">
        <v>2.0</v>
      </c>
      <c r="K3524" s="2" t="s">
        <v>13072</v>
      </c>
      <c r="L3524" s="2" t="s">
        <v>228</v>
      </c>
      <c r="M3524" s="2" t="s">
        <v>409</v>
      </c>
      <c r="N3524" s="2" t="s">
        <v>462</v>
      </c>
      <c r="O3524" s="3"/>
      <c r="P3524" s="2" t="s">
        <v>73</v>
      </c>
      <c r="Q3524" s="3">
        <v>720.0</v>
      </c>
      <c r="R3524" s="3">
        <v>0.5</v>
      </c>
      <c r="T3524" s="2" t="s">
        <v>12177</v>
      </c>
      <c r="U3524" s="171">
        <v>3348.0</v>
      </c>
      <c r="V3524" s="172">
        <v>46105.0</v>
      </c>
      <c r="W3524" s="3">
        <v>334.0</v>
      </c>
      <c r="X3524" s="172">
        <v>46097.62447283565</v>
      </c>
      <c r="Y3524" s="172">
        <v>46095.60210538194</v>
      </c>
      <c r="Z3524" s="3">
        <v>46095.0</v>
      </c>
      <c r="AA3524" s="2" t="s">
        <v>14022</v>
      </c>
    </row>
    <row r="3525">
      <c r="A3525" s="3">
        <v>6.951662452995E12</v>
      </c>
      <c r="B3525" s="2" t="s">
        <v>14334</v>
      </c>
      <c r="C3525" s="2" t="s">
        <v>14335</v>
      </c>
      <c r="D3525" s="169">
        <v>46095.0</v>
      </c>
      <c r="E3525" s="173" t="s">
        <v>14336</v>
      </c>
      <c r="F3525" s="2" t="s">
        <v>14337</v>
      </c>
      <c r="G3525" s="2" t="s">
        <v>14338</v>
      </c>
      <c r="H3525" s="2">
        <v>5700.0</v>
      </c>
      <c r="I3525" s="2">
        <v>1.73011807242E11</v>
      </c>
      <c r="J3525" s="3">
        <v>4.0</v>
      </c>
      <c r="K3525" s="2" t="s">
        <v>14339</v>
      </c>
      <c r="L3525" s="2" t="s">
        <v>14340</v>
      </c>
      <c r="M3525" s="2" t="s">
        <v>409</v>
      </c>
      <c r="N3525" s="2" t="s">
        <v>406</v>
      </c>
      <c r="O3525" s="3"/>
      <c r="P3525" s="2" t="s">
        <v>501</v>
      </c>
      <c r="Q3525" s="3">
        <v>1605.0</v>
      </c>
      <c r="R3525" s="3">
        <v>0.5</v>
      </c>
      <c r="U3525" s="141"/>
      <c r="X3525" s="172">
        <v>46112.62591481482</v>
      </c>
      <c r="Y3525" s="172">
        <v>46095.60210538194</v>
      </c>
      <c r="Z3525" s="3">
        <v>46095.0</v>
      </c>
      <c r="AA3525" s="2" t="s">
        <v>14026</v>
      </c>
    </row>
    <row r="3526">
      <c r="A3526" s="3">
        <v>6.951669825795E12</v>
      </c>
      <c r="B3526" s="2" t="s">
        <v>14341</v>
      </c>
      <c r="C3526" s="2" t="s">
        <v>14342</v>
      </c>
      <c r="D3526" s="169">
        <v>46095.0</v>
      </c>
      <c r="E3526" s="2">
        <v>3.334555721E9</v>
      </c>
      <c r="F3526" s="2" t="s">
        <v>14343</v>
      </c>
      <c r="G3526" s="2" t="s">
        <v>506</v>
      </c>
      <c r="H3526" s="2">
        <v>3348.0</v>
      </c>
      <c r="I3526" s="2">
        <v>2.0120050022688E13</v>
      </c>
      <c r="J3526" s="3">
        <v>2.0</v>
      </c>
      <c r="K3526" s="2" t="s">
        <v>13072</v>
      </c>
      <c r="L3526" s="2" t="s">
        <v>22</v>
      </c>
      <c r="M3526" s="2" t="s">
        <v>409</v>
      </c>
      <c r="N3526" s="2" t="s">
        <v>462</v>
      </c>
      <c r="O3526" s="3"/>
      <c r="P3526" s="2" t="s">
        <v>73</v>
      </c>
      <c r="Q3526" s="3">
        <v>800.0</v>
      </c>
      <c r="R3526" s="3">
        <v>0.5</v>
      </c>
      <c r="T3526" s="2" t="s">
        <v>12177</v>
      </c>
      <c r="U3526" s="171">
        <v>3348.0</v>
      </c>
      <c r="V3526" s="172">
        <v>46105.0</v>
      </c>
      <c r="W3526" s="3">
        <v>334.0</v>
      </c>
      <c r="X3526" s="172">
        <v>46105.52098902778</v>
      </c>
      <c r="Y3526" s="172">
        <v>46095.60210538194</v>
      </c>
      <c r="Z3526" s="3">
        <v>46095.0</v>
      </c>
      <c r="AA3526" s="2" t="s">
        <v>14032</v>
      </c>
    </row>
    <row r="3527">
      <c r="A3527" s="3">
        <v>6.951678443779E12</v>
      </c>
      <c r="B3527" s="2" t="s">
        <v>14344</v>
      </c>
      <c r="C3527" s="2" t="s">
        <v>14345</v>
      </c>
      <c r="D3527" s="169">
        <v>46095.0</v>
      </c>
      <c r="E3527" s="2">
        <v>3.077204568E9</v>
      </c>
      <c r="F3527" s="2" t="s">
        <v>14346</v>
      </c>
      <c r="G3527" s="2" t="s">
        <v>368</v>
      </c>
      <c r="H3527" s="2">
        <v>249.0</v>
      </c>
      <c r="I3527" s="2">
        <v>2.3120050022656E13</v>
      </c>
      <c r="J3527" s="3">
        <v>0.0</v>
      </c>
      <c r="K3527" s="2" t="s">
        <v>12707</v>
      </c>
      <c r="L3527" s="2"/>
      <c r="M3527" s="170" t="s">
        <v>455</v>
      </c>
      <c r="N3527" s="2" t="s">
        <v>406</v>
      </c>
      <c r="O3527" s="3"/>
      <c r="P3527" s="2" t="s">
        <v>73</v>
      </c>
      <c r="Q3527" s="3">
        <v>0.0</v>
      </c>
      <c r="R3527" s="3">
        <v>0.5</v>
      </c>
      <c r="U3527" s="141"/>
      <c r="W3527" s="3">
        <v>107.0</v>
      </c>
      <c r="X3527" s="172">
        <v>46110.58268581019</v>
      </c>
      <c r="Y3527" s="172">
        <v>46095.64375599537</v>
      </c>
      <c r="Z3527" s="3">
        <v>46095.0</v>
      </c>
      <c r="AA3527" s="2" t="s">
        <v>14032</v>
      </c>
    </row>
    <row r="3528">
      <c r="A3528" s="3">
        <v>6.951679590659E12</v>
      </c>
      <c r="B3528" s="2" t="s">
        <v>14347</v>
      </c>
      <c r="C3528" s="2" t="s">
        <v>14348</v>
      </c>
      <c r="D3528" s="169">
        <v>46095.0</v>
      </c>
      <c r="E3528" s="2">
        <v>3.075555692E9</v>
      </c>
      <c r="F3528" s="2" t="s">
        <v>14349</v>
      </c>
      <c r="G3528" s="2" t="s">
        <v>368</v>
      </c>
      <c r="H3528" s="2">
        <v>6446.0</v>
      </c>
      <c r="I3528" s="2">
        <v>2.5120050022655E13</v>
      </c>
      <c r="J3528" s="3">
        <v>4.0</v>
      </c>
      <c r="K3528" s="2" t="s">
        <v>14350</v>
      </c>
      <c r="L3528" s="2" t="s">
        <v>14351</v>
      </c>
      <c r="M3528" s="2" t="s">
        <v>409</v>
      </c>
      <c r="N3528" s="2" t="s">
        <v>462</v>
      </c>
      <c r="O3528" s="3"/>
      <c r="P3528" s="2" t="s">
        <v>73</v>
      </c>
      <c r="Q3528" s="3">
        <v>1440.0</v>
      </c>
      <c r="R3528" s="3">
        <v>0.5</v>
      </c>
      <c r="T3528" s="2" t="s">
        <v>12177</v>
      </c>
      <c r="U3528" s="171">
        <v>6446.0</v>
      </c>
      <c r="V3528" s="172">
        <v>46105.0</v>
      </c>
      <c r="W3528" s="3">
        <v>378.0</v>
      </c>
      <c r="X3528" s="172">
        <v>46100.874495972224</v>
      </c>
      <c r="Y3528" s="172">
        <v>46095.64375599537</v>
      </c>
      <c r="Z3528" s="3">
        <v>46095.0</v>
      </c>
      <c r="AA3528" s="2" t="s">
        <v>14032</v>
      </c>
    </row>
    <row r="3529">
      <c r="A3529" s="3">
        <v>6.951680475395E12</v>
      </c>
      <c r="B3529" s="2" t="s">
        <v>14352</v>
      </c>
      <c r="C3529" s="2" t="s">
        <v>14348</v>
      </c>
      <c r="D3529" s="169">
        <v>46095.0</v>
      </c>
      <c r="E3529" s="173" t="s">
        <v>14353</v>
      </c>
      <c r="F3529" s="2" t="s">
        <v>14349</v>
      </c>
      <c r="G3529" s="2" t="s">
        <v>368</v>
      </c>
      <c r="H3529" s="2">
        <v>0.0</v>
      </c>
      <c r="J3529" s="3">
        <v>0.0</v>
      </c>
      <c r="K3529" s="2" t="s">
        <v>7954</v>
      </c>
      <c r="L3529" s="2"/>
      <c r="M3529" s="2" t="s">
        <v>468</v>
      </c>
      <c r="N3529" s="2" t="s">
        <v>406</v>
      </c>
      <c r="O3529" s="3"/>
      <c r="Q3529" s="3">
        <v>0.0</v>
      </c>
      <c r="R3529" s="3">
        <v>0.5</v>
      </c>
      <c r="U3529" s="141"/>
      <c r="X3529" s="172"/>
      <c r="Y3529" s="172">
        <v>46095.64375599537</v>
      </c>
      <c r="Z3529" s="3">
        <v>46095.0</v>
      </c>
      <c r="AA3529" s="2" t="s">
        <v>14032</v>
      </c>
    </row>
    <row r="3530">
      <c r="A3530" s="3">
        <v>6.951681589507E12</v>
      </c>
      <c r="B3530" s="2" t="s">
        <v>14354</v>
      </c>
      <c r="C3530" s="2" t="s">
        <v>14348</v>
      </c>
      <c r="D3530" s="169">
        <v>46095.0</v>
      </c>
      <c r="E3530" s="173" t="s">
        <v>14353</v>
      </c>
      <c r="F3530" s="2" t="s">
        <v>14349</v>
      </c>
      <c r="G3530" s="2" t="s">
        <v>368</v>
      </c>
      <c r="H3530" s="2">
        <v>0.0</v>
      </c>
      <c r="J3530" s="3">
        <v>0.0</v>
      </c>
      <c r="K3530" s="2" t="s">
        <v>8402</v>
      </c>
      <c r="L3530" s="2"/>
      <c r="M3530" s="2" t="s">
        <v>468</v>
      </c>
      <c r="N3530" s="2" t="s">
        <v>406</v>
      </c>
      <c r="O3530" s="3"/>
      <c r="Q3530" s="3">
        <v>0.0</v>
      </c>
      <c r="R3530" s="3">
        <v>0.5</v>
      </c>
      <c r="U3530" s="141"/>
      <c r="X3530" s="172"/>
      <c r="Y3530" s="172">
        <v>46095.64375599537</v>
      </c>
      <c r="Z3530" s="3">
        <v>46095.0</v>
      </c>
      <c r="AA3530" s="2" t="s">
        <v>14032</v>
      </c>
    </row>
    <row r="3531">
      <c r="A3531" s="3">
        <v>6.951689650435E12</v>
      </c>
      <c r="B3531" s="2" t="s">
        <v>14355</v>
      </c>
      <c r="C3531" s="2" t="s">
        <v>14356</v>
      </c>
      <c r="D3531" s="169">
        <v>46095.0</v>
      </c>
      <c r="E3531" s="2">
        <v>3.156775572E9</v>
      </c>
      <c r="F3531" s="2" t="s">
        <v>14357</v>
      </c>
      <c r="G3531" s="2" t="s">
        <v>368</v>
      </c>
      <c r="H3531" s="2">
        <v>0.0</v>
      </c>
      <c r="J3531" s="3">
        <v>0.0</v>
      </c>
      <c r="K3531" s="2" t="s">
        <v>14358</v>
      </c>
      <c r="L3531" s="2"/>
      <c r="M3531" s="2" t="s">
        <v>468</v>
      </c>
      <c r="N3531" s="2" t="s">
        <v>406</v>
      </c>
      <c r="O3531" s="3"/>
      <c r="Q3531" s="3">
        <v>0.0</v>
      </c>
      <c r="R3531" s="3">
        <v>0.5</v>
      </c>
      <c r="U3531" s="141"/>
      <c r="X3531" s="172"/>
      <c r="Y3531" s="172">
        <v>46095.64375599537</v>
      </c>
      <c r="Z3531" s="3">
        <v>46095.0</v>
      </c>
      <c r="AA3531" s="2" t="s">
        <v>14032</v>
      </c>
    </row>
    <row r="3532">
      <c r="A3532" s="3">
        <v>6.951703445763E12</v>
      </c>
      <c r="B3532" s="2" t="s">
        <v>14359</v>
      </c>
      <c r="C3532" s="2" t="s">
        <v>14360</v>
      </c>
      <c r="D3532" s="169">
        <v>46095.0</v>
      </c>
      <c r="E3532" s="173" t="s">
        <v>14361</v>
      </c>
      <c r="F3532" s="2" t="s">
        <v>14362</v>
      </c>
      <c r="G3532" s="2" t="s">
        <v>688</v>
      </c>
      <c r="H3532" s="2">
        <v>250.0</v>
      </c>
      <c r="I3532" s="2">
        <v>2.4120050022654E13</v>
      </c>
      <c r="J3532" s="3">
        <v>0.0</v>
      </c>
      <c r="K3532" s="2" t="s">
        <v>14363</v>
      </c>
      <c r="L3532" s="2"/>
      <c r="M3532" s="170" t="s">
        <v>455</v>
      </c>
      <c r="N3532" s="2" t="s">
        <v>406</v>
      </c>
      <c r="O3532" s="3"/>
      <c r="P3532" s="2" t="s">
        <v>73</v>
      </c>
      <c r="Q3532" s="3">
        <v>0.0</v>
      </c>
      <c r="R3532" s="3">
        <v>0.5</v>
      </c>
      <c r="U3532" s="141"/>
      <c r="W3532" s="3">
        <v>220.0</v>
      </c>
      <c r="X3532" s="172">
        <v>46109.8326555324</v>
      </c>
      <c r="Y3532" s="172">
        <v>46095.64375599537</v>
      </c>
      <c r="Z3532" s="3">
        <v>46095.0</v>
      </c>
      <c r="AA3532" s="2" t="s">
        <v>14026</v>
      </c>
    </row>
    <row r="3533">
      <c r="A3533" s="3">
        <v>6.951716880643E12</v>
      </c>
      <c r="B3533" s="2" t="s">
        <v>14364</v>
      </c>
      <c r="C3533" s="2" t="s">
        <v>14365</v>
      </c>
      <c r="D3533" s="169">
        <v>46095.0</v>
      </c>
      <c r="E3533" s="2">
        <v>3.319352393E9</v>
      </c>
      <c r="F3533" s="2" t="s">
        <v>14366</v>
      </c>
      <c r="G3533" s="2" t="s">
        <v>368</v>
      </c>
      <c r="H3533" s="2">
        <v>5549.0</v>
      </c>
      <c r="I3533" s="2">
        <v>2.1120050022784E13</v>
      </c>
      <c r="J3533" s="3">
        <v>3.0</v>
      </c>
      <c r="K3533" s="2" t="s">
        <v>14367</v>
      </c>
      <c r="L3533" s="2" t="s">
        <v>14368</v>
      </c>
      <c r="M3533" s="2" t="s">
        <v>409</v>
      </c>
      <c r="N3533" s="2" t="s">
        <v>462</v>
      </c>
      <c r="O3533" s="3"/>
      <c r="P3533" s="2" t="s">
        <v>73</v>
      </c>
      <c r="Q3533" s="3">
        <v>1795.0</v>
      </c>
      <c r="R3533" s="3">
        <v>0.5</v>
      </c>
      <c r="T3533" s="2" t="s">
        <v>12177</v>
      </c>
      <c r="U3533" s="171">
        <v>5549.0</v>
      </c>
      <c r="V3533" s="172">
        <v>46105.0</v>
      </c>
      <c r="W3533" s="3">
        <v>342.0</v>
      </c>
      <c r="X3533" s="172">
        <v>46100.45776071759</v>
      </c>
      <c r="Y3533" s="172">
        <v>46095.68541747685</v>
      </c>
      <c r="Z3533" s="3">
        <v>46095.0</v>
      </c>
      <c r="AA3533" s="2" t="s">
        <v>14022</v>
      </c>
    </row>
    <row r="3534">
      <c r="A3534" s="3">
        <v>6.951748534531E12</v>
      </c>
      <c r="B3534" s="2" t="s">
        <v>14369</v>
      </c>
      <c r="C3534" s="2" t="s">
        <v>14370</v>
      </c>
      <c r="D3534" s="169">
        <v>46095.0</v>
      </c>
      <c r="E3534" s="2">
        <v>3.347477895E9</v>
      </c>
      <c r="F3534" s="2" t="s">
        <v>14371</v>
      </c>
      <c r="G3534" s="2" t="s">
        <v>14372</v>
      </c>
      <c r="H3534" s="2">
        <v>3348.0</v>
      </c>
      <c r="I3534" s="2">
        <v>2.2120050022744E13</v>
      </c>
      <c r="J3534" s="3">
        <v>2.0</v>
      </c>
      <c r="K3534" s="2" t="s">
        <v>14373</v>
      </c>
      <c r="L3534" s="2" t="s">
        <v>296</v>
      </c>
      <c r="M3534" s="2" t="s">
        <v>409</v>
      </c>
      <c r="N3534" s="2" t="s">
        <v>462</v>
      </c>
      <c r="O3534" s="3"/>
      <c r="P3534" s="2" t="s">
        <v>73</v>
      </c>
      <c r="Q3534" s="3">
        <v>720.0</v>
      </c>
      <c r="R3534" s="3">
        <v>0.5</v>
      </c>
      <c r="T3534" s="2" t="s">
        <v>12177</v>
      </c>
      <c r="U3534" s="171">
        <v>3348.0</v>
      </c>
      <c r="V3534" s="172">
        <v>46105.0</v>
      </c>
      <c r="W3534" s="3">
        <v>334.0</v>
      </c>
      <c r="X3534" s="172">
        <v>46100.87449681713</v>
      </c>
      <c r="Y3534" s="172">
        <v>46095.72708996528</v>
      </c>
      <c r="Z3534" s="3">
        <v>46095.0</v>
      </c>
      <c r="AA3534" s="2" t="s">
        <v>14032</v>
      </c>
    </row>
    <row r="3535">
      <c r="A3535" s="3">
        <v>6.951749189891E12</v>
      </c>
      <c r="B3535" s="2" t="s">
        <v>14374</v>
      </c>
      <c r="C3535" s="2" t="s">
        <v>1477</v>
      </c>
      <c r="D3535" s="169">
        <v>46095.0</v>
      </c>
      <c r="E3535" s="2">
        <v>3.058080763E9</v>
      </c>
      <c r="F3535" s="2" t="s">
        <v>1478</v>
      </c>
      <c r="G3535" s="2" t="s">
        <v>1479</v>
      </c>
      <c r="H3535" s="2">
        <v>3099.0</v>
      </c>
      <c r="I3535" s="2">
        <v>2.8120050022725E13</v>
      </c>
      <c r="J3535" s="3">
        <v>2.0</v>
      </c>
      <c r="K3535" s="2" t="s">
        <v>14375</v>
      </c>
      <c r="L3535" s="2" t="s">
        <v>14376</v>
      </c>
      <c r="M3535" s="2" t="s">
        <v>409</v>
      </c>
      <c r="N3535" s="2" t="s">
        <v>462</v>
      </c>
      <c r="O3535" s="3"/>
      <c r="P3535" s="2" t="s">
        <v>73</v>
      </c>
      <c r="Q3535" s="3">
        <v>1100.0</v>
      </c>
      <c r="R3535" s="3">
        <v>0.5</v>
      </c>
      <c r="T3535" s="2" t="s">
        <v>12177</v>
      </c>
      <c r="U3535" s="171">
        <v>3099.0</v>
      </c>
      <c r="V3535" s="172">
        <v>46105.0</v>
      </c>
      <c r="W3535" s="3">
        <v>324.0</v>
      </c>
      <c r="X3535" s="172">
        <v>46100.62438807871</v>
      </c>
      <c r="Y3535" s="172">
        <v>46095.72708996528</v>
      </c>
      <c r="Z3535" s="3">
        <v>46095.0</v>
      </c>
      <c r="AA3535" s="2" t="s">
        <v>14103</v>
      </c>
    </row>
    <row r="3536">
      <c r="A3536" s="3">
        <v>6.951749353731E12</v>
      </c>
      <c r="B3536" s="2" t="s">
        <v>14377</v>
      </c>
      <c r="C3536" s="2" t="s">
        <v>14378</v>
      </c>
      <c r="D3536" s="169">
        <v>46095.0</v>
      </c>
      <c r="E3536" s="2">
        <v>3.313840507E9</v>
      </c>
      <c r="F3536" s="2" t="s">
        <v>14379</v>
      </c>
      <c r="G3536" s="2" t="s">
        <v>1948</v>
      </c>
      <c r="H3536" s="2">
        <v>3348.0</v>
      </c>
      <c r="I3536" s="2">
        <v>2.4120050022724E13</v>
      </c>
      <c r="J3536" s="3">
        <v>2.0</v>
      </c>
      <c r="K3536" s="2" t="s">
        <v>14373</v>
      </c>
      <c r="L3536" s="2" t="s">
        <v>1116</v>
      </c>
      <c r="M3536" s="2" t="s">
        <v>409</v>
      </c>
      <c r="N3536" s="2" t="s">
        <v>462</v>
      </c>
      <c r="O3536" s="3"/>
      <c r="P3536" s="2" t="s">
        <v>73</v>
      </c>
      <c r="Q3536" s="3">
        <v>800.0</v>
      </c>
      <c r="R3536" s="3">
        <v>0.5</v>
      </c>
      <c r="T3536" s="2" t="s">
        <v>12177</v>
      </c>
      <c r="U3536" s="171">
        <v>3348.0</v>
      </c>
      <c r="V3536" s="172">
        <v>46105.0</v>
      </c>
      <c r="W3536" s="3">
        <v>334.0</v>
      </c>
      <c r="X3536" s="172">
        <v>46099.6660978588</v>
      </c>
      <c r="Y3536" s="172">
        <v>46095.72708996528</v>
      </c>
      <c r="Z3536" s="3">
        <v>46095.0</v>
      </c>
      <c r="AA3536" s="2" t="s">
        <v>14032</v>
      </c>
    </row>
    <row r="3537">
      <c r="A3537" s="3">
        <v>6.951783399683E12</v>
      </c>
      <c r="B3537" s="2" t="s">
        <v>14380</v>
      </c>
      <c r="C3537" s="2" t="s">
        <v>14381</v>
      </c>
      <c r="D3537" s="169">
        <v>46095.0</v>
      </c>
      <c r="E3537" s="2">
        <v>3.218443492E9</v>
      </c>
      <c r="F3537" s="2" t="s">
        <v>14382</v>
      </c>
      <c r="G3537" s="2" t="s">
        <v>368</v>
      </c>
      <c r="H3537" s="2">
        <v>249.0</v>
      </c>
      <c r="I3537" s="2">
        <v>2.5120050022743E13</v>
      </c>
      <c r="J3537" s="3">
        <v>0.0</v>
      </c>
      <c r="K3537" s="2" t="s">
        <v>14383</v>
      </c>
      <c r="L3537" s="2"/>
      <c r="M3537" s="170" t="s">
        <v>455</v>
      </c>
      <c r="N3537" s="2" t="s">
        <v>406</v>
      </c>
      <c r="O3537" s="3"/>
      <c r="P3537" s="2" t="s">
        <v>73</v>
      </c>
      <c r="Q3537" s="3">
        <v>0.0</v>
      </c>
      <c r="R3537" s="3">
        <v>0.5</v>
      </c>
      <c r="U3537" s="141"/>
      <c r="W3537" s="3">
        <v>107.0</v>
      </c>
      <c r="X3537" s="172">
        <v>46108.83332439815</v>
      </c>
      <c r="Y3537" s="172">
        <v>46095.72708996528</v>
      </c>
      <c r="Z3537" s="3">
        <v>46095.0</v>
      </c>
      <c r="AA3537" s="2" t="s">
        <v>14053</v>
      </c>
    </row>
    <row r="3538">
      <c r="A3538" s="3">
        <v>6.951856636163E12</v>
      </c>
      <c r="B3538" s="2" t="s">
        <v>14384</v>
      </c>
      <c r="C3538" s="2" t="s">
        <v>13067</v>
      </c>
      <c r="D3538" s="169">
        <v>46095.0</v>
      </c>
      <c r="E3538" s="173" t="s">
        <v>14385</v>
      </c>
      <c r="F3538" s="2" t="s">
        <v>14386</v>
      </c>
      <c r="G3538" s="2" t="s">
        <v>1016</v>
      </c>
      <c r="H3538" s="2">
        <v>3548.0</v>
      </c>
      <c r="I3538" s="2">
        <v>2.1120050022723E13</v>
      </c>
      <c r="J3538" s="3">
        <v>2.0</v>
      </c>
      <c r="K3538" s="2" t="s">
        <v>14387</v>
      </c>
      <c r="L3538" s="2" t="s">
        <v>16</v>
      </c>
      <c r="M3538" s="2" t="s">
        <v>409</v>
      </c>
      <c r="N3538" s="2" t="s">
        <v>462</v>
      </c>
      <c r="O3538" s="3"/>
      <c r="P3538" s="2" t="s">
        <v>73</v>
      </c>
      <c r="Q3538" s="3">
        <v>980.0</v>
      </c>
      <c r="R3538" s="3">
        <v>0.5</v>
      </c>
      <c r="T3538" s="2" t="s">
        <v>12177</v>
      </c>
      <c r="U3538" s="171">
        <v>3548.0</v>
      </c>
      <c r="V3538" s="172">
        <v>46105.0</v>
      </c>
      <c r="W3538" s="3">
        <v>342.0</v>
      </c>
      <c r="X3538" s="172">
        <v>46099.58279305555</v>
      </c>
      <c r="Y3538" s="172">
        <v>46095.768751400465</v>
      </c>
      <c r="Z3538" s="3">
        <v>46095.0</v>
      </c>
      <c r="AA3538" s="2" t="s">
        <v>14032</v>
      </c>
    </row>
    <row r="3539">
      <c r="A3539" s="3">
        <v>6.951857291523E12</v>
      </c>
      <c r="B3539" s="2" t="s">
        <v>14388</v>
      </c>
      <c r="C3539" s="2" t="s">
        <v>14389</v>
      </c>
      <c r="D3539" s="169">
        <v>46095.0</v>
      </c>
      <c r="E3539" s="2">
        <v>3.344337614E9</v>
      </c>
      <c r="F3539" s="2" t="s">
        <v>14390</v>
      </c>
      <c r="G3539" s="2" t="s">
        <v>506</v>
      </c>
      <c r="H3539" s="2">
        <v>3348.0</v>
      </c>
      <c r="I3539" s="2">
        <v>2.6120050022742E13</v>
      </c>
      <c r="J3539" s="3">
        <v>2.0</v>
      </c>
      <c r="K3539" s="2" t="s">
        <v>14373</v>
      </c>
      <c r="L3539" s="2" t="s">
        <v>275</v>
      </c>
      <c r="M3539" s="2" t="s">
        <v>409</v>
      </c>
      <c r="N3539" s="2" t="s">
        <v>462</v>
      </c>
      <c r="O3539" s="3"/>
      <c r="P3539" s="2" t="s">
        <v>73</v>
      </c>
      <c r="Q3539" s="3">
        <v>800.0</v>
      </c>
      <c r="R3539" s="3">
        <v>0.5</v>
      </c>
      <c r="T3539" s="2" t="s">
        <v>12177</v>
      </c>
      <c r="U3539" s="171">
        <v>3348.0</v>
      </c>
      <c r="V3539" s="172">
        <v>46105.0</v>
      </c>
      <c r="W3539" s="3">
        <v>334.0</v>
      </c>
      <c r="X3539" s="172">
        <v>46100.70774935185</v>
      </c>
      <c r="Y3539" s="172">
        <v>46095.768751400465</v>
      </c>
      <c r="Z3539" s="3">
        <v>46095.0</v>
      </c>
      <c r="AA3539" s="2" t="s">
        <v>14022</v>
      </c>
    </row>
    <row r="3540">
      <c r="A3540" s="3">
        <v>6.951864467715E12</v>
      </c>
      <c r="B3540" s="2" t="s">
        <v>176</v>
      </c>
      <c r="C3540" s="2" t="s">
        <v>14391</v>
      </c>
      <c r="D3540" s="169">
        <v>46095.0</v>
      </c>
      <c r="E3540" s="2">
        <v>3.33277379E9</v>
      </c>
      <c r="F3540" s="2" t="s">
        <v>14392</v>
      </c>
      <c r="G3540" s="2" t="s">
        <v>14393</v>
      </c>
      <c r="H3540" s="2">
        <v>249.0</v>
      </c>
      <c r="I3540" s="2">
        <v>2.7120050023011E13</v>
      </c>
      <c r="J3540" s="3">
        <v>0.0</v>
      </c>
      <c r="K3540" s="2" t="s">
        <v>13991</v>
      </c>
      <c r="L3540" s="2"/>
      <c r="M3540" s="170" t="s">
        <v>455</v>
      </c>
      <c r="N3540" s="2" t="s">
        <v>406</v>
      </c>
      <c r="O3540" s="3"/>
      <c r="P3540" s="2" t="s">
        <v>73</v>
      </c>
      <c r="Q3540" s="3">
        <v>0.0</v>
      </c>
      <c r="R3540" s="3">
        <v>0.5</v>
      </c>
      <c r="U3540" s="141"/>
      <c r="W3540" s="3">
        <v>235.70999999999998</v>
      </c>
      <c r="X3540" s="172">
        <v>46127.080966458336</v>
      </c>
      <c r="Y3540" s="172">
        <v>46095.768751400465</v>
      </c>
      <c r="Z3540" s="3">
        <v>46095.0</v>
      </c>
      <c r="AA3540" s="2" t="s">
        <v>14041</v>
      </c>
    </row>
    <row r="3541">
      <c r="A3541" s="3">
        <v>6.951865221379E12</v>
      </c>
      <c r="B3541" s="2" t="s">
        <v>14394</v>
      </c>
      <c r="C3541" s="2" t="s">
        <v>14395</v>
      </c>
      <c r="D3541" s="169">
        <v>46095.0</v>
      </c>
      <c r="E3541" s="2">
        <v>3.042832215E9</v>
      </c>
      <c r="F3541" s="2" t="s">
        <v>14396</v>
      </c>
      <c r="G3541" s="2" t="s">
        <v>493</v>
      </c>
      <c r="H3541" s="2">
        <v>3348.0</v>
      </c>
      <c r="I3541" s="2">
        <v>2.6120050022722E13</v>
      </c>
      <c r="J3541" s="3">
        <v>2.0</v>
      </c>
      <c r="K3541" s="2" t="s">
        <v>14373</v>
      </c>
      <c r="L3541" s="2" t="s">
        <v>906</v>
      </c>
      <c r="M3541" s="2" t="s">
        <v>409</v>
      </c>
      <c r="N3541" s="2" t="s">
        <v>462</v>
      </c>
      <c r="O3541" s="3"/>
      <c r="P3541" s="2" t="s">
        <v>73</v>
      </c>
      <c r="Q3541" s="3">
        <v>720.0</v>
      </c>
      <c r="R3541" s="3">
        <v>0.5</v>
      </c>
      <c r="T3541" s="2" t="s">
        <v>12177</v>
      </c>
      <c r="U3541" s="171">
        <v>3348.0</v>
      </c>
      <c r="V3541" s="172">
        <v>46105.0</v>
      </c>
      <c r="W3541" s="3">
        <v>347.0</v>
      </c>
      <c r="X3541" s="172">
        <v>46100.62438813657</v>
      </c>
      <c r="Y3541" s="172">
        <v>46095.768751400465</v>
      </c>
      <c r="Z3541" s="3">
        <v>46095.0</v>
      </c>
      <c r="AA3541" s="2" t="s">
        <v>14032</v>
      </c>
    </row>
    <row r="3542">
      <c r="A3542" s="3">
        <v>6.951906246915E12</v>
      </c>
      <c r="B3542" s="2" t="s">
        <v>14397</v>
      </c>
      <c r="C3542" s="2" t="s">
        <v>13468</v>
      </c>
      <c r="D3542" s="169">
        <v>46095.0</v>
      </c>
      <c r="E3542" s="173" t="s">
        <v>13469</v>
      </c>
      <c r="F3542" s="2" t="s">
        <v>13470</v>
      </c>
      <c r="G3542" s="2" t="s">
        <v>541</v>
      </c>
      <c r="H3542" s="2">
        <v>3349.0</v>
      </c>
      <c r="I3542" s="2">
        <v>2.5120050022687E13</v>
      </c>
      <c r="J3542" s="3">
        <v>2.0</v>
      </c>
      <c r="K3542" s="2" t="s">
        <v>14398</v>
      </c>
      <c r="L3542" s="2" t="s">
        <v>14399</v>
      </c>
      <c r="M3542" s="2" t="s">
        <v>409</v>
      </c>
      <c r="N3542" s="2" t="s">
        <v>462</v>
      </c>
      <c r="O3542" s="3"/>
      <c r="P3542" s="2" t="s">
        <v>73</v>
      </c>
      <c r="Q3542" s="3">
        <v>720.0</v>
      </c>
      <c r="R3542" s="3">
        <v>0.5</v>
      </c>
      <c r="T3542" s="2" t="s">
        <v>12177</v>
      </c>
      <c r="U3542" s="171">
        <v>3349.0</v>
      </c>
      <c r="V3542" s="172">
        <v>46105.0</v>
      </c>
      <c r="W3542" s="3">
        <v>210.0</v>
      </c>
      <c r="X3542" s="172">
        <v>46100.58285341435</v>
      </c>
      <c r="Y3542" s="172">
        <v>46095.810431238424</v>
      </c>
      <c r="Z3542" s="3">
        <v>46095.0</v>
      </c>
      <c r="AA3542" s="2" t="s">
        <v>14026</v>
      </c>
    </row>
    <row r="3543">
      <c r="A3543" s="3">
        <v>6.951915094275E12</v>
      </c>
      <c r="B3543" s="2" t="s">
        <v>14400</v>
      </c>
      <c r="C3543" s="2" t="s">
        <v>13300</v>
      </c>
      <c r="D3543" s="169">
        <v>46095.0</v>
      </c>
      <c r="E3543" s="2">
        <v>3.00842385E9</v>
      </c>
      <c r="F3543" s="2" t="s">
        <v>13301</v>
      </c>
      <c r="G3543" s="2" t="s">
        <v>368</v>
      </c>
      <c r="H3543" s="2">
        <v>1800.0</v>
      </c>
      <c r="I3543" s="2" t="s">
        <v>14401</v>
      </c>
      <c r="J3543" s="3">
        <v>1.0</v>
      </c>
      <c r="K3543" s="2" t="s">
        <v>204</v>
      </c>
      <c r="L3543" s="2" t="s">
        <v>14402</v>
      </c>
      <c r="M3543" s="2" t="s">
        <v>409</v>
      </c>
      <c r="N3543" s="2" t="s">
        <v>406</v>
      </c>
      <c r="O3543" s="3"/>
      <c r="P3543" s="2"/>
      <c r="Q3543" s="3">
        <v>1100.0</v>
      </c>
      <c r="R3543" s="3">
        <v>0.5</v>
      </c>
      <c r="U3543" s="141"/>
      <c r="X3543" s="172"/>
      <c r="Y3543" s="172">
        <v>46095.810431238424</v>
      </c>
      <c r="Z3543" s="3">
        <v>46095.0</v>
      </c>
      <c r="AA3543" s="2" t="s">
        <v>14026</v>
      </c>
    </row>
    <row r="3544">
      <c r="A3544" s="3">
        <v>6.951926726915E12</v>
      </c>
      <c r="B3544" s="2" t="s">
        <v>14403</v>
      </c>
      <c r="C3544" s="2" t="s">
        <v>14404</v>
      </c>
      <c r="D3544" s="169">
        <v>46095.0</v>
      </c>
      <c r="E3544" s="173" t="s">
        <v>14405</v>
      </c>
      <c r="F3544" s="2" t="s">
        <v>14406</v>
      </c>
      <c r="G3544" s="2" t="s">
        <v>4467</v>
      </c>
      <c r="H3544" s="2">
        <v>2749.0</v>
      </c>
      <c r="I3544" s="2">
        <v>2.4120050022686E13</v>
      </c>
      <c r="J3544" s="3">
        <v>1.0</v>
      </c>
      <c r="K3544" s="2" t="s">
        <v>14407</v>
      </c>
      <c r="L3544" s="2" t="s">
        <v>542</v>
      </c>
      <c r="M3544" s="2" t="s">
        <v>409</v>
      </c>
      <c r="N3544" s="2" t="s">
        <v>462</v>
      </c>
      <c r="O3544" s="3"/>
      <c r="P3544" s="2" t="s">
        <v>73</v>
      </c>
      <c r="Q3544" s="3">
        <v>610.0</v>
      </c>
      <c r="R3544" s="3">
        <v>0.5</v>
      </c>
      <c r="T3544" s="2" t="s">
        <v>12177</v>
      </c>
      <c r="U3544" s="171">
        <v>2749.0</v>
      </c>
      <c r="V3544" s="172">
        <v>46105.0</v>
      </c>
      <c r="W3544" s="3">
        <v>310.0</v>
      </c>
      <c r="X3544" s="172">
        <v>46099.62455605324</v>
      </c>
      <c r="Y3544" s="172">
        <v>46095.810431238424</v>
      </c>
      <c r="Z3544" s="3">
        <v>46095.0</v>
      </c>
      <c r="AA3544" s="2" t="s">
        <v>14032</v>
      </c>
    </row>
    <row r="3545">
      <c r="A3545" s="3">
        <v>6.951957725443E12</v>
      </c>
      <c r="B3545" s="2" t="s">
        <v>14408</v>
      </c>
      <c r="C3545" s="2" t="s">
        <v>14409</v>
      </c>
      <c r="D3545" s="169">
        <v>46095.0</v>
      </c>
      <c r="E3545" s="2">
        <v>3.167098977E9</v>
      </c>
      <c r="F3545" s="2" t="s">
        <v>14410</v>
      </c>
      <c r="G3545" s="2" t="s">
        <v>374</v>
      </c>
      <c r="H3545" s="2">
        <v>3348.0</v>
      </c>
      <c r="I3545" s="2">
        <v>2.212005002301E13</v>
      </c>
      <c r="J3545" s="3">
        <v>2.0</v>
      </c>
      <c r="K3545" s="2" t="s">
        <v>14411</v>
      </c>
      <c r="L3545" s="2" t="s">
        <v>50</v>
      </c>
      <c r="M3545" s="2" t="s">
        <v>409</v>
      </c>
      <c r="N3545" s="2" t="s">
        <v>462</v>
      </c>
      <c r="O3545" s="3"/>
      <c r="P3545" s="2" t="s">
        <v>73</v>
      </c>
      <c r="Q3545" s="3">
        <v>720.0</v>
      </c>
      <c r="R3545" s="3">
        <v>0.5</v>
      </c>
      <c r="T3545" s="2" t="s">
        <v>14037</v>
      </c>
      <c r="U3545" s="171">
        <v>3348.0</v>
      </c>
      <c r="V3545" s="172">
        <v>46112.0</v>
      </c>
      <c r="W3545" s="3">
        <v>355.0</v>
      </c>
      <c r="X3545" s="172">
        <v>46111.58273863426</v>
      </c>
      <c r="Y3545" s="172">
        <v>46095.810431238424</v>
      </c>
      <c r="Z3545" s="3">
        <v>46095.0</v>
      </c>
      <c r="AA3545" s="2" t="s">
        <v>14053</v>
      </c>
    </row>
    <row r="3546">
      <c r="A3546" s="3">
        <v>6.951976272131E12</v>
      </c>
      <c r="B3546" s="2" t="s">
        <v>14412</v>
      </c>
      <c r="C3546" s="2" t="s">
        <v>14413</v>
      </c>
      <c r="D3546" s="169">
        <v>46095.0</v>
      </c>
      <c r="E3546" s="173" t="s">
        <v>14414</v>
      </c>
      <c r="F3546" s="2" t="s">
        <v>14415</v>
      </c>
      <c r="G3546" s="2" t="s">
        <v>5331</v>
      </c>
      <c r="H3546" s="2">
        <v>249.0</v>
      </c>
      <c r="I3546" s="2">
        <v>2.3120050022721E13</v>
      </c>
      <c r="J3546" s="3">
        <v>0.0</v>
      </c>
      <c r="K3546" s="2" t="s">
        <v>14416</v>
      </c>
      <c r="L3546" s="2"/>
      <c r="M3546" s="170" t="s">
        <v>455</v>
      </c>
      <c r="N3546" s="2" t="s">
        <v>406</v>
      </c>
      <c r="O3546" s="3"/>
      <c r="P3546" s="2" t="s">
        <v>73</v>
      </c>
      <c r="Q3546" s="3">
        <v>0.0</v>
      </c>
      <c r="R3546" s="3">
        <v>0.5</v>
      </c>
      <c r="U3546" s="141"/>
      <c r="W3546" s="3">
        <v>213.0</v>
      </c>
      <c r="X3546" s="172">
        <v>46109.83265560185</v>
      </c>
      <c r="Y3546" s="172">
        <v>46095.85214959491</v>
      </c>
      <c r="Z3546" s="3">
        <v>46095.0</v>
      </c>
      <c r="AA3546" s="2" t="s">
        <v>14032</v>
      </c>
    </row>
    <row r="3547">
      <c r="A3547" s="3">
        <v>6.951984857347E12</v>
      </c>
      <c r="B3547" s="2" t="s">
        <v>14417</v>
      </c>
      <c r="C3547" s="2" t="s">
        <v>14418</v>
      </c>
      <c r="D3547" s="169">
        <v>46095.0</v>
      </c>
      <c r="E3547" s="173" t="s">
        <v>14419</v>
      </c>
      <c r="F3547" s="2" t="s">
        <v>14420</v>
      </c>
      <c r="G3547" s="2" t="s">
        <v>368</v>
      </c>
      <c r="H3547" s="2">
        <v>1899.0</v>
      </c>
      <c r="I3547" s="2">
        <v>2.512005002272E13</v>
      </c>
      <c r="J3547" s="3">
        <v>1.0</v>
      </c>
      <c r="K3547" s="2" t="s">
        <v>14421</v>
      </c>
      <c r="L3547" s="2" t="s">
        <v>14422</v>
      </c>
      <c r="M3547" s="2" t="s">
        <v>409</v>
      </c>
      <c r="N3547" s="2" t="s">
        <v>462</v>
      </c>
      <c r="O3547" s="3"/>
      <c r="P3547" s="2" t="s">
        <v>73</v>
      </c>
      <c r="Q3547" s="3">
        <v>550.0</v>
      </c>
      <c r="R3547" s="3">
        <v>0.5</v>
      </c>
      <c r="T3547" s="2" t="s">
        <v>12177</v>
      </c>
      <c r="U3547" s="171">
        <v>1899.0</v>
      </c>
      <c r="V3547" s="172">
        <v>46105.0</v>
      </c>
      <c r="W3547" s="3">
        <v>196.0</v>
      </c>
      <c r="X3547" s="172">
        <v>46100.49956974537</v>
      </c>
      <c r="Y3547" s="172">
        <v>46095.85214959491</v>
      </c>
      <c r="Z3547" s="3">
        <v>46095.0</v>
      </c>
      <c r="AA3547" s="2" t="s">
        <v>14032</v>
      </c>
    </row>
    <row r="3548">
      <c r="A3548" s="3">
        <v>6.951998161155E12</v>
      </c>
      <c r="B3548" s="2" t="s">
        <v>14423</v>
      </c>
      <c r="C3548" s="2" t="s">
        <v>14424</v>
      </c>
      <c r="D3548" s="169">
        <v>46095.0</v>
      </c>
      <c r="E3548" s="2">
        <v>3.341510073E9</v>
      </c>
      <c r="F3548" s="2" t="s">
        <v>14425</v>
      </c>
      <c r="G3548" s="2" t="s">
        <v>14426</v>
      </c>
      <c r="H3548" s="2">
        <v>3348.0</v>
      </c>
      <c r="I3548" s="2">
        <v>2.0120050022741E13</v>
      </c>
      <c r="J3548" s="3">
        <v>2.0</v>
      </c>
      <c r="K3548" s="2" t="s">
        <v>14373</v>
      </c>
      <c r="L3548" s="2" t="s">
        <v>296</v>
      </c>
      <c r="M3548" s="2" t="s">
        <v>409</v>
      </c>
      <c r="N3548" s="2" t="s">
        <v>462</v>
      </c>
      <c r="O3548" s="3"/>
      <c r="P3548" s="2" t="s">
        <v>73</v>
      </c>
      <c r="Q3548" s="3">
        <v>720.0</v>
      </c>
      <c r="R3548" s="3">
        <v>0.5</v>
      </c>
      <c r="T3548" s="2" t="s">
        <v>12177</v>
      </c>
      <c r="U3548" s="171">
        <v>3348.0</v>
      </c>
      <c r="V3548" s="172">
        <v>46105.0</v>
      </c>
      <c r="W3548" s="3">
        <v>354.0</v>
      </c>
      <c r="X3548" s="172">
        <v>46100.62438857639</v>
      </c>
      <c r="Y3548" s="172">
        <v>46095.85214959491</v>
      </c>
      <c r="Z3548" s="3">
        <v>46095.0</v>
      </c>
      <c r="AA3548" s="2" t="s">
        <v>14022</v>
      </c>
    </row>
    <row r="3549">
      <c r="A3549" s="3">
        <v>6.952084209923E12</v>
      </c>
      <c r="B3549" s="2" t="s">
        <v>14427</v>
      </c>
      <c r="C3549" s="2" t="s">
        <v>14428</v>
      </c>
      <c r="D3549" s="169">
        <v>46095.0</v>
      </c>
      <c r="E3549" s="2">
        <v>3.008222295E9</v>
      </c>
      <c r="F3549" s="2" t="s">
        <v>14429</v>
      </c>
      <c r="G3549" s="2" t="s">
        <v>506</v>
      </c>
      <c r="H3549" s="2">
        <v>2999.0</v>
      </c>
      <c r="I3549" s="2">
        <v>2.0120050022719E13</v>
      </c>
      <c r="J3549" s="3">
        <v>2.0</v>
      </c>
      <c r="K3549" s="2" t="s">
        <v>14430</v>
      </c>
      <c r="L3549" s="2" t="s">
        <v>14431</v>
      </c>
      <c r="M3549" s="2" t="s">
        <v>409</v>
      </c>
      <c r="N3549" s="2" t="s">
        <v>462</v>
      </c>
      <c r="O3549" s="3"/>
      <c r="P3549" s="2" t="s">
        <v>73</v>
      </c>
      <c r="Q3549" s="3">
        <v>1040.0</v>
      </c>
      <c r="R3549" s="3">
        <v>0.5</v>
      </c>
      <c r="T3549" s="2" t="s">
        <v>12177</v>
      </c>
      <c r="U3549" s="171">
        <v>2999.0</v>
      </c>
      <c r="V3549" s="172">
        <v>46105.0</v>
      </c>
      <c r="W3549" s="3">
        <v>340.0</v>
      </c>
      <c r="X3549" s="172">
        <v>46099.874539027776</v>
      </c>
      <c r="Y3549" s="172">
        <v>46095.89380626158</v>
      </c>
      <c r="Z3549" s="3">
        <v>46095.0</v>
      </c>
      <c r="AA3549" s="2" t="s">
        <v>14022</v>
      </c>
    </row>
    <row r="3550">
      <c r="A3550" s="3">
        <v>6.952116060419E12</v>
      </c>
      <c r="B3550" s="2" t="s">
        <v>14432</v>
      </c>
      <c r="C3550" s="2" t="s">
        <v>14433</v>
      </c>
      <c r="D3550" s="169">
        <v>46095.0</v>
      </c>
      <c r="E3550" s="173" t="s">
        <v>14434</v>
      </c>
      <c r="F3550" s="2" t="s">
        <v>14435</v>
      </c>
      <c r="G3550" s="2" t="s">
        <v>1466</v>
      </c>
      <c r="H3550" s="2">
        <v>0.0</v>
      </c>
      <c r="J3550" s="3">
        <v>0.0</v>
      </c>
      <c r="K3550" s="2" t="s">
        <v>14436</v>
      </c>
      <c r="L3550" s="2"/>
      <c r="M3550" s="2" t="s">
        <v>468</v>
      </c>
      <c r="N3550" s="2" t="s">
        <v>406</v>
      </c>
      <c r="O3550" s="3"/>
      <c r="Q3550" s="3">
        <v>0.0</v>
      </c>
      <c r="R3550" s="3">
        <v>0.5</v>
      </c>
      <c r="U3550" s="141"/>
      <c r="X3550" s="172"/>
      <c r="Y3550" s="172">
        <v>46095.89380627315</v>
      </c>
      <c r="Z3550" s="3">
        <v>46095.0</v>
      </c>
      <c r="AA3550" s="2" t="s">
        <v>14032</v>
      </c>
    </row>
    <row r="3551">
      <c r="A3551" s="3">
        <v>6.952185856259E12</v>
      </c>
      <c r="B3551" s="2" t="s">
        <v>14437</v>
      </c>
      <c r="C3551" s="2" t="s">
        <v>14438</v>
      </c>
      <c r="D3551" s="169">
        <v>46095.0</v>
      </c>
      <c r="E3551" s="2">
        <v>3.018566618E9</v>
      </c>
      <c r="F3551" s="2" t="s">
        <v>14439</v>
      </c>
      <c r="G3551" s="2" t="s">
        <v>493</v>
      </c>
      <c r="H3551" s="2">
        <v>2049.0</v>
      </c>
      <c r="I3551" s="2">
        <v>2.0120050022855E13</v>
      </c>
      <c r="J3551" s="3">
        <v>1.0</v>
      </c>
      <c r="K3551" s="2" t="s">
        <v>14440</v>
      </c>
      <c r="L3551" s="2" t="s">
        <v>3779</v>
      </c>
      <c r="M3551" s="2" t="s">
        <v>409</v>
      </c>
      <c r="N3551" s="2" t="s">
        <v>462</v>
      </c>
      <c r="O3551" s="3"/>
      <c r="P3551" s="2" t="s">
        <v>73</v>
      </c>
      <c r="Q3551" s="3">
        <v>360.0</v>
      </c>
      <c r="R3551" s="3">
        <v>0.5</v>
      </c>
      <c r="T3551" s="2" t="s">
        <v>12503</v>
      </c>
      <c r="U3551" s="171">
        <v>2049.0</v>
      </c>
      <c r="V3551" s="172">
        <v>46115.0</v>
      </c>
      <c r="W3551" s="3">
        <v>317.67</v>
      </c>
      <c r="X3551" s="172">
        <v>46112.95791469907</v>
      </c>
      <c r="Y3551" s="172">
        <v>46095.93541826389</v>
      </c>
      <c r="Z3551" s="3">
        <v>46095.0</v>
      </c>
      <c r="AA3551" s="2" t="s">
        <v>14032</v>
      </c>
    </row>
    <row r="3552">
      <c r="A3552" s="3">
        <v>6.952209449219E12</v>
      </c>
      <c r="B3552" s="2" t="s">
        <v>14441</v>
      </c>
      <c r="C3552" s="2" t="s">
        <v>1277</v>
      </c>
      <c r="D3552" s="169">
        <v>46095.0</v>
      </c>
      <c r="E3552" s="173" t="s">
        <v>14442</v>
      </c>
      <c r="F3552" s="2" t="s">
        <v>14443</v>
      </c>
      <c r="G3552" s="2" t="s">
        <v>1016</v>
      </c>
      <c r="H3552" s="2">
        <v>3099.0</v>
      </c>
      <c r="I3552" s="2">
        <v>2.6120050023009E13</v>
      </c>
      <c r="J3552" s="3">
        <v>2.0</v>
      </c>
      <c r="K3552" s="2" t="s">
        <v>14444</v>
      </c>
      <c r="L3552" s="2" t="s">
        <v>22</v>
      </c>
      <c r="M3552" s="2" t="s">
        <v>409</v>
      </c>
      <c r="N3552" s="2" t="s">
        <v>462</v>
      </c>
      <c r="O3552" s="3"/>
      <c r="P3552" s="2" t="s">
        <v>73</v>
      </c>
      <c r="Q3552" s="3">
        <v>800.0</v>
      </c>
      <c r="R3552" s="3">
        <v>0.5</v>
      </c>
      <c r="T3552" s="2" t="s">
        <v>14037</v>
      </c>
      <c r="U3552" s="171">
        <v>3099.0</v>
      </c>
      <c r="V3552" s="172">
        <v>46112.0</v>
      </c>
      <c r="W3552" s="3">
        <v>345.0</v>
      </c>
      <c r="X3552" s="172">
        <v>46111.87430684028</v>
      </c>
      <c r="Y3552" s="172">
        <v>46095.93541827546</v>
      </c>
      <c r="Z3552" s="3">
        <v>46095.0</v>
      </c>
      <c r="AA3552" s="2" t="s">
        <v>14032</v>
      </c>
    </row>
    <row r="3553">
      <c r="A3553" s="3">
        <v>6.952221081859E12</v>
      </c>
      <c r="B3553" s="2" t="s">
        <v>14445</v>
      </c>
      <c r="C3553" s="2" t="s">
        <v>14446</v>
      </c>
      <c r="D3553" s="169">
        <v>46095.0</v>
      </c>
      <c r="E3553" s="2">
        <v>3.224589884E9</v>
      </c>
      <c r="F3553" s="2" t="s">
        <v>14447</v>
      </c>
      <c r="G3553" s="2" t="s">
        <v>14448</v>
      </c>
      <c r="H3553" s="2">
        <v>249.0</v>
      </c>
      <c r="I3553" s="2">
        <v>2.6120050023008E13</v>
      </c>
      <c r="J3553" s="3">
        <v>0.0</v>
      </c>
      <c r="K3553" s="2" t="s">
        <v>14449</v>
      </c>
      <c r="L3553" s="2"/>
      <c r="M3553" s="170" t="s">
        <v>455</v>
      </c>
      <c r="N3553" s="2" t="s">
        <v>406</v>
      </c>
      <c r="O3553" s="3"/>
      <c r="P3553" s="2" t="s">
        <v>73</v>
      </c>
      <c r="Q3553" s="3">
        <v>0.0</v>
      </c>
      <c r="R3553" s="3">
        <v>0.5</v>
      </c>
      <c r="U3553" s="141"/>
      <c r="W3553" s="3">
        <v>220.98</v>
      </c>
      <c r="X3553" s="172">
        <v>46122.08101760417</v>
      </c>
      <c r="Y3553" s="172">
        <v>46095.93541827546</v>
      </c>
      <c r="Z3553" s="3">
        <v>46095.0</v>
      </c>
      <c r="AA3553" s="2" t="s">
        <v>14032</v>
      </c>
    </row>
    <row r="3554">
      <c r="A3554" s="3">
        <v>6.952222064899E12</v>
      </c>
      <c r="B3554" s="2" t="s">
        <v>14450</v>
      </c>
      <c r="C3554" s="2" t="s">
        <v>7842</v>
      </c>
      <c r="D3554" s="169">
        <v>46095.0</v>
      </c>
      <c r="E3554" s="2">
        <v>3.32014459E9</v>
      </c>
      <c r="F3554" s="2" t="s">
        <v>14451</v>
      </c>
      <c r="G3554" s="2" t="s">
        <v>688</v>
      </c>
      <c r="H3554" s="2">
        <v>249.0</v>
      </c>
      <c r="I3554" s="2">
        <v>2.0120050022718E13</v>
      </c>
      <c r="J3554" s="3">
        <v>0.0</v>
      </c>
      <c r="K3554" s="2" t="s">
        <v>14452</v>
      </c>
      <c r="L3554" s="2"/>
      <c r="M3554" s="170" t="s">
        <v>455</v>
      </c>
      <c r="N3554" s="2" t="s">
        <v>406</v>
      </c>
      <c r="O3554" s="3"/>
      <c r="P3554" s="2" t="s">
        <v>73</v>
      </c>
      <c r="Q3554" s="3">
        <v>0.0</v>
      </c>
      <c r="R3554" s="3">
        <v>0.5</v>
      </c>
      <c r="U3554" s="141"/>
      <c r="W3554" s="3">
        <v>200.0</v>
      </c>
      <c r="X3554" s="172">
        <v>46108.83332619213</v>
      </c>
      <c r="Y3554" s="172">
        <v>46095.93541827546</v>
      </c>
      <c r="Z3554" s="3">
        <v>46095.0</v>
      </c>
      <c r="AA3554" s="2" t="s">
        <v>14032</v>
      </c>
    </row>
    <row r="3555">
      <c r="A3555" s="3">
        <v>6.952228421891E12</v>
      </c>
      <c r="B3555" s="2" t="s">
        <v>14453</v>
      </c>
      <c r="C3555" s="2" t="s">
        <v>1277</v>
      </c>
      <c r="D3555" s="169">
        <v>46095.0</v>
      </c>
      <c r="E3555" s="173" t="s">
        <v>14442</v>
      </c>
      <c r="F3555" s="2" t="s">
        <v>14443</v>
      </c>
      <c r="G3555" s="2" t="s">
        <v>1016</v>
      </c>
      <c r="H3555" s="2">
        <v>249.0</v>
      </c>
      <c r="I3555" s="2">
        <v>2.5120050022717E13</v>
      </c>
      <c r="J3555" s="3">
        <v>0.0</v>
      </c>
      <c r="K3555" s="2" t="s">
        <v>14452</v>
      </c>
      <c r="L3555" s="2"/>
      <c r="M3555" s="170" t="s">
        <v>455</v>
      </c>
      <c r="N3555" s="2" t="s">
        <v>406</v>
      </c>
      <c r="O3555" s="3"/>
      <c r="P3555" s="2" t="s">
        <v>73</v>
      </c>
      <c r="Q3555" s="3">
        <v>0.0</v>
      </c>
      <c r="R3555" s="3">
        <v>0.5</v>
      </c>
      <c r="U3555" s="141"/>
      <c r="W3555" s="3">
        <v>200.0</v>
      </c>
      <c r="X3555" s="172">
        <v>46108.833326238426</v>
      </c>
      <c r="Y3555" s="172">
        <v>46095.93541827546</v>
      </c>
      <c r="Z3555" s="3">
        <v>46095.0</v>
      </c>
      <c r="AA3555" s="2" t="s">
        <v>14032</v>
      </c>
    </row>
    <row r="3556">
      <c r="A3556" s="3">
        <v>6.952289403139E12</v>
      </c>
      <c r="B3556" s="2" t="s">
        <v>14454</v>
      </c>
      <c r="C3556" s="2" t="s">
        <v>14455</v>
      </c>
      <c r="D3556" s="169">
        <v>46095.0</v>
      </c>
      <c r="E3556" s="2">
        <v>3.013342828E9</v>
      </c>
      <c r="F3556" s="2" t="s">
        <v>14456</v>
      </c>
      <c r="G3556" s="2" t="s">
        <v>2584</v>
      </c>
      <c r="H3556" s="2">
        <v>2199.0</v>
      </c>
      <c r="I3556" s="2">
        <v>2.5120050022716E13</v>
      </c>
      <c r="J3556" s="3">
        <v>1.0</v>
      </c>
      <c r="K3556" s="2" t="s">
        <v>14457</v>
      </c>
      <c r="L3556" s="2" t="s">
        <v>14458</v>
      </c>
      <c r="M3556" s="2" t="s">
        <v>409</v>
      </c>
      <c r="N3556" s="2" t="s">
        <v>462</v>
      </c>
      <c r="O3556" s="3"/>
      <c r="P3556" s="2" t="s">
        <v>73</v>
      </c>
      <c r="Q3556" s="3">
        <v>400.0</v>
      </c>
      <c r="R3556" s="3">
        <v>0.5</v>
      </c>
      <c r="T3556" s="2" t="s">
        <v>13421</v>
      </c>
      <c r="U3556" s="171">
        <v>2199.0</v>
      </c>
      <c r="V3556" s="172">
        <v>46108.0</v>
      </c>
      <c r="W3556" s="3">
        <v>301.4</v>
      </c>
      <c r="X3556" s="172">
        <v>46105.749431585646</v>
      </c>
      <c r="Y3556" s="172">
        <v>46095.977087384264</v>
      </c>
      <c r="Z3556" s="3">
        <v>46095.0</v>
      </c>
      <c r="AA3556" s="2" t="s">
        <v>14022</v>
      </c>
    </row>
    <row r="3557">
      <c r="A3557" s="3">
        <v>6.952304771331E12</v>
      </c>
      <c r="B3557" s="2" t="s">
        <v>14459</v>
      </c>
      <c r="C3557" s="2" t="s">
        <v>14460</v>
      </c>
      <c r="D3557" s="169">
        <v>46095.0</v>
      </c>
      <c r="E3557" s="2">
        <v>3.214118652E9</v>
      </c>
      <c r="F3557" s="2" t="s">
        <v>14461</v>
      </c>
      <c r="G3557" s="2" t="s">
        <v>368</v>
      </c>
      <c r="H3557" s="2">
        <v>3348.0</v>
      </c>
      <c r="I3557" s="2">
        <v>2.0120050022715E13</v>
      </c>
      <c r="J3557" s="3">
        <v>2.0</v>
      </c>
      <c r="K3557" s="2" t="s">
        <v>14373</v>
      </c>
      <c r="L3557" s="2" t="s">
        <v>906</v>
      </c>
      <c r="M3557" s="2" t="s">
        <v>409</v>
      </c>
      <c r="N3557" s="2" t="s">
        <v>462</v>
      </c>
      <c r="O3557" s="3"/>
      <c r="P3557" s="2" t="s">
        <v>73</v>
      </c>
      <c r="Q3557" s="3">
        <v>720.0</v>
      </c>
      <c r="R3557" s="3">
        <v>0.5</v>
      </c>
      <c r="T3557" s="2" t="s">
        <v>12177</v>
      </c>
      <c r="U3557" s="171">
        <v>3348.0</v>
      </c>
      <c r="V3557" s="172">
        <v>46105.0</v>
      </c>
      <c r="W3557" s="3">
        <v>241.0</v>
      </c>
      <c r="X3557" s="172">
        <v>46098.62468783565</v>
      </c>
      <c r="Y3557" s="172">
        <v>46095.977087384264</v>
      </c>
      <c r="Z3557" s="3">
        <v>46095.0</v>
      </c>
      <c r="AA3557" s="2" t="s">
        <v>14022</v>
      </c>
    </row>
    <row r="3558">
      <c r="A3558" s="3">
        <v>6.952315126019E12</v>
      </c>
      <c r="B3558" s="2" t="s">
        <v>14462</v>
      </c>
      <c r="C3558" s="2" t="s">
        <v>210</v>
      </c>
      <c r="D3558" s="169">
        <v>46095.0</v>
      </c>
      <c r="E3558" s="2">
        <v>3.00305708E9</v>
      </c>
      <c r="F3558" s="2" t="s">
        <v>14463</v>
      </c>
      <c r="G3558" s="2" t="s">
        <v>493</v>
      </c>
      <c r="H3558" s="2">
        <v>3348.0</v>
      </c>
      <c r="I3558" s="2">
        <v>2.9120050023007E13</v>
      </c>
      <c r="J3558" s="3">
        <v>2.0</v>
      </c>
      <c r="K3558" s="2" t="s">
        <v>204</v>
      </c>
      <c r="L3558" s="2" t="s">
        <v>27</v>
      </c>
      <c r="M3558" s="2" t="s">
        <v>14076</v>
      </c>
      <c r="N3558" s="2" t="s">
        <v>406</v>
      </c>
      <c r="O3558" s="3"/>
      <c r="P3558" s="2" t="s">
        <v>73</v>
      </c>
      <c r="Q3558" s="3">
        <v>720.0</v>
      </c>
      <c r="R3558" s="3">
        <v>0.5</v>
      </c>
      <c r="U3558" s="141"/>
      <c r="X3558" s="172">
        <v>46122.08101763889</v>
      </c>
      <c r="Y3558" s="172">
        <v>46095.977087384264</v>
      </c>
      <c r="Z3558" s="3">
        <v>46095.0</v>
      </c>
      <c r="AA3558" s="2" t="s">
        <v>14041</v>
      </c>
    </row>
    <row r="3559">
      <c r="A3559" s="3">
        <v>6.952317583619E12</v>
      </c>
      <c r="B3559" s="2" t="s">
        <v>14464</v>
      </c>
      <c r="C3559" s="2" t="s">
        <v>14465</v>
      </c>
      <c r="D3559" s="169">
        <v>46095.0</v>
      </c>
      <c r="E3559" s="173" t="s">
        <v>14466</v>
      </c>
      <c r="F3559" s="2" t="s">
        <v>14467</v>
      </c>
      <c r="G3559" s="2" t="s">
        <v>374</v>
      </c>
      <c r="H3559" s="2">
        <v>0.0</v>
      </c>
      <c r="J3559" s="3">
        <v>0.0</v>
      </c>
      <c r="K3559" s="2" t="s">
        <v>14468</v>
      </c>
      <c r="L3559" s="2"/>
      <c r="M3559" s="2" t="s">
        <v>468</v>
      </c>
      <c r="N3559" s="2" t="s">
        <v>406</v>
      </c>
      <c r="O3559" s="3"/>
      <c r="Q3559" s="3">
        <v>0.0</v>
      </c>
      <c r="R3559" s="3">
        <v>0.5</v>
      </c>
      <c r="U3559" s="141"/>
      <c r="X3559" s="172"/>
      <c r="Y3559" s="172">
        <v>46095.977087384264</v>
      </c>
      <c r="Z3559" s="3">
        <v>46095.0</v>
      </c>
      <c r="AA3559" s="2" t="s">
        <v>14032</v>
      </c>
    </row>
    <row r="3560">
      <c r="A3560" s="3">
        <v>6.952331149571E12</v>
      </c>
      <c r="B3560" s="2" t="s">
        <v>14469</v>
      </c>
      <c r="C3560" s="2" t="s">
        <v>14470</v>
      </c>
      <c r="D3560" s="169">
        <v>46095.0</v>
      </c>
      <c r="E3560" s="2">
        <v>3.485151424E9</v>
      </c>
      <c r="F3560" s="2" t="s">
        <v>14471</v>
      </c>
      <c r="G3560" s="2" t="s">
        <v>484</v>
      </c>
      <c r="H3560" s="2">
        <v>249.0</v>
      </c>
      <c r="I3560" s="2">
        <v>2.7120050022714E13</v>
      </c>
      <c r="J3560" s="3">
        <v>0.0</v>
      </c>
      <c r="K3560" s="2" t="s">
        <v>14416</v>
      </c>
      <c r="L3560" s="2"/>
      <c r="M3560" s="170" t="s">
        <v>455</v>
      </c>
      <c r="N3560" s="2" t="s">
        <v>406</v>
      </c>
      <c r="O3560" s="3"/>
      <c r="P3560" s="2" t="s">
        <v>73</v>
      </c>
      <c r="Q3560" s="3">
        <v>0.0</v>
      </c>
      <c r="R3560" s="3">
        <v>0.5</v>
      </c>
      <c r="U3560" s="141"/>
      <c r="W3560" s="3">
        <v>213.0</v>
      </c>
      <c r="X3560" s="172">
        <v>46110.582685914356</v>
      </c>
      <c r="Y3560" s="172">
        <v>46095.977087384264</v>
      </c>
      <c r="Z3560" s="3">
        <v>46095.0</v>
      </c>
      <c r="AA3560" s="2" t="s">
        <v>14041</v>
      </c>
    </row>
    <row r="3561">
      <c r="A3561" s="3">
        <v>6.952422834435E12</v>
      </c>
      <c r="B3561" s="2" t="s">
        <v>14472</v>
      </c>
      <c r="C3561" s="2" t="s">
        <v>14473</v>
      </c>
      <c r="D3561" s="169">
        <v>46096.0</v>
      </c>
      <c r="E3561" s="2">
        <v>3.497061054E9</v>
      </c>
      <c r="F3561" s="2" t="s">
        <v>14474</v>
      </c>
      <c r="G3561" s="2" t="s">
        <v>4667</v>
      </c>
      <c r="H3561" s="2">
        <v>249.0</v>
      </c>
      <c r="I3561" s="2">
        <v>2.9120050022713E13</v>
      </c>
      <c r="J3561" s="3">
        <v>0.0</v>
      </c>
      <c r="K3561" s="2" t="s">
        <v>14452</v>
      </c>
      <c r="L3561" s="2"/>
      <c r="M3561" s="170" t="s">
        <v>455</v>
      </c>
      <c r="N3561" s="2" t="s">
        <v>406</v>
      </c>
      <c r="O3561" s="3"/>
      <c r="P3561" s="2" t="s">
        <v>73</v>
      </c>
      <c r="Q3561" s="3">
        <v>0.0</v>
      </c>
      <c r="R3561" s="3">
        <v>0.5</v>
      </c>
      <c r="U3561" s="141"/>
      <c r="W3561" s="3">
        <v>200.0</v>
      </c>
      <c r="X3561" s="172">
        <v>46108.83332722222</v>
      </c>
      <c r="Y3561" s="172">
        <v>46096.01875822917</v>
      </c>
      <c r="Z3561" s="3">
        <v>46096.0</v>
      </c>
      <c r="AA3561" s="2" t="s">
        <v>14041</v>
      </c>
    </row>
    <row r="3562">
      <c r="A3562" s="3">
        <v>6.952538374403E12</v>
      </c>
      <c r="B3562" s="2" t="s">
        <v>14475</v>
      </c>
      <c r="C3562" s="2" t="s">
        <v>14476</v>
      </c>
      <c r="D3562" s="169">
        <v>46096.0</v>
      </c>
      <c r="E3562" s="173" t="s">
        <v>14477</v>
      </c>
      <c r="F3562" s="2" t="s">
        <v>14478</v>
      </c>
      <c r="G3562" s="2" t="s">
        <v>855</v>
      </c>
      <c r="H3562" s="2">
        <v>249.0</v>
      </c>
      <c r="I3562" s="2">
        <v>2.5120050022712E13</v>
      </c>
      <c r="J3562" s="3">
        <v>0.0</v>
      </c>
      <c r="K3562" s="2" t="s">
        <v>14452</v>
      </c>
      <c r="L3562" s="2"/>
      <c r="M3562" s="170" t="s">
        <v>455</v>
      </c>
      <c r="N3562" s="2" t="s">
        <v>406</v>
      </c>
      <c r="O3562" s="3"/>
      <c r="P3562" s="2" t="s">
        <v>73</v>
      </c>
      <c r="Q3562" s="3">
        <v>0.0</v>
      </c>
      <c r="R3562" s="3">
        <v>0.5</v>
      </c>
      <c r="U3562" s="141"/>
      <c r="W3562" s="3">
        <v>200.0</v>
      </c>
      <c r="X3562" s="172">
        <v>46109.83265564815</v>
      </c>
      <c r="Y3562" s="172">
        <v>46096.1021109838</v>
      </c>
      <c r="Z3562" s="3">
        <v>46096.0</v>
      </c>
      <c r="AA3562" s="2" t="s">
        <v>14032</v>
      </c>
    </row>
    <row r="3563">
      <c r="A3563" s="3">
        <v>6.952569536771E12</v>
      </c>
      <c r="B3563" s="2" t="s">
        <v>14479</v>
      </c>
      <c r="C3563" s="2" t="s">
        <v>14480</v>
      </c>
      <c r="D3563" s="169">
        <v>46096.0</v>
      </c>
      <c r="E3563" s="2">
        <v>9.23449578923E11</v>
      </c>
      <c r="F3563" s="2" t="s">
        <v>14481</v>
      </c>
      <c r="G3563" s="2" t="s">
        <v>14482</v>
      </c>
      <c r="H3563" s="2">
        <v>249.0</v>
      </c>
      <c r="I3563" s="2">
        <v>2.0120050023006E13</v>
      </c>
      <c r="J3563" s="3">
        <v>0.0</v>
      </c>
      <c r="K3563" s="2" t="s">
        <v>14483</v>
      </c>
      <c r="L3563" s="2"/>
      <c r="M3563" s="170" t="s">
        <v>455</v>
      </c>
      <c r="N3563" s="2" t="s">
        <v>406</v>
      </c>
      <c r="O3563" s="3"/>
      <c r="P3563" s="2" t="s">
        <v>73</v>
      </c>
      <c r="Q3563" s="3">
        <v>0.0</v>
      </c>
      <c r="R3563" s="3">
        <v>0.5</v>
      </c>
      <c r="U3563" s="141"/>
      <c r="W3563" s="3">
        <v>235.70999999999998</v>
      </c>
      <c r="X3563" s="172">
        <v>46120.08097978009</v>
      </c>
      <c r="Y3563" s="172">
        <v>46096.1021109838</v>
      </c>
      <c r="Z3563" s="3">
        <v>46096.0</v>
      </c>
      <c r="AA3563" s="2" t="s">
        <v>14041</v>
      </c>
    </row>
    <row r="3564">
      <c r="A3564" s="3">
        <v>6.952584446211E12</v>
      </c>
      <c r="B3564" s="2" t="s">
        <v>14484</v>
      </c>
      <c r="C3564" s="2" t="s">
        <v>14485</v>
      </c>
      <c r="D3564" s="169">
        <v>46096.0</v>
      </c>
      <c r="E3564" s="2">
        <v>3.124279777E9</v>
      </c>
      <c r="F3564" s="2" t="s">
        <v>14486</v>
      </c>
      <c r="G3564" s="2" t="s">
        <v>368</v>
      </c>
      <c r="H3564" s="2">
        <v>3348.0</v>
      </c>
      <c r="I3564" s="2">
        <v>2.912005002274E13</v>
      </c>
      <c r="J3564" s="3">
        <v>2.0</v>
      </c>
      <c r="K3564" s="2" t="s">
        <v>13072</v>
      </c>
      <c r="L3564" s="2" t="s">
        <v>8563</v>
      </c>
      <c r="M3564" s="2" t="s">
        <v>409</v>
      </c>
      <c r="N3564" s="2" t="s">
        <v>462</v>
      </c>
      <c r="O3564" s="3"/>
      <c r="P3564" s="2" t="s">
        <v>73</v>
      </c>
      <c r="Q3564" s="3">
        <v>720.0</v>
      </c>
      <c r="R3564" s="3">
        <v>0.5</v>
      </c>
      <c r="T3564" s="2" t="s">
        <v>12177</v>
      </c>
      <c r="U3564" s="171">
        <v>3348.0</v>
      </c>
      <c r="V3564" s="172">
        <v>46105.0</v>
      </c>
      <c r="W3564" s="3">
        <v>254.0</v>
      </c>
      <c r="X3564" s="172">
        <v>46099.58279356481</v>
      </c>
      <c r="Y3564" s="172">
        <v>46096.1021109838</v>
      </c>
      <c r="Z3564" s="3">
        <v>46096.0</v>
      </c>
      <c r="AA3564" s="2" t="s">
        <v>14032</v>
      </c>
    </row>
    <row r="3565">
      <c r="A3565" s="3">
        <v>6.952585920771E12</v>
      </c>
      <c r="B3565" s="2" t="s">
        <v>14487</v>
      </c>
      <c r="C3565" s="2" t="s">
        <v>14488</v>
      </c>
      <c r="D3565" s="169">
        <v>46096.0</v>
      </c>
      <c r="E3565" s="2">
        <v>3.431883732E9</v>
      </c>
      <c r="F3565" s="2" t="s">
        <v>14489</v>
      </c>
      <c r="G3565" s="2" t="s">
        <v>14490</v>
      </c>
      <c r="H3565" s="2">
        <v>0.0</v>
      </c>
      <c r="J3565" s="3">
        <v>0.0</v>
      </c>
      <c r="K3565" s="2" t="s">
        <v>7809</v>
      </c>
      <c r="L3565" s="2"/>
      <c r="M3565" s="2" t="s">
        <v>468</v>
      </c>
      <c r="N3565" s="2" t="s">
        <v>406</v>
      </c>
      <c r="O3565" s="3"/>
      <c r="Q3565" s="3">
        <v>0.0</v>
      </c>
      <c r="R3565" s="3">
        <v>0.5</v>
      </c>
      <c r="U3565" s="141"/>
      <c r="X3565" s="172"/>
      <c r="Y3565" s="172">
        <v>46096.10211099537</v>
      </c>
      <c r="Z3565" s="3">
        <v>46096.0</v>
      </c>
      <c r="AA3565" s="2" t="s">
        <v>14022</v>
      </c>
    </row>
    <row r="3566">
      <c r="A3566" s="3">
        <v>6.952602075395E12</v>
      </c>
      <c r="B3566" s="2" t="s">
        <v>14491</v>
      </c>
      <c r="C3566" s="2" t="s">
        <v>14492</v>
      </c>
      <c r="D3566" s="169">
        <v>46096.0</v>
      </c>
      <c r="E3566" s="2">
        <v>3.458988882E9</v>
      </c>
      <c r="F3566" s="2" t="s">
        <v>14493</v>
      </c>
      <c r="G3566" s="2" t="s">
        <v>374</v>
      </c>
      <c r="H3566" s="2">
        <v>3548.0</v>
      </c>
      <c r="I3566" s="2">
        <v>2.8120050022711E13</v>
      </c>
      <c r="J3566" s="3">
        <v>2.0</v>
      </c>
      <c r="K3566" s="2" t="s">
        <v>14387</v>
      </c>
      <c r="L3566" s="2" t="s">
        <v>926</v>
      </c>
      <c r="M3566" s="2" t="s">
        <v>409</v>
      </c>
      <c r="N3566" s="2" t="s">
        <v>462</v>
      </c>
      <c r="O3566" s="3"/>
      <c r="P3566" s="2" t="s">
        <v>73</v>
      </c>
      <c r="Q3566" s="3">
        <v>980.0</v>
      </c>
      <c r="R3566" s="3">
        <v>0.5</v>
      </c>
      <c r="T3566" s="2" t="s">
        <v>12177</v>
      </c>
      <c r="U3566" s="171">
        <v>3548.0</v>
      </c>
      <c r="V3566" s="172">
        <v>46105.0</v>
      </c>
      <c r="W3566" s="3">
        <v>362.0</v>
      </c>
      <c r="X3566" s="172">
        <v>46098.7077840625</v>
      </c>
      <c r="Y3566" s="172">
        <v>46096.143769456015</v>
      </c>
      <c r="Z3566" s="3">
        <v>46096.0</v>
      </c>
      <c r="AA3566" s="2" t="s">
        <v>14032</v>
      </c>
    </row>
    <row r="3567">
      <c r="A3567" s="3">
        <v>6.952650211587E12</v>
      </c>
      <c r="B3567" s="2" t="s">
        <v>14494</v>
      </c>
      <c r="C3567" s="2" t="s">
        <v>14495</v>
      </c>
      <c r="D3567" s="169">
        <v>46096.0</v>
      </c>
      <c r="E3567" s="2">
        <v>3.008585057E9</v>
      </c>
      <c r="F3567" s="2" t="s">
        <v>14496</v>
      </c>
      <c r="G3567" s="2" t="s">
        <v>2396</v>
      </c>
      <c r="H3567" s="2">
        <v>3348.0</v>
      </c>
      <c r="I3567" s="2">
        <v>2.4120050022854E13</v>
      </c>
      <c r="J3567" s="3">
        <v>2.0</v>
      </c>
      <c r="K3567" s="2" t="s">
        <v>14497</v>
      </c>
      <c r="L3567" s="2" t="s">
        <v>275</v>
      </c>
      <c r="M3567" s="2" t="s">
        <v>409</v>
      </c>
      <c r="N3567" s="2" t="s">
        <v>462</v>
      </c>
      <c r="O3567" s="3"/>
      <c r="P3567" s="2" t="s">
        <v>73</v>
      </c>
      <c r="Q3567" s="3">
        <v>800.0</v>
      </c>
      <c r="R3567" s="3">
        <v>0.5</v>
      </c>
      <c r="T3567" s="2" t="s">
        <v>14037</v>
      </c>
      <c r="U3567" s="171">
        <v>3348.0</v>
      </c>
      <c r="V3567" s="172">
        <v>46112.0</v>
      </c>
      <c r="W3567" s="3">
        <v>355.0</v>
      </c>
      <c r="X3567" s="172">
        <v>46109.62432743056</v>
      </c>
      <c r="Y3567" s="172">
        <v>46096.143769456015</v>
      </c>
      <c r="Z3567" s="3">
        <v>46096.0</v>
      </c>
      <c r="AA3567" s="2" t="s">
        <v>14032</v>
      </c>
    </row>
    <row r="3568">
      <c r="A3568" s="3">
        <v>6.952734556419E12</v>
      </c>
      <c r="B3568" s="2" t="s">
        <v>14498</v>
      </c>
      <c r="C3568" s="2" t="s">
        <v>14499</v>
      </c>
      <c r="D3568" s="169">
        <v>46096.0</v>
      </c>
      <c r="E3568" s="2">
        <v>3.470548045E9</v>
      </c>
      <c r="F3568" s="2" t="s">
        <v>14500</v>
      </c>
      <c r="G3568" s="2" t="s">
        <v>506</v>
      </c>
      <c r="H3568" s="2">
        <v>3348.0</v>
      </c>
      <c r="I3568" s="2">
        <v>2.312005002271E13</v>
      </c>
      <c r="J3568" s="3">
        <v>2.0</v>
      </c>
      <c r="K3568" s="2" t="s">
        <v>14373</v>
      </c>
      <c r="L3568" s="2" t="s">
        <v>2324</v>
      </c>
      <c r="M3568" s="2" t="s">
        <v>409</v>
      </c>
      <c r="N3568" s="2" t="s">
        <v>462</v>
      </c>
      <c r="O3568" s="3"/>
      <c r="P3568" s="2" t="s">
        <v>73</v>
      </c>
      <c r="Q3568" s="3">
        <v>720.0</v>
      </c>
      <c r="R3568" s="3">
        <v>0.5</v>
      </c>
      <c r="T3568" s="2" t="s">
        <v>12177</v>
      </c>
      <c r="U3568" s="171">
        <v>3348.0</v>
      </c>
      <c r="V3568" s="172">
        <v>46105.0</v>
      </c>
      <c r="W3568" s="3">
        <v>334.0</v>
      </c>
      <c r="X3568" s="172">
        <v>46099.66615293981</v>
      </c>
      <c r="Y3568" s="172">
        <v>46096.22710275463</v>
      </c>
      <c r="Z3568" s="3">
        <v>46096.0</v>
      </c>
      <c r="AA3568" s="2" t="s">
        <v>14032</v>
      </c>
    </row>
    <row r="3569">
      <c r="A3569" s="3">
        <v>6.952777449731E12</v>
      </c>
      <c r="B3569" s="2" t="s">
        <v>14501</v>
      </c>
      <c r="C3569" s="2" t="s">
        <v>14502</v>
      </c>
      <c r="D3569" s="169">
        <v>46096.0</v>
      </c>
      <c r="E3569" s="2">
        <v>3.338695786E9</v>
      </c>
      <c r="F3569" s="2" t="s">
        <v>14503</v>
      </c>
      <c r="G3569" s="2" t="s">
        <v>14504</v>
      </c>
      <c r="H3569" s="2">
        <v>249.0</v>
      </c>
      <c r="I3569" s="2">
        <v>2.9120050022739E13</v>
      </c>
      <c r="J3569" s="3">
        <v>0.0</v>
      </c>
      <c r="K3569" s="2" t="s">
        <v>14452</v>
      </c>
      <c r="L3569" s="2"/>
      <c r="M3569" s="170" t="s">
        <v>455</v>
      </c>
      <c r="N3569" s="2" t="s">
        <v>406</v>
      </c>
      <c r="O3569" s="3"/>
      <c r="P3569" s="2" t="s">
        <v>73</v>
      </c>
      <c r="Q3569" s="3">
        <v>0.0</v>
      </c>
      <c r="R3569" s="3">
        <v>0.5</v>
      </c>
      <c r="U3569" s="141"/>
      <c r="W3569" s="3">
        <v>200.0</v>
      </c>
      <c r="X3569" s="172">
        <v>46108.83332730324</v>
      </c>
      <c r="Y3569" s="172">
        <v>46096.22710275463</v>
      </c>
      <c r="Z3569" s="3">
        <v>46096.0</v>
      </c>
      <c r="AA3569" s="2" t="s">
        <v>14032</v>
      </c>
    </row>
    <row r="3570">
      <c r="A3570" s="3">
        <v>6.952794259715E12</v>
      </c>
      <c r="B3570" s="2" t="s">
        <v>14505</v>
      </c>
      <c r="C3570" s="2" t="s">
        <v>14506</v>
      </c>
      <c r="D3570" s="169">
        <v>46096.0</v>
      </c>
      <c r="E3570" s="2">
        <v>3.004879392E9</v>
      </c>
      <c r="F3570" s="2" t="s">
        <v>14507</v>
      </c>
      <c r="G3570" s="2" t="s">
        <v>368</v>
      </c>
      <c r="H3570" s="2">
        <v>3348.0</v>
      </c>
      <c r="I3570" s="2">
        <v>2.2120050022685E13</v>
      </c>
      <c r="J3570" s="3">
        <v>2.0</v>
      </c>
      <c r="K3570" s="2" t="s">
        <v>14508</v>
      </c>
      <c r="L3570" s="2" t="s">
        <v>27</v>
      </c>
      <c r="M3570" s="2" t="s">
        <v>409</v>
      </c>
      <c r="N3570" s="2" t="s">
        <v>406</v>
      </c>
      <c r="O3570" s="3"/>
      <c r="P3570" s="2" t="s">
        <v>73</v>
      </c>
      <c r="Q3570" s="3">
        <v>720.0</v>
      </c>
      <c r="R3570" s="3">
        <v>0.5</v>
      </c>
      <c r="U3570" s="141"/>
      <c r="X3570" s="172">
        <v>46099.624560219905</v>
      </c>
      <c r="Y3570" s="172">
        <v>46096.26879207176</v>
      </c>
      <c r="Z3570" s="3">
        <v>46096.0</v>
      </c>
      <c r="AA3570" s="2" t="s">
        <v>14053</v>
      </c>
    </row>
    <row r="3571">
      <c r="A3571" s="3">
        <v>6.952805597443E12</v>
      </c>
      <c r="B3571" s="2" t="s">
        <v>14509</v>
      </c>
      <c r="C3571" s="2" t="s">
        <v>14510</v>
      </c>
      <c r="D3571" s="169">
        <v>46096.0</v>
      </c>
      <c r="E3571" s="2">
        <v>3.43555808E9</v>
      </c>
      <c r="F3571" s="2" t="s">
        <v>14511</v>
      </c>
      <c r="G3571" s="2" t="s">
        <v>541</v>
      </c>
      <c r="H3571" s="2">
        <v>6149.0</v>
      </c>
      <c r="I3571" s="2">
        <v>2.1120050022709E13</v>
      </c>
      <c r="J3571" s="3">
        <v>3.0</v>
      </c>
      <c r="K3571" s="2" t="s">
        <v>14512</v>
      </c>
      <c r="L3571" s="2" t="s">
        <v>14513</v>
      </c>
      <c r="M3571" s="2" t="s">
        <v>409</v>
      </c>
      <c r="N3571" s="2" t="s">
        <v>462</v>
      </c>
      <c r="O3571" s="3"/>
      <c r="P3571" s="2" t="s">
        <v>73</v>
      </c>
      <c r="Q3571" s="3">
        <v>2120.0</v>
      </c>
      <c r="R3571" s="3">
        <v>0.5</v>
      </c>
      <c r="T3571" s="2" t="s">
        <v>12177</v>
      </c>
      <c r="U3571" s="171">
        <v>6149.0</v>
      </c>
      <c r="V3571" s="172">
        <v>46105.0</v>
      </c>
      <c r="W3571" s="3">
        <v>466.0</v>
      </c>
      <c r="X3571" s="172">
        <v>46099.62456166667</v>
      </c>
      <c r="Y3571" s="172">
        <v>46096.26879207176</v>
      </c>
      <c r="Z3571" s="3">
        <v>46096.0</v>
      </c>
      <c r="AA3571" s="2" t="s">
        <v>14032</v>
      </c>
    </row>
    <row r="3572">
      <c r="A3572" s="3">
        <v>6.952813101315E12</v>
      </c>
      <c r="B3572" s="2" t="s">
        <v>14514</v>
      </c>
      <c r="C3572" s="2" t="s">
        <v>14515</v>
      </c>
      <c r="D3572" s="169">
        <v>46096.0</v>
      </c>
      <c r="E3572" s="2">
        <v>3.172197439E9</v>
      </c>
      <c r="F3572" s="2" t="s">
        <v>14516</v>
      </c>
      <c r="G3572" s="2" t="s">
        <v>781</v>
      </c>
      <c r="H3572" s="2">
        <v>249.0</v>
      </c>
      <c r="I3572" s="2">
        <v>2.4120050022708E13</v>
      </c>
      <c r="J3572" s="3">
        <v>0.0</v>
      </c>
      <c r="K3572" s="2" t="s">
        <v>14416</v>
      </c>
      <c r="L3572" s="2"/>
      <c r="M3572" s="170" t="s">
        <v>455</v>
      </c>
      <c r="N3572" s="2" t="s">
        <v>406</v>
      </c>
      <c r="O3572" s="3"/>
      <c r="P3572" s="2" t="s">
        <v>73</v>
      </c>
      <c r="Q3572" s="3">
        <v>0.0</v>
      </c>
      <c r="R3572" s="3">
        <v>0.5</v>
      </c>
      <c r="U3572" s="141"/>
      <c r="W3572" s="3">
        <v>213.0</v>
      </c>
      <c r="X3572" s="172">
        <v>46110.58268704861</v>
      </c>
      <c r="Y3572" s="172">
        <v>46096.26879207176</v>
      </c>
      <c r="Z3572" s="3">
        <v>46096.0</v>
      </c>
      <c r="AA3572" s="2" t="s">
        <v>14032</v>
      </c>
    </row>
    <row r="3573">
      <c r="A3573" s="3">
        <v>6.952813134083E12</v>
      </c>
      <c r="B3573" s="2" t="s">
        <v>14517</v>
      </c>
      <c r="C3573" s="2" t="s">
        <v>14518</v>
      </c>
      <c r="D3573" s="169">
        <v>46096.0</v>
      </c>
      <c r="E3573" s="2">
        <v>3.00301415E9</v>
      </c>
      <c r="F3573" s="2" t="s">
        <v>14519</v>
      </c>
      <c r="G3573" s="2" t="s">
        <v>506</v>
      </c>
      <c r="H3573" s="2">
        <v>2199.0</v>
      </c>
      <c r="I3573" s="2">
        <v>2.4120050023115E13</v>
      </c>
      <c r="J3573" s="3">
        <v>1.0</v>
      </c>
      <c r="K3573" s="2" t="s">
        <v>14520</v>
      </c>
      <c r="L3573" s="2" t="s">
        <v>12408</v>
      </c>
      <c r="M3573" s="2" t="s">
        <v>409</v>
      </c>
      <c r="N3573" s="2" t="s">
        <v>462</v>
      </c>
      <c r="O3573" s="3"/>
      <c r="P3573" s="2" t="s">
        <v>73</v>
      </c>
      <c r="Q3573" s="3">
        <v>360.0</v>
      </c>
      <c r="R3573" s="3">
        <v>0.5</v>
      </c>
      <c r="T3573" s="2" t="s">
        <v>12503</v>
      </c>
      <c r="U3573" s="171">
        <v>2199.0</v>
      </c>
      <c r="V3573" s="172">
        <v>46115.0</v>
      </c>
      <c r="W3573" s="3">
        <v>308.94</v>
      </c>
      <c r="X3573" s="172">
        <v>46113.66600832176</v>
      </c>
      <c r="Y3573" s="172">
        <v>46096.26879207176</v>
      </c>
      <c r="Z3573" s="3">
        <v>46096.0</v>
      </c>
      <c r="AA3573" s="2" t="s">
        <v>14053</v>
      </c>
    </row>
    <row r="3574">
      <c r="A3574" s="3">
        <v>6.952848228611E12</v>
      </c>
      <c r="B3574" s="2" t="s">
        <v>14521</v>
      </c>
      <c r="C3574" s="2" t="s">
        <v>14522</v>
      </c>
      <c r="D3574" s="169">
        <v>46096.0</v>
      </c>
      <c r="E3574" s="2">
        <v>3.007255906E9</v>
      </c>
      <c r="F3574" s="2" t="s">
        <v>14523</v>
      </c>
      <c r="G3574" s="2" t="s">
        <v>374</v>
      </c>
      <c r="H3574" s="2">
        <v>0.0</v>
      </c>
      <c r="J3574" s="3">
        <v>0.0</v>
      </c>
      <c r="L3574" s="2"/>
      <c r="M3574" s="2" t="s">
        <v>468</v>
      </c>
      <c r="N3574" s="2" t="s">
        <v>406</v>
      </c>
      <c r="O3574" s="3"/>
      <c r="Q3574" s="3">
        <v>0.0</v>
      </c>
      <c r="R3574" s="3">
        <v>0.5</v>
      </c>
      <c r="U3574" s="141"/>
      <c r="X3574" s="172"/>
      <c r="Y3574" s="172">
        <v>46096.31042861111</v>
      </c>
      <c r="Z3574" s="3">
        <v>46096.0</v>
      </c>
      <c r="AA3574" s="2" t="s">
        <v>14103</v>
      </c>
    </row>
    <row r="3575">
      <c r="A3575" s="3">
        <v>6.952884764931E12</v>
      </c>
      <c r="B3575" s="2" t="s">
        <v>14524</v>
      </c>
      <c r="C3575" s="2" t="s">
        <v>14525</v>
      </c>
      <c r="D3575" s="169">
        <v>46096.0</v>
      </c>
      <c r="E3575" s="2">
        <v>3.332195736E9</v>
      </c>
      <c r="F3575" s="2" t="s">
        <v>14526</v>
      </c>
      <c r="G3575" s="2" t="s">
        <v>374</v>
      </c>
      <c r="H3575" s="2">
        <v>3348.0</v>
      </c>
      <c r="I3575" s="2">
        <v>2.812005002284E13</v>
      </c>
      <c r="J3575" s="3">
        <v>2.0</v>
      </c>
      <c r="K3575" s="2" t="s">
        <v>14036</v>
      </c>
      <c r="L3575" s="2" t="s">
        <v>27</v>
      </c>
      <c r="M3575" s="2" t="s">
        <v>409</v>
      </c>
      <c r="N3575" s="2" t="s">
        <v>462</v>
      </c>
      <c r="O3575" s="3"/>
      <c r="P3575" s="2" t="s">
        <v>73</v>
      </c>
      <c r="Q3575" s="3">
        <v>720.0</v>
      </c>
      <c r="R3575" s="3">
        <v>0.5</v>
      </c>
      <c r="T3575" s="2" t="s">
        <v>14037</v>
      </c>
      <c r="U3575" s="171">
        <v>3348.0</v>
      </c>
      <c r="V3575" s="172">
        <v>46112.0</v>
      </c>
      <c r="W3575" s="3">
        <v>355.0</v>
      </c>
      <c r="X3575" s="172">
        <v>46108.58268797454</v>
      </c>
      <c r="Y3575" s="172">
        <v>46096.31042861111</v>
      </c>
      <c r="Z3575" s="3">
        <v>46096.0</v>
      </c>
      <c r="AA3575" s="2" t="s">
        <v>14032</v>
      </c>
    </row>
    <row r="3576">
      <c r="A3576" s="3">
        <v>6.952893481219E12</v>
      </c>
      <c r="B3576" s="2" t="s">
        <v>14527</v>
      </c>
      <c r="C3576" s="2" t="s">
        <v>9858</v>
      </c>
      <c r="D3576" s="169">
        <v>46096.0</v>
      </c>
      <c r="E3576" s="2">
        <v>3.065472417E9</v>
      </c>
      <c r="F3576" s="2" t="s">
        <v>14528</v>
      </c>
      <c r="G3576" s="2" t="s">
        <v>14529</v>
      </c>
      <c r="H3576" s="2">
        <v>0.0</v>
      </c>
      <c r="J3576" s="3">
        <v>0.0</v>
      </c>
      <c r="K3576" s="2" t="s">
        <v>14530</v>
      </c>
      <c r="L3576" s="2"/>
      <c r="M3576" s="2" t="s">
        <v>468</v>
      </c>
      <c r="N3576" s="2" t="s">
        <v>406</v>
      </c>
      <c r="O3576" s="3"/>
      <c r="Q3576" s="3">
        <v>0.0</v>
      </c>
      <c r="R3576" s="3">
        <v>0.5</v>
      </c>
      <c r="U3576" s="141"/>
      <c r="X3576" s="172"/>
      <c r="Y3576" s="172">
        <v>46096.31042861111</v>
      </c>
      <c r="Z3576" s="3">
        <v>46096.0</v>
      </c>
      <c r="AA3576" s="2" t="s">
        <v>14032</v>
      </c>
    </row>
    <row r="3577">
      <c r="A3577" s="3">
        <v>6.953072820483E12</v>
      </c>
      <c r="B3577" s="2" t="s">
        <v>14531</v>
      </c>
      <c r="C3577" s="2" t="s">
        <v>212</v>
      </c>
      <c r="D3577" s="169">
        <v>46096.0</v>
      </c>
      <c r="E3577" s="2">
        <v>3.189284051E9</v>
      </c>
      <c r="F3577" s="2" t="s">
        <v>14532</v>
      </c>
      <c r="G3577" s="2" t="s">
        <v>781</v>
      </c>
      <c r="H3577" s="2">
        <v>3348.0</v>
      </c>
      <c r="I3577" s="2">
        <v>2.7120050023005E13</v>
      </c>
      <c r="J3577" s="3">
        <v>2.0</v>
      </c>
      <c r="K3577" s="2" t="s">
        <v>204</v>
      </c>
      <c r="L3577" s="2" t="s">
        <v>27</v>
      </c>
      <c r="M3577" s="2" t="s">
        <v>14076</v>
      </c>
      <c r="N3577" s="2" t="s">
        <v>406</v>
      </c>
      <c r="O3577" s="3"/>
      <c r="P3577" s="2" t="s">
        <v>73</v>
      </c>
      <c r="Q3577" s="3">
        <v>720.0</v>
      </c>
      <c r="R3577" s="3">
        <v>0.5</v>
      </c>
      <c r="U3577" s="141"/>
      <c r="X3577" s="172">
        <v>46122.08101763889</v>
      </c>
      <c r="Y3577" s="172">
        <v>46096.477089189815</v>
      </c>
      <c r="Z3577" s="3">
        <v>46096.0</v>
      </c>
      <c r="AA3577" s="2" t="s">
        <v>14032</v>
      </c>
    </row>
    <row r="3578">
      <c r="A3578" s="3">
        <v>6.953097167107E12</v>
      </c>
      <c r="B3578" s="2" t="s">
        <v>14533</v>
      </c>
      <c r="C3578" s="2" t="s">
        <v>8823</v>
      </c>
      <c r="D3578" s="169">
        <v>46096.0</v>
      </c>
      <c r="E3578" s="2">
        <v>3.038433999E9</v>
      </c>
      <c r="F3578" s="2" t="s">
        <v>8824</v>
      </c>
      <c r="G3578" s="2" t="s">
        <v>368</v>
      </c>
      <c r="H3578" s="2">
        <v>2749.0</v>
      </c>
      <c r="I3578" s="2">
        <v>2.7120050022707E13</v>
      </c>
      <c r="J3578" s="3">
        <v>2.0</v>
      </c>
      <c r="K3578" s="2" t="s">
        <v>14534</v>
      </c>
      <c r="L3578" s="2" t="s">
        <v>14535</v>
      </c>
      <c r="M3578" s="2" t="s">
        <v>409</v>
      </c>
      <c r="N3578" s="2" t="s">
        <v>462</v>
      </c>
      <c r="O3578" s="3"/>
      <c r="P3578" s="2" t="s">
        <v>73</v>
      </c>
      <c r="Q3578" s="3">
        <v>1500.0</v>
      </c>
      <c r="R3578" s="3">
        <v>0.5</v>
      </c>
      <c r="T3578" s="2" t="s">
        <v>12177</v>
      </c>
      <c r="U3578" s="171">
        <v>2749.0</v>
      </c>
      <c r="V3578" s="172">
        <v>46105.0</v>
      </c>
      <c r="W3578" s="3">
        <v>217.0</v>
      </c>
      <c r="X3578" s="172">
        <v>46098.707784108796</v>
      </c>
      <c r="Y3578" s="172">
        <v>46096.51875476852</v>
      </c>
      <c r="Z3578" s="3">
        <v>46096.0</v>
      </c>
      <c r="AA3578" s="2" t="s">
        <v>14536</v>
      </c>
    </row>
    <row r="3579">
      <c r="A3579" s="3">
        <v>6.953104802051E12</v>
      </c>
      <c r="B3579" s="2" t="s">
        <v>14537</v>
      </c>
      <c r="C3579" s="2" t="s">
        <v>14538</v>
      </c>
      <c r="D3579" s="169">
        <v>46096.0</v>
      </c>
      <c r="E3579" s="2">
        <v>3.323379583E9</v>
      </c>
      <c r="F3579" s="2" t="s">
        <v>14539</v>
      </c>
      <c r="G3579" s="2" t="s">
        <v>493</v>
      </c>
      <c r="H3579" s="2">
        <v>3348.0</v>
      </c>
      <c r="J3579" s="3">
        <v>2.0</v>
      </c>
      <c r="K3579" s="2" t="s">
        <v>7809</v>
      </c>
      <c r="L3579" s="2" t="s">
        <v>5839</v>
      </c>
      <c r="M3579" s="2" t="s">
        <v>406</v>
      </c>
      <c r="N3579" s="2" t="s">
        <v>406</v>
      </c>
      <c r="O3579" s="3"/>
      <c r="Q3579" s="3">
        <v>1050.0</v>
      </c>
      <c r="R3579" s="3">
        <v>0.5</v>
      </c>
      <c r="U3579" s="141"/>
      <c r="X3579" s="172"/>
      <c r="Y3579" s="172">
        <v>46096.51875476852</v>
      </c>
      <c r="Z3579" s="3">
        <v>46096.0</v>
      </c>
      <c r="AA3579" s="2" t="s">
        <v>14041</v>
      </c>
    </row>
    <row r="3580">
      <c r="A3580" s="3">
        <v>6.953153003779E12</v>
      </c>
      <c r="B3580" s="2" t="s">
        <v>14540</v>
      </c>
      <c r="C3580" s="2" t="s">
        <v>14541</v>
      </c>
      <c r="D3580" s="169">
        <v>46096.0</v>
      </c>
      <c r="E3580" s="2">
        <v>3.228430606E9</v>
      </c>
      <c r="F3580" s="2" t="s">
        <v>14542</v>
      </c>
      <c r="G3580" s="2" t="s">
        <v>368</v>
      </c>
      <c r="H3580" s="2">
        <v>3348.0</v>
      </c>
      <c r="I3580" s="2">
        <v>2.2120050022783E13</v>
      </c>
      <c r="J3580" s="3">
        <v>2.0</v>
      </c>
      <c r="K3580" s="2" t="s">
        <v>13072</v>
      </c>
      <c r="L3580" s="2" t="s">
        <v>9448</v>
      </c>
      <c r="M3580" s="2" t="s">
        <v>409</v>
      </c>
      <c r="N3580" s="2" t="s">
        <v>462</v>
      </c>
      <c r="O3580" s="3"/>
      <c r="P3580" s="2" t="s">
        <v>73</v>
      </c>
      <c r="Q3580" s="3">
        <v>760.0</v>
      </c>
      <c r="R3580" s="3">
        <v>0.5</v>
      </c>
      <c r="T3580" s="2" t="s">
        <v>12177</v>
      </c>
      <c r="U3580" s="171">
        <v>3348.0</v>
      </c>
      <c r="V3580" s="172">
        <v>46105.0</v>
      </c>
      <c r="W3580" s="3">
        <v>241.0</v>
      </c>
      <c r="X3580" s="172">
        <v>46100.666120381946</v>
      </c>
      <c r="Y3580" s="172">
        <v>46096.56042876157</v>
      </c>
      <c r="Z3580" s="3">
        <v>46096.0</v>
      </c>
      <c r="AA3580" s="2" t="s">
        <v>14022</v>
      </c>
    </row>
    <row r="3581">
      <c r="A3581" s="3">
        <v>6.953168142595E12</v>
      </c>
      <c r="B3581" s="2" t="s">
        <v>14543</v>
      </c>
      <c r="C3581" s="2" t="s">
        <v>3513</v>
      </c>
      <c r="D3581" s="169">
        <v>46096.0</v>
      </c>
      <c r="E3581" s="2">
        <v>3.453032111E9</v>
      </c>
      <c r="F3581" s="2" t="s">
        <v>14544</v>
      </c>
      <c r="G3581" s="2" t="s">
        <v>993</v>
      </c>
      <c r="H3581" s="2">
        <v>6198.0</v>
      </c>
      <c r="I3581" s="2">
        <v>2.6120050023004E13</v>
      </c>
      <c r="J3581" s="3">
        <v>4.0</v>
      </c>
      <c r="K3581" s="2" t="s">
        <v>14545</v>
      </c>
      <c r="L3581" s="2" t="s">
        <v>14546</v>
      </c>
      <c r="M3581" s="2" t="s">
        <v>409</v>
      </c>
      <c r="N3581" s="2" t="s">
        <v>462</v>
      </c>
      <c r="O3581" s="3"/>
      <c r="P3581" s="2" t="s">
        <v>73</v>
      </c>
      <c r="Q3581" s="3">
        <v>1770.0</v>
      </c>
      <c r="R3581" s="3">
        <v>0.5</v>
      </c>
      <c r="T3581" s="2" t="s">
        <v>12503</v>
      </c>
      <c r="U3581" s="171">
        <v>6198.0</v>
      </c>
      <c r="V3581" s="172">
        <v>46115.0</v>
      </c>
      <c r="W3581" s="3">
        <v>491.0</v>
      </c>
      <c r="X3581" s="172">
        <v>46112.62451780093</v>
      </c>
      <c r="Y3581" s="172">
        <v>46096.56042876157</v>
      </c>
      <c r="Z3581" s="3">
        <v>46096.0</v>
      </c>
      <c r="AA3581" s="2" t="s">
        <v>14032</v>
      </c>
    </row>
    <row r="3582">
      <c r="A3582" s="3">
        <v>6.953174794499E12</v>
      </c>
      <c r="B3582" s="2" t="s">
        <v>14547</v>
      </c>
      <c r="C3582" s="2" t="s">
        <v>14548</v>
      </c>
      <c r="D3582" s="169">
        <v>46096.0</v>
      </c>
      <c r="E3582" s="2">
        <v>3.006073832E9</v>
      </c>
      <c r="F3582" s="2" t="s">
        <v>14549</v>
      </c>
      <c r="G3582" s="2" t="s">
        <v>366</v>
      </c>
      <c r="H3582" s="2">
        <v>3348.0</v>
      </c>
      <c r="I3582" s="2">
        <v>2.6120050022738E13</v>
      </c>
      <c r="J3582" s="3">
        <v>2.0</v>
      </c>
      <c r="K3582" s="2" t="s">
        <v>14373</v>
      </c>
      <c r="L3582" s="2" t="s">
        <v>296</v>
      </c>
      <c r="M3582" s="2" t="s">
        <v>409</v>
      </c>
      <c r="N3582" s="2" t="s">
        <v>462</v>
      </c>
      <c r="O3582" s="3"/>
      <c r="P3582" s="2" t="s">
        <v>73</v>
      </c>
      <c r="Q3582" s="3">
        <v>720.0</v>
      </c>
      <c r="R3582" s="3">
        <v>0.5</v>
      </c>
      <c r="T3582" s="2" t="s">
        <v>12177</v>
      </c>
      <c r="U3582" s="171">
        <v>3348.0</v>
      </c>
      <c r="V3582" s="172">
        <v>46105.0</v>
      </c>
      <c r="W3582" s="3">
        <v>334.0</v>
      </c>
      <c r="X3582" s="172">
        <v>46100.707752939816</v>
      </c>
      <c r="Y3582" s="172">
        <v>46096.60209450232</v>
      </c>
      <c r="Z3582" s="3">
        <v>46096.0</v>
      </c>
      <c r="AA3582" s="2" t="s">
        <v>14053</v>
      </c>
    </row>
    <row r="3583">
      <c r="A3583" s="3">
        <v>6.953186722051E12</v>
      </c>
      <c r="B3583" s="2" t="s">
        <v>14550</v>
      </c>
      <c r="C3583" s="2" t="s">
        <v>14551</v>
      </c>
      <c r="D3583" s="169">
        <v>46096.0</v>
      </c>
      <c r="E3583" s="173" t="s">
        <v>14552</v>
      </c>
      <c r="F3583" s="2" t="s">
        <v>14553</v>
      </c>
      <c r="G3583" s="2" t="s">
        <v>366</v>
      </c>
      <c r="H3583" s="2">
        <v>249.0</v>
      </c>
      <c r="I3583" s="2">
        <v>2.4120050022684E13</v>
      </c>
      <c r="J3583" s="3">
        <v>0.0</v>
      </c>
      <c r="K3583" s="2" t="s">
        <v>14554</v>
      </c>
      <c r="L3583" s="2"/>
      <c r="M3583" s="2" t="s">
        <v>409</v>
      </c>
      <c r="N3583" s="2" t="s">
        <v>406</v>
      </c>
      <c r="O3583" s="3"/>
      <c r="P3583" s="2" t="s">
        <v>73</v>
      </c>
      <c r="Q3583" s="3">
        <v>0.0</v>
      </c>
      <c r="R3583" s="3">
        <v>0.5</v>
      </c>
      <c r="T3583" s="2" t="s">
        <v>12177</v>
      </c>
      <c r="U3583" s="171">
        <v>249.0</v>
      </c>
      <c r="V3583" s="172">
        <v>46105.0</v>
      </c>
      <c r="W3583" s="3">
        <v>362.0</v>
      </c>
      <c r="X3583" s="172">
        <v>46100.66612052084</v>
      </c>
      <c r="Y3583" s="172">
        <v>46096.60209450232</v>
      </c>
      <c r="Z3583" s="3">
        <v>46096.0</v>
      </c>
      <c r="AA3583" s="2" t="s">
        <v>14041</v>
      </c>
    </row>
    <row r="3584">
      <c r="A3584" s="3">
        <v>6.953216868611E12</v>
      </c>
      <c r="B3584" s="2" t="s">
        <v>14555</v>
      </c>
      <c r="C3584" s="2" t="s">
        <v>14556</v>
      </c>
      <c r="D3584" s="169">
        <v>46096.0</v>
      </c>
      <c r="E3584" s="2">
        <v>3.056473144E9</v>
      </c>
      <c r="F3584" s="2" t="s">
        <v>14557</v>
      </c>
      <c r="G3584" s="2" t="s">
        <v>374</v>
      </c>
      <c r="H3584" s="2">
        <v>1449.0</v>
      </c>
      <c r="I3584" s="2">
        <v>2.8120050022706E13</v>
      </c>
      <c r="J3584" s="3">
        <v>1.0</v>
      </c>
      <c r="K3584" s="2" t="s">
        <v>14558</v>
      </c>
      <c r="L3584" s="2" t="s">
        <v>741</v>
      </c>
      <c r="M3584" s="2" t="s">
        <v>409</v>
      </c>
      <c r="N3584" s="2" t="s">
        <v>462</v>
      </c>
      <c r="O3584" s="3"/>
      <c r="P3584" s="2" t="s">
        <v>73</v>
      </c>
      <c r="Q3584" s="3">
        <v>550.0</v>
      </c>
      <c r="R3584" s="3">
        <v>0.5</v>
      </c>
      <c r="T3584" s="2" t="s">
        <v>12177</v>
      </c>
      <c r="U3584" s="171">
        <v>1449.0</v>
      </c>
      <c r="V3584" s="172">
        <v>46105.0</v>
      </c>
      <c r="W3584" s="3">
        <v>258.0</v>
      </c>
      <c r="X3584" s="172">
        <v>46098.70778413194</v>
      </c>
      <c r="Y3584" s="172">
        <v>46096.643752337965</v>
      </c>
      <c r="Z3584" s="3">
        <v>46096.0</v>
      </c>
      <c r="AA3584" s="2" t="s">
        <v>14041</v>
      </c>
    </row>
    <row r="3585">
      <c r="A3585" s="3">
        <v>6.953222308099E12</v>
      </c>
      <c r="B3585" s="2" t="s">
        <v>14559</v>
      </c>
      <c r="C3585" s="2" t="s">
        <v>14560</v>
      </c>
      <c r="D3585" s="169">
        <v>46096.0</v>
      </c>
      <c r="E3585" s="2">
        <v>3.333999303E9</v>
      </c>
      <c r="F3585" s="2" t="s">
        <v>14561</v>
      </c>
      <c r="G3585" s="2" t="s">
        <v>368</v>
      </c>
      <c r="H3585" s="2">
        <v>2999.0</v>
      </c>
      <c r="I3585" s="2">
        <v>2.5120050022705E13</v>
      </c>
      <c r="J3585" s="3">
        <v>2.0</v>
      </c>
      <c r="K3585" s="2" t="s">
        <v>14430</v>
      </c>
      <c r="L3585" s="2" t="s">
        <v>14562</v>
      </c>
      <c r="M3585" s="2" t="s">
        <v>409</v>
      </c>
      <c r="N3585" s="2" t="s">
        <v>462</v>
      </c>
      <c r="O3585" s="3"/>
      <c r="P3585" s="2" t="s">
        <v>73</v>
      </c>
      <c r="Q3585" s="3">
        <v>1040.0</v>
      </c>
      <c r="R3585" s="3">
        <v>0.5</v>
      </c>
      <c r="T3585" s="2" t="s">
        <v>12177</v>
      </c>
      <c r="U3585" s="171">
        <v>2999.0</v>
      </c>
      <c r="V3585" s="172">
        <v>46105.0</v>
      </c>
      <c r="W3585" s="3">
        <v>227.0</v>
      </c>
      <c r="X3585" s="172">
        <v>46098.749571064815</v>
      </c>
      <c r="Y3585" s="172">
        <v>46096.643752337965</v>
      </c>
      <c r="Z3585" s="3">
        <v>46096.0</v>
      </c>
      <c r="AA3585" s="2" t="s">
        <v>14022</v>
      </c>
    </row>
    <row r="3586">
      <c r="A3586" s="3">
        <v>6.953225814275E12</v>
      </c>
      <c r="B3586" s="2" t="s">
        <v>14563</v>
      </c>
      <c r="C3586" s="2" t="s">
        <v>14564</v>
      </c>
      <c r="D3586" s="169">
        <v>46096.0</v>
      </c>
      <c r="E3586" s="2">
        <v>3.004675801E9</v>
      </c>
      <c r="F3586" s="2" t="s">
        <v>14565</v>
      </c>
      <c r="G3586" s="2" t="s">
        <v>1257</v>
      </c>
      <c r="H3586" s="2">
        <v>0.0</v>
      </c>
      <c r="J3586" s="3">
        <v>0.0</v>
      </c>
      <c r="K3586" s="2" t="s">
        <v>14566</v>
      </c>
      <c r="L3586" s="2"/>
      <c r="M3586" s="2" t="s">
        <v>468</v>
      </c>
      <c r="N3586" s="2" t="s">
        <v>406</v>
      </c>
      <c r="O3586" s="3"/>
      <c r="Q3586" s="3">
        <v>0.0</v>
      </c>
      <c r="R3586" s="3">
        <v>0.5</v>
      </c>
      <c r="U3586" s="141"/>
      <c r="X3586" s="172"/>
      <c r="Y3586" s="172">
        <v>46096.643752337965</v>
      </c>
      <c r="Z3586" s="3">
        <v>46096.0</v>
      </c>
      <c r="AA3586" s="2" t="s">
        <v>14053</v>
      </c>
    </row>
    <row r="3587">
      <c r="A3587" s="3">
        <v>6.953237446915E12</v>
      </c>
      <c r="B3587" s="2" t="s">
        <v>14567</v>
      </c>
      <c r="C3587" s="2" t="s">
        <v>14568</v>
      </c>
      <c r="D3587" s="169">
        <v>46096.0</v>
      </c>
      <c r="E3587" s="2">
        <v>3.412372832E9</v>
      </c>
      <c r="F3587" s="2" t="s">
        <v>14569</v>
      </c>
      <c r="G3587" s="2" t="s">
        <v>12357</v>
      </c>
      <c r="H3587" s="2">
        <v>249.0</v>
      </c>
      <c r="I3587" s="2">
        <v>1.73012262669E11</v>
      </c>
      <c r="J3587" s="3">
        <v>0.0</v>
      </c>
      <c r="K3587" s="2" t="s">
        <v>14570</v>
      </c>
      <c r="L3587" s="2"/>
      <c r="M3587" s="170" t="s">
        <v>455</v>
      </c>
      <c r="N3587" s="2" t="s">
        <v>406</v>
      </c>
      <c r="O3587" s="3"/>
      <c r="P3587" s="2" t="s">
        <v>501</v>
      </c>
      <c r="Q3587" s="3">
        <v>0.0</v>
      </c>
      <c r="R3587" s="3">
        <v>0.5</v>
      </c>
      <c r="U3587" s="141"/>
      <c r="X3587" s="172">
        <v>46122.082799502314</v>
      </c>
      <c r="Y3587" s="172">
        <v>46096.643752337965</v>
      </c>
      <c r="Z3587" s="3">
        <v>46096.0</v>
      </c>
      <c r="AA3587" s="2" t="s">
        <v>14278</v>
      </c>
    </row>
    <row r="3588">
      <c r="A3588" s="3">
        <v>6.953238102275E12</v>
      </c>
      <c r="B3588" s="2" t="s">
        <v>14571</v>
      </c>
      <c r="C3588" s="2" t="s">
        <v>14572</v>
      </c>
      <c r="D3588" s="169">
        <v>46096.0</v>
      </c>
      <c r="E3588" s="2">
        <v>3.160987428E9</v>
      </c>
      <c r="F3588" s="2" t="s">
        <v>14573</v>
      </c>
      <c r="G3588" s="2" t="s">
        <v>6191</v>
      </c>
      <c r="H3588" s="2">
        <v>3348.0</v>
      </c>
      <c r="I3588" s="2">
        <v>2.7120050022704E13</v>
      </c>
      <c r="J3588" s="3">
        <v>2.0</v>
      </c>
      <c r="K3588" s="2" t="s">
        <v>14373</v>
      </c>
      <c r="L3588" s="2" t="s">
        <v>1116</v>
      </c>
      <c r="M3588" s="2" t="s">
        <v>409</v>
      </c>
      <c r="N3588" s="2" t="s">
        <v>462</v>
      </c>
      <c r="O3588" s="3"/>
      <c r="P3588" s="2" t="s">
        <v>73</v>
      </c>
      <c r="Q3588" s="3">
        <v>800.0</v>
      </c>
      <c r="R3588" s="3">
        <v>0.5</v>
      </c>
      <c r="T3588" s="2" t="s">
        <v>12177</v>
      </c>
      <c r="U3588" s="171">
        <v>3348.0</v>
      </c>
      <c r="V3588" s="172">
        <v>46105.0</v>
      </c>
      <c r="W3588" s="3">
        <v>347.0</v>
      </c>
      <c r="X3588" s="172">
        <v>46100.74961996528</v>
      </c>
      <c r="Y3588" s="172">
        <v>46096.643752337965</v>
      </c>
      <c r="Z3588" s="3">
        <v>46096.0</v>
      </c>
      <c r="AA3588" s="2" t="s">
        <v>14032</v>
      </c>
    </row>
    <row r="3589">
      <c r="A3589" s="3">
        <v>6.953249243395E12</v>
      </c>
      <c r="B3589" s="2" t="s">
        <v>14574</v>
      </c>
      <c r="C3589" s="2" t="s">
        <v>14575</v>
      </c>
      <c r="D3589" s="169">
        <v>46096.0</v>
      </c>
      <c r="E3589" s="2">
        <v>3.070867081E9</v>
      </c>
      <c r="F3589" s="2" t="s">
        <v>14576</v>
      </c>
      <c r="G3589" s="2" t="s">
        <v>14577</v>
      </c>
      <c r="H3589" s="2">
        <v>3548.0</v>
      </c>
      <c r="I3589" s="2" t="s">
        <v>14578</v>
      </c>
      <c r="J3589" s="3">
        <v>2.0</v>
      </c>
      <c r="K3589" s="2" t="s">
        <v>12380</v>
      </c>
      <c r="L3589" s="2" t="s">
        <v>926</v>
      </c>
      <c r="M3589" s="2" t="s">
        <v>409</v>
      </c>
      <c r="N3589" s="2" t="s">
        <v>406</v>
      </c>
      <c r="O3589" s="3"/>
      <c r="P3589" s="2" t="s">
        <v>640</v>
      </c>
      <c r="Q3589" s="3">
        <v>980.0</v>
      </c>
      <c r="R3589" s="3">
        <v>0.5</v>
      </c>
      <c r="U3589" s="141"/>
      <c r="X3589" s="172">
        <v>46114.62572333333</v>
      </c>
      <c r="Y3589" s="172">
        <v>46096.643752337965</v>
      </c>
      <c r="Z3589" s="3">
        <v>46096.0</v>
      </c>
      <c r="AA3589" s="2" t="s">
        <v>14053</v>
      </c>
    </row>
    <row r="3590">
      <c r="A3590" s="3">
        <v>6.953291055363E12</v>
      </c>
      <c r="B3590" s="2" t="s">
        <v>14579</v>
      </c>
      <c r="C3590" s="2" t="s">
        <v>14580</v>
      </c>
      <c r="D3590" s="169">
        <v>46096.0</v>
      </c>
      <c r="E3590" s="2">
        <v>3.337084613E9</v>
      </c>
      <c r="F3590" s="2" t="s">
        <v>14581</v>
      </c>
      <c r="G3590" s="2" t="s">
        <v>2273</v>
      </c>
      <c r="H3590" s="2">
        <v>249.0</v>
      </c>
      <c r="I3590" s="2">
        <v>2.2120050023022E13</v>
      </c>
      <c r="J3590" s="3">
        <v>0.0</v>
      </c>
      <c r="K3590" s="2" t="s">
        <v>14582</v>
      </c>
      <c r="L3590" s="2"/>
      <c r="M3590" s="170" t="s">
        <v>455</v>
      </c>
      <c r="N3590" s="2" t="s">
        <v>406</v>
      </c>
      <c r="O3590" s="3"/>
      <c r="P3590" s="2" t="s">
        <v>73</v>
      </c>
      <c r="Q3590" s="3">
        <v>0.0</v>
      </c>
      <c r="R3590" s="3">
        <v>0.5</v>
      </c>
      <c r="U3590" s="141"/>
      <c r="W3590" s="3">
        <v>235.70999999999998</v>
      </c>
      <c r="X3590" s="172">
        <v>46120.08097981481</v>
      </c>
      <c r="Y3590" s="172">
        <v>46096.727089629625</v>
      </c>
      <c r="Z3590" s="3">
        <v>46096.0</v>
      </c>
      <c r="AA3590" s="2" t="s">
        <v>14032</v>
      </c>
    </row>
    <row r="3591">
      <c r="A3591" s="3">
        <v>6.953296462083E12</v>
      </c>
      <c r="B3591" s="2" t="s">
        <v>14583</v>
      </c>
      <c r="C3591" s="2" t="s">
        <v>14584</v>
      </c>
      <c r="D3591" s="169">
        <v>46096.0</v>
      </c>
      <c r="E3591" s="173" t="s">
        <v>14585</v>
      </c>
      <c r="F3591" s="2" t="s">
        <v>14586</v>
      </c>
      <c r="G3591" s="2" t="s">
        <v>855</v>
      </c>
      <c r="H3591" s="2">
        <v>3348.0</v>
      </c>
      <c r="I3591" s="2">
        <v>2.5120050022737E13</v>
      </c>
      <c r="J3591" s="3">
        <v>2.0</v>
      </c>
      <c r="K3591" s="2" t="s">
        <v>14373</v>
      </c>
      <c r="L3591" s="2" t="s">
        <v>275</v>
      </c>
      <c r="M3591" s="2" t="s">
        <v>409</v>
      </c>
      <c r="N3591" s="2" t="s">
        <v>462</v>
      </c>
      <c r="O3591" s="3"/>
      <c r="P3591" s="2" t="s">
        <v>73</v>
      </c>
      <c r="Q3591" s="3">
        <v>800.0</v>
      </c>
      <c r="R3591" s="3">
        <v>0.5</v>
      </c>
      <c r="T3591" s="2" t="s">
        <v>12177</v>
      </c>
      <c r="U3591" s="171">
        <v>3348.0</v>
      </c>
      <c r="V3591" s="172">
        <v>46105.0</v>
      </c>
      <c r="W3591" s="3">
        <v>334.0</v>
      </c>
      <c r="X3591" s="172">
        <v>46099.541173668986</v>
      </c>
      <c r="Y3591" s="172">
        <v>46096.727089629625</v>
      </c>
      <c r="Z3591" s="3">
        <v>46096.0</v>
      </c>
      <c r="AA3591" s="2" t="s">
        <v>14032</v>
      </c>
    </row>
    <row r="3592">
      <c r="A3592" s="3">
        <v>6.953297641731E12</v>
      </c>
      <c r="B3592" s="2" t="s">
        <v>14587</v>
      </c>
      <c r="C3592" s="2" t="s">
        <v>14588</v>
      </c>
      <c r="D3592" s="169">
        <v>46096.0</v>
      </c>
      <c r="E3592" s="2">
        <v>3.22912599E9</v>
      </c>
      <c r="F3592" s="2" t="s">
        <v>14589</v>
      </c>
      <c r="G3592" s="2" t="s">
        <v>506</v>
      </c>
      <c r="H3592" s="2">
        <v>0.0</v>
      </c>
      <c r="J3592" s="3">
        <v>0.0</v>
      </c>
      <c r="K3592" s="2" t="s">
        <v>11216</v>
      </c>
      <c r="L3592" s="2"/>
      <c r="M3592" s="2" t="s">
        <v>468</v>
      </c>
      <c r="N3592" s="2" t="s">
        <v>406</v>
      </c>
      <c r="O3592" s="3"/>
      <c r="Q3592" s="3">
        <v>0.0</v>
      </c>
      <c r="R3592" s="3">
        <v>0.5</v>
      </c>
      <c r="U3592" s="141"/>
      <c r="X3592" s="172"/>
      <c r="Y3592" s="172">
        <v>46096.727089629625</v>
      </c>
      <c r="Z3592" s="3">
        <v>46096.0</v>
      </c>
      <c r="AA3592" s="2" t="s">
        <v>14032</v>
      </c>
    </row>
    <row r="3593">
      <c r="A3593" s="3">
        <v>6.953301737731E12</v>
      </c>
      <c r="B3593" s="2" t="s">
        <v>14590</v>
      </c>
      <c r="C3593" s="2" t="s">
        <v>799</v>
      </c>
      <c r="D3593" s="169">
        <v>46096.0</v>
      </c>
      <c r="E3593" s="2">
        <v>3.044548921E9</v>
      </c>
      <c r="F3593" s="2" t="s">
        <v>14591</v>
      </c>
      <c r="G3593" s="2" t="s">
        <v>368</v>
      </c>
      <c r="H3593" s="2">
        <v>249.0</v>
      </c>
      <c r="I3593" s="2">
        <v>2.1120050022703E13</v>
      </c>
      <c r="J3593" s="3">
        <v>0.0</v>
      </c>
      <c r="K3593" s="2" t="s">
        <v>14383</v>
      </c>
      <c r="L3593" s="2"/>
      <c r="M3593" s="170" t="s">
        <v>455</v>
      </c>
      <c r="N3593" s="2" t="s">
        <v>406</v>
      </c>
      <c r="O3593" s="3"/>
      <c r="P3593" s="2" t="s">
        <v>73</v>
      </c>
      <c r="Q3593" s="3">
        <v>0.0</v>
      </c>
      <c r="R3593" s="3">
        <v>0.5</v>
      </c>
      <c r="U3593" s="141"/>
      <c r="W3593" s="3">
        <v>107.0</v>
      </c>
      <c r="X3593" s="172">
        <v>46109.8326556713</v>
      </c>
      <c r="Y3593" s="172">
        <v>46096.727089629625</v>
      </c>
      <c r="Z3593" s="3">
        <v>46096.0</v>
      </c>
      <c r="AA3593" s="2" t="s">
        <v>14032</v>
      </c>
    </row>
    <row r="3594">
      <c r="A3594" s="3">
        <v>6.953304752387E12</v>
      </c>
      <c r="B3594" s="2" t="s">
        <v>14592</v>
      </c>
      <c r="C3594" s="2" t="s">
        <v>14593</v>
      </c>
      <c r="D3594" s="169">
        <v>46096.0</v>
      </c>
      <c r="E3594" s="173" t="s">
        <v>14594</v>
      </c>
      <c r="F3594" s="2" t="s">
        <v>14595</v>
      </c>
      <c r="G3594" s="2" t="s">
        <v>14596</v>
      </c>
      <c r="H3594" s="2">
        <v>3348.0</v>
      </c>
      <c r="I3594" s="2">
        <v>2.8120050022702E13</v>
      </c>
      <c r="J3594" s="3">
        <v>2.0</v>
      </c>
      <c r="K3594" s="2" t="s">
        <v>14373</v>
      </c>
      <c r="L3594" s="2" t="s">
        <v>40</v>
      </c>
      <c r="M3594" s="2" t="s">
        <v>409</v>
      </c>
      <c r="N3594" s="2" t="s">
        <v>462</v>
      </c>
      <c r="O3594" s="3"/>
      <c r="P3594" s="2" t="s">
        <v>73</v>
      </c>
      <c r="Q3594" s="3">
        <v>720.0</v>
      </c>
      <c r="R3594" s="3">
        <v>0.5</v>
      </c>
      <c r="T3594" s="2" t="s">
        <v>12177</v>
      </c>
      <c r="U3594" s="171">
        <v>3348.0</v>
      </c>
      <c r="V3594" s="172">
        <v>46105.0</v>
      </c>
      <c r="W3594" s="3">
        <v>347.0</v>
      </c>
      <c r="X3594" s="172">
        <v>46100.707753553244</v>
      </c>
      <c r="Y3594" s="172">
        <v>46096.727089629625</v>
      </c>
      <c r="Z3594" s="3">
        <v>46096.0</v>
      </c>
      <c r="AA3594" s="2" t="s">
        <v>14032</v>
      </c>
    </row>
    <row r="3595">
      <c r="A3595" s="3">
        <v>6.953312616707E12</v>
      </c>
      <c r="B3595" s="2" t="s">
        <v>14597</v>
      </c>
      <c r="C3595" s="2" t="s">
        <v>14598</v>
      </c>
      <c r="D3595" s="169">
        <v>46096.0</v>
      </c>
      <c r="E3595" s="2">
        <v>3.356532091E9</v>
      </c>
      <c r="F3595" s="2" t="s">
        <v>14599</v>
      </c>
      <c r="G3595" s="2" t="s">
        <v>14600</v>
      </c>
      <c r="H3595" s="2">
        <v>3348.0</v>
      </c>
      <c r="I3595" s="2">
        <v>2.5120050023021E13</v>
      </c>
      <c r="J3595" s="3">
        <v>2.0</v>
      </c>
      <c r="K3595" s="2" t="s">
        <v>14036</v>
      </c>
      <c r="L3595" s="2" t="s">
        <v>296</v>
      </c>
      <c r="M3595" s="2" t="s">
        <v>409</v>
      </c>
      <c r="N3595" s="2" t="s">
        <v>462</v>
      </c>
      <c r="O3595" s="3"/>
      <c r="P3595" s="2" t="s">
        <v>73</v>
      </c>
      <c r="Q3595" s="3">
        <v>720.0</v>
      </c>
      <c r="R3595" s="3">
        <v>0.5</v>
      </c>
      <c r="T3595" s="2" t="s">
        <v>14037</v>
      </c>
      <c r="U3595" s="171">
        <v>3348.0</v>
      </c>
      <c r="V3595" s="172">
        <v>46112.0</v>
      </c>
      <c r="W3595" s="3">
        <v>355.0</v>
      </c>
      <c r="X3595" s="172">
        <v>46111.52101773148</v>
      </c>
      <c r="Y3595" s="172">
        <v>46096.727089629625</v>
      </c>
      <c r="Z3595" s="3">
        <v>46096.0</v>
      </c>
      <c r="AA3595" s="2" t="s">
        <v>14022</v>
      </c>
    </row>
    <row r="3596">
      <c r="A3596" s="3">
        <v>6.953324577027E12</v>
      </c>
      <c r="B3596" s="2" t="s">
        <v>14601</v>
      </c>
      <c r="C3596" s="2" t="s">
        <v>14602</v>
      </c>
      <c r="D3596" s="169">
        <v>46096.0</v>
      </c>
      <c r="E3596" s="2">
        <v>3.219388339E9</v>
      </c>
      <c r="F3596" s="2" t="s">
        <v>14603</v>
      </c>
      <c r="G3596" s="2" t="s">
        <v>368</v>
      </c>
      <c r="H3596" s="2">
        <v>249.0</v>
      </c>
      <c r="I3596" s="2">
        <v>2.512005002302E13</v>
      </c>
      <c r="J3596" s="3">
        <v>0.0</v>
      </c>
      <c r="K3596" s="2" t="s">
        <v>14604</v>
      </c>
      <c r="L3596" s="2"/>
      <c r="M3596" s="170" t="s">
        <v>455</v>
      </c>
      <c r="N3596" s="2" t="s">
        <v>406</v>
      </c>
      <c r="O3596" s="3"/>
      <c r="P3596" s="2" t="s">
        <v>73</v>
      </c>
      <c r="Q3596" s="3">
        <v>0.0</v>
      </c>
      <c r="R3596" s="3">
        <v>0.5</v>
      </c>
      <c r="U3596" s="141"/>
      <c r="W3596" s="3">
        <v>117.86</v>
      </c>
      <c r="X3596" s="172">
        <v>46116.87433681713</v>
      </c>
      <c r="Y3596" s="172">
        <v>46096.727089629625</v>
      </c>
      <c r="Z3596" s="3">
        <v>46096.0</v>
      </c>
      <c r="AA3596" s="2" t="s">
        <v>14032</v>
      </c>
    </row>
    <row r="3597">
      <c r="A3597" s="3">
        <v>6.953342533891E12</v>
      </c>
      <c r="B3597" s="2" t="s">
        <v>14605</v>
      </c>
      <c r="C3597" s="2" t="s">
        <v>14606</v>
      </c>
      <c r="D3597" s="169">
        <v>46096.0</v>
      </c>
      <c r="E3597" s="2">
        <v>3.329609594E9</v>
      </c>
      <c r="F3597" s="2" t="s">
        <v>14607</v>
      </c>
      <c r="G3597" s="2" t="s">
        <v>14608</v>
      </c>
      <c r="H3597" s="2">
        <v>0.0</v>
      </c>
      <c r="J3597" s="3">
        <v>0.0</v>
      </c>
      <c r="K3597" s="2" t="s">
        <v>14609</v>
      </c>
      <c r="L3597" s="2"/>
      <c r="M3597" s="2" t="s">
        <v>468</v>
      </c>
      <c r="N3597" s="2" t="s">
        <v>406</v>
      </c>
      <c r="O3597" s="3"/>
      <c r="Q3597" s="3">
        <v>0.0</v>
      </c>
      <c r="R3597" s="3">
        <v>0.5</v>
      </c>
      <c r="U3597" s="141"/>
      <c r="X3597" s="172"/>
      <c r="Y3597" s="172">
        <v>46096.76876627315</v>
      </c>
      <c r="Z3597" s="3">
        <v>46096.0</v>
      </c>
      <c r="AA3597" s="2" t="s">
        <v>14032</v>
      </c>
    </row>
    <row r="3598">
      <c r="A3598" s="3">
        <v>6.953343910147E12</v>
      </c>
      <c r="B3598" s="2" t="s">
        <v>14610</v>
      </c>
      <c r="C3598" s="2" t="s">
        <v>14606</v>
      </c>
      <c r="D3598" s="169">
        <v>46096.0</v>
      </c>
      <c r="E3598" s="2">
        <v>3.329609594E9</v>
      </c>
      <c r="F3598" s="2" t="s">
        <v>14607</v>
      </c>
      <c r="G3598" s="2" t="s">
        <v>14608</v>
      </c>
      <c r="H3598" s="2">
        <v>3348.0</v>
      </c>
      <c r="I3598" s="2">
        <v>2.3120050023019E13</v>
      </c>
      <c r="J3598" s="3">
        <v>2.0</v>
      </c>
      <c r="K3598" s="2" t="s">
        <v>14036</v>
      </c>
      <c r="L3598" s="2" t="s">
        <v>906</v>
      </c>
      <c r="M3598" s="2" t="s">
        <v>409</v>
      </c>
      <c r="N3598" s="2" t="s">
        <v>462</v>
      </c>
      <c r="O3598" s="3"/>
      <c r="P3598" s="2" t="s">
        <v>73</v>
      </c>
      <c r="Q3598" s="3">
        <v>720.0</v>
      </c>
      <c r="R3598" s="3">
        <v>0.5</v>
      </c>
      <c r="T3598" s="2" t="s">
        <v>14037</v>
      </c>
      <c r="U3598" s="171">
        <v>3348.0</v>
      </c>
      <c r="V3598" s="172">
        <v>46112.0</v>
      </c>
      <c r="W3598" s="3">
        <v>370.0</v>
      </c>
      <c r="X3598" s="172">
        <v>46111.66609200231</v>
      </c>
      <c r="Y3598" s="172">
        <v>46096.76876627315</v>
      </c>
      <c r="Z3598" s="3">
        <v>46096.0</v>
      </c>
      <c r="AA3598" s="2" t="s">
        <v>14032</v>
      </c>
    </row>
    <row r="3599">
      <c r="A3599" s="3">
        <v>6.953344270595E12</v>
      </c>
      <c r="B3599" s="2" t="s">
        <v>14611</v>
      </c>
      <c r="C3599" s="2" t="s">
        <v>14612</v>
      </c>
      <c r="D3599" s="169">
        <v>46096.0</v>
      </c>
      <c r="E3599" s="2">
        <v>3.138622444E9</v>
      </c>
      <c r="F3599" s="2" t="s">
        <v>14613</v>
      </c>
      <c r="G3599" s="2" t="s">
        <v>993</v>
      </c>
      <c r="H3599" s="2">
        <v>249.0</v>
      </c>
      <c r="I3599" s="2">
        <v>2.8120050022701E13</v>
      </c>
      <c r="J3599" s="3">
        <v>0.0</v>
      </c>
      <c r="K3599" s="2" t="s">
        <v>14452</v>
      </c>
      <c r="L3599" s="2"/>
      <c r="M3599" s="170" t="s">
        <v>455</v>
      </c>
      <c r="N3599" s="2" t="s">
        <v>406</v>
      </c>
      <c r="O3599" s="3"/>
      <c r="P3599" s="2" t="s">
        <v>73</v>
      </c>
      <c r="Q3599" s="3">
        <v>0.0</v>
      </c>
      <c r="R3599" s="3">
        <v>0.5</v>
      </c>
      <c r="U3599" s="141"/>
      <c r="W3599" s="3">
        <v>200.0</v>
      </c>
      <c r="X3599" s="172">
        <v>46110.58268733796</v>
      </c>
      <c r="Y3599" s="172">
        <v>46096.76876627315</v>
      </c>
      <c r="Z3599" s="3">
        <v>46096.0</v>
      </c>
      <c r="AA3599" s="2" t="s">
        <v>14022</v>
      </c>
    </row>
    <row r="3600">
      <c r="A3600" s="3">
        <v>6.953369075971E12</v>
      </c>
      <c r="B3600" s="2" t="s">
        <v>14614</v>
      </c>
      <c r="C3600" s="2" t="s">
        <v>14615</v>
      </c>
      <c r="D3600" s="169">
        <v>46096.0</v>
      </c>
      <c r="E3600" s="2">
        <v>3.102594276E9</v>
      </c>
      <c r="F3600" s="2" t="s">
        <v>14616</v>
      </c>
      <c r="G3600" s="2" t="s">
        <v>3964</v>
      </c>
      <c r="H3600" s="2">
        <v>0.0</v>
      </c>
      <c r="J3600" s="3">
        <v>0.0</v>
      </c>
      <c r="K3600" s="2" t="s">
        <v>14617</v>
      </c>
      <c r="L3600" s="2"/>
      <c r="M3600" s="2" t="s">
        <v>468</v>
      </c>
      <c r="N3600" s="2" t="s">
        <v>406</v>
      </c>
      <c r="O3600" s="3"/>
      <c r="Q3600" s="3">
        <v>0.0</v>
      </c>
      <c r="R3600" s="3">
        <v>0.5</v>
      </c>
      <c r="U3600" s="141"/>
      <c r="X3600" s="172"/>
      <c r="Y3600" s="172">
        <v>46096.76876627315</v>
      </c>
      <c r="Z3600" s="3">
        <v>46096.0</v>
      </c>
      <c r="AA3600" s="2" t="s">
        <v>14032</v>
      </c>
    </row>
    <row r="3601">
      <c r="A3601" s="3">
        <v>6.953403908355E12</v>
      </c>
      <c r="B3601" s="2" t="s">
        <v>14618</v>
      </c>
      <c r="C3601" s="2" t="s">
        <v>14619</v>
      </c>
      <c r="D3601" s="169">
        <v>46096.0</v>
      </c>
      <c r="E3601" s="2">
        <v>3.218461067E9</v>
      </c>
      <c r="F3601" s="2" t="s">
        <v>14620</v>
      </c>
      <c r="G3601" s="2" t="s">
        <v>368</v>
      </c>
      <c r="H3601" s="2">
        <v>249.0</v>
      </c>
      <c r="I3601" s="2">
        <v>2.0120050022736E13</v>
      </c>
      <c r="J3601" s="3">
        <v>0.0</v>
      </c>
      <c r="K3601" s="2" t="s">
        <v>13805</v>
      </c>
      <c r="L3601" s="2"/>
      <c r="M3601" s="170" t="s">
        <v>455</v>
      </c>
      <c r="N3601" s="2" t="s">
        <v>406</v>
      </c>
      <c r="O3601" s="3"/>
      <c r="P3601" s="2" t="s">
        <v>73</v>
      </c>
      <c r="Q3601" s="3">
        <v>0.0</v>
      </c>
      <c r="R3601" s="3">
        <v>0.5</v>
      </c>
      <c r="U3601" s="141"/>
      <c r="W3601" s="3">
        <v>120.0</v>
      </c>
      <c r="X3601" s="172">
        <v>46109.83265570602</v>
      </c>
      <c r="Y3601" s="172">
        <v>46096.81043460648</v>
      </c>
      <c r="Z3601" s="3">
        <v>46096.0</v>
      </c>
      <c r="AA3601" s="2" t="s">
        <v>14032</v>
      </c>
    </row>
    <row r="3602">
      <c r="A3602" s="3">
        <v>6.953465512195E12</v>
      </c>
      <c r="B3602" s="2" t="s">
        <v>14621</v>
      </c>
      <c r="C3602" s="2" t="s">
        <v>14622</v>
      </c>
      <c r="D3602" s="169">
        <v>46096.0</v>
      </c>
      <c r="E3602" s="2">
        <v>3.277752249E9</v>
      </c>
      <c r="F3602" s="2" t="s">
        <v>14623</v>
      </c>
      <c r="G3602" s="2" t="s">
        <v>14624</v>
      </c>
      <c r="H3602" s="2">
        <v>0.0</v>
      </c>
      <c r="J3602" s="3">
        <v>0.0</v>
      </c>
      <c r="K3602" s="2" t="s">
        <v>14625</v>
      </c>
      <c r="L3602" s="2"/>
      <c r="M3602" s="2" t="s">
        <v>468</v>
      </c>
      <c r="N3602" s="2" t="s">
        <v>406</v>
      </c>
      <c r="O3602" s="3"/>
      <c r="Q3602" s="3">
        <v>0.0</v>
      </c>
      <c r="R3602" s="3">
        <v>0.5</v>
      </c>
      <c r="U3602" s="141"/>
      <c r="X3602" s="172"/>
      <c r="Y3602" s="172">
        <v>46096.81043460648</v>
      </c>
      <c r="Z3602" s="3">
        <v>46096.0</v>
      </c>
      <c r="AA3602" s="2" t="s">
        <v>14041</v>
      </c>
    </row>
    <row r="3603">
      <c r="A3603" s="3">
        <v>6.953477734659E12</v>
      </c>
      <c r="B3603" s="2" t="s">
        <v>14626</v>
      </c>
      <c r="C3603" s="2" t="s">
        <v>14627</v>
      </c>
      <c r="D3603" s="169">
        <v>46096.0</v>
      </c>
      <c r="E3603" s="2">
        <v>3.08255506E9</v>
      </c>
      <c r="F3603" s="2" t="s">
        <v>14628</v>
      </c>
      <c r="G3603" s="2" t="s">
        <v>14629</v>
      </c>
      <c r="H3603" s="2">
        <v>3348.0</v>
      </c>
      <c r="I3603" s="2">
        <v>2.11200500227E13</v>
      </c>
      <c r="J3603" s="3">
        <v>2.0</v>
      </c>
      <c r="K3603" s="2" t="s">
        <v>14373</v>
      </c>
      <c r="L3603" s="2" t="s">
        <v>906</v>
      </c>
      <c r="M3603" s="2" t="s">
        <v>409</v>
      </c>
      <c r="N3603" s="2" t="s">
        <v>462</v>
      </c>
      <c r="O3603" s="3"/>
      <c r="P3603" s="2" t="s">
        <v>73</v>
      </c>
      <c r="Q3603" s="3">
        <v>720.0</v>
      </c>
      <c r="R3603" s="3">
        <v>0.5</v>
      </c>
      <c r="T3603" s="2" t="s">
        <v>12177</v>
      </c>
      <c r="U3603" s="171">
        <v>3348.0</v>
      </c>
      <c r="V3603" s="172">
        <v>46105.0</v>
      </c>
      <c r="W3603" s="3">
        <v>334.0</v>
      </c>
      <c r="X3603" s="172">
        <v>46099.771109375</v>
      </c>
      <c r="Y3603" s="172">
        <v>46096.85210741898</v>
      </c>
      <c r="Z3603" s="3">
        <v>46096.0</v>
      </c>
      <c r="AA3603" s="2" t="s">
        <v>14022</v>
      </c>
    </row>
    <row r="3604">
      <c r="A3604" s="3">
        <v>6.953490972931E12</v>
      </c>
      <c r="B3604" s="2" t="s">
        <v>14630</v>
      </c>
      <c r="C3604" s="2" t="s">
        <v>11676</v>
      </c>
      <c r="D3604" s="169">
        <v>46096.0</v>
      </c>
      <c r="E3604" s="2">
        <v>3.086888626E9</v>
      </c>
      <c r="F3604" s="2" t="s">
        <v>14631</v>
      </c>
      <c r="G3604" s="2" t="s">
        <v>541</v>
      </c>
      <c r="H3604" s="2">
        <v>3348.0</v>
      </c>
      <c r="I3604" s="2">
        <v>2.2120050022839E13</v>
      </c>
      <c r="J3604" s="3">
        <v>2.0</v>
      </c>
      <c r="K3604" s="2" t="s">
        <v>14411</v>
      </c>
      <c r="L3604" s="2" t="s">
        <v>27</v>
      </c>
      <c r="M3604" s="2" t="s">
        <v>409</v>
      </c>
      <c r="N3604" s="2" t="s">
        <v>462</v>
      </c>
      <c r="O3604" s="3"/>
      <c r="P3604" s="2" t="s">
        <v>73</v>
      </c>
      <c r="Q3604" s="3">
        <v>720.0</v>
      </c>
      <c r="R3604" s="3">
        <v>0.5</v>
      </c>
      <c r="T3604" s="2" t="s">
        <v>14037</v>
      </c>
      <c r="U3604" s="171">
        <v>3348.0</v>
      </c>
      <c r="V3604" s="172">
        <v>46112.0</v>
      </c>
      <c r="W3604" s="3">
        <v>355.0</v>
      </c>
      <c r="X3604" s="172">
        <v>46110.707764756946</v>
      </c>
      <c r="Y3604" s="172">
        <v>46096.85210741898</v>
      </c>
      <c r="Z3604" s="3">
        <v>46096.0</v>
      </c>
      <c r="AA3604" s="2" t="s">
        <v>14032</v>
      </c>
    </row>
    <row r="3605">
      <c r="A3605" s="3">
        <v>6.953556902147E12</v>
      </c>
      <c r="B3605" s="2" t="s">
        <v>14632</v>
      </c>
      <c r="C3605" s="2" t="s">
        <v>14633</v>
      </c>
      <c r="D3605" s="169">
        <v>46096.0</v>
      </c>
      <c r="E3605" s="2">
        <v>3.078652222E9</v>
      </c>
      <c r="F3605" s="2" t="s">
        <v>14634</v>
      </c>
      <c r="G3605" s="2" t="s">
        <v>368</v>
      </c>
      <c r="H3605" s="2">
        <v>3348.0</v>
      </c>
      <c r="I3605" s="2">
        <v>2.2120050022735E13</v>
      </c>
      <c r="J3605" s="3">
        <v>2.0</v>
      </c>
      <c r="K3605" s="2" t="s">
        <v>14635</v>
      </c>
      <c r="L3605" s="2" t="s">
        <v>296</v>
      </c>
      <c r="M3605" s="2" t="s">
        <v>409</v>
      </c>
      <c r="N3605" s="2" t="s">
        <v>462</v>
      </c>
      <c r="O3605" s="3"/>
      <c r="P3605" s="2" t="s">
        <v>73</v>
      </c>
      <c r="Q3605" s="3">
        <v>720.0</v>
      </c>
      <c r="R3605" s="3">
        <v>0.5</v>
      </c>
      <c r="T3605" s="2" t="s">
        <v>12177</v>
      </c>
      <c r="U3605" s="171">
        <v>3348.0</v>
      </c>
      <c r="V3605" s="172">
        <v>46105.0</v>
      </c>
      <c r="W3605" s="3">
        <v>254.0</v>
      </c>
      <c r="X3605" s="172">
        <v>46099.666153032405</v>
      </c>
      <c r="Y3605" s="172">
        <v>46096.893754537035</v>
      </c>
      <c r="Z3605" s="3">
        <v>46096.0</v>
      </c>
      <c r="AA3605" s="2" t="s">
        <v>14103</v>
      </c>
    </row>
    <row r="3606">
      <c r="A3606" s="3">
        <v>6.953609953539E12</v>
      </c>
      <c r="B3606" s="2" t="s">
        <v>14636</v>
      </c>
      <c r="C3606" s="2" t="s">
        <v>14637</v>
      </c>
      <c r="D3606" s="169">
        <v>46096.0</v>
      </c>
      <c r="E3606" s="2">
        <v>3.122077179E9</v>
      </c>
      <c r="F3606" s="2" t="s">
        <v>14638</v>
      </c>
      <c r="G3606" s="2" t="s">
        <v>493</v>
      </c>
      <c r="H3606" s="2">
        <v>249.0</v>
      </c>
      <c r="I3606" s="2">
        <v>2.6120050022814E13</v>
      </c>
      <c r="J3606" s="3">
        <v>0.0</v>
      </c>
      <c r="K3606" s="2" t="s">
        <v>14639</v>
      </c>
      <c r="L3606" s="2"/>
      <c r="M3606" s="170" t="s">
        <v>455</v>
      </c>
      <c r="N3606" s="2" t="s">
        <v>406</v>
      </c>
      <c r="O3606" s="3"/>
      <c r="P3606" s="2" t="s">
        <v>73</v>
      </c>
      <c r="Q3606" s="3">
        <v>0.0</v>
      </c>
      <c r="R3606" s="3">
        <v>0.5</v>
      </c>
      <c r="U3606" s="141"/>
      <c r="W3606" s="3">
        <v>213.44</v>
      </c>
      <c r="X3606" s="172">
        <v>46121.08095635417</v>
      </c>
      <c r="Y3606" s="172">
        <v>46096.893754537035</v>
      </c>
      <c r="Z3606" s="3">
        <v>46096.0</v>
      </c>
      <c r="AA3606" s="2" t="s">
        <v>14032</v>
      </c>
    </row>
    <row r="3607">
      <c r="A3607" s="3">
        <v>6.953650880771E12</v>
      </c>
      <c r="B3607" s="2" t="s">
        <v>14640</v>
      </c>
      <c r="C3607" s="2" t="s">
        <v>14641</v>
      </c>
      <c r="D3607" s="169">
        <v>46096.0</v>
      </c>
      <c r="E3607" s="2">
        <v>3.204028198E9</v>
      </c>
      <c r="F3607" s="2" t="s">
        <v>14642</v>
      </c>
      <c r="G3607" s="2" t="s">
        <v>506</v>
      </c>
      <c r="H3607" s="2">
        <v>3348.0</v>
      </c>
      <c r="I3607" s="2">
        <v>2.4120050022699E13</v>
      </c>
      <c r="J3607" s="3">
        <v>2.0</v>
      </c>
      <c r="K3607" s="2" t="s">
        <v>14373</v>
      </c>
      <c r="L3607" s="2" t="s">
        <v>906</v>
      </c>
      <c r="M3607" s="2" t="s">
        <v>409</v>
      </c>
      <c r="N3607" s="2" t="s">
        <v>462</v>
      </c>
      <c r="O3607" s="3"/>
      <c r="P3607" s="2" t="s">
        <v>73</v>
      </c>
      <c r="Q3607" s="3">
        <v>720.0</v>
      </c>
      <c r="R3607" s="3">
        <v>0.5</v>
      </c>
      <c r="T3607" s="2" t="s">
        <v>12177</v>
      </c>
      <c r="U3607" s="171">
        <v>3348.0</v>
      </c>
      <c r="V3607" s="172">
        <v>46105.0</v>
      </c>
      <c r="W3607" s="3">
        <v>334.0</v>
      </c>
      <c r="X3607" s="172">
        <v>46099.74970770833</v>
      </c>
      <c r="Y3607" s="172">
        <v>46096.935414074076</v>
      </c>
      <c r="Z3607" s="3">
        <v>46096.0</v>
      </c>
      <c r="AA3607" s="2" t="s">
        <v>14022</v>
      </c>
    </row>
    <row r="3608">
      <c r="A3608" s="3">
        <v>6.953714516227E12</v>
      </c>
      <c r="B3608" s="2" t="s">
        <v>14643</v>
      </c>
      <c r="C3608" s="175" t="s">
        <v>14644</v>
      </c>
      <c r="D3608" s="169">
        <v>46096.0</v>
      </c>
      <c r="E3608" s="173" t="s">
        <v>14645</v>
      </c>
      <c r="F3608" s="2" t="s">
        <v>14646</v>
      </c>
      <c r="G3608" s="2" t="s">
        <v>368</v>
      </c>
      <c r="H3608" s="2">
        <v>3348.0</v>
      </c>
      <c r="I3608" s="2">
        <v>2.6120050022734E13</v>
      </c>
      <c r="J3608" s="3">
        <v>2.0</v>
      </c>
      <c r="K3608" s="2" t="s">
        <v>13072</v>
      </c>
      <c r="L3608" s="2" t="s">
        <v>228</v>
      </c>
      <c r="M3608" s="2" t="s">
        <v>409</v>
      </c>
      <c r="N3608" s="2" t="s">
        <v>462</v>
      </c>
      <c r="O3608" s="3"/>
      <c r="P3608" s="2" t="s">
        <v>73</v>
      </c>
      <c r="Q3608" s="3">
        <v>720.0</v>
      </c>
      <c r="R3608" s="3">
        <v>0.5</v>
      </c>
      <c r="T3608" s="2" t="s">
        <v>12177</v>
      </c>
      <c r="U3608" s="171">
        <v>3348.0</v>
      </c>
      <c r="V3608" s="172">
        <v>46105.0</v>
      </c>
      <c r="W3608" s="3">
        <v>241.0</v>
      </c>
      <c r="X3608" s="172">
        <v>46099.66615305556</v>
      </c>
      <c r="Y3608" s="172">
        <v>46096.97709204861</v>
      </c>
      <c r="Z3608" s="3">
        <v>46096.0</v>
      </c>
      <c r="AA3608" s="2" t="s">
        <v>14032</v>
      </c>
    </row>
    <row r="3609">
      <c r="A3609" s="3">
        <v>6.953724051715E12</v>
      </c>
      <c r="B3609" s="2" t="s">
        <v>14647</v>
      </c>
      <c r="C3609" s="2" t="s">
        <v>14648</v>
      </c>
      <c r="D3609" s="169">
        <v>46096.0</v>
      </c>
      <c r="E3609" s="2">
        <v>3.0051052E9</v>
      </c>
      <c r="F3609" s="2" t="s">
        <v>14649</v>
      </c>
      <c r="G3609" s="2" t="s">
        <v>506</v>
      </c>
      <c r="H3609" s="2">
        <v>3348.0</v>
      </c>
      <c r="I3609" s="2">
        <v>2.7120050022733E13</v>
      </c>
      <c r="J3609" s="3">
        <v>2.0</v>
      </c>
      <c r="K3609" s="2" t="s">
        <v>13827</v>
      </c>
      <c r="L3609" s="2" t="s">
        <v>296</v>
      </c>
      <c r="M3609" s="2" t="s">
        <v>409</v>
      </c>
      <c r="N3609" s="2" t="s">
        <v>462</v>
      </c>
      <c r="O3609" s="3"/>
      <c r="P3609" s="2" t="s">
        <v>73</v>
      </c>
      <c r="Q3609" s="3">
        <v>720.0</v>
      </c>
      <c r="R3609" s="3">
        <v>0.5</v>
      </c>
      <c r="T3609" s="2" t="s">
        <v>12177</v>
      </c>
      <c r="U3609" s="171">
        <v>3348.0</v>
      </c>
      <c r="V3609" s="172">
        <v>46105.0</v>
      </c>
      <c r="W3609" s="3">
        <v>354.0</v>
      </c>
      <c r="X3609" s="172">
        <v>46100.541262314815</v>
      </c>
      <c r="Y3609" s="172">
        <v>46096.97709204861</v>
      </c>
      <c r="Z3609" s="3">
        <v>46096.0</v>
      </c>
      <c r="AA3609" s="2" t="s">
        <v>14032</v>
      </c>
    </row>
    <row r="3610">
      <c r="A3610" s="3">
        <v>6.953748332803E12</v>
      </c>
      <c r="B3610" s="2" t="s">
        <v>14650</v>
      </c>
      <c r="C3610" s="2" t="s">
        <v>14651</v>
      </c>
      <c r="D3610" s="169">
        <v>46096.0</v>
      </c>
      <c r="E3610" s="2">
        <v>3.363272507E9</v>
      </c>
      <c r="F3610" s="2" t="s">
        <v>14652</v>
      </c>
      <c r="G3610" s="2" t="s">
        <v>493</v>
      </c>
      <c r="H3610" s="2">
        <v>5950.0</v>
      </c>
      <c r="I3610" s="2">
        <v>2.0120050022698E13</v>
      </c>
      <c r="J3610" s="3">
        <v>3.0</v>
      </c>
      <c r="K3610" s="2" t="s">
        <v>14653</v>
      </c>
      <c r="L3610" s="2" t="s">
        <v>14654</v>
      </c>
      <c r="M3610" s="2" t="s">
        <v>409</v>
      </c>
      <c r="N3610" s="2" t="s">
        <v>462</v>
      </c>
      <c r="O3610" s="3"/>
      <c r="P3610" s="2" t="s">
        <v>73</v>
      </c>
      <c r="Q3610" s="3">
        <v>3045.0</v>
      </c>
      <c r="R3610" s="3">
        <v>0.5</v>
      </c>
      <c r="T3610" s="2" t="s">
        <v>12177</v>
      </c>
      <c r="U3610" s="171">
        <v>5950.0</v>
      </c>
      <c r="V3610" s="172">
        <v>46105.0</v>
      </c>
      <c r="W3610" s="3">
        <v>465.0</v>
      </c>
      <c r="X3610" s="172">
        <v>46099.6661530787</v>
      </c>
      <c r="Y3610" s="172">
        <v>46096.97709204861</v>
      </c>
      <c r="Z3610" s="3">
        <v>46096.0</v>
      </c>
      <c r="AA3610" s="2" t="s">
        <v>14022</v>
      </c>
    </row>
    <row r="3611">
      <c r="A3611" s="3">
        <v>6.953802498307E12</v>
      </c>
      <c r="B3611" s="2" t="s">
        <v>14655</v>
      </c>
      <c r="C3611" s="2" t="s">
        <v>14656</v>
      </c>
      <c r="D3611" s="169">
        <v>46096.0</v>
      </c>
      <c r="E3611" s="2">
        <v>3.006128724E9</v>
      </c>
      <c r="F3611" s="2" t="s">
        <v>14657</v>
      </c>
      <c r="G3611" s="2" t="s">
        <v>2675</v>
      </c>
      <c r="H3611" s="2">
        <v>249.0</v>
      </c>
      <c r="I3611" s="2">
        <v>2.8120050022766E13</v>
      </c>
      <c r="J3611" s="3">
        <v>0.0</v>
      </c>
      <c r="K3611" s="2" t="s">
        <v>13854</v>
      </c>
      <c r="L3611" s="2"/>
      <c r="M3611" s="170" t="s">
        <v>455</v>
      </c>
      <c r="N3611" s="2" t="s">
        <v>406</v>
      </c>
      <c r="O3611" s="3"/>
      <c r="P3611" s="2" t="s">
        <v>73</v>
      </c>
      <c r="Q3611" s="3">
        <v>0.0</v>
      </c>
      <c r="R3611" s="3">
        <v>0.5</v>
      </c>
      <c r="U3611" s="141"/>
      <c r="W3611" s="3">
        <v>200.0</v>
      </c>
      <c r="X3611" s="172">
        <v>46110.58268738426</v>
      </c>
      <c r="Y3611" s="172">
        <v>46097.01876006945</v>
      </c>
      <c r="Z3611" s="3">
        <v>46096.0</v>
      </c>
      <c r="AA3611" s="2" t="s">
        <v>14032</v>
      </c>
    </row>
    <row r="3612">
      <c r="A3612" s="3">
        <v>6.953813180675E12</v>
      </c>
      <c r="B3612" s="2" t="s">
        <v>14658</v>
      </c>
      <c r="C3612" s="2" t="s">
        <v>14659</v>
      </c>
      <c r="D3612" s="169">
        <v>46096.0</v>
      </c>
      <c r="E3612" s="173" t="s">
        <v>14660</v>
      </c>
      <c r="F3612" s="2" t="s">
        <v>14661</v>
      </c>
      <c r="G3612" s="2" t="s">
        <v>1847</v>
      </c>
      <c r="H3612" s="2">
        <v>3348.0</v>
      </c>
      <c r="I3612" s="2">
        <v>2.4120050022732E13</v>
      </c>
      <c r="J3612" s="3">
        <v>2.0</v>
      </c>
      <c r="K3612" s="2" t="s">
        <v>13072</v>
      </c>
      <c r="L3612" s="2" t="s">
        <v>40</v>
      </c>
      <c r="M3612" s="2" t="s">
        <v>409</v>
      </c>
      <c r="N3612" s="2" t="s">
        <v>462</v>
      </c>
      <c r="O3612" s="3"/>
      <c r="P3612" s="2" t="s">
        <v>73</v>
      </c>
      <c r="Q3612" s="3">
        <v>720.0</v>
      </c>
      <c r="R3612" s="3">
        <v>0.5</v>
      </c>
      <c r="T3612" s="2" t="s">
        <v>12177</v>
      </c>
      <c r="U3612" s="171">
        <v>3348.0</v>
      </c>
      <c r="V3612" s="172">
        <v>46105.0</v>
      </c>
      <c r="W3612" s="3">
        <v>334.0</v>
      </c>
      <c r="X3612" s="172">
        <v>46100.49957826389</v>
      </c>
      <c r="Y3612" s="172">
        <v>46097.01876006945</v>
      </c>
      <c r="Z3612" s="3">
        <v>46096.0</v>
      </c>
      <c r="AA3612" s="2" t="s">
        <v>14032</v>
      </c>
    </row>
    <row r="3613">
      <c r="A3613" s="3">
        <v>6.953840083203E12</v>
      </c>
      <c r="B3613" s="2" t="s">
        <v>14662</v>
      </c>
      <c r="C3613" s="2" t="s">
        <v>14663</v>
      </c>
      <c r="D3613" s="169">
        <v>46097.0</v>
      </c>
      <c r="E3613" s="2">
        <v>3.227666661E9</v>
      </c>
      <c r="F3613" s="2" t="s">
        <v>14664</v>
      </c>
      <c r="G3613" s="2" t="s">
        <v>368</v>
      </c>
      <c r="H3613" s="2">
        <v>249.0</v>
      </c>
      <c r="I3613" s="2">
        <v>2.6120050022731E13</v>
      </c>
      <c r="J3613" s="3">
        <v>0.0</v>
      </c>
      <c r="K3613" s="2" t="s">
        <v>12707</v>
      </c>
      <c r="L3613" s="2"/>
      <c r="M3613" s="170" t="s">
        <v>455</v>
      </c>
      <c r="N3613" s="2" t="s">
        <v>406</v>
      </c>
      <c r="O3613" s="3"/>
      <c r="P3613" s="2" t="s">
        <v>73</v>
      </c>
      <c r="Q3613" s="3">
        <v>0.0</v>
      </c>
      <c r="R3613" s="3">
        <v>0.5</v>
      </c>
      <c r="U3613" s="141"/>
      <c r="W3613" s="3">
        <v>107.0</v>
      </c>
      <c r="X3613" s="172">
        <v>46109.83265575231</v>
      </c>
      <c r="Y3613" s="172">
        <v>46097.01876006945</v>
      </c>
      <c r="Z3613" s="3">
        <v>46097.0</v>
      </c>
      <c r="AA3613" s="2" t="s">
        <v>14032</v>
      </c>
    </row>
    <row r="3614">
      <c r="A3614" s="3">
        <v>6.953846997251E12</v>
      </c>
      <c r="B3614" s="2" t="s">
        <v>14665</v>
      </c>
      <c r="C3614" s="2" t="s">
        <v>14666</v>
      </c>
      <c r="D3614" s="169">
        <v>46097.0</v>
      </c>
      <c r="E3614" s="2">
        <v>3.0071625E9</v>
      </c>
      <c r="F3614" s="2" t="s">
        <v>14667</v>
      </c>
      <c r="G3614" s="2" t="s">
        <v>14668</v>
      </c>
      <c r="H3614" s="2">
        <v>249.0</v>
      </c>
      <c r="I3614" s="2">
        <v>2.0120050022697E13</v>
      </c>
      <c r="J3614" s="3">
        <v>0.0</v>
      </c>
      <c r="K3614" s="2" t="s">
        <v>12763</v>
      </c>
      <c r="L3614" s="2"/>
      <c r="M3614" s="170" t="s">
        <v>455</v>
      </c>
      <c r="N3614" s="2" t="s">
        <v>406</v>
      </c>
      <c r="O3614" s="3"/>
      <c r="P3614" s="2" t="s">
        <v>73</v>
      </c>
      <c r="Q3614" s="3">
        <v>0.0</v>
      </c>
      <c r="R3614" s="3">
        <v>0.5</v>
      </c>
      <c r="U3614" s="141"/>
      <c r="W3614" s="3">
        <v>200.0</v>
      </c>
      <c r="X3614" s="172">
        <v>46110.58268739583</v>
      </c>
      <c r="Y3614" s="172">
        <v>46097.01876006945</v>
      </c>
      <c r="Z3614" s="3">
        <v>46097.0</v>
      </c>
      <c r="AA3614" s="2" t="s">
        <v>14041</v>
      </c>
    </row>
    <row r="3615">
      <c r="A3615" s="3">
        <v>6.953853255939E12</v>
      </c>
      <c r="B3615" s="2" t="s">
        <v>14669</v>
      </c>
      <c r="C3615" s="2" t="s">
        <v>14670</v>
      </c>
      <c r="D3615" s="169">
        <v>46097.0</v>
      </c>
      <c r="E3615" s="173" t="s">
        <v>14671</v>
      </c>
      <c r="F3615" s="2" t="s">
        <v>14672</v>
      </c>
      <c r="G3615" s="2" t="s">
        <v>368</v>
      </c>
      <c r="H3615" s="2">
        <v>249.0</v>
      </c>
      <c r="I3615" s="2">
        <v>2.812005002273E13</v>
      </c>
      <c r="J3615" s="3">
        <v>0.0</v>
      </c>
      <c r="K3615" s="2" t="s">
        <v>12707</v>
      </c>
      <c r="L3615" s="2"/>
      <c r="M3615" s="170" t="s">
        <v>455</v>
      </c>
      <c r="N3615" s="2" t="s">
        <v>406</v>
      </c>
      <c r="O3615" s="3"/>
      <c r="P3615" s="2" t="s">
        <v>73</v>
      </c>
      <c r="Q3615" s="3">
        <v>0.0</v>
      </c>
      <c r="R3615" s="3">
        <v>0.5</v>
      </c>
      <c r="U3615" s="141"/>
      <c r="W3615" s="3">
        <v>107.0</v>
      </c>
      <c r="X3615" s="172">
        <v>46108.83333075231</v>
      </c>
      <c r="Y3615" s="172">
        <v>46097.060425104166</v>
      </c>
      <c r="Z3615" s="3">
        <v>46097.0</v>
      </c>
      <c r="AA3615" s="2" t="s">
        <v>14032</v>
      </c>
    </row>
    <row r="3616">
      <c r="A3616" s="3">
        <v>6.953857515779E12</v>
      </c>
      <c r="B3616" s="2" t="s">
        <v>14673</v>
      </c>
      <c r="C3616" s="2" t="s">
        <v>14674</v>
      </c>
      <c r="D3616" s="169">
        <v>46097.0</v>
      </c>
      <c r="E3616" s="2">
        <v>3.029042166E9</v>
      </c>
      <c r="F3616" s="2" t="s">
        <v>14675</v>
      </c>
      <c r="G3616" s="2" t="s">
        <v>14676</v>
      </c>
      <c r="H3616" s="2">
        <v>3348.0</v>
      </c>
      <c r="I3616" s="2">
        <v>2.1120050022696E13</v>
      </c>
      <c r="J3616" s="3">
        <v>2.0</v>
      </c>
      <c r="K3616" s="2" t="s">
        <v>13072</v>
      </c>
      <c r="L3616" s="2" t="s">
        <v>1116</v>
      </c>
      <c r="M3616" s="2" t="s">
        <v>409</v>
      </c>
      <c r="N3616" s="2" t="s">
        <v>462</v>
      </c>
      <c r="O3616" s="3"/>
      <c r="P3616" s="2" t="s">
        <v>73</v>
      </c>
      <c r="Q3616" s="3">
        <v>800.0</v>
      </c>
      <c r="R3616" s="3">
        <v>0.5</v>
      </c>
      <c r="T3616" s="2" t="s">
        <v>12177</v>
      </c>
      <c r="U3616" s="171">
        <v>3348.0</v>
      </c>
      <c r="V3616" s="172">
        <v>46105.0</v>
      </c>
      <c r="W3616" s="3">
        <v>361.0</v>
      </c>
      <c r="X3616" s="172">
        <v>46101.74941012732</v>
      </c>
      <c r="Y3616" s="172">
        <v>46097.060425104166</v>
      </c>
      <c r="Z3616" s="3">
        <v>46097.0</v>
      </c>
      <c r="AA3616" s="2" t="s">
        <v>14022</v>
      </c>
    </row>
    <row r="3617">
      <c r="A3617" s="3">
        <v>6.953867706627E12</v>
      </c>
      <c r="B3617" s="2" t="s">
        <v>14677</v>
      </c>
      <c r="C3617" s="2" t="s">
        <v>14678</v>
      </c>
      <c r="D3617" s="169">
        <v>46097.0</v>
      </c>
      <c r="E3617" s="2">
        <v>3.135318141E9</v>
      </c>
      <c r="F3617" s="2" t="s">
        <v>14679</v>
      </c>
      <c r="G3617" s="2" t="s">
        <v>506</v>
      </c>
      <c r="H3617" s="2">
        <v>3348.0</v>
      </c>
      <c r="I3617" s="2">
        <v>2.4120050022729E13</v>
      </c>
      <c r="J3617" s="3">
        <v>2.0</v>
      </c>
      <c r="K3617" s="2" t="s">
        <v>13072</v>
      </c>
      <c r="L3617" s="2" t="s">
        <v>906</v>
      </c>
      <c r="M3617" s="2" t="s">
        <v>409</v>
      </c>
      <c r="N3617" s="2" t="s">
        <v>462</v>
      </c>
      <c r="O3617" s="3"/>
      <c r="P3617" s="2" t="s">
        <v>73</v>
      </c>
      <c r="Q3617" s="3">
        <v>720.0</v>
      </c>
      <c r="R3617" s="3">
        <v>0.5</v>
      </c>
      <c r="T3617" s="2" t="s">
        <v>12177</v>
      </c>
      <c r="U3617" s="171">
        <v>3348.0</v>
      </c>
      <c r="V3617" s="172">
        <v>46105.0</v>
      </c>
      <c r="W3617" s="3">
        <v>334.0</v>
      </c>
      <c r="X3617" s="172">
        <v>46100.74962752315</v>
      </c>
      <c r="Y3617" s="172">
        <v>46097.060425104166</v>
      </c>
      <c r="Z3617" s="3">
        <v>46097.0</v>
      </c>
      <c r="AA3617" s="2" t="s">
        <v>14032</v>
      </c>
    </row>
    <row r="3618">
      <c r="A3618" s="3">
        <v>6.953886187779E12</v>
      </c>
      <c r="B3618" s="2" t="s">
        <v>14680</v>
      </c>
      <c r="C3618" s="2" t="s">
        <v>2530</v>
      </c>
      <c r="D3618" s="169">
        <v>46097.0</v>
      </c>
      <c r="E3618" s="2">
        <v>3.008210637E9</v>
      </c>
      <c r="F3618" s="2" t="s">
        <v>14681</v>
      </c>
      <c r="G3618" s="2" t="s">
        <v>493</v>
      </c>
      <c r="H3618" s="2">
        <v>6149.0</v>
      </c>
      <c r="I3618" s="2">
        <v>2.0120050022695E13</v>
      </c>
      <c r="J3618" s="3">
        <v>3.0</v>
      </c>
      <c r="K3618" s="2" t="s">
        <v>14682</v>
      </c>
      <c r="L3618" s="2" t="s">
        <v>14513</v>
      </c>
      <c r="M3618" s="2" t="s">
        <v>409</v>
      </c>
      <c r="N3618" s="2" t="s">
        <v>462</v>
      </c>
      <c r="O3618" s="3"/>
      <c r="P3618" s="2" t="s">
        <v>73</v>
      </c>
      <c r="Q3618" s="3">
        <v>2120.0</v>
      </c>
      <c r="R3618" s="3">
        <v>0.5</v>
      </c>
      <c r="T3618" s="2" t="s">
        <v>12177</v>
      </c>
      <c r="U3618" s="171">
        <v>6149.0</v>
      </c>
      <c r="V3618" s="172">
        <v>46105.0</v>
      </c>
      <c r="W3618" s="3">
        <v>473.0</v>
      </c>
      <c r="X3618" s="172">
        <v>46099.749711689816</v>
      </c>
      <c r="Y3618" s="172">
        <v>46097.060425104166</v>
      </c>
      <c r="Z3618" s="3">
        <v>46097.0</v>
      </c>
      <c r="AA3618" s="2" t="s">
        <v>14103</v>
      </c>
    </row>
    <row r="3619">
      <c r="A3619" s="3">
        <v>6.953889661187E12</v>
      </c>
      <c r="B3619" s="2" t="s">
        <v>14683</v>
      </c>
      <c r="C3619" s="2" t="s">
        <v>14684</v>
      </c>
      <c r="D3619" s="169">
        <v>46097.0</v>
      </c>
      <c r="E3619" s="2">
        <v>3.348070803E9</v>
      </c>
      <c r="F3619" s="2" t="s">
        <v>14685</v>
      </c>
      <c r="G3619" s="2" t="s">
        <v>7068</v>
      </c>
      <c r="H3619" s="2">
        <v>3348.0</v>
      </c>
      <c r="I3619" s="2">
        <v>2.6120050022694E13</v>
      </c>
      <c r="J3619" s="3">
        <v>2.0</v>
      </c>
      <c r="K3619" s="2" t="s">
        <v>13072</v>
      </c>
      <c r="L3619" s="2" t="s">
        <v>2324</v>
      </c>
      <c r="M3619" s="2" t="s">
        <v>409</v>
      </c>
      <c r="N3619" s="2" t="s">
        <v>462</v>
      </c>
      <c r="O3619" s="3"/>
      <c r="P3619" s="2" t="s">
        <v>73</v>
      </c>
      <c r="Q3619" s="3">
        <v>720.0</v>
      </c>
      <c r="R3619" s="3">
        <v>0.5</v>
      </c>
      <c r="T3619" s="2" t="s">
        <v>12177</v>
      </c>
      <c r="U3619" s="171">
        <v>3348.0</v>
      </c>
      <c r="V3619" s="172">
        <v>46105.0</v>
      </c>
      <c r="W3619" s="3">
        <v>334.0</v>
      </c>
      <c r="X3619" s="172">
        <v>46099.54117398148</v>
      </c>
      <c r="Y3619" s="172">
        <v>46097.060425104166</v>
      </c>
      <c r="Z3619" s="3">
        <v>46097.0</v>
      </c>
      <c r="AA3619" s="2" t="s">
        <v>14041</v>
      </c>
    </row>
    <row r="3620">
      <c r="A3620" s="3">
        <v>6.953891365123E12</v>
      </c>
      <c r="B3620" s="2" t="s">
        <v>14686</v>
      </c>
      <c r="C3620" s="2" t="s">
        <v>3746</v>
      </c>
      <c r="D3620" s="169">
        <v>46097.0</v>
      </c>
      <c r="E3620" s="2">
        <v>3.2167696E9</v>
      </c>
      <c r="F3620" s="2" t="s">
        <v>14687</v>
      </c>
      <c r="G3620" s="2" t="s">
        <v>14688</v>
      </c>
      <c r="H3620" s="2">
        <v>3348.0</v>
      </c>
      <c r="I3620" s="2">
        <v>2.0120050022728E13</v>
      </c>
      <c r="J3620" s="3">
        <v>2.0</v>
      </c>
      <c r="K3620" s="2" t="s">
        <v>14057</v>
      </c>
      <c r="L3620" s="2" t="s">
        <v>228</v>
      </c>
      <c r="M3620" s="2" t="s">
        <v>409</v>
      </c>
      <c r="N3620" s="2" t="s">
        <v>462</v>
      </c>
      <c r="O3620" s="3"/>
      <c r="P3620" s="2" t="s">
        <v>73</v>
      </c>
      <c r="Q3620" s="3">
        <v>720.0</v>
      </c>
      <c r="R3620" s="3">
        <v>0.5</v>
      </c>
      <c r="T3620" s="2" t="s">
        <v>13421</v>
      </c>
      <c r="U3620" s="171">
        <v>3348.0</v>
      </c>
      <c r="V3620" s="172">
        <v>46108.0</v>
      </c>
      <c r="W3620" s="3">
        <v>334.02</v>
      </c>
      <c r="X3620" s="172">
        <v>46106.58279118055</v>
      </c>
      <c r="Y3620" s="172">
        <v>46097.060425104166</v>
      </c>
      <c r="Z3620" s="3">
        <v>46097.0</v>
      </c>
      <c r="AA3620" s="2" t="s">
        <v>14032</v>
      </c>
    </row>
    <row r="3621">
      <c r="A3621" s="3">
        <v>6.953892741379E12</v>
      </c>
      <c r="B3621" s="2" t="s">
        <v>14689</v>
      </c>
      <c r="C3621" s="2" t="s">
        <v>14690</v>
      </c>
      <c r="D3621" s="169">
        <v>46097.0</v>
      </c>
      <c r="E3621" s="2">
        <v>3.016311268E9</v>
      </c>
      <c r="F3621" s="2" t="s">
        <v>14691</v>
      </c>
      <c r="G3621" s="2" t="s">
        <v>14692</v>
      </c>
      <c r="H3621" s="2">
        <v>249.0</v>
      </c>
      <c r="I3621" s="2">
        <v>2.2120050022813E13</v>
      </c>
      <c r="J3621" s="3">
        <v>0.0</v>
      </c>
      <c r="K3621" s="2" t="s">
        <v>14693</v>
      </c>
      <c r="L3621" s="2"/>
      <c r="M3621" s="170" t="s">
        <v>455</v>
      </c>
      <c r="N3621" s="2" t="s">
        <v>406</v>
      </c>
      <c r="O3621" s="3"/>
      <c r="P3621" s="2" t="s">
        <v>73</v>
      </c>
      <c r="Q3621" s="3">
        <v>0.0</v>
      </c>
      <c r="R3621" s="3">
        <v>0.5</v>
      </c>
      <c r="U3621" s="141"/>
      <c r="W3621" s="3">
        <v>200.1</v>
      </c>
      <c r="X3621" s="172">
        <v>46116.87433747685</v>
      </c>
      <c r="Y3621" s="172">
        <v>46097.060425104166</v>
      </c>
      <c r="Z3621" s="3">
        <v>46097.0</v>
      </c>
      <c r="AA3621" s="2" t="s">
        <v>14041</v>
      </c>
    </row>
    <row r="3622">
      <c r="A3622" s="3">
        <v>6.953946448131E12</v>
      </c>
      <c r="B3622" s="2" t="s">
        <v>14694</v>
      </c>
      <c r="C3622" s="2" t="s">
        <v>14695</v>
      </c>
      <c r="D3622" s="169">
        <v>46097.0</v>
      </c>
      <c r="E3622" s="2">
        <v>3.149178009E9</v>
      </c>
      <c r="F3622" s="2" t="s">
        <v>14696</v>
      </c>
      <c r="G3622" s="2" t="s">
        <v>781</v>
      </c>
      <c r="H3622" s="2">
        <v>3548.0</v>
      </c>
      <c r="I3622" s="2">
        <v>2.2120050022693E13</v>
      </c>
      <c r="J3622" s="3">
        <v>2.0</v>
      </c>
      <c r="K3622" s="2" t="s">
        <v>14304</v>
      </c>
      <c r="L3622" s="2" t="s">
        <v>926</v>
      </c>
      <c r="M3622" s="2" t="s">
        <v>409</v>
      </c>
      <c r="N3622" s="2" t="s">
        <v>462</v>
      </c>
      <c r="O3622" s="3"/>
      <c r="P3622" s="2" t="s">
        <v>73</v>
      </c>
      <c r="Q3622" s="3">
        <v>980.0</v>
      </c>
      <c r="R3622" s="3">
        <v>0.5</v>
      </c>
      <c r="T3622" s="2" t="s">
        <v>12177</v>
      </c>
      <c r="U3622" s="171">
        <v>3548.0</v>
      </c>
      <c r="V3622" s="172">
        <v>46105.0</v>
      </c>
      <c r="W3622" s="3">
        <v>355.0</v>
      </c>
      <c r="X3622" s="172">
        <v>46099.74971178241</v>
      </c>
      <c r="Y3622" s="172">
        <v>46097.102127708335</v>
      </c>
      <c r="Z3622" s="3">
        <v>46097.0</v>
      </c>
      <c r="AA3622" s="2" t="s">
        <v>14041</v>
      </c>
    </row>
    <row r="3623">
      <c r="A3623" s="3">
        <v>6.953980985603E12</v>
      </c>
      <c r="B3623" s="2" t="s">
        <v>14697</v>
      </c>
      <c r="C3623" s="2" t="s">
        <v>14698</v>
      </c>
      <c r="D3623" s="169">
        <v>46097.0</v>
      </c>
      <c r="E3623" s="2">
        <v>3.217555558E9</v>
      </c>
      <c r="F3623" s="2" t="s">
        <v>14699</v>
      </c>
      <c r="G3623" s="2" t="s">
        <v>368</v>
      </c>
      <c r="H3623" s="2">
        <v>3038.1</v>
      </c>
      <c r="I3623" s="2">
        <v>2.2120050022727E13</v>
      </c>
      <c r="J3623" s="3">
        <v>2.0</v>
      </c>
      <c r="K3623" s="2" t="s">
        <v>14300</v>
      </c>
      <c r="L3623" s="2" t="s">
        <v>296</v>
      </c>
      <c r="M3623" s="2" t="s">
        <v>409</v>
      </c>
      <c r="N3623" s="2" t="s">
        <v>462</v>
      </c>
      <c r="O3623" s="3"/>
      <c r="P3623" s="2" t="s">
        <v>73</v>
      </c>
      <c r="Q3623" s="3">
        <v>720.0</v>
      </c>
      <c r="R3623" s="3">
        <v>0.5</v>
      </c>
      <c r="T3623" s="2" t="s">
        <v>12177</v>
      </c>
      <c r="U3623" s="171">
        <v>3038.1</v>
      </c>
      <c r="V3623" s="172">
        <v>46105.0</v>
      </c>
      <c r="W3623" s="3">
        <v>228.0</v>
      </c>
      <c r="X3623" s="172">
        <v>46099.83291243056</v>
      </c>
      <c r="Y3623" s="172">
        <v>46097.1021277199</v>
      </c>
      <c r="Z3623" s="3">
        <v>46097.0</v>
      </c>
      <c r="AA3623" s="2" t="s">
        <v>14022</v>
      </c>
    </row>
    <row r="3624">
      <c r="A3624" s="3">
        <v>6.953989013763E12</v>
      </c>
      <c r="B3624" s="2" t="s">
        <v>14700</v>
      </c>
      <c r="C3624" s="2" t="s">
        <v>14701</v>
      </c>
      <c r="D3624" s="169">
        <v>46097.0</v>
      </c>
      <c r="E3624" s="2">
        <v>3.041127133E9</v>
      </c>
      <c r="F3624" s="2" t="s">
        <v>14702</v>
      </c>
      <c r="G3624" s="2" t="s">
        <v>374</v>
      </c>
      <c r="H3624" s="2">
        <v>1449.0</v>
      </c>
      <c r="I3624" s="2">
        <v>2.5120050022692E13</v>
      </c>
      <c r="J3624" s="3">
        <v>1.0</v>
      </c>
      <c r="K3624" s="2" t="s">
        <v>13324</v>
      </c>
      <c r="L3624" s="2" t="s">
        <v>1324</v>
      </c>
      <c r="M3624" s="2" t="s">
        <v>409</v>
      </c>
      <c r="N3624" s="2" t="s">
        <v>462</v>
      </c>
      <c r="O3624" s="3"/>
      <c r="P3624" s="2" t="s">
        <v>73</v>
      </c>
      <c r="Q3624" s="3">
        <v>550.0</v>
      </c>
      <c r="R3624" s="3">
        <v>0.5</v>
      </c>
      <c r="T3624" s="2" t="s">
        <v>12177</v>
      </c>
      <c r="U3624" s="171">
        <v>1449.0</v>
      </c>
      <c r="V3624" s="172">
        <v>46105.0</v>
      </c>
      <c r="W3624" s="3">
        <v>258.0</v>
      </c>
      <c r="X3624" s="172">
        <v>46098.62474690972</v>
      </c>
      <c r="Y3624" s="172">
        <v>46097.143770254625</v>
      </c>
      <c r="Z3624" s="3">
        <v>46097.0</v>
      </c>
      <c r="AA3624" s="2" t="s">
        <v>14022</v>
      </c>
    </row>
    <row r="3625">
      <c r="A3625" s="3">
        <v>6.954134634755E12</v>
      </c>
      <c r="B3625" s="2" t="s">
        <v>14703</v>
      </c>
      <c r="C3625" s="2" t="s">
        <v>5953</v>
      </c>
      <c r="D3625" s="169">
        <v>46097.0</v>
      </c>
      <c r="E3625" s="2">
        <v>3.084242483E9</v>
      </c>
      <c r="F3625" s="2" t="s">
        <v>14704</v>
      </c>
      <c r="G3625" s="2" t="s">
        <v>368</v>
      </c>
      <c r="H3625" s="2">
        <v>249.0</v>
      </c>
      <c r="I3625" s="2">
        <v>2.2120050022691E13</v>
      </c>
      <c r="J3625" s="3">
        <v>0.0</v>
      </c>
      <c r="K3625" s="2" t="s">
        <v>14705</v>
      </c>
      <c r="L3625" s="2"/>
      <c r="M3625" s="170" t="s">
        <v>455</v>
      </c>
      <c r="N3625" s="2" t="s">
        <v>406</v>
      </c>
      <c r="O3625" s="3"/>
      <c r="P3625" s="2" t="s">
        <v>73</v>
      </c>
      <c r="Q3625" s="3">
        <v>0.0</v>
      </c>
      <c r="R3625" s="3">
        <v>0.5</v>
      </c>
      <c r="U3625" s="141"/>
      <c r="W3625" s="3">
        <v>107.0</v>
      </c>
      <c r="X3625" s="172">
        <v>46109.83265578704</v>
      </c>
      <c r="Y3625" s="172">
        <v>46097.22710146991</v>
      </c>
      <c r="Z3625" s="3">
        <v>46097.0</v>
      </c>
      <c r="AA3625" s="2" t="s">
        <v>14041</v>
      </c>
    </row>
    <row r="3626">
      <c r="A3626" s="3">
        <v>6.954135322883E12</v>
      </c>
      <c r="B3626" s="2" t="s">
        <v>14706</v>
      </c>
      <c r="C3626" s="2" t="s">
        <v>14707</v>
      </c>
      <c r="D3626" s="169">
        <v>46097.0</v>
      </c>
      <c r="E3626" s="2">
        <v>3.003211876E9</v>
      </c>
      <c r="F3626" s="2" t="s">
        <v>14708</v>
      </c>
      <c r="G3626" s="2" t="s">
        <v>493</v>
      </c>
      <c r="H3626" s="2">
        <v>1899.0</v>
      </c>
      <c r="I3626" s="2">
        <v>2.212005002269E13</v>
      </c>
      <c r="J3626" s="3">
        <v>1.0</v>
      </c>
      <c r="K3626" s="2" t="s">
        <v>14709</v>
      </c>
      <c r="L3626" s="2" t="s">
        <v>8971</v>
      </c>
      <c r="M3626" s="2" t="s">
        <v>409</v>
      </c>
      <c r="N3626" s="2" t="s">
        <v>462</v>
      </c>
      <c r="O3626" s="3"/>
      <c r="P3626" s="2" t="s">
        <v>73</v>
      </c>
      <c r="Q3626" s="3">
        <v>550.0</v>
      </c>
      <c r="R3626" s="3">
        <v>0.5</v>
      </c>
      <c r="T3626" s="2" t="s">
        <v>12177</v>
      </c>
      <c r="U3626" s="171">
        <v>1899.0</v>
      </c>
      <c r="V3626" s="172">
        <v>46105.0</v>
      </c>
      <c r="W3626" s="3">
        <v>289.0</v>
      </c>
      <c r="X3626" s="172">
        <v>46101.666184745365</v>
      </c>
      <c r="Y3626" s="172">
        <v>46097.22710146991</v>
      </c>
      <c r="Z3626" s="3">
        <v>46097.0</v>
      </c>
      <c r="AA3626" s="2" t="s">
        <v>14032</v>
      </c>
    </row>
    <row r="3627">
      <c r="A3627" s="3">
        <v>6.954142302467E12</v>
      </c>
      <c r="B3627" s="2" t="s">
        <v>14710</v>
      </c>
      <c r="C3627" s="2" t="s">
        <v>14711</v>
      </c>
      <c r="D3627" s="169">
        <v>46097.0</v>
      </c>
      <c r="E3627" s="2">
        <v>3.475766141E9</v>
      </c>
      <c r="F3627" s="2" t="s">
        <v>14712</v>
      </c>
      <c r="G3627" s="2" t="s">
        <v>14713</v>
      </c>
      <c r="H3627" s="2">
        <v>3348.0</v>
      </c>
      <c r="I3627" s="2">
        <v>2.5120050022812E13</v>
      </c>
      <c r="J3627" s="3">
        <v>2.0</v>
      </c>
      <c r="K3627" s="2" t="s">
        <v>14036</v>
      </c>
      <c r="L3627" s="2" t="s">
        <v>50</v>
      </c>
      <c r="M3627" s="2" t="s">
        <v>409</v>
      </c>
      <c r="N3627" s="2" t="s">
        <v>462</v>
      </c>
      <c r="O3627" s="3"/>
      <c r="P3627" s="2" t="s">
        <v>73</v>
      </c>
      <c r="Q3627" s="3">
        <v>720.0</v>
      </c>
      <c r="R3627" s="3">
        <v>0.5</v>
      </c>
      <c r="T3627" s="2" t="s">
        <v>14037</v>
      </c>
      <c r="U3627" s="171">
        <v>3348.0</v>
      </c>
      <c r="V3627" s="172">
        <v>46112.0</v>
      </c>
      <c r="W3627" s="3">
        <v>347.0</v>
      </c>
      <c r="X3627" s="172">
        <v>46109.87434392361</v>
      </c>
      <c r="Y3627" s="172">
        <v>46097.22710146991</v>
      </c>
      <c r="Z3627" s="3">
        <v>46097.0</v>
      </c>
      <c r="AA3627" s="2" t="s">
        <v>14041</v>
      </c>
    </row>
    <row r="3628">
      <c r="A3628" s="3">
        <v>6.954147184899E12</v>
      </c>
      <c r="B3628" s="2" t="s">
        <v>14714</v>
      </c>
      <c r="C3628" s="2" t="s">
        <v>14715</v>
      </c>
      <c r="D3628" s="169">
        <v>46097.0</v>
      </c>
      <c r="E3628" s="2">
        <v>3.157863786E9</v>
      </c>
      <c r="F3628" s="2" t="s">
        <v>14716</v>
      </c>
      <c r="G3628" s="2" t="s">
        <v>822</v>
      </c>
      <c r="H3628" s="2">
        <v>3348.0</v>
      </c>
      <c r="I3628" s="2">
        <v>2.0120050022726E13</v>
      </c>
      <c r="J3628" s="3">
        <v>2.0</v>
      </c>
      <c r="K3628" s="2" t="s">
        <v>13072</v>
      </c>
      <c r="L3628" s="2" t="s">
        <v>40</v>
      </c>
      <c r="M3628" s="2" t="s">
        <v>409</v>
      </c>
      <c r="N3628" s="2" t="s">
        <v>462</v>
      </c>
      <c r="O3628" s="3"/>
      <c r="P3628" s="2" t="s">
        <v>73</v>
      </c>
      <c r="Q3628" s="3">
        <v>720.0</v>
      </c>
      <c r="R3628" s="3">
        <v>0.5</v>
      </c>
      <c r="T3628" s="2" t="s">
        <v>12177</v>
      </c>
      <c r="U3628" s="171">
        <v>3348.0</v>
      </c>
      <c r="V3628" s="172">
        <v>46105.0</v>
      </c>
      <c r="W3628" s="3">
        <v>334.0</v>
      </c>
      <c r="X3628" s="172">
        <v>46100.58285491898</v>
      </c>
      <c r="Y3628" s="172">
        <v>46097.22710146991</v>
      </c>
      <c r="Z3628" s="3">
        <v>46097.0</v>
      </c>
      <c r="AA3628" s="2" t="s">
        <v>14022</v>
      </c>
    </row>
    <row r="3629">
      <c r="A3629" s="3">
        <v>6.954243752195E12</v>
      </c>
      <c r="B3629" s="2" t="s">
        <v>14717</v>
      </c>
      <c r="C3629" s="2" t="s">
        <v>14718</v>
      </c>
      <c r="D3629" s="169">
        <v>46097.0</v>
      </c>
      <c r="E3629" s="2">
        <v>3.204309796E9</v>
      </c>
      <c r="F3629" s="2" t="s">
        <v>14719</v>
      </c>
      <c r="G3629" s="2" t="s">
        <v>368</v>
      </c>
      <c r="H3629" s="2">
        <v>249.0</v>
      </c>
      <c r="I3629" s="2">
        <v>2.2120050022778E13</v>
      </c>
      <c r="J3629" s="3">
        <v>0.0</v>
      </c>
      <c r="K3629" s="2" t="s">
        <v>204</v>
      </c>
      <c r="L3629" s="2"/>
      <c r="M3629" s="2" t="s">
        <v>409</v>
      </c>
      <c r="N3629" s="2" t="s">
        <v>462</v>
      </c>
      <c r="O3629" s="3"/>
      <c r="P3629" s="2" t="s">
        <v>73</v>
      </c>
      <c r="Q3629" s="3">
        <v>0.0</v>
      </c>
      <c r="R3629" s="3">
        <v>0.5</v>
      </c>
      <c r="U3629" s="171">
        <v>249.0</v>
      </c>
      <c r="X3629" s="172">
        <v>46100.66612434028</v>
      </c>
      <c r="Y3629" s="172">
        <v>46097.26875181713</v>
      </c>
      <c r="Z3629" s="3">
        <v>46097.0</v>
      </c>
      <c r="AA3629" s="2" t="s">
        <v>14032</v>
      </c>
    </row>
    <row r="3630">
      <c r="A3630" s="3">
        <v>6.954253615363E12</v>
      </c>
      <c r="B3630" s="2" t="s">
        <v>14720</v>
      </c>
      <c r="C3630" s="2" t="s">
        <v>14721</v>
      </c>
      <c r="D3630" s="169">
        <v>46097.0</v>
      </c>
      <c r="E3630" s="2">
        <v>3.024400567E9</v>
      </c>
      <c r="F3630" s="175" t="s">
        <v>14722</v>
      </c>
      <c r="G3630" s="175" t="s">
        <v>14723</v>
      </c>
      <c r="H3630" s="2">
        <v>249.0</v>
      </c>
      <c r="I3630" s="2">
        <v>2.3120050022683E13</v>
      </c>
      <c r="J3630" s="3">
        <v>0.0</v>
      </c>
      <c r="K3630" s="2" t="s">
        <v>14705</v>
      </c>
      <c r="L3630" s="2"/>
      <c r="M3630" s="170" t="s">
        <v>455</v>
      </c>
      <c r="N3630" s="2" t="s">
        <v>406</v>
      </c>
      <c r="O3630" s="3"/>
      <c r="P3630" s="2" t="s">
        <v>73</v>
      </c>
      <c r="Q3630" s="3">
        <v>0.0</v>
      </c>
      <c r="R3630" s="3">
        <v>0.5</v>
      </c>
      <c r="U3630" s="141"/>
      <c r="W3630" s="3">
        <v>107.0</v>
      </c>
      <c r="X3630" s="172">
        <v>46108.833460625</v>
      </c>
      <c r="Y3630" s="172">
        <v>46097.26875181713</v>
      </c>
      <c r="Z3630" s="3">
        <v>46097.0</v>
      </c>
      <c r="AA3630" s="2" t="s">
        <v>14022</v>
      </c>
    </row>
    <row r="3631">
      <c r="A3631" s="3">
        <v>6.954277503235E12</v>
      </c>
      <c r="B3631" s="2" t="s">
        <v>14724</v>
      </c>
      <c r="C3631" s="2" t="s">
        <v>14725</v>
      </c>
      <c r="D3631" s="169">
        <v>46097.0</v>
      </c>
      <c r="E3631" s="2">
        <v>3.165777975E9</v>
      </c>
      <c r="F3631" s="2" t="s">
        <v>14726</v>
      </c>
      <c r="G3631" s="2" t="s">
        <v>1180</v>
      </c>
      <c r="H3631" s="2">
        <v>7597.0</v>
      </c>
      <c r="I3631" s="2" t="s">
        <v>14727</v>
      </c>
      <c r="J3631" s="3">
        <v>4.0</v>
      </c>
      <c r="K3631" s="2" t="s">
        <v>204</v>
      </c>
      <c r="L3631" s="2" t="s">
        <v>14728</v>
      </c>
      <c r="M3631" s="2" t="s">
        <v>409</v>
      </c>
      <c r="N3631" s="2" t="s">
        <v>406</v>
      </c>
      <c r="O3631" s="3"/>
      <c r="P3631" s="2" t="s">
        <v>640</v>
      </c>
      <c r="Q3631" s="3">
        <v>2520.0</v>
      </c>
      <c r="R3631" s="3">
        <v>0.5</v>
      </c>
      <c r="U3631" s="141"/>
      <c r="X3631" s="172">
        <v>46126.08308369213</v>
      </c>
      <c r="Y3631" s="172">
        <v>46097.26875181713</v>
      </c>
      <c r="Z3631" s="3">
        <v>46097.0</v>
      </c>
      <c r="AA3631" s="2" t="s">
        <v>14032</v>
      </c>
    </row>
    <row r="3632">
      <c r="A3632" s="3">
        <v>6.954375512323E12</v>
      </c>
      <c r="B3632" s="2" t="s">
        <v>14729</v>
      </c>
      <c r="C3632" s="2" t="s">
        <v>14730</v>
      </c>
      <c r="D3632" s="169">
        <v>46097.0</v>
      </c>
      <c r="E3632" s="173" t="s">
        <v>14731</v>
      </c>
      <c r="F3632" s="2" t="s">
        <v>14732</v>
      </c>
      <c r="G3632" s="2" t="s">
        <v>940</v>
      </c>
      <c r="H3632" s="2">
        <v>249.0</v>
      </c>
      <c r="I3632" s="2">
        <v>2.1120050022682E13</v>
      </c>
      <c r="J3632" s="3">
        <v>0.0</v>
      </c>
      <c r="K3632" s="2" t="s">
        <v>12763</v>
      </c>
      <c r="L3632" s="2"/>
      <c r="M3632" s="170" t="s">
        <v>455</v>
      </c>
      <c r="N3632" s="2" t="s">
        <v>406</v>
      </c>
      <c r="O3632" s="3"/>
      <c r="P3632" s="2" t="s">
        <v>73</v>
      </c>
      <c r="Q3632" s="3">
        <v>0.0</v>
      </c>
      <c r="R3632" s="3">
        <v>0.5</v>
      </c>
      <c r="U3632" s="141"/>
      <c r="W3632" s="3">
        <v>200.0</v>
      </c>
      <c r="X3632" s="172">
        <v>46109.832655833336</v>
      </c>
      <c r="Y3632" s="172">
        <v>46097.35208469907</v>
      </c>
      <c r="Z3632" s="3">
        <v>46097.0</v>
      </c>
      <c r="AA3632" s="2" t="s">
        <v>14032</v>
      </c>
    </row>
    <row r="3633">
      <c r="A3633" s="3">
        <v>6.954395468035E12</v>
      </c>
      <c r="B3633" s="2" t="s">
        <v>14733</v>
      </c>
      <c r="C3633" s="2" t="s">
        <v>650</v>
      </c>
      <c r="D3633" s="169">
        <v>46097.0</v>
      </c>
      <c r="E3633" s="2">
        <v>3.004400362E9</v>
      </c>
      <c r="F3633" s="2" t="s">
        <v>14734</v>
      </c>
      <c r="G3633" s="2" t="s">
        <v>855</v>
      </c>
      <c r="H3633" s="2">
        <v>249.0</v>
      </c>
      <c r="I3633" s="2">
        <v>2.1120050022811E13</v>
      </c>
      <c r="J3633" s="3">
        <v>0.0</v>
      </c>
      <c r="K3633" s="2" t="s">
        <v>14735</v>
      </c>
      <c r="L3633" s="2"/>
      <c r="M3633" s="170" t="s">
        <v>455</v>
      </c>
      <c r="N3633" s="2" t="s">
        <v>406</v>
      </c>
      <c r="O3633" s="3"/>
      <c r="P3633" s="2" t="s">
        <v>73</v>
      </c>
      <c r="Q3633" s="3">
        <v>0.0</v>
      </c>
      <c r="R3633" s="3">
        <v>0.5</v>
      </c>
      <c r="U3633" s="141"/>
      <c r="W3633" s="3">
        <v>200.1</v>
      </c>
      <c r="X3633" s="172">
        <v>46114.87433923611</v>
      </c>
      <c r="Y3633" s="172">
        <v>46097.39376579861</v>
      </c>
      <c r="Z3633" s="3">
        <v>46097.0</v>
      </c>
      <c r="AA3633" s="2" t="s">
        <v>14032</v>
      </c>
    </row>
    <row r="3634">
      <c r="A3634" s="3">
        <v>6.954441703683E12</v>
      </c>
      <c r="B3634" s="2" t="s">
        <v>14736</v>
      </c>
      <c r="C3634" s="2" t="s">
        <v>14737</v>
      </c>
      <c r="D3634" s="169">
        <v>46097.0</v>
      </c>
      <c r="E3634" s="2">
        <v>3.418368837E9</v>
      </c>
      <c r="F3634" s="2" t="s">
        <v>14738</v>
      </c>
      <c r="G3634" s="2" t="s">
        <v>787</v>
      </c>
      <c r="H3634" s="2">
        <v>0.0</v>
      </c>
      <c r="J3634" s="3">
        <v>0.0</v>
      </c>
      <c r="K3634" s="2" t="s">
        <v>14739</v>
      </c>
      <c r="L3634" s="2"/>
      <c r="M3634" s="2" t="s">
        <v>468</v>
      </c>
      <c r="N3634" s="2" t="s">
        <v>406</v>
      </c>
      <c r="O3634" s="3"/>
      <c r="Q3634" s="3">
        <v>0.0</v>
      </c>
      <c r="R3634" s="3">
        <v>0.5</v>
      </c>
      <c r="U3634" s="141"/>
      <c r="X3634" s="172"/>
      <c r="Y3634" s="172">
        <v>46097.43542275463</v>
      </c>
      <c r="Z3634" s="3">
        <v>46097.0</v>
      </c>
      <c r="AA3634" s="2" t="s">
        <v>14032</v>
      </c>
    </row>
    <row r="3635">
      <c r="A3635" s="3">
        <v>6.954469589251E12</v>
      </c>
      <c r="B3635" s="2" t="s">
        <v>14740</v>
      </c>
      <c r="C3635" s="2" t="s">
        <v>14741</v>
      </c>
      <c r="D3635" s="169">
        <v>46097.0</v>
      </c>
      <c r="E3635" s="173" t="s">
        <v>14742</v>
      </c>
      <c r="F3635" s="2" t="s">
        <v>14743</v>
      </c>
      <c r="G3635" s="2" t="s">
        <v>368</v>
      </c>
      <c r="H3635" s="2">
        <v>3348.0</v>
      </c>
      <c r="I3635" s="2">
        <v>2.7120050022681E13</v>
      </c>
      <c r="J3635" s="3">
        <v>2.0</v>
      </c>
      <c r="K3635" s="2" t="s">
        <v>13072</v>
      </c>
      <c r="L3635" s="2" t="s">
        <v>22</v>
      </c>
      <c r="M3635" s="2" t="s">
        <v>409</v>
      </c>
      <c r="N3635" s="2" t="s">
        <v>462</v>
      </c>
      <c r="O3635" s="3"/>
      <c r="P3635" s="2" t="s">
        <v>73</v>
      </c>
      <c r="Q3635" s="3">
        <v>800.0</v>
      </c>
      <c r="R3635" s="3">
        <v>0.5</v>
      </c>
      <c r="T3635" s="2" t="s">
        <v>12177</v>
      </c>
      <c r="U3635" s="171">
        <v>3348.0</v>
      </c>
      <c r="V3635" s="172">
        <v>46105.0</v>
      </c>
      <c r="W3635" s="3">
        <v>241.0</v>
      </c>
      <c r="X3635" s="172">
        <v>46100.666124525465</v>
      </c>
      <c r="Y3635" s="172">
        <v>46097.43542275463</v>
      </c>
      <c r="Z3635" s="3">
        <v>46097.0</v>
      </c>
      <c r="AA3635" s="2" t="s">
        <v>14032</v>
      </c>
    </row>
    <row r="3636">
      <c r="A3636" s="3">
        <v>6.954544464131E12</v>
      </c>
      <c r="B3636" s="2" t="s">
        <v>14744</v>
      </c>
      <c r="C3636" s="2" t="s">
        <v>14745</v>
      </c>
      <c r="D3636" s="169">
        <v>46097.0</v>
      </c>
      <c r="E3636" s="2">
        <v>3.00468675E9</v>
      </c>
      <c r="F3636" s="2" t="s">
        <v>14746</v>
      </c>
      <c r="G3636" s="2" t="s">
        <v>898</v>
      </c>
      <c r="H3636" s="2">
        <v>249.0</v>
      </c>
      <c r="I3636" s="2">
        <v>2.7120050023047E13</v>
      </c>
      <c r="J3636" s="3">
        <v>0.0</v>
      </c>
      <c r="K3636" s="2" t="s">
        <v>14747</v>
      </c>
      <c r="L3636" s="2"/>
      <c r="M3636" s="170" t="s">
        <v>455</v>
      </c>
      <c r="N3636" s="2" t="s">
        <v>406</v>
      </c>
      <c r="O3636" s="3"/>
      <c r="P3636" s="2" t="s">
        <v>73</v>
      </c>
      <c r="Q3636" s="3">
        <v>0.0</v>
      </c>
      <c r="R3636" s="3">
        <v>0.5</v>
      </c>
      <c r="U3636" s="141"/>
      <c r="W3636" s="3">
        <v>243.08</v>
      </c>
      <c r="X3636" s="172">
        <v>46119.08097945602</v>
      </c>
      <c r="Y3636" s="172">
        <v>46097.518750937495</v>
      </c>
      <c r="Z3636" s="3">
        <v>46097.0</v>
      </c>
      <c r="AA3636" s="2" t="s">
        <v>14041</v>
      </c>
    </row>
    <row r="3637">
      <c r="A3637" s="3">
        <v>6.954551476483E12</v>
      </c>
      <c r="B3637" s="2" t="s">
        <v>14748</v>
      </c>
      <c r="C3637" s="2" t="s">
        <v>14745</v>
      </c>
      <c r="D3637" s="169">
        <v>46097.0</v>
      </c>
      <c r="E3637" s="2">
        <v>3.00468675E9</v>
      </c>
      <c r="F3637" s="2" t="s">
        <v>14746</v>
      </c>
      <c r="G3637" s="2" t="s">
        <v>898</v>
      </c>
      <c r="H3637" s="2">
        <v>0.0</v>
      </c>
      <c r="J3637" s="3">
        <v>0.0</v>
      </c>
      <c r="K3637" s="2" t="s">
        <v>7954</v>
      </c>
      <c r="L3637" s="2"/>
      <c r="M3637" s="2" t="s">
        <v>468</v>
      </c>
      <c r="N3637" s="2" t="s">
        <v>406</v>
      </c>
      <c r="O3637" s="3"/>
      <c r="Q3637" s="3">
        <v>0.0</v>
      </c>
      <c r="R3637" s="3">
        <v>0.5</v>
      </c>
      <c r="U3637" s="141"/>
      <c r="X3637" s="172"/>
      <c r="Y3637" s="172">
        <v>46097.518750937495</v>
      </c>
      <c r="Z3637" s="3">
        <v>46097.0</v>
      </c>
      <c r="AA3637" s="2" t="s">
        <v>14041</v>
      </c>
    </row>
    <row r="3638">
      <c r="A3638" s="3">
        <v>6.954607313155E12</v>
      </c>
      <c r="B3638" s="2" t="s">
        <v>14749</v>
      </c>
      <c r="C3638" s="2" t="s">
        <v>14750</v>
      </c>
      <c r="D3638" s="169">
        <v>46097.0</v>
      </c>
      <c r="E3638" s="2">
        <v>3.466657346E9</v>
      </c>
      <c r="F3638" s="2" t="s">
        <v>14751</v>
      </c>
      <c r="G3638" s="2" t="s">
        <v>4472</v>
      </c>
      <c r="H3638" s="2">
        <v>3548.0</v>
      </c>
      <c r="I3638" s="2">
        <v>2.012005002268E13</v>
      </c>
      <c r="J3638" s="3">
        <v>2.0</v>
      </c>
      <c r="K3638" s="2" t="s">
        <v>14752</v>
      </c>
      <c r="L3638" s="2" t="s">
        <v>926</v>
      </c>
      <c r="M3638" s="2" t="s">
        <v>409</v>
      </c>
      <c r="N3638" s="2" t="s">
        <v>462</v>
      </c>
      <c r="O3638" s="3"/>
      <c r="P3638" s="2" t="s">
        <v>73</v>
      </c>
      <c r="Q3638" s="3">
        <v>980.0</v>
      </c>
      <c r="R3638" s="3">
        <v>0.5</v>
      </c>
      <c r="T3638" s="2" t="s">
        <v>12177</v>
      </c>
      <c r="U3638" s="171">
        <v>3548.0</v>
      </c>
      <c r="V3638" s="172">
        <v>46105.0</v>
      </c>
      <c r="W3638" s="3">
        <v>342.0</v>
      </c>
      <c r="X3638" s="172">
        <v>46098.70783368056</v>
      </c>
      <c r="Y3638" s="172">
        <v>46097.56042253472</v>
      </c>
      <c r="Z3638" s="3">
        <v>46097.0</v>
      </c>
      <c r="AA3638" s="2" t="s">
        <v>14022</v>
      </c>
    </row>
    <row r="3639">
      <c r="A3639" s="3">
        <v>6.954612490499E12</v>
      </c>
      <c r="B3639" s="2" t="s">
        <v>14753</v>
      </c>
      <c r="C3639" s="2" t="s">
        <v>14754</v>
      </c>
      <c r="D3639" s="169">
        <v>46097.0</v>
      </c>
      <c r="E3639" s="2">
        <v>3.323335511E9</v>
      </c>
      <c r="F3639" s="2" t="s">
        <v>14755</v>
      </c>
      <c r="G3639" s="2" t="s">
        <v>366</v>
      </c>
      <c r="H3639" s="2">
        <v>3348.0</v>
      </c>
      <c r="I3639" s="2">
        <v>2.1120050022679E13</v>
      </c>
      <c r="J3639" s="3">
        <v>2.0</v>
      </c>
      <c r="K3639" s="2" t="s">
        <v>14036</v>
      </c>
      <c r="L3639" s="2" t="s">
        <v>228</v>
      </c>
      <c r="M3639" s="2" t="s">
        <v>409</v>
      </c>
      <c r="N3639" s="2" t="s">
        <v>462</v>
      </c>
      <c r="O3639" s="3"/>
      <c r="P3639" s="2" t="s">
        <v>73</v>
      </c>
      <c r="Q3639" s="3">
        <v>720.0</v>
      </c>
      <c r="R3639" s="3">
        <v>0.5</v>
      </c>
      <c r="T3639" s="2" t="s">
        <v>14037</v>
      </c>
      <c r="U3639" s="171">
        <v>3348.0</v>
      </c>
      <c r="V3639" s="172">
        <v>46112.0</v>
      </c>
      <c r="W3639" s="3">
        <v>334.0</v>
      </c>
      <c r="X3639" s="172">
        <v>46108.87466890046</v>
      </c>
      <c r="Y3639" s="172">
        <v>46097.56042253472</v>
      </c>
      <c r="Z3639" s="3">
        <v>46097.0</v>
      </c>
      <c r="AA3639" s="2" t="s">
        <v>14032</v>
      </c>
    </row>
    <row r="3640">
      <c r="A3640" s="3">
        <v>6.954613440771E12</v>
      </c>
      <c r="B3640" s="2" t="s">
        <v>14756</v>
      </c>
      <c r="C3640" s="2" t="s">
        <v>14757</v>
      </c>
      <c r="D3640" s="169">
        <v>46097.0</v>
      </c>
      <c r="E3640" s="2">
        <v>3.365775705E9</v>
      </c>
      <c r="F3640" s="2" t="s">
        <v>14758</v>
      </c>
      <c r="G3640" s="2" t="s">
        <v>14759</v>
      </c>
      <c r="H3640" s="2">
        <v>249.0</v>
      </c>
      <c r="I3640" s="2">
        <v>2.1120050022678E13</v>
      </c>
      <c r="J3640" s="3">
        <v>0.0</v>
      </c>
      <c r="K3640" s="2" t="s">
        <v>14760</v>
      </c>
      <c r="L3640" s="2"/>
      <c r="M3640" s="170" t="s">
        <v>455</v>
      </c>
      <c r="N3640" s="2" t="s">
        <v>406</v>
      </c>
      <c r="O3640" s="3"/>
      <c r="P3640" s="2" t="s">
        <v>73</v>
      </c>
      <c r="Q3640" s="3">
        <v>0.0</v>
      </c>
      <c r="R3640" s="3">
        <v>0.5</v>
      </c>
      <c r="U3640" s="141"/>
      <c r="W3640" s="3">
        <v>220.0</v>
      </c>
      <c r="X3640" s="172">
        <v>46110.58268797454</v>
      </c>
      <c r="Y3640" s="172">
        <v>46097.56042253472</v>
      </c>
      <c r="Z3640" s="3">
        <v>46097.0</v>
      </c>
      <c r="AA3640" s="2" t="s">
        <v>14022</v>
      </c>
    </row>
    <row r="3641">
      <c r="A3641" s="3">
        <v>6.954624254211E12</v>
      </c>
      <c r="B3641" s="2" t="s">
        <v>14761</v>
      </c>
      <c r="C3641" s="2" t="s">
        <v>14762</v>
      </c>
      <c r="D3641" s="169">
        <v>46097.0</v>
      </c>
      <c r="E3641" s="2">
        <v>3.00884088E9</v>
      </c>
      <c r="F3641" s="2" t="s">
        <v>14763</v>
      </c>
      <c r="G3641" s="2" t="s">
        <v>14764</v>
      </c>
      <c r="H3641" s="2">
        <v>5750.0</v>
      </c>
      <c r="I3641" s="2">
        <v>2.0120050022677E13</v>
      </c>
      <c r="J3641" s="3">
        <v>3.0</v>
      </c>
      <c r="K3641" s="2" t="s">
        <v>14765</v>
      </c>
      <c r="L3641" s="2" t="s">
        <v>14766</v>
      </c>
      <c r="M3641" s="2" t="s">
        <v>409</v>
      </c>
      <c r="N3641" s="2" t="s">
        <v>462</v>
      </c>
      <c r="O3641" s="3"/>
      <c r="P3641" s="2" t="s">
        <v>73</v>
      </c>
      <c r="Q3641" s="3">
        <v>2050.0</v>
      </c>
      <c r="R3641" s="3">
        <v>0.5</v>
      </c>
      <c r="T3641" s="2" t="s">
        <v>12177</v>
      </c>
      <c r="U3641" s="171">
        <v>5750.0</v>
      </c>
      <c r="V3641" s="172">
        <v>46105.0</v>
      </c>
      <c r="W3641" s="3">
        <v>350.0</v>
      </c>
      <c r="X3641" s="172">
        <v>46099.54121862269</v>
      </c>
      <c r="Y3641" s="172">
        <v>46097.56042253472</v>
      </c>
      <c r="Z3641" s="3">
        <v>46097.0</v>
      </c>
      <c r="AA3641" s="2" t="s">
        <v>14032</v>
      </c>
    </row>
    <row r="3642">
      <c r="A3642" s="3">
        <v>6.954625696003E12</v>
      </c>
      <c r="B3642" s="2" t="s">
        <v>14767</v>
      </c>
      <c r="C3642" s="2" t="s">
        <v>14768</v>
      </c>
      <c r="D3642" s="169">
        <v>46097.0</v>
      </c>
      <c r="E3642" s="2">
        <v>3.006118169E9</v>
      </c>
      <c r="F3642" s="2" t="s">
        <v>14769</v>
      </c>
      <c r="G3642" s="2" t="s">
        <v>688</v>
      </c>
      <c r="H3642" s="2">
        <v>0.0</v>
      </c>
      <c r="J3642" s="3">
        <v>0.0</v>
      </c>
      <c r="K3642" s="2" t="s">
        <v>14770</v>
      </c>
      <c r="L3642" s="2"/>
      <c r="M3642" s="2" t="s">
        <v>468</v>
      </c>
      <c r="N3642" s="2" t="s">
        <v>406</v>
      </c>
      <c r="O3642" s="3"/>
      <c r="Q3642" s="3">
        <v>0.0</v>
      </c>
      <c r="R3642" s="3">
        <v>0.5</v>
      </c>
      <c r="U3642" s="141"/>
      <c r="X3642" s="172"/>
      <c r="Y3642" s="172">
        <v>46097.56042253472</v>
      </c>
      <c r="Z3642" s="3">
        <v>46097.0</v>
      </c>
      <c r="AA3642" s="2" t="s">
        <v>14041</v>
      </c>
    </row>
    <row r="3643">
      <c r="A3643" s="3">
        <v>6.954651091203E12</v>
      </c>
      <c r="B3643" s="2" t="s">
        <v>14771</v>
      </c>
      <c r="C3643" s="2" t="s">
        <v>14772</v>
      </c>
      <c r="D3643" s="169">
        <v>46097.0</v>
      </c>
      <c r="E3643" s="2">
        <v>3.093293611E9</v>
      </c>
      <c r="F3643" s="2" t="s">
        <v>14773</v>
      </c>
      <c r="G3643" s="2" t="s">
        <v>14774</v>
      </c>
      <c r="H3643" s="2">
        <v>3348.0</v>
      </c>
      <c r="I3643" s="2">
        <v>1.73012261946E11</v>
      </c>
      <c r="J3643" s="3">
        <v>2.0</v>
      </c>
      <c r="K3643" s="2" t="s">
        <v>14775</v>
      </c>
      <c r="L3643" s="2" t="s">
        <v>5839</v>
      </c>
      <c r="M3643" s="2" t="s">
        <v>409</v>
      </c>
      <c r="N3643" s="2" t="s">
        <v>406</v>
      </c>
      <c r="O3643" s="3"/>
      <c r="P3643" s="2" t="s">
        <v>501</v>
      </c>
      <c r="Q3643" s="3">
        <v>1050.0</v>
      </c>
      <c r="R3643" s="3">
        <v>0.5</v>
      </c>
      <c r="U3643" s="141"/>
      <c r="X3643" s="172">
        <v>46126.08312458333</v>
      </c>
      <c r="Y3643" s="172">
        <v>46097.60211800926</v>
      </c>
      <c r="Z3643" s="3">
        <v>46097.0</v>
      </c>
      <c r="AA3643" s="2" t="s">
        <v>14032</v>
      </c>
    </row>
    <row r="3644">
      <c r="A3644" s="3">
        <v>6.954691461379E12</v>
      </c>
      <c r="B3644" s="2" t="s">
        <v>14776</v>
      </c>
      <c r="C3644" s="2" t="s">
        <v>14777</v>
      </c>
      <c r="D3644" s="169">
        <v>46097.0</v>
      </c>
      <c r="E3644" s="2">
        <v>3.157431279E9</v>
      </c>
      <c r="F3644" s="2" t="s">
        <v>14778</v>
      </c>
      <c r="G3644" s="2" t="s">
        <v>13612</v>
      </c>
      <c r="H3644" s="2">
        <v>1899.0</v>
      </c>
      <c r="J3644" s="3">
        <v>1.0</v>
      </c>
      <c r="K3644" s="2" t="s">
        <v>537</v>
      </c>
      <c r="L3644" s="2" t="s">
        <v>14422</v>
      </c>
      <c r="M3644" s="2" t="s">
        <v>406</v>
      </c>
      <c r="N3644" s="2" t="s">
        <v>406</v>
      </c>
      <c r="O3644" s="3"/>
      <c r="Q3644" s="3">
        <v>550.0</v>
      </c>
      <c r="R3644" s="3">
        <v>0.5</v>
      </c>
      <c r="U3644" s="141"/>
      <c r="X3644" s="172"/>
      <c r="Y3644" s="172">
        <v>46097.64375614583</v>
      </c>
      <c r="Z3644" s="3">
        <v>46097.0</v>
      </c>
      <c r="AA3644" s="2" t="s">
        <v>14041</v>
      </c>
    </row>
    <row r="3645">
      <c r="A3645" s="3">
        <v>6.954721116419E12</v>
      </c>
      <c r="B3645" s="2" t="s">
        <v>14779</v>
      </c>
      <c r="C3645" s="2" t="s">
        <v>5953</v>
      </c>
      <c r="D3645" s="169">
        <v>46097.0</v>
      </c>
      <c r="E3645" s="2">
        <v>3.084242483E9</v>
      </c>
      <c r="F3645" s="2" t="s">
        <v>14780</v>
      </c>
      <c r="G3645" s="2" t="s">
        <v>368</v>
      </c>
      <c r="H3645" s="2">
        <v>0.0</v>
      </c>
      <c r="J3645" s="3">
        <v>0.0</v>
      </c>
      <c r="K3645" s="2" t="s">
        <v>8446</v>
      </c>
      <c r="L3645" s="2"/>
      <c r="M3645" s="2" t="s">
        <v>468</v>
      </c>
      <c r="N3645" s="2" t="s">
        <v>406</v>
      </c>
      <c r="O3645" s="3"/>
      <c r="Q3645" s="3">
        <v>0.0</v>
      </c>
      <c r="R3645" s="3">
        <v>0.5</v>
      </c>
      <c r="U3645" s="141"/>
      <c r="X3645" s="172"/>
      <c r="Y3645" s="172">
        <v>46097.685449502314</v>
      </c>
      <c r="Z3645" s="3">
        <v>46097.0</v>
      </c>
      <c r="AA3645" s="2" t="s">
        <v>14022</v>
      </c>
    </row>
    <row r="3646">
      <c r="A3646" s="3">
        <v>6.954737795331E12</v>
      </c>
      <c r="B3646" s="2" t="s">
        <v>14781</v>
      </c>
      <c r="C3646" s="2" t="s">
        <v>14782</v>
      </c>
      <c r="D3646" s="169">
        <v>46097.0</v>
      </c>
      <c r="E3646" s="2">
        <v>3.005121931E9</v>
      </c>
      <c r="F3646" s="2" t="s">
        <v>14783</v>
      </c>
      <c r="G3646" s="2" t="s">
        <v>366</v>
      </c>
      <c r="H3646" s="2">
        <v>249.0</v>
      </c>
      <c r="I3646" s="2">
        <v>2.3120050022765E13</v>
      </c>
      <c r="J3646" s="3">
        <v>0.0</v>
      </c>
      <c r="K3646" s="2" t="s">
        <v>14241</v>
      </c>
      <c r="L3646" s="2"/>
      <c r="M3646" s="170" t="s">
        <v>455</v>
      </c>
      <c r="N3646" s="2" t="s">
        <v>406</v>
      </c>
      <c r="O3646" s="3"/>
      <c r="P3646" s="2" t="s">
        <v>73</v>
      </c>
      <c r="Q3646" s="3">
        <v>0.0</v>
      </c>
      <c r="R3646" s="3">
        <v>0.5</v>
      </c>
      <c r="U3646" s="141"/>
      <c r="W3646" s="3">
        <v>200.0</v>
      </c>
      <c r="X3646" s="172">
        <v>46109.83265752315</v>
      </c>
      <c r="Y3646" s="172">
        <v>46097.685449502314</v>
      </c>
      <c r="Z3646" s="3">
        <v>46097.0</v>
      </c>
      <c r="AA3646" s="2" t="s">
        <v>14022</v>
      </c>
    </row>
    <row r="3647">
      <c r="A3647" s="3">
        <v>6.954740711683E12</v>
      </c>
      <c r="B3647" s="2" t="s">
        <v>14784</v>
      </c>
      <c r="C3647" s="2" t="s">
        <v>14785</v>
      </c>
      <c r="D3647" s="169">
        <v>46097.0</v>
      </c>
      <c r="E3647" s="173" t="s">
        <v>14786</v>
      </c>
      <c r="F3647" s="2" t="s">
        <v>14787</v>
      </c>
      <c r="G3647" s="2" t="s">
        <v>855</v>
      </c>
      <c r="H3647" s="2">
        <v>3347.0</v>
      </c>
      <c r="I3647" s="2">
        <v>2.1120050022764E13</v>
      </c>
      <c r="J3647" s="3">
        <v>2.0</v>
      </c>
      <c r="K3647" s="2" t="s">
        <v>14788</v>
      </c>
      <c r="L3647" s="2" t="s">
        <v>1263</v>
      </c>
      <c r="M3647" s="2" t="s">
        <v>409</v>
      </c>
      <c r="N3647" s="2" t="s">
        <v>462</v>
      </c>
      <c r="O3647" s="3"/>
      <c r="P3647" s="2" t="s">
        <v>73</v>
      </c>
      <c r="Q3647" s="3">
        <v>720.0</v>
      </c>
      <c r="R3647" s="3">
        <v>0.5</v>
      </c>
      <c r="T3647" s="2" t="s">
        <v>12177</v>
      </c>
      <c r="U3647" s="171">
        <v>3347.0</v>
      </c>
      <c r="V3647" s="172">
        <v>46105.0</v>
      </c>
      <c r="W3647" s="3">
        <v>334.0</v>
      </c>
      <c r="X3647" s="172">
        <v>46100.4996637963</v>
      </c>
      <c r="Y3647" s="172">
        <v>46097.685449502314</v>
      </c>
      <c r="Z3647" s="3">
        <v>46097.0</v>
      </c>
      <c r="AA3647" s="2" t="s">
        <v>14032</v>
      </c>
    </row>
    <row r="3648">
      <c r="A3648" s="3">
        <v>6.954741235971E12</v>
      </c>
      <c r="B3648" s="2" t="s">
        <v>14789</v>
      </c>
      <c r="C3648" s="2" t="s">
        <v>14790</v>
      </c>
      <c r="D3648" s="169">
        <v>46097.0</v>
      </c>
      <c r="E3648" s="2">
        <v>3.224874343E9</v>
      </c>
      <c r="F3648" s="2" t="s">
        <v>14791</v>
      </c>
      <c r="G3648" s="2" t="s">
        <v>368</v>
      </c>
      <c r="H3648" s="2">
        <v>249.0</v>
      </c>
      <c r="I3648" s="2">
        <v>2.3120050022763E13</v>
      </c>
      <c r="J3648" s="3">
        <v>0.0</v>
      </c>
      <c r="K3648" s="2" t="s">
        <v>14792</v>
      </c>
      <c r="L3648" s="2"/>
      <c r="M3648" s="170" t="s">
        <v>455</v>
      </c>
      <c r="N3648" s="2" t="s">
        <v>406</v>
      </c>
      <c r="O3648" s="3"/>
      <c r="P3648" s="2" t="s">
        <v>73</v>
      </c>
      <c r="Q3648" s="3">
        <v>0.0</v>
      </c>
      <c r="R3648" s="3">
        <v>0.5</v>
      </c>
      <c r="U3648" s="141"/>
      <c r="W3648" s="3">
        <v>107.0</v>
      </c>
      <c r="X3648" s="172">
        <v>46108.83346384259</v>
      </c>
      <c r="Y3648" s="172">
        <v>46097.685449502314</v>
      </c>
      <c r="Z3648" s="3">
        <v>46097.0</v>
      </c>
      <c r="AA3648" s="2" t="s">
        <v>14041</v>
      </c>
    </row>
    <row r="3649">
      <c r="A3649" s="3">
        <v>6.954750148867E12</v>
      </c>
      <c r="B3649" s="2" t="s">
        <v>14793</v>
      </c>
      <c r="C3649" s="2" t="s">
        <v>14794</v>
      </c>
      <c r="D3649" s="169">
        <v>46097.0</v>
      </c>
      <c r="E3649" s="2">
        <v>3.342877572E9</v>
      </c>
      <c r="F3649" s="2" t="s">
        <v>14795</v>
      </c>
      <c r="G3649" s="2" t="s">
        <v>493</v>
      </c>
      <c r="H3649" s="2">
        <v>1449.0</v>
      </c>
      <c r="I3649" s="2">
        <v>2.4120050022838E13</v>
      </c>
      <c r="J3649" s="3">
        <v>1.0</v>
      </c>
      <c r="K3649" s="2" t="s">
        <v>14796</v>
      </c>
      <c r="L3649" s="2" t="s">
        <v>5802</v>
      </c>
      <c r="M3649" s="2" t="s">
        <v>409</v>
      </c>
      <c r="N3649" s="2" t="s">
        <v>462</v>
      </c>
      <c r="O3649" s="3"/>
      <c r="P3649" s="2" t="s">
        <v>73</v>
      </c>
      <c r="Q3649" s="3">
        <v>550.0</v>
      </c>
      <c r="R3649" s="3">
        <v>0.5</v>
      </c>
      <c r="T3649" s="2" t="s">
        <v>14037</v>
      </c>
      <c r="U3649" s="171">
        <v>1449.0</v>
      </c>
      <c r="V3649" s="172">
        <v>46112.0</v>
      </c>
      <c r="W3649" s="3">
        <v>294.0</v>
      </c>
      <c r="X3649" s="172">
        <v>46111.666092245374</v>
      </c>
      <c r="Y3649" s="172">
        <v>46097.685449502314</v>
      </c>
      <c r="Z3649" s="3">
        <v>46097.0</v>
      </c>
      <c r="AA3649" s="2" t="s">
        <v>14041</v>
      </c>
    </row>
    <row r="3650">
      <c r="A3650" s="3">
        <v>6.954773348611E12</v>
      </c>
      <c r="B3650" s="2" t="s">
        <v>14797</v>
      </c>
      <c r="C3650" s="2" t="s">
        <v>14798</v>
      </c>
      <c r="D3650" s="169">
        <v>46097.0</v>
      </c>
      <c r="E3650" s="2">
        <v>3.243429739E9</v>
      </c>
      <c r="F3650" s="2" t="s">
        <v>14799</v>
      </c>
      <c r="G3650" s="2" t="s">
        <v>541</v>
      </c>
      <c r="H3650" s="2">
        <v>249.0</v>
      </c>
      <c r="I3650" s="2">
        <v>2.0120050022837E13</v>
      </c>
      <c r="J3650" s="3">
        <v>0.0</v>
      </c>
      <c r="K3650" s="2" t="s">
        <v>14800</v>
      </c>
      <c r="L3650" s="2"/>
      <c r="M3650" s="170" t="s">
        <v>455</v>
      </c>
      <c r="N3650" s="2" t="s">
        <v>406</v>
      </c>
      <c r="O3650" s="3"/>
      <c r="P3650" s="2" t="s">
        <v>73</v>
      </c>
      <c r="Q3650" s="3">
        <v>0.0</v>
      </c>
      <c r="R3650" s="3">
        <v>0.5</v>
      </c>
      <c r="U3650" s="141"/>
      <c r="W3650" s="3">
        <v>220.98</v>
      </c>
      <c r="X3650" s="172">
        <v>46115.83268561342</v>
      </c>
      <c r="Y3650" s="172">
        <v>46097.72715193287</v>
      </c>
      <c r="Z3650" s="3">
        <v>46097.0</v>
      </c>
      <c r="AA3650" s="2" t="s">
        <v>14022</v>
      </c>
    </row>
    <row r="3651">
      <c r="A3651" s="3">
        <v>6.954824630531E12</v>
      </c>
      <c r="B3651" s="2" t="s">
        <v>14801</v>
      </c>
      <c r="C3651" s="2" t="s">
        <v>14802</v>
      </c>
      <c r="D3651" s="169">
        <v>46097.0</v>
      </c>
      <c r="E3651" s="2">
        <v>3.068818262E9</v>
      </c>
      <c r="F3651" s="2" t="s">
        <v>14803</v>
      </c>
      <c r="G3651" s="2" t="s">
        <v>4949</v>
      </c>
      <c r="H3651" s="2">
        <v>3038.1</v>
      </c>
      <c r="I3651" s="2">
        <v>2.4120050022836E13</v>
      </c>
      <c r="J3651" s="3">
        <v>2.0</v>
      </c>
      <c r="K3651" s="2" t="s">
        <v>14804</v>
      </c>
      <c r="L3651" s="2" t="s">
        <v>40</v>
      </c>
      <c r="M3651" s="2" t="s">
        <v>409</v>
      </c>
      <c r="N3651" s="2" t="s">
        <v>462</v>
      </c>
      <c r="O3651" s="3"/>
      <c r="P3651" s="2" t="s">
        <v>73</v>
      </c>
      <c r="Q3651" s="3">
        <v>720.0</v>
      </c>
      <c r="R3651" s="3">
        <v>0.5</v>
      </c>
      <c r="T3651" s="2" t="s">
        <v>14037</v>
      </c>
      <c r="U3651" s="171">
        <v>3038.1</v>
      </c>
      <c r="V3651" s="172">
        <v>46112.0</v>
      </c>
      <c r="W3651" s="3">
        <v>343.0</v>
      </c>
      <c r="X3651" s="172">
        <v>46109.66599445602</v>
      </c>
      <c r="Y3651" s="172">
        <v>46097.76881233796</v>
      </c>
      <c r="Z3651" s="3">
        <v>46097.0</v>
      </c>
      <c r="AA3651" s="2" t="s">
        <v>14032</v>
      </c>
    </row>
    <row r="3652">
      <c r="A3652" s="3">
        <v>6.954837213443E12</v>
      </c>
      <c r="B3652" s="2" t="s">
        <v>14805</v>
      </c>
      <c r="C3652" s="2" t="s">
        <v>13067</v>
      </c>
      <c r="D3652" s="169">
        <v>46097.0</v>
      </c>
      <c r="E3652" s="2">
        <v>3.411661303E9</v>
      </c>
      <c r="F3652" s="2" t="s">
        <v>14806</v>
      </c>
      <c r="G3652" s="2" t="s">
        <v>4667</v>
      </c>
      <c r="H3652" s="2">
        <v>3348.0</v>
      </c>
      <c r="I3652" s="2">
        <v>2.9120050022762E13</v>
      </c>
      <c r="J3652" s="3">
        <v>2.0</v>
      </c>
      <c r="K3652" s="2" t="s">
        <v>13827</v>
      </c>
      <c r="L3652" s="2" t="s">
        <v>593</v>
      </c>
      <c r="M3652" s="2" t="s">
        <v>409</v>
      </c>
      <c r="N3652" s="2" t="s">
        <v>462</v>
      </c>
      <c r="O3652" s="3"/>
      <c r="P3652" s="2" t="s">
        <v>73</v>
      </c>
      <c r="Q3652" s="3">
        <v>1050.0</v>
      </c>
      <c r="R3652" s="3">
        <v>0.5</v>
      </c>
      <c r="T3652" s="2" t="s">
        <v>12177</v>
      </c>
      <c r="U3652" s="171">
        <v>3348.0</v>
      </c>
      <c r="V3652" s="172">
        <v>46105.0</v>
      </c>
      <c r="W3652" s="3">
        <v>334.0</v>
      </c>
      <c r="X3652" s="172">
        <v>46101.749410289354</v>
      </c>
      <c r="Y3652" s="172">
        <v>46097.76881233796</v>
      </c>
      <c r="Z3652" s="3">
        <v>46097.0</v>
      </c>
      <c r="AA3652" s="2" t="s">
        <v>14032</v>
      </c>
    </row>
    <row r="3653">
      <c r="A3653" s="3">
        <v>6.954920739075E12</v>
      </c>
      <c r="B3653" s="2" t="s">
        <v>14807</v>
      </c>
      <c r="C3653" s="2" t="s">
        <v>11819</v>
      </c>
      <c r="D3653" s="169">
        <v>46097.0</v>
      </c>
      <c r="E3653" s="2">
        <v>3.098329027E9</v>
      </c>
      <c r="F3653" s="2" t="s">
        <v>11820</v>
      </c>
      <c r="G3653" s="2" t="s">
        <v>1016</v>
      </c>
      <c r="H3653" s="2">
        <v>1549.0</v>
      </c>
      <c r="I3653" s="2">
        <v>2.3120050022761E13</v>
      </c>
      <c r="J3653" s="3">
        <v>1.0</v>
      </c>
      <c r="K3653" s="2" t="s">
        <v>14808</v>
      </c>
      <c r="L3653" s="2" t="s">
        <v>3779</v>
      </c>
      <c r="M3653" s="2" t="s">
        <v>409</v>
      </c>
      <c r="N3653" s="2" t="s">
        <v>406</v>
      </c>
      <c r="O3653" s="3"/>
      <c r="P3653" s="2" t="s">
        <v>73</v>
      </c>
      <c r="Q3653" s="3">
        <v>360.0</v>
      </c>
      <c r="R3653" s="3">
        <v>0.5</v>
      </c>
      <c r="U3653" s="141"/>
      <c r="X3653" s="172">
        <v>46100.582905821764</v>
      </c>
      <c r="Y3653" s="172">
        <v>46097.810446793985</v>
      </c>
      <c r="Z3653" s="3">
        <v>46097.0</v>
      </c>
      <c r="AA3653" s="2" t="s">
        <v>14026</v>
      </c>
    </row>
    <row r="3654">
      <c r="A3654" s="3">
        <v>6.954931716355E12</v>
      </c>
      <c r="B3654" s="2" t="s">
        <v>14809</v>
      </c>
      <c r="C3654" s="2" t="s">
        <v>14810</v>
      </c>
      <c r="D3654" s="169">
        <v>46097.0</v>
      </c>
      <c r="E3654" s="173" t="s">
        <v>14811</v>
      </c>
      <c r="F3654" s="2" t="s">
        <v>14812</v>
      </c>
      <c r="G3654" s="2" t="s">
        <v>855</v>
      </c>
      <c r="H3654" s="2">
        <v>3348.0</v>
      </c>
      <c r="I3654" s="2">
        <v>2.312005002276E13</v>
      </c>
      <c r="J3654" s="3">
        <v>2.0</v>
      </c>
      <c r="K3654" s="2" t="s">
        <v>14057</v>
      </c>
      <c r="L3654" s="2" t="s">
        <v>228</v>
      </c>
      <c r="M3654" s="2" t="s">
        <v>409</v>
      </c>
      <c r="N3654" s="2" t="s">
        <v>462</v>
      </c>
      <c r="O3654" s="3"/>
      <c r="P3654" s="2" t="s">
        <v>73</v>
      </c>
      <c r="Q3654" s="3">
        <v>720.0</v>
      </c>
      <c r="R3654" s="3">
        <v>0.5</v>
      </c>
      <c r="T3654" s="2" t="s">
        <v>13421</v>
      </c>
      <c r="U3654" s="171">
        <v>3348.0</v>
      </c>
      <c r="V3654" s="172">
        <v>46108.0</v>
      </c>
      <c r="W3654" s="3">
        <v>354.03</v>
      </c>
      <c r="X3654" s="172">
        <v>46107.62444244213</v>
      </c>
      <c r="Y3654" s="172">
        <v>46097.810446793985</v>
      </c>
      <c r="Z3654" s="3">
        <v>46097.0</v>
      </c>
      <c r="AA3654" s="2" t="s">
        <v>14032</v>
      </c>
    </row>
    <row r="3655">
      <c r="A3655" s="3">
        <v>6.954960290051E12</v>
      </c>
      <c r="B3655" s="2" t="s">
        <v>175</v>
      </c>
      <c r="C3655" s="2" t="s">
        <v>14813</v>
      </c>
      <c r="D3655" s="169">
        <v>46097.0</v>
      </c>
      <c r="E3655" s="2">
        <v>3.180289873E9</v>
      </c>
      <c r="F3655" s="2" t="s">
        <v>14814</v>
      </c>
      <c r="G3655" s="2" t="s">
        <v>493</v>
      </c>
      <c r="H3655" s="2">
        <v>249.0</v>
      </c>
      <c r="I3655" s="2">
        <v>2.6120050023046E13</v>
      </c>
      <c r="J3655" s="3">
        <v>0.0</v>
      </c>
      <c r="K3655" s="2" t="s">
        <v>14815</v>
      </c>
      <c r="L3655" s="2"/>
      <c r="M3655" s="170" t="s">
        <v>455</v>
      </c>
      <c r="N3655" s="2" t="s">
        <v>406</v>
      </c>
      <c r="O3655" s="3"/>
      <c r="P3655" s="2" t="s">
        <v>73</v>
      </c>
      <c r="Q3655" s="3">
        <v>0.0</v>
      </c>
      <c r="R3655" s="3">
        <v>0.5</v>
      </c>
      <c r="U3655" s="141"/>
      <c r="W3655" s="3">
        <v>250.44</v>
      </c>
      <c r="X3655" s="172">
        <v>46129.08097787037</v>
      </c>
      <c r="Y3655" s="172">
        <v>46097.852127060185</v>
      </c>
      <c r="Z3655" s="3">
        <v>46097.0</v>
      </c>
      <c r="AA3655" s="2" t="s">
        <v>14032</v>
      </c>
    </row>
    <row r="3656">
      <c r="A3656" s="3">
        <v>6.954976870659E12</v>
      </c>
      <c r="B3656" s="2" t="s">
        <v>14816</v>
      </c>
      <c r="C3656" s="2" t="s">
        <v>14817</v>
      </c>
      <c r="D3656" s="169">
        <v>46097.0</v>
      </c>
      <c r="E3656" s="2">
        <v>3.454417648E9</v>
      </c>
      <c r="F3656" s="2" t="s">
        <v>14818</v>
      </c>
      <c r="G3656" s="2" t="s">
        <v>484</v>
      </c>
      <c r="H3656" s="2">
        <v>3348.0</v>
      </c>
      <c r="I3656" s="2">
        <v>2.0120050023471E13</v>
      </c>
      <c r="J3656" s="3">
        <v>2.0</v>
      </c>
      <c r="K3656" s="2" t="s">
        <v>14819</v>
      </c>
      <c r="L3656" s="2" t="s">
        <v>228</v>
      </c>
      <c r="M3656" s="2" t="s">
        <v>14820</v>
      </c>
      <c r="N3656" s="2" t="s">
        <v>406</v>
      </c>
      <c r="O3656" s="3"/>
      <c r="P3656" s="2" t="s">
        <v>73</v>
      </c>
      <c r="Q3656" s="3">
        <v>720.0</v>
      </c>
      <c r="R3656" s="3">
        <v>0.5</v>
      </c>
      <c r="U3656" s="141"/>
      <c r="X3656" s="172">
        <v>46132.08101738426</v>
      </c>
      <c r="Y3656" s="172">
        <v>46097.852127060185</v>
      </c>
      <c r="Z3656" s="3">
        <v>46097.0</v>
      </c>
      <c r="AA3656" s="2" t="s">
        <v>14032</v>
      </c>
    </row>
    <row r="3657">
      <c r="A3657" s="3">
        <v>6.955068096771E12</v>
      </c>
      <c r="B3657" s="2" t="s">
        <v>14821</v>
      </c>
      <c r="C3657" s="2" t="s">
        <v>14822</v>
      </c>
      <c r="D3657" s="169">
        <v>46097.0</v>
      </c>
      <c r="E3657" s="2">
        <v>3.449247996E9</v>
      </c>
      <c r="F3657" s="2" t="s">
        <v>14823</v>
      </c>
      <c r="G3657" s="2" t="s">
        <v>1439</v>
      </c>
      <c r="H3657" s="2">
        <v>3348.0</v>
      </c>
      <c r="I3657" s="2">
        <v>2.3120050023045E13</v>
      </c>
      <c r="J3657" s="3">
        <v>2.0</v>
      </c>
      <c r="K3657" s="2" t="s">
        <v>14824</v>
      </c>
      <c r="L3657" s="2" t="s">
        <v>296</v>
      </c>
      <c r="M3657" s="2" t="s">
        <v>409</v>
      </c>
      <c r="N3657" s="2" t="s">
        <v>462</v>
      </c>
      <c r="O3657" s="3"/>
      <c r="P3657" s="2" t="s">
        <v>73</v>
      </c>
      <c r="Q3657" s="3">
        <v>720.0</v>
      </c>
      <c r="R3657" s="3">
        <v>0.5</v>
      </c>
      <c r="T3657" s="2" t="s">
        <v>14037</v>
      </c>
      <c r="U3657" s="171">
        <v>3348.0</v>
      </c>
      <c r="V3657" s="172">
        <v>46112.0</v>
      </c>
      <c r="W3657" s="3">
        <v>370.0</v>
      </c>
      <c r="X3657" s="172">
        <v>46111.66609313658</v>
      </c>
      <c r="Y3657" s="172">
        <v>46097.893789375</v>
      </c>
      <c r="Z3657" s="3">
        <v>46097.0</v>
      </c>
      <c r="AA3657" s="2" t="s">
        <v>14032</v>
      </c>
    </row>
    <row r="3658">
      <c r="A3658" s="3">
        <v>6.955096604931E12</v>
      </c>
      <c r="B3658" s="2" t="s">
        <v>14825</v>
      </c>
      <c r="C3658" s="2" t="s">
        <v>14826</v>
      </c>
      <c r="D3658" s="169">
        <v>46097.0</v>
      </c>
      <c r="E3658" s="2">
        <v>3.348548063E9</v>
      </c>
      <c r="F3658" s="2" t="s">
        <v>4590</v>
      </c>
      <c r="G3658" s="2" t="s">
        <v>4591</v>
      </c>
      <c r="H3658" s="2">
        <v>6398.0</v>
      </c>
      <c r="I3658" s="2">
        <v>2.9120050022959E13</v>
      </c>
      <c r="J3658" s="3">
        <v>3.0</v>
      </c>
      <c r="K3658" s="2" t="s">
        <v>14827</v>
      </c>
      <c r="L3658" s="2" t="s">
        <v>14828</v>
      </c>
      <c r="M3658" s="2" t="s">
        <v>409</v>
      </c>
      <c r="N3658" s="2" t="s">
        <v>462</v>
      </c>
      <c r="O3658" s="3"/>
      <c r="P3658" s="2" t="s">
        <v>73</v>
      </c>
      <c r="Q3658" s="3">
        <v>2120.0</v>
      </c>
      <c r="R3658" s="3">
        <v>0.5</v>
      </c>
      <c r="T3658" s="2" t="s">
        <v>14037</v>
      </c>
      <c r="U3658" s="171">
        <v>6398.0</v>
      </c>
      <c r="V3658" s="172">
        <v>46112.0</v>
      </c>
      <c r="W3658" s="3">
        <v>506.0</v>
      </c>
      <c r="X3658" s="172">
        <v>46111.582739722224</v>
      </c>
      <c r="Y3658" s="172">
        <v>46097.93541439815</v>
      </c>
      <c r="Z3658" s="3">
        <v>46097.0</v>
      </c>
      <c r="AA3658" s="2" t="s">
        <v>14032</v>
      </c>
    </row>
    <row r="3659">
      <c r="A3659" s="3">
        <v>6.955163123971E12</v>
      </c>
      <c r="B3659" s="2" t="s">
        <v>14829</v>
      </c>
      <c r="C3659" s="2" t="s">
        <v>14830</v>
      </c>
      <c r="D3659" s="169">
        <v>46097.0</v>
      </c>
      <c r="E3659" s="2">
        <v>3.224627176E9</v>
      </c>
      <c r="F3659" s="2" t="s">
        <v>14831</v>
      </c>
      <c r="G3659" s="2" t="s">
        <v>368</v>
      </c>
      <c r="H3659" s="2">
        <v>3348.0</v>
      </c>
      <c r="I3659" s="2">
        <v>2.2120050022777E13</v>
      </c>
      <c r="J3659" s="3">
        <v>2.0</v>
      </c>
      <c r="K3659" s="2" t="s">
        <v>13072</v>
      </c>
      <c r="L3659" s="2" t="s">
        <v>593</v>
      </c>
      <c r="M3659" s="2" t="s">
        <v>409</v>
      </c>
      <c r="N3659" s="2" t="s">
        <v>462</v>
      </c>
      <c r="O3659" s="3"/>
      <c r="P3659" s="2" t="s">
        <v>73</v>
      </c>
      <c r="Q3659" s="3">
        <v>1050.0</v>
      </c>
      <c r="R3659" s="3">
        <v>0.5</v>
      </c>
      <c r="T3659" s="2" t="s">
        <v>12177</v>
      </c>
      <c r="U3659" s="171">
        <v>3348.0</v>
      </c>
      <c r="V3659" s="172">
        <v>46105.0</v>
      </c>
      <c r="W3659" s="3">
        <v>241.0</v>
      </c>
      <c r="X3659" s="172">
        <v>46100.54134802084</v>
      </c>
      <c r="Y3659" s="172">
        <v>46097.93541439815</v>
      </c>
      <c r="Z3659" s="3">
        <v>46097.0</v>
      </c>
      <c r="AA3659" s="2" t="s">
        <v>14032</v>
      </c>
    </row>
    <row r="3660">
      <c r="A3660" s="3">
        <v>6.955186716931E12</v>
      </c>
      <c r="B3660" s="2" t="s">
        <v>14832</v>
      </c>
      <c r="C3660" s="2" t="s">
        <v>14833</v>
      </c>
      <c r="D3660" s="169">
        <v>46097.0</v>
      </c>
      <c r="E3660" s="2">
        <v>3.218485107E9</v>
      </c>
      <c r="F3660" s="2" t="s">
        <v>14834</v>
      </c>
      <c r="G3660" s="2" t="s">
        <v>368</v>
      </c>
      <c r="H3660" s="2">
        <v>3348.0</v>
      </c>
      <c r="I3660" s="2">
        <v>2.6120050022776E13</v>
      </c>
      <c r="J3660" s="3">
        <v>2.0</v>
      </c>
      <c r="K3660" s="2" t="s">
        <v>13072</v>
      </c>
      <c r="L3660" s="2" t="s">
        <v>22</v>
      </c>
      <c r="M3660" s="2" t="s">
        <v>409</v>
      </c>
      <c r="N3660" s="2" t="s">
        <v>462</v>
      </c>
      <c r="O3660" s="3"/>
      <c r="P3660" s="2" t="s">
        <v>73</v>
      </c>
      <c r="Q3660" s="3">
        <v>800.0</v>
      </c>
      <c r="R3660" s="3">
        <v>0.5</v>
      </c>
      <c r="T3660" s="2" t="s">
        <v>12177</v>
      </c>
      <c r="U3660" s="171">
        <v>3348.0</v>
      </c>
      <c r="V3660" s="172">
        <v>46105.0</v>
      </c>
      <c r="W3660" s="3">
        <v>241.0</v>
      </c>
      <c r="X3660" s="172">
        <v>46100.5829069676</v>
      </c>
      <c r="Y3660" s="172">
        <v>46097.97710444445</v>
      </c>
      <c r="Z3660" s="3">
        <v>46097.0</v>
      </c>
      <c r="AA3660" s="2" t="s">
        <v>14022</v>
      </c>
    </row>
    <row r="3661">
      <c r="A3661" s="3">
        <v>6.955257299203E12</v>
      </c>
      <c r="B3661" s="2" t="s">
        <v>14835</v>
      </c>
      <c r="C3661" s="2" t="s">
        <v>4162</v>
      </c>
      <c r="D3661" s="169">
        <v>46097.0</v>
      </c>
      <c r="E3661" s="2">
        <v>3.217701881E9</v>
      </c>
      <c r="F3661" s="2" t="s">
        <v>14836</v>
      </c>
      <c r="G3661" s="2" t="s">
        <v>1055</v>
      </c>
      <c r="H3661" s="2">
        <v>0.0</v>
      </c>
      <c r="J3661" s="3">
        <v>0.0</v>
      </c>
      <c r="K3661" s="2" t="s">
        <v>14837</v>
      </c>
      <c r="L3661" s="2"/>
      <c r="M3661" s="2" t="s">
        <v>468</v>
      </c>
      <c r="N3661" s="2" t="s">
        <v>406</v>
      </c>
      <c r="O3661" s="3"/>
      <c r="Q3661" s="3">
        <v>0.0</v>
      </c>
      <c r="R3661" s="3">
        <v>0.5</v>
      </c>
      <c r="U3661" s="141"/>
      <c r="X3661" s="172"/>
      <c r="Y3661" s="172">
        <v>46097.97710444445</v>
      </c>
      <c r="Z3661" s="3">
        <v>46097.0</v>
      </c>
      <c r="AA3661" s="2" t="s">
        <v>14032</v>
      </c>
    </row>
    <row r="3662">
      <c r="A3662" s="3">
        <v>6.955308810499E12</v>
      </c>
      <c r="B3662" s="2" t="s">
        <v>14838</v>
      </c>
      <c r="C3662" s="2" t="s">
        <v>14502</v>
      </c>
      <c r="D3662" s="169">
        <v>46098.0</v>
      </c>
      <c r="E3662" s="2">
        <v>3.338695786E9</v>
      </c>
      <c r="F3662" s="2" t="s">
        <v>14503</v>
      </c>
      <c r="G3662" s="2" t="s">
        <v>14504</v>
      </c>
      <c r="H3662" s="2">
        <v>3348.0</v>
      </c>
      <c r="I3662" s="2">
        <v>2.6120050022759E13</v>
      </c>
      <c r="J3662" s="3">
        <v>2.0</v>
      </c>
      <c r="K3662" s="2" t="s">
        <v>14373</v>
      </c>
      <c r="L3662" s="2" t="s">
        <v>1116</v>
      </c>
      <c r="M3662" s="2" t="s">
        <v>409</v>
      </c>
      <c r="N3662" s="2" t="s">
        <v>462</v>
      </c>
      <c r="O3662" s="3"/>
      <c r="P3662" s="2" t="s">
        <v>73</v>
      </c>
      <c r="Q3662" s="3">
        <v>800.0</v>
      </c>
      <c r="R3662" s="3">
        <v>0.5</v>
      </c>
      <c r="T3662" s="2" t="s">
        <v>12177</v>
      </c>
      <c r="U3662" s="171">
        <v>3348.0</v>
      </c>
      <c r="V3662" s="172">
        <v>46105.0</v>
      </c>
      <c r="W3662" s="3">
        <v>334.0</v>
      </c>
      <c r="X3662" s="172">
        <v>46099.87459914351</v>
      </c>
      <c r="Y3662" s="172">
        <v>46098.01874290509</v>
      </c>
      <c r="Z3662" s="3">
        <v>46098.0</v>
      </c>
      <c r="AA3662" s="2" t="s">
        <v>14032</v>
      </c>
    </row>
    <row r="3663">
      <c r="A3663" s="3">
        <v>6.955331911939E12</v>
      </c>
      <c r="B3663" s="2" t="s">
        <v>14839</v>
      </c>
      <c r="C3663" s="2" t="s">
        <v>14840</v>
      </c>
      <c r="D3663" s="169">
        <v>46098.0</v>
      </c>
      <c r="E3663" s="2">
        <v>3.018285513E9</v>
      </c>
      <c r="F3663" s="2" t="s">
        <v>14841</v>
      </c>
      <c r="G3663" s="2" t="s">
        <v>366</v>
      </c>
      <c r="H3663" s="2">
        <v>249.0</v>
      </c>
      <c r="I3663" s="2">
        <v>2.6120050022758E13</v>
      </c>
      <c r="J3663" s="3">
        <v>0.0</v>
      </c>
      <c r="K3663" s="2" t="s">
        <v>12763</v>
      </c>
      <c r="L3663" s="2"/>
      <c r="M3663" s="170" t="s">
        <v>455</v>
      </c>
      <c r="N3663" s="2" t="s">
        <v>406</v>
      </c>
      <c r="O3663" s="3"/>
      <c r="P3663" s="2" t="s">
        <v>73</v>
      </c>
      <c r="Q3663" s="3">
        <v>0.0</v>
      </c>
      <c r="R3663" s="3">
        <v>0.5</v>
      </c>
      <c r="U3663" s="141"/>
      <c r="W3663" s="3">
        <v>200.0</v>
      </c>
      <c r="X3663" s="172">
        <v>46110.582688043985</v>
      </c>
      <c r="Y3663" s="172">
        <v>46098.06042780093</v>
      </c>
      <c r="Z3663" s="3">
        <v>46098.0</v>
      </c>
      <c r="AA3663" s="2" t="s">
        <v>14022</v>
      </c>
    </row>
    <row r="3664">
      <c r="A3664" s="3">
        <v>6.955360092419E12</v>
      </c>
      <c r="B3664" s="2" t="s">
        <v>14842</v>
      </c>
      <c r="C3664" s="2" t="s">
        <v>14843</v>
      </c>
      <c r="D3664" s="169">
        <v>46098.0</v>
      </c>
      <c r="E3664" s="2">
        <v>3.130111E9</v>
      </c>
      <c r="F3664" s="2" t="s">
        <v>14844</v>
      </c>
      <c r="G3664" s="2" t="s">
        <v>1395</v>
      </c>
      <c r="H3664" s="2">
        <v>2049.0</v>
      </c>
      <c r="I3664" s="2">
        <v>2.7120050022835E13</v>
      </c>
      <c r="J3664" s="3">
        <v>1.0</v>
      </c>
      <c r="K3664" s="2" t="s">
        <v>14845</v>
      </c>
      <c r="L3664" s="2" t="s">
        <v>3965</v>
      </c>
      <c r="M3664" s="2" t="s">
        <v>409</v>
      </c>
      <c r="N3664" s="2" t="s">
        <v>462</v>
      </c>
      <c r="O3664" s="3"/>
      <c r="P3664" s="2" t="s">
        <v>73</v>
      </c>
      <c r="Q3664" s="3">
        <v>400.0</v>
      </c>
      <c r="R3664" s="3">
        <v>0.5</v>
      </c>
      <c r="T3664" s="2" t="s">
        <v>14037</v>
      </c>
      <c r="U3664" s="171">
        <v>2049.0</v>
      </c>
      <c r="V3664" s="172">
        <v>46112.0</v>
      </c>
      <c r="W3664" s="3">
        <v>318.0</v>
      </c>
      <c r="X3664" s="172">
        <v>46111.5827397338</v>
      </c>
      <c r="Y3664" s="172">
        <v>46098.06042780093</v>
      </c>
      <c r="Z3664" s="3">
        <v>46098.0</v>
      </c>
      <c r="AA3664" s="2" t="s">
        <v>14032</v>
      </c>
    </row>
    <row r="3665">
      <c r="A3665" s="3">
        <v>6.955365466371E12</v>
      </c>
      <c r="B3665" s="2" t="s">
        <v>14846</v>
      </c>
      <c r="C3665" s="2" t="s">
        <v>14847</v>
      </c>
      <c r="D3665" s="169">
        <v>46098.0</v>
      </c>
      <c r="E3665" s="2">
        <v>3.083111182E9</v>
      </c>
      <c r="F3665" s="2" t="s">
        <v>14848</v>
      </c>
      <c r="G3665" s="2" t="s">
        <v>688</v>
      </c>
      <c r="H3665" s="2">
        <v>3348.0</v>
      </c>
      <c r="I3665" s="2">
        <v>2.7120050022834E13</v>
      </c>
      <c r="J3665" s="3">
        <v>2.0</v>
      </c>
      <c r="K3665" s="2" t="s">
        <v>14849</v>
      </c>
      <c r="L3665" s="2" t="s">
        <v>22</v>
      </c>
      <c r="M3665" s="2" t="s">
        <v>409</v>
      </c>
      <c r="N3665" s="2" t="s">
        <v>462</v>
      </c>
      <c r="O3665" s="3"/>
      <c r="P3665" s="2" t="s">
        <v>73</v>
      </c>
      <c r="Q3665" s="3">
        <v>800.0</v>
      </c>
      <c r="R3665" s="3">
        <v>0.5</v>
      </c>
      <c r="T3665" s="2" t="s">
        <v>14037</v>
      </c>
      <c r="U3665" s="171">
        <v>3348.0</v>
      </c>
      <c r="V3665" s="172">
        <v>46112.0</v>
      </c>
      <c r="W3665" s="3">
        <v>355.0</v>
      </c>
      <c r="X3665" s="172">
        <v>46109.70777883102</v>
      </c>
      <c r="Y3665" s="172">
        <v>46098.06042780093</v>
      </c>
      <c r="Z3665" s="3">
        <v>46098.0</v>
      </c>
      <c r="AA3665" s="2" t="s">
        <v>14032</v>
      </c>
    </row>
    <row r="3666">
      <c r="A3666" s="3">
        <v>6.955408851203E12</v>
      </c>
      <c r="B3666" s="2" t="s">
        <v>14850</v>
      </c>
      <c r="C3666" s="2" t="s">
        <v>14851</v>
      </c>
      <c r="D3666" s="169">
        <v>46098.0</v>
      </c>
      <c r="E3666" s="2">
        <v>3.008983078E9</v>
      </c>
      <c r="F3666" s="2" t="s">
        <v>14852</v>
      </c>
      <c r="G3666" s="2" t="s">
        <v>366</v>
      </c>
      <c r="H3666" s="2">
        <v>0.0</v>
      </c>
      <c r="I3666" s="2">
        <v>2.9120050023044E13</v>
      </c>
      <c r="J3666" s="3">
        <v>0.0</v>
      </c>
      <c r="K3666" s="2" t="s">
        <v>375</v>
      </c>
      <c r="L3666" s="2"/>
      <c r="M3666" s="2" t="s">
        <v>468</v>
      </c>
      <c r="N3666" s="2" t="s">
        <v>406</v>
      </c>
      <c r="O3666" s="3"/>
      <c r="P3666" s="2" t="s">
        <v>73</v>
      </c>
      <c r="Q3666" s="3">
        <v>0.0</v>
      </c>
      <c r="R3666" s="3">
        <v>0.5</v>
      </c>
      <c r="U3666" s="141"/>
      <c r="X3666" s="172">
        <v>46122.081017777775</v>
      </c>
      <c r="Y3666" s="172">
        <v>46098.10209395833</v>
      </c>
      <c r="Z3666" s="3">
        <v>46098.0</v>
      </c>
      <c r="AA3666" s="2" t="s">
        <v>14022</v>
      </c>
    </row>
    <row r="3667">
      <c r="A3667" s="3">
        <v>6.955448664323E12</v>
      </c>
      <c r="B3667" s="2" t="s">
        <v>14853</v>
      </c>
      <c r="C3667" s="175" t="s">
        <v>14854</v>
      </c>
      <c r="D3667" s="169">
        <v>46098.0</v>
      </c>
      <c r="E3667" s="2">
        <v>3.311389981E9</v>
      </c>
      <c r="F3667" s="2" t="s">
        <v>14855</v>
      </c>
      <c r="G3667" s="2" t="s">
        <v>366</v>
      </c>
      <c r="H3667" s="2">
        <v>3348.0</v>
      </c>
      <c r="I3667" s="2">
        <v>2.1120050022757E13</v>
      </c>
      <c r="J3667" s="3">
        <v>2.0</v>
      </c>
      <c r="K3667" s="2" t="s">
        <v>14057</v>
      </c>
      <c r="L3667" s="2" t="s">
        <v>296</v>
      </c>
      <c r="M3667" s="2" t="s">
        <v>409</v>
      </c>
      <c r="N3667" s="2" t="s">
        <v>462</v>
      </c>
      <c r="O3667" s="3"/>
      <c r="P3667" s="2" t="s">
        <v>73</v>
      </c>
      <c r="Q3667" s="3">
        <v>720.0</v>
      </c>
      <c r="R3667" s="3">
        <v>0.5</v>
      </c>
      <c r="T3667" s="2" t="s">
        <v>13421</v>
      </c>
      <c r="U3667" s="171">
        <v>3348.0</v>
      </c>
      <c r="V3667" s="172">
        <v>46108.0</v>
      </c>
      <c r="W3667" s="3">
        <v>334.02</v>
      </c>
      <c r="X3667" s="172">
        <v>46106.62453728009</v>
      </c>
      <c r="Y3667" s="172">
        <v>46098.10209395833</v>
      </c>
      <c r="Z3667" s="3">
        <v>46098.0</v>
      </c>
      <c r="AA3667" s="2" t="s">
        <v>14032</v>
      </c>
    </row>
    <row r="3668">
      <c r="A3668" s="3">
        <v>6.955450269955E12</v>
      </c>
      <c r="B3668" s="2" t="s">
        <v>14856</v>
      </c>
      <c r="C3668" s="2" t="s">
        <v>14857</v>
      </c>
      <c r="D3668" s="169">
        <v>46098.0</v>
      </c>
      <c r="E3668" s="173" t="s">
        <v>14858</v>
      </c>
      <c r="F3668" s="2" t="s">
        <v>14859</v>
      </c>
      <c r="G3668" s="2" t="s">
        <v>688</v>
      </c>
      <c r="H3668" s="2">
        <v>3548.0</v>
      </c>
      <c r="I3668" s="2">
        <v>2.3120050022756E13</v>
      </c>
      <c r="J3668" s="3">
        <v>2.0</v>
      </c>
      <c r="K3668" s="2" t="s">
        <v>14304</v>
      </c>
      <c r="L3668" s="2" t="s">
        <v>35</v>
      </c>
      <c r="M3668" s="2" t="s">
        <v>409</v>
      </c>
      <c r="N3668" s="2" t="s">
        <v>462</v>
      </c>
      <c r="O3668" s="3"/>
      <c r="P3668" s="2" t="s">
        <v>73</v>
      </c>
      <c r="Q3668" s="3">
        <v>980.0</v>
      </c>
      <c r="R3668" s="3">
        <v>0.5</v>
      </c>
      <c r="T3668" s="2" t="s">
        <v>12177</v>
      </c>
      <c r="U3668" s="171">
        <v>3548.0</v>
      </c>
      <c r="V3668" s="172">
        <v>46105.0</v>
      </c>
      <c r="W3668" s="3">
        <v>342.0</v>
      </c>
      <c r="X3668" s="172">
        <v>46099.66618079861</v>
      </c>
      <c r="Y3668" s="172">
        <v>46098.10209395833</v>
      </c>
      <c r="Z3668" s="3">
        <v>46098.0</v>
      </c>
      <c r="AA3668" s="2" t="s">
        <v>14032</v>
      </c>
    </row>
    <row r="3669">
      <c r="A3669" s="3">
        <v>6.955578720515E12</v>
      </c>
      <c r="B3669" s="2" t="s">
        <v>14860</v>
      </c>
      <c r="C3669" s="2" t="s">
        <v>14861</v>
      </c>
      <c r="D3669" s="169">
        <v>46098.0</v>
      </c>
      <c r="E3669" s="173" t="s">
        <v>14862</v>
      </c>
      <c r="F3669" s="2" t="s">
        <v>14863</v>
      </c>
      <c r="G3669" s="2" t="s">
        <v>993</v>
      </c>
      <c r="H3669" s="2">
        <v>3348.0</v>
      </c>
      <c r="I3669" s="2">
        <v>2.8120050022755E13</v>
      </c>
      <c r="J3669" s="3">
        <v>2.0</v>
      </c>
      <c r="K3669" s="2" t="s">
        <v>13072</v>
      </c>
      <c r="L3669" s="2" t="s">
        <v>40</v>
      </c>
      <c r="M3669" s="2" t="s">
        <v>409</v>
      </c>
      <c r="N3669" s="2" t="s">
        <v>462</v>
      </c>
      <c r="O3669" s="3"/>
      <c r="P3669" s="2" t="s">
        <v>73</v>
      </c>
      <c r="Q3669" s="3">
        <v>720.0</v>
      </c>
      <c r="R3669" s="3">
        <v>0.5</v>
      </c>
      <c r="T3669" s="2" t="s">
        <v>12177</v>
      </c>
      <c r="U3669" s="171">
        <v>3348.0</v>
      </c>
      <c r="V3669" s="172">
        <v>46105.0</v>
      </c>
      <c r="W3669" s="3">
        <v>354.0</v>
      </c>
      <c r="X3669" s="172">
        <v>46100.666156377316</v>
      </c>
      <c r="Y3669" s="172">
        <v>46098.227082673606</v>
      </c>
      <c r="Z3669" s="3">
        <v>46098.0</v>
      </c>
      <c r="AA3669" s="2" t="s">
        <v>14032</v>
      </c>
    </row>
    <row r="3670">
      <c r="A3670" s="3">
        <v>6.955582750979E12</v>
      </c>
      <c r="B3670" s="2" t="s">
        <v>14864</v>
      </c>
      <c r="C3670" s="2" t="s">
        <v>14865</v>
      </c>
      <c r="D3670" s="169">
        <v>46098.0</v>
      </c>
      <c r="E3670" s="2">
        <v>3.046201406E9</v>
      </c>
      <c r="F3670" s="2" t="s">
        <v>14866</v>
      </c>
      <c r="G3670" s="2" t="s">
        <v>1323</v>
      </c>
      <c r="H3670" s="2">
        <v>1449.0</v>
      </c>
      <c r="I3670" s="2">
        <v>2.5120050022754E13</v>
      </c>
      <c r="J3670" s="3">
        <v>1.0</v>
      </c>
      <c r="K3670" s="2" t="s">
        <v>13324</v>
      </c>
      <c r="L3670" s="2" t="s">
        <v>14867</v>
      </c>
      <c r="M3670" s="2" t="s">
        <v>409</v>
      </c>
      <c r="N3670" s="2" t="s">
        <v>462</v>
      </c>
      <c r="O3670" s="3"/>
      <c r="P3670" s="2" t="s">
        <v>73</v>
      </c>
      <c r="Q3670" s="3">
        <v>550.0</v>
      </c>
      <c r="R3670" s="3">
        <v>0.5</v>
      </c>
      <c r="T3670" s="2" t="s">
        <v>12177</v>
      </c>
      <c r="U3670" s="171">
        <v>1449.0</v>
      </c>
      <c r="V3670" s="172">
        <v>46105.0</v>
      </c>
      <c r="W3670" s="3">
        <v>278.0</v>
      </c>
      <c r="X3670" s="172">
        <v>46099.541218865736</v>
      </c>
      <c r="Y3670" s="172">
        <v>46098.227082673606</v>
      </c>
      <c r="Z3670" s="3">
        <v>46098.0</v>
      </c>
      <c r="AA3670" s="2" t="s">
        <v>14032</v>
      </c>
    </row>
    <row r="3671">
      <c r="A3671" s="3">
        <v>6.955594088707E12</v>
      </c>
      <c r="B3671" s="2" t="s">
        <v>14868</v>
      </c>
      <c r="C3671" s="2" t="s">
        <v>14869</v>
      </c>
      <c r="D3671" s="169">
        <v>46098.0</v>
      </c>
      <c r="E3671" s="2">
        <v>3.006156277E9</v>
      </c>
      <c r="F3671" s="2" t="s">
        <v>14870</v>
      </c>
      <c r="G3671" s="2" t="s">
        <v>688</v>
      </c>
      <c r="H3671" s="2">
        <v>3348.0</v>
      </c>
      <c r="I3671" s="2">
        <v>2.5120050022753E13</v>
      </c>
      <c r="J3671" s="3">
        <v>2.0</v>
      </c>
      <c r="K3671" s="2" t="s">
        <v>14871</v>
      </c>
      <c r="L3671" s="2" t="s">
        <v>1258</v>
      </c>
      <c r="M3671" s="2" t="s">
        <v>409</v>
      </c>
      <c r="N3671" s="2" t="s">
        <v>462</v>
      </c>
      <c r="O3671" s="3"/>
      <c r="P3671" s="2" t="s">
        <v>73</v>
      </c>
      <c r="Q3671" s="3">
        <v>800.0</v>
      </c>
      <c r="R3671" s="3">
        <v>0.5</v>
      </c>
      <c r="T3671" s="2" t="s">
        <v>12177</v>
      </c>
      <c r="U3671" s="171">
        <v>3348.0</v>
      </c>
      <c r="V3671" s="172">
        <v>46105.0</v>
      </c>
      <c r="W3671" s="3">
        <v>354.0</v>
      </c>
      <c r="X3671" s="172">
        <v>46100.582908888886</v>
      </c>
      <c r="Y3671" s="172">
        <v>46098.227082673606</v>
      </c>
      <c r="Z3671" s="3">
        <v>46098.0</v>
      </c>
      <c r="AA3671" s="2" t="s">
        <v>14032</v>
      </c>
    </row>
    <row r="3672">
      <c r="A3672" s="3">
        <v>6.955605885187E12</v>
      </c>
      <c r="B3672" s="2" t="s">
        <v>14872</v>
      </c>
      <c r="C3672" s="2" t="s">
        <v>14873</v>
      </c>
      <c r="D3672" s="169">
        <v>46098.0</v>
      </c>
      <c r="E3672" s="2">
        <v>3.248900662E9</v>
      </c>
      <c r="F3672" s="2" t="s">
        <v>14874</v>
      </c>
      <c r="G3672" s="2" t="s">
        <v>855</v>
      </c>
      <c r="H3672" s="2">
        <v>1799.0</v>
      </c>
      <c r="I3672" s="2">
        <v>2.9120050022752E13</v>
      </c>
      <c r="J3672" s="3">
        <v>1.0</v>
      </c>
      <c r="K3672" s="2" t="s">
        <v>13375</v>
      </c>
      <c r="L3672" s="2" t="s">
        <v>1185</v>
      </c>
      <c r="M3672" s="2" t="s">
        <v>409</v>
      </c>
      <c r="N3672" s="2" t="s">
        <v>462</v>
      </c>
      <c r="O3672" s="3"/>
      <c r="P3672" s="2" t="s">
        <v>73</v>
      </c>
      <c r="Q3672" s="3">
        <v>490.0</v>
      </c>
      <c r="R3672" s="3">
        <v>0.5</v>
      </c>
      <c r="T3672" s="2" t="s">
        <v>12177</v>
      </c>
      <c r="U3672" s="171">
        <v>1799.0</v>
      </c>
      <c r="V3672" s="172">
        <v>46105.0</v>
      </c>
      <c r="W3672" s="3">
        <v>272.0</v>
      </c>
      <c r="X3672" s="172">
        <v>46100.49967077546</v>
      </c>
      <c r="Y3672" s="172">
        <v>46098.227082673606</v>
      </c>
      <c r="Z3672" s="3">
        <v>46098.0</v>
      </c>
      <c r="AA3672" s="2" t="s">
        <v>14053</v>
      </c>
    </row>
    <row r="3673">
      <c r="A3673" s="3">
        <v>6.955644027139E12</v>
      </c>
      <c r="B3673" s="2" t="s">
        <v>14875</v>
      </c>
      <c r="C3673" s="2" t="s">
        <v>14876</v>
      </c>
      <c r="D3673" s="169">
        <v>46098.0</v>
      </c>
      <c r="E3673" s="173" t="s">
        <v>14877</v>
      </c>
      <c r="F3673" s="2" t="s">
        <v>14878</v>
      </c>
      <c r="G3673" s="2" t="s">
        <v>14879</v>
      </c>
      <c r="H3673" s="2">
        <v>249.0</v>
      </c>
      <c r="I3673" s="2">
        <v>2.7120050022751E13</v>
      </c>
      <c r="J3673" s="3">
        <v>0.0</v>
      </c>
      <c r="K3673" s="2" t="s">
        <v>14116</v>
      </c>
      <c r="L3673" s="2"/>
      <c r="M3673" s="170" t="s">
        <v>455</v>
      </c>
      <c r="N3673" s="2" t="s">
        <v>406</v>
      </c>
      <c r="O3673" s="3"/>
      <c r="P3673" s="2" t="s">
        <v>73</v>
      </c>
      <c r="Q3673" s="3">
        <v>0.0</v>
      </c>
      <c r="R3673" s="3">
        <v>0.5</v>
      </c>
      <c r="U3673" s="141"/>
      <c r="W3673" s="3">
        <v>220.0</v>
      </c>
      <c r="X3673" s="172">
        <v>46109.832701921296</v>
      </c>
      <c r="Y3673" s="172">
        <v>46098.26876261574</v>
      </c>
      <c r="Z3673" s="3">
        <v>46098.0</v>
      </c>
      <c r="AA3673" s="2" t="s">
        <v>14032</v>
      </c>
    </row>
    <row r="3674">
      <c r="A3674" s="3">
        <v>6.955661295875E12</v>
      </c>
      <c r="B3674" s="2" t="s">
        <v>14880</v>
      </c>
      <c r="C3674" s="2" t="s">
        <v>14881</v>
      </c>
      <c r="D3674" s="169">
        <v>46098.0</v>
      </c>
      <c r="E3674" s="2">
        <v>3.336450584E9</v>
      </c>
      <c r="F3674" s="2" t="s">
        <v>14882</v>
      </c>
      <c r="G3674" s="2" t="s">
        <v>3068</v>
      </c>
      <c r="H3674" s="2">
        <v>249.0</v>
      </c>
      <c r="I3674" s="2">
        <v>2.912005002281E13</v>
      </c>
      <c r="J3674" s="3">
        <v>0.0</v>
      </c>
      <c r="K3674" s="2" t="s">
        <v>14883</v>
      </c>
      <c r="L3674" s="2"/>
      <c r="M3674" s="170" t="s">
        <v>455</v>
      </c>
      <c r="N3674" s="2" t="s">
        <v>406</v>
      </c>
      <c r="O3674" s="3"/>
      <c r="P3674" s="2" t="s">
        <v>73</v>
      </c>
      <c r="Q3674" s="3">
        <v>0.0</v>
      </c>
      <c r="R3674" s="3">
        <v>0.5</v>
      </c>
      <c r="U3674" s="141"/>
      <c r="W3674" s="3">
        <v>200.1</v>
      </c>
      <c r="X3674" s="172">
        <v>46119.0809795949</v>
      </c>
      <c r="Y3674" s="172">
        <v>46098.26876261574</v>
      </c>
      <c r="Z3674" s="3">
        <v>46098.0</v>
      </c>
      <c r="AA3674" s="2" t="s">
        <v>14032</v>
      </c>
    </row>
    <row r="3675">
      <c r="A3675" s="3">
        <v>6.955737317635E12</v>
      </c>
      <c r="B3675" s="2" t="s">
        <v>14884</v>
      </c>
      <c r="C3675" s="2" t="s">
        <v>14885</v>
      </c>
      <c r="D3675" s="169">
        <v>46098.0</v>
      </c>
      <c r="E3675" s="2">
        <v>3.175133231E9</v>
      </c>
      <c r="F3675" s="2" t="s">
        <v>14886</v>
      </c>
      <c r="G3675" s="2" t="s">
        <v>4788</v>
      </c>
      <c r="H3675" s="2">
        <v>0.0</v>
      </c>
      <c r="I3675" s="2">
        <v>2.912005002293E13</v>
      </c>
      <c r="J3675" s="3">
        <v>0.0</v>
      </c>
      <c r="K3675" s="2" t="s">
        <v>14887</v>
      </c>
      <c r="L3675" s="2"/>
      <c r="M3675" s="170" t="s">
        <v>455</v>
      </c>
      <c r="N3675" s="2" t="s">
        <v>406</v>
      </c>
      <c r="O3675" s="3"/>
      <c r="P3675" s="2" t="s">
        <v>73</v>
      </c>
      <c r="Q3675" s="3">
        <v>0.0</v>
      </c>
      <c r="R3675" s="3">
        <v>0.5</v>
      </c>
      <c r="U3675" s="141"/>
      <c r="W3675" s="3">
        <v>250.44</v>
      </c>
      <c r="X3675" s="172">
        <v>46115.83268570602</v>
      </c>
      <c r="Y3675" s="172">
        <v>46098.35208856482</v>
      </c>
      <c r="Z3675" s="3">
        <v>46098.0</v>
      </c>
      <c r="AA3675" s="2" t="s">
        <v>14032</v>
      </c>
    </row>
    <row r="3676">
      <c r="A3676" s="3">
        <v>6.955812946179E12</v>
      </c>
      <c r="B3676" s="2" t="s">
        <v>14888</v>
      </c>
      <c r="C3676" s="2" t="s">
        <v>4739</v>
      </c>
      <c r="D3676" s="169">
        <v>46098.0</v>
      </c>
      <c r="E3676" s="2">
        <v>3.084790901E9</v>
      </c>
      <c r="F3676" s="2" t="s">
        <v>14889</v>
      </c>
      <c r="G3676" s="2" t="s">
        <v>493</v>
      </c>
      <c r="H3676" s="2">
        <v>0.0</v>
      </c>
      <c r="J3676" s="3">
        <v>0.0</v>
      </c>
      <c r="K3676" s="2" t="s">
        <v>14890</v>
      </c>
      <c r="L3676" s="2"/>
      <c r="M3676" s="2" t="s">
        <v>468</v>
      </c>
      <c r="N3676" s="2" t="s">
        <v>406</v>
      </c>
      <c r="O3676" s="3"/>
      <c r="Q3676" s="3">
        <v>0.0</v>
      </c>
      <c r="R3676" s="3">
        <v>0.5</v>
      </c>
      <c r="U3676" s="141"/>
      <c r="X3676" s="172"/>
      <c r="Y3676" s="172">
        <v>46098.43543373843</v>
      </c>
      <c r="Z3676" s="3">
        <v>46098.0</v>
      </c>
      <c r="AA3676" s="2" t="s">
        <v>14103</v>
      </c>
    </row>
    <row r="3677">
      <c r="A3677" s="3">
        <v>6.955828674819E12</v>
      </c>
      <c r="B3677" s="2" t="s">
        <v>14891</v>
      </c>
      <c r="C3677" s="2" t="s">
        <v>14892</v>
      </c>
      <c r="D3677" s="169">
        <v>46098.0</v>
      </c>
      <c r="E3677" s="2">
        <v>3.105117464E9</v>
      </c>
      <c r="F3677" s="2" t="s">
        <v>14893</v>
      </c>
      <c r="G3677" s="2" t="s">
        <v>3500</v>
      </c>
      <c r="H3677" s="2">
        <v>249.0</v>
      </c>
      <c r="I3677" s="2">
        <v>1.73012118805E11</v>
      </c>
      <c r="J3677" s="3">
        <v>0.0</v>
      </c>
      <c r="K3677" s="2" t="s">
        <v>14894</v>
      </c>
      <c r="L3677" s="2"/>
      <c r="M3677" s="170" t="s">
        <v>455</v>
      </c>
      <c r="N3677" s="2" t="s">
        <v>406</v>
      </c>
      <c r="O3677" s="3"/>
      <c r="P3677" s="2" t="s">
        <v>501</v>
      </c>
      <c r="Q3677" s="3">
        <v>0.0</v>
      </c>
      <c r="R3677" s="3">
        <v>0.5</v>
      </c>
      <c r="U3677" s="141"/>
      <c r="X3677" s="172">
        <v>46122.082799537035</v>
      </c>
      <c r="Y3677" s="172">
        <v>46098.43543373843</v>
      </c>
      <c r="Z3677" s="3">
        <v>46098.0</v>
      </c>
      <c r="AA3677" s="2" t="s">
        <v>14022</v>
      </c>
    </row>
    <row r="3678">
      <c r="A3678" s="3">
        <v>6.955875041539E12</v>
      </c>
      <c r="B3678" s="2" t="s">
        <v>14895</v>
      </c>
      <c r="C3678" s="2" t="s">
        <v>13960</v>
      </c>
      <c r="D3678" s="169">
        <v>46098.0</v>
      </c>
      <c r="E3678" s="2">
        <v>3.219393433E9</v>
      </c>
      <c r="F3678" s="2" t="s">
        <v>13961</v>
      </c>
      <c r="G3678" s="2" t="s">
        <v>688</v>
      </c>
      <c r="H3678" s="2">
        <v>3348.0</v>
      </c>
      <c r="I3678" s="2">
        <v>2.212005002275E13</v>
      </c>
      <c r="J3678" s="3">
        <v>2.0</v>
      </c>
      <c r="K3678" s="2" t="s">
        <v>13072</v>
      </c>
      <c r="L3678" s="2" t="s">
        <v>1116</v>
      </c>
      <c r="M3678" s="2" t="s">
        <v>409</v>
      </c>
      <c r="N3678" s="2" t="s">
        <v>462</v>
      </c>
      <c r="O3678" s="3"/>
      <c r="P3678" s="2" t="s">
        <v>73</v>
      </c>
      <c r="Q3678" s="3">
        <v>800.0</v>
      </c>
      <c r="R3678" s="3">
        <v>0.5</v>
      </c>
      <c r="T3678" s="2" t="s">
        <v>12177</v>
      </c>
      <c r="U3678" s="171">
        <v>3348.0</v>
      </c>
      <c r="V3678" s="172">
        <v>46105.0</v>
      </c>
      <c r="W3678" s="3">
        <v>334.0</v>
      </c>
      <c r="X3678" s="172">
        <v>46099.83291375</v>
      </c>
      <c r="Y3678" s="172">
        <v>46098.47708601852</v>
      </c>
      <c r="Z3678" s="3">
        <v>46098.0</v>
      </c>
      <c r="AA3678" s="2" t="s">
        <v>14022</v>
      </c>
    </row>
    <row r="3679">
      <c r="A3679" s="3">
        <v>6.955911479555E12</v>
      </c>
      <c r="B3679" s="2" t="s">
        <v>14896</v>
      </c>
      <c r="C3679" s="2" t="s">
        <v>14897</v>
      </c>
      <c r="D3679" s="169">
        <v>46098.0</v>
      </c>
      <c r="E3679" s="2">
        <v>3.338552863E9</v>
      </c>
      <c r="F3679" s="2" t="s">
        <v>14898</v>
      </c>
      <c r="G3679" s="2" t="s">
        <v>4667</v>
      </c>
      <c r="H3679" s="2">
        <v>1899.0</v>
      </c>
      <c r="I3679" s="2">
        <v>2.7120050022749E13</v>
      </c>
      <c r="J3679" s="3">
        <v>1.0</v>
      </c>
      <c r="K3679" s="2" t="s">
        <v>14709</v>
      </c>
      <c r="L3679" s="2" t="s">
        <v>14234</v>
      </c>
      <c r="M3679" s="2" t="s">
        <v>409</v>
      </c>
      <c r="N3679" s="2" t="s">
        <v>462</v>
      </c>
      <c r="O3679" s="3"/>
      <c r="P3679" s="2" t="s">
        <v>73</v>
      </c>
      <c r="Q3679" s="3">
        <v>550.0</v>
      </c>
      <c r="R3679" s="3">
        <v>0.5</v>
      </c>
      <c r="T3679" s="2" t="s">
        <v>12177</v>
      </c>
      <c r="U3679" s="171">
        <v>1899.0</v>
      </c>
      <c r="V3679" s="172">
        <v>46105.0</v>
      </c>
      <c r="W3679" s="3">
        <v>296.0</v>
      </c>
      <c r="X3679" s="172">
        <v>46100.58291055556</v>
      </c>
      <c r="Y3679" s="172">
        <v>46098.5188015162</v>
      </c>
      <c r="Z3679" s="3">
        <v>46098.0</v>
      </c>
      <c r="AA3679" s="2" t="s">
        <v>14032</v>
      </c>
    </row>
    <row r="3680">
      <c r="A3680" s="3">
        <v>6.955941363971E12</v>
      </c>
      <c r="B3680" s="2" t="s">
        <v>14899</v>
      </c>
      <c r="C3680" s="2" t="s">
        <v>14900</v>
      </c>
      <c r="D3680" s="169">
        <v>46098.0</v>
      </c>
      <c r="E3680" s="2">
        <v>3.555871697E9</v>
      </c>
      <c r="F3680" s="2" t="s">
        <v>14901</v>
      </c>
      <c r="G3680" s="2" t="s">
        <v>1180</v>
      </c>
      <c r="H3680" s="2">
        <v>3348.0</v>
      </c>
      <c r="I3680" s="2" t="s">
        <v>14902</v>
      </c>
      <c r="J3680" s="3">
        <v>2.0</v>
      </c>
      <c r="K3680" s="2" t="s">
        <v>204</v>
      </c>
      <c r="L3680" s="2" t="s">
        <v>275</v>
      </c>
      <c r="M3680" s="2" t="s">
        <v>409</v>
      </c>
      <c r="N3680" s="2" t="s">
        <v>406</v>
      </c>
      <c r="O3680" s="3"/>
      <c r="P3680" s="2" t="s">
        <v>640</v>
      </c>
      <c r="Q3680" s="3">
        <v>800.0</v>
      </c>
      <c r="R3680" s="3">
        <v>0.5</v>
      </c>
      <c r="U3680" s="141"/>
      <c r="X3680" s="172">
        <v>46112.70945630787</v>
      </c>
      <c r="Y3680" s="172">
        <v>46098.5188015162</v>
      </c>
      <c r="Z3680" s="3">
        <v>46098.0</v>
      </c>
      <c r="AA3680" s="2" t="s">
        <v>14032</v>
      </c>
    </row>
    <row r="3681">
      <c r="A3681" s="3">
        <v>6.955946148099E12</v>
      </c>
      <c r="B3681" s="2" t="s">
        <v>14903</v>
      </c>
      <c r="C3681" s="2" t="s">
        <v>14904</v>
      </c>
      <c r="D3681" s="169">
        <v>46098.0</v>
      </c>
      <c r="E3681" s="2">
        <v>3.318810316E9</v>
      </c>
      <c r="F3681" s="2" t="s">
        <v>14905</v>
      </c>
      <c r="G3681" s="2" t="s">
        <v>3500</v>
      </c>
      <c r="H3681" s="2">
        <v>0.0</v>
      </c>
      <c r="J3681" s="3">
        <v>0.0</v>
      </c>
      <c r="K3681" s="2" t="s">
        <v>14906</v>
      </c>
      <c r="L3681" s="2"/>
      <c r="M3681" s="2" t="s">
        <v>468</v>
      </c>
      <c r="N3681" s="2" t="s">
        <v>406</v>
      </c>
      <c r="O3681" s="3"/>
      <c r="Q3681" s="3">
        <v>0.0</v>
      </c>
      <c r="R3681" s="3">
        <v>0.5</v>
      </c>
      <c r="U3681" s="141"/>
      <c r="X3681" s="172"/>
      <c r="Y3681" s="172">
        <v>46098.56042956018</v>
      </c>
      <c r="Z3681" s="3">
        <v>46098.0</v>
      </c>
      <c r="AA3681" s="2" t="s">
        <v>14041</v>
      </c>
    </row>
    <row r="3682">
      <c r="A3682" s="3">
        <v>6.955955978499E12</v>
      </c>
      <c r="B3682" s="2" t="s">
        <v>14907</v>
      </c>
      <c r="C3682" s="175" t="s">
        <v>14908</v>
      </c>
      <c r="D3682" s="169">
        <v>46098.0</v>
      </c>
      <c r="E3682" s="173" t="s">
        <v>14909</v>
      </c>
      <c r="F3682" s="2" t="s">
        <v>14910</v>
      </c>
      <c r="G3682" s="2" t="s">
        <v>368</v>
      </c>
      <c r="H3682" s="2">
        <v>2049.0</v>
      </c>
      <c r="I3682" s="2">
        <v>2.3120050022748E13</v>
      </c>
      <c r="J3682" s="3">
        <v>1.0</v>
      </c>
      <c r="K3682" s="2" t="s">
        <v>14911</v>
      </c>
      <c r="L3682" s="2" t="s">
        <v>10458</v>
      </c>
      <c r="M3682" s="2" t="s">
        <v>409</v>
      </c>
      <c r="N3682" s="2" t="s">
        <v>462</v>
      </c>
      <c r="O3682" s="3"/>
      <c r="P3682" s="2" t="s">
        <v>73</v>
      </c>
      <c r="Q3682" s="3">
        <v>360.0</v>
      </c>
      <c r="R3682" s="3">
        <v>0.5</v>
      </c>
      <c r="T3682" s="2" t="s">
        <v>12177</v>
      </c>
      <c r="U3682" s="171">
        <v>2049.0</v>
      </c>
      <c r="V3682" s="172">
        <v>46105.0</v>
      </c>
      <c r="W3682" s="3">
        <v>202.0</v>
      </c>
      <c r="X3682" s="172">
        <v>46099.62464324074</v>
      </c>
      <c r="Y3682" s="172">
        <v>46098.56042956018</v>
      </c>
      <c r="Z3682" s="3">
        <v>46098.0</v>
      </c>
      <c r="AA3682" s="2" t="s">
        <v>14032</v>
      </c>
    </row>
    <row r="3683">
      <c r="A3683" s="3">
        <v>6.955958698243E12</v>
      </c>
      <c r="B3683" s="2" t="s">
        <v>14912</v>
      </c>
      <c r="C3683" s="2" t="s">
        <v>14913</v>
      </c>
      <c r="D3683" s="169">
        <v>46098.0</v>
      </c>
      <c r="E3683" s="173" t="s">
        <v>14914</v>
      </c>
      <c r="F3683" s="173" t="s">
        <v>14915</v>
      </c>
      <c r="G3683" s="173" t="s">
        <v>14916</v>
      </c>
      <c r="H3683" s="2">
        <v>1500.0</v>
      </c>
      <c r="I3683" s="2" t="s">
        <v>14917</v>
      </c>
      <c r="J3683" s="3">
        <v>1.0</v>
      </c>
      <c r="K3683" s="2" t="s">
        <v>14918</v>
      </c>
      <c r="L3683" s="2" t="s">
        <v>1720</v>
      </c>
      <c r="M3683" s="2" t="s">
        <v>409</v>
      </c>
      <c r="N3683" s="2" t="s">
        <v>406</v>
      </c>
      <c r="O3683" s="3"/>
      <c r="Q3683" s="3">
        <v>490.0</v>
      </c>
      <c r="R3683" s="3">
        <v>0.5</v>
      </c>
      <c r="U3683" s="141"/>
      <c r="X3683" s="172"/>
      <c r="Y3683" s="172">
        <v>46098.56042956018</v>
      </c>
      <c r="Z3683" s="3">
        <v>46098.0</v>
      </c>
      <c r="AA3683" s="2" t="s">
        <v>14026</v>
      </c>
    </row>
    <row r="3684">
      <c r="A3684" s="3">
        <v>6.955960860931E12</v>
      </c>
      <c r="B3684" s="2" t="s">
        <v>14919</v>
      </c>
      <c r="C3684" s="2" t="s">
        <v>14920</v>
      </c>
      <c r="D3684" s="169">
        <v>46098.0</v>
      </c>
      <c r="E3684" s="173" t="s">
        <v>14921</v>
      </c>
      <c r="F3684" s="2" t="s">
        <v>14922</v>
      </c>
      <c r="G3684" s="2" t="s">
        <v>14923</v>
      </c>
      <c r="H3684" s="2">
        <v>2950.0</v>
      </c>
      <c r="I3684" s="2">
        <v>2.6120050022747E13</v>
      </c>
      <c r="J3684" s="3">
        <v>2.0</v>
      </c>
      <c r="K3684" s="2" t="s">
        <v>14924</v>
      </c>
      <c r="L3684" s="2" t="s">
        <v>14925</v>
      </c>
      <c r="M3684" s="2" t="s">
        <v>409</v>
      </c>
      <c r="N3684" s="2" t="s">
        <v>462</v>
      </c>
      <c r="O3684" s="3"/>
      <c r="P3684" s="2" t="s">
        <v>73</v>
      </c>
      <c r="Q3684" s="3">
        <v>720.0</v>
      </c>
      <c r="R3684" s="3">
        <v>0.5</v>
      </c>
      <c r="T3684" s="2" t="s">
        <v>13421</v>
      </c>
      <c r="U3684" s="171">
        <v>2950.0</v>
      </c>
      <c r="V3684" s="172">
        <v>46108.0</v>
      </c>
      <c r="W3684" s="3">
        <v>318.1</v>
      </c>
      <c r="X3684" s="172">
        <v>46106.52110704861</v>
      </c>
      <c r="Y3684" s="172">
        <v>46098.56042956018</v>
      </c>
      <c r="Z3684" s="3">
        <v>46098.0</v>
      </c>
      <c r="AA3684" s="2" t="s">
        <v>14026</v>
      </c>
    </row>
    <row r="3685">
      <c r="A3685" s="3">
        <v>6.955973247235E12</v>
      </c>
      <c r="B3685" s="2" t="s">
        <v>14926</v>
      </c>
      <c r="C3685" s="2" t="s">
        <v>13987</v>
      </c>
      <c r="D3685" s="169">
        <v>46098.0</v>
      </c>
      <c r="E3685" s="2">
        <v>3.060717536E9</v>
      </c>
      <c r="F3685" s="2" t="s">
        <v>14927</v>
      </c>
      <c r="G3685" s="2" t="s">
        <v>541</v>
      </c>
      <c r="H3685" s="2">
        <v>3348.0</v>
      </c>
      <c r="I3685" s="2">
        <v>2.9120050022809E13</v>
      </c>
      <c r="J3685" s="3">
        <v>2.0</v>
      </c>
      <c r="K3685" s="2" t="s">
        <v>14928</v>
      </c>
      <c r="L3685" s="2" t="s">
        <v>906</v>
      </c>
      <c r="M3685" s="2" t="s">
        <v>409</v>
      </c>
      <c r="N3685" s="2" t="s">
        <v>462</v>
      </c>
      <c r="O3685" s="3"/>
      <c r="P3685" s="2" t="s">
        <v>73</v>
      </c>
      <c r="Q3685" s="3">
        <v>720.0</v>
      </c>
      <c r="R3685" s="3">
        <v>0.5</v>
      </c>
      <c r="T3685" s="2" t="s">
        <v>14037</v>
      </c>
      <c r="U3685" s="171">
        <v>3348.0</v>
      </c>
      <c r="V3685" s="172">
        <v>46112.0</v>
      </c>
      <c r="W3685" s="3">
        <v>210.0</v>
      </c>
      <c r="X3685" s="172">
        <v>46109.707779687495</v>
      </c>
      <c r="Y3685" s="172">
        <v>46098.56042956018</v>
      </c>
      <c r="Z3685" s="3">
        <v>46098.0</v>
      </c>
      <c r="AA3685" s="2" t="s">
        <v>14022</v>
      </c>
    </row>
    <row r="3686">
      <c r="A3686" s="3">
        <v>6.955977212163E12</v>
      </c>
      <c r="B3686" s="2" t="s">
        <v>14929</v>
      </c>
      <c r="C3686" s="2" t="s">
        <v>14930</v>
      </c>
      <c r="D3686" s="169">
        <v>46098.0</v>
      </c>
      <c r="E3686" s="2">
        <v>3.454655174E9</v>
      </c>
      <c r="F3686" s="2" t="s">
        <v>14931</v>
      </c>
      <c r="G3686" s="2" t="s">
        <v>368</v>
      </c>
      <c r="H3686" s="2">
        <v>3348.0</v>
      </c>
      <c r="I3686" s="2">
        <v>2.1120050022746E13</v>
      </c>
      <c r="J3686" s="3">
        <v>2.0</v>
      </c>
      <c r="K3686" s="2" t="s">
        <v>14932</v>
      </c>
      <c r="L3686" s="2" t="s">
        <v>906</v>
      </c>
      <c r="M3686" s="2" t="s">
        <v>409</v>
      </c>
      <c r="N3686" s="2" t="s">
        <v>462</v>
      </c>
      <c r="O3686" s="3"/>
      <c r="P3686" s="2" t="s">
        <v>73</v>
      </c>
      <c r="Q3686" s="3">
        <v>720.0</v>
      </c>
      <c r="R3686" s="3">
        <v>0.5</v>
      </c>
      <c r="T3686" s="2" t="s">
        <v>12177</v>
      </c>
      <c r="U3686" s="171">
        <v>3348.0</v>
      </c>
      <c r="V3686" s="172">
        <v>46105.0</v>
      </c>
      <c r="W3686" s="3">
        <v>241.0</v>
      </c>
      <c r="X3686" s="172">
        <v>46099.58282994213</v>
      </c>
      <c r="Y3686" s="172">
        <v>46098.56042956018</v>
      </c>
      <c r="Z3686" s="3">
        <v>46098.0</v>
      </c>
      <c r="AA3686" s="2" t="s">
        <v>14032</v>
      </c>
    </row>
    <row r="3687">
      <c r="A3687" s="3">
        <v>6.955979440387E12</v>
      </c>
      <c r="B3687" s="2" t="s">
        <v>14933</v>
      </c>
      <c r="C3687" s="2" t="s">
        <v>14934</v>
      </c>
      <c r="D3687" s="169">
        <v>46098.0</v>
      </c>
      <c r="E3687" s="173" t="s">
        <v>14935</v>
      </c>
      <c r="F3687" s="2" t="s">
        <v>14936</v>
      </c>
      <c r="G3687" s="2" t="s">
        <v>368</v>
      </c>
      <c r="H3687" s="2">
        <v>249.0</v>
      </c>
      <c r="I3687" s="2">
        <v>2.9120050022745E13</v>
      </c>
      <c r="J3687" s="3">
        <v>0.0</v>
      </c>
      <c r="K3687" s="2" t="s">
        <v>14937</v>
      </c>
      <c r="L3687" s="2"/>
      <c r="M3687" s="170" t="s">
        <v>455</v>
      </c>
      <c r="N3687" s="2" t="s">
        <v>406</v>
      </c>
      <c r="O3687" s="3"/>
      <c r="P3687" s="2" t="s">
        <v>73</v>
      </c>
      <c r="Q3687" s="3">
        <v>0.0</v>
      </c>
      <c r="R3687" s="3">
        <v>0.5</v>
      </c>
      <c r="U3687" s="141"/>
      <c r="W3687" s="3">
        <v>120.0</v>
      </c>
      <c r="X3687" s="172">
        <v>46110.58268811343</v>
      </c>
      <c r="Y3687" s="172">
        <v>46098.56042956018</v>
      </c>
      <c r="Z3687" s="3">
        <v>46098.0</v>
      </c>
      <c r="AA3687" s="2" t="s">
        <v>14032</v>
      </c>
    </row>
    <row r="3688">
      <c r="A3688" s="3">
        <v>6.955988680963E12</v>
      </c>
      <c r="B3688" s="2" t="s">
        <v>14938</v>
      </c>
      <c r="C3688" s="2" t="s">
        <v>14939</v>
      </c>
      <c r="D3688" s="169">
        <v>46098.0</v>
      </c>
      <c r="E3688" s="173" t="s">
        <v>14940</v>
      </c>
      <c r="F3688" s="2" t="s">
        <v>14941</v>
      </c>
      <c r="G3688" s="2" t="s">
        <v>3653</v>
      </c>
      <c r="H3688" s="2">
        <v>249.0</v>
      </c>
      <c r="I3688" s="2">
        <v>2.2120050022833E13</v>
      </c>
      <c r="J3688" s="3">
        <v>0.0</v>
      </c>
      <c r="K3688" s="2" t="s">
        <v>14942</v>
      </c>
      <c r="L3688" s="2"/>
      <c r="M3688" s="170" t="s">
        <v>455</v>
      </c>
      <c r="N3688" s="2" t="s">
        <v>406</v>
      </c>
      <c r="O3688" s="3"/>
      <c r="P3688" s="2" t="s">
        <v>73</v>
      </c>
      <c r="Q3688" s="3">
        <v>0.0</v>
      </c>
      <c r="R3688" s="3">
        <v>0.5</v>
      </c>
      <c r="U3688" s="141"/>
      <c r="W3688" s="3">
        <v>235.70999999999998</v>
      </c>
      <c r="X3688" s="172">
        <v>46116.874338946756</v>
      </c>
      <c r="Y3688" s="172">
        <v>46098.60213969907</v>
      </c>
      <c r="Z3688" s="3">
        <v>46098.0</v>
      </c>
      <c r="AA3688" s="2" t="s">
        <v>14026</v>
      </c>
    </row>
    <row r="3689">
      <c r="A3689" s="3">
        <v>6.956035670275E12</v>
      </c>
      <c r="B3689" s="2" t="s">
        <v>14943</v>
      </c>
      <c r="C3689" s="2" t="s">
        <v>14944</v>
      </c>
      <c r="D3689" s="169">
        <v>46098.0</v>
      </c>
      <c r="E3689" s="2">
        <v>3.098437323E9</v>
      </c>
      <c r="F3689" s="2" t="s">
        <v>14945</v>
      </c>
      <c r="G3689" s="2" t="s">
        <v>14946</v>
      </c>
      <c r="H3689" s="2">
        <v>249.0</v>
      </c>
      <c r="I3689" s="2">
        <v>2.7120050023043E13</v>
      </c>
      <c r="J3689" s="3">
        <v>0.0</v>
      </c>
      <c r="K3689" s="2" t="s">
        <v>14947</v>
      </c>
      <c r="L3689" s="2"/>
      <c r="M3689" s="170" t="s">
        <v>455</v>
      </c>
      <c r="N3689" s="2" t="s">
        <v>406</v>
      </c>
      <c r="O3689" s="3"/>
      <c r="P3689" s="2" t="s">
        <v>73</v>
      </c>
      <c r="Q3689" s="3">
        <v>0.0</v>
      </c>
      <c r="R3689" s="3">
        <v>0.5</v>
      </c>
      <c r="U3689" s="141"/>
      <c r="W3689" s="3">
        <v>220.98</v>
      </c>
      <c r="X3689" s="172">
        <v>46116.87433938657</v>
      </c>
      <c r="Y3689" s="172">
        <v>46098.64377829861</v>
      </c>
      <c r="Z3689" s="3">
        <v>46098.0</v>
      </c>
      <c r="AA3689" s="2" t="s">
        <v>14022</v>
      </c>
    </row>
    <row r="3690">
      <c r="A3690" s="3">
        <v>6.956055396611E12</v>
      </c>
      <c r="B3690" s="2" t="s">
        <v>14948</v>
      </c>
      <c r="C3690" s="2" t="s">
        <v>14949</v>
      </c>
      <c r="D3690" s="169">
        <v>46098.0</v>
      </c>
      <c r="E3690" s="2">
        <v>3.080311761E9</v>
      </c>
      <c r="F3690" s="2" t="s">
        <v>14950</v>
      </c>
      <c r="G3690" s="2" t="s">
        <v>493</v>
      </c>
      <c r="H3690" s="2">
        <v>249.0</v>
      </c>
      <c r="I3690" s="2">
        <v>2.7120050023042E13</v>
      </c>
      <c r="J3690" s="3">
        <v>0.0</v>
      </c>
      <c r="K3690" s="2" t="s">
        <v>14951</v>
      </c>
      <c r="L3690" s="2"/>
      <c r="M3690" s="170" t="s">
        <v>455</v>
      </c>
      <c r="N3690" s="2" t="s">
        <v>406</v>
      </c>
      <c r="O3690" s="3"/>
      <c r="P3690" s="2" t="s">
        <v>73</v>
      </c>
      <c r="Q3690" s="3">
        <v>0.0</v>
      </c>
      <c r="R3690" s="3">
        <v>0.5</v>
      </c>
      <c r="U3690" s="141"/>
      <c r="W3690" s="3">
        <v>235.70999999999998</v>
      </c>
      <c r="X3690" s="172">
        <v>46121.08095640046</v>
      </c>
      <c r="Y3690" s="172">
        <v>46098.64377829861</v>
      </c>
      <c r="Z3690" s="3">
        <v>46098.0</v>
      </c>
      <c r="AA3690" s="2" t="s">
        <v>14032</v>
      </c>
    </row>
    <row r="3691">
      <c r="A3691" s="3">
        <v>6.956066406659E12</v>
      </c>
      <c r="B3691" s="2" t="s">
        <v>14952</v>
      </c>
      <c r="C3691" s="2" t="s">
        <v>14953</v>
      </c>
      <c r="D3691" s="169">
        <v>46098.0</v>
      </c>
      <c r="E3691" s="2">
        <v>3.115121013E9</v>
      </c>
      <c r="F3691" s="2" t="s">
        <v>14954</v>
      </c>
      <c r="G3691" s="2" t="s">
        <v>366</v>
      </c>
      <c r="H3691" s="2">
        <v>3348.0</v>
      </c>
      <c r="J3691" s="3">
        <v>2.0</v>
      </c>
      <c r="K3691" s="2" t="s">
        <v>13865</v>
      </c>
      <c r="L3691" s="2" t="s">
        <v>228</v>
      </c>
      <c r="M3691" s="2" t="s">
        <v>406</v>
      </c>
      <c r="N3691" s="2" t="s">
        <v>406</v>
      </c>
      <c r="O3691" s="3"/>
      <c r="Q3691" s="3">
        <v>720.0</v>
      </c>
      <c r="R3691" s="3">
        <v>0.5</v>
      </c>
      <c r="U3691" s="141"/>
      <c r="X3691" s="172"/>
      <c r="Y3691" s="172">
        <v>46098.68543269676</v>
      </c>
      <c r="Z3691" s="3">
        <v>46098.0</v>
      </c>
      <c r="AA3691" s="2" t="s">
        <v>14103</v>
      </c>
    </row>
    <row r="3692">
      <c r="A3692" s="3">
        <v>6.956081053955E12</v>
      </c>
      <c r="B3692" s="2" t="s">
        <v>14955</v>
      </c>
      <c r="C3692" s="2" t="s">
        <v>14956</v>
      </c>
      <c r="D3692" s="169">
        <v>46098.0</v>
      </c>
      <c r="E3692" s="2">
        <v>3.019773711E9</v>
      </c>
      <c r="F3692" s="2" t="s">
        <v>14957</v>
      </c>
      <c r="G3692" s="2" t="s">
        <v>14958</v>
      </c>
      <c r="H3692" s="2">
        <v>0.0</v>
      </c>
      <c r="J3692" s="3">
        <v>0.0</v>
      </c>
      <c r="K3692" s="2" t="s">
        <v>14959</v>
      </c>
      <c r="L3692" s="2"/>
      <c r="M3692" s="2" t="s">
        <v>468</v>
      </c>
      <c r="N3692" s="2" t="s">
        <v>406</v>
      </c>
      <c r="O3692" s="3"/>
      <c r="Q3692" s="3">
        <v>0.0</v>
      </c>
      <c r="R3692" s="3">
        <v>0.5</v>
      </c>
      <c r="U3692" s="141"/>
      <c r="X3692" s="172"/>
      <c r="Y3692" s="172">
        <v>46098.68543269676</v>
      </c>
      <c r="Z3692" s="3">
        <v>46098.0</v>
      </c>
      <c r="AA3692" s="2" t="s">
        <v>14032</v>
      </c>
    </row>
    <row r="3693">
      <c r="A3693" s="3">
        <v>6.956131254531E12</v>
      </c>
      <c r="B3693" s="2" t="s">
        <v>14960</v>
      </c>
      <c r="C3693" s="2" t="s">
        <v>14961</v>
      </c>
      <c r="D3693" s="169">
        <v>46098.0</v>
      </c>
      <c r="E3693" s="2">
        <v>3.217984092E9</v>
      </c>
      <c r="F3693" s="2" t="s">
        <v>14962</v>
      </c>
      <c r="G3693" s="2" t="s">
        <v>368</v>
      </c>
      <c r="H3693" s="2">
        <v>5247.0</v>
      </c>
      <c r="I3693" s="2">
        <v>2.5120050022782E13</v>
      </c>
      <c r="J3693" s="3">
        <v>3.0</v>
      </c>
      <c r="K3693" s="2" t="s">
        <v>14963</v>
      </c>
      <c r="L3693" s="2" t="s">
        <v>14964</v>
      </c>
      <c r="M3693" s="2" t="s">
        <v>409</v>
      </c>
      <c r="N3693" s="2" t="s">
        <v>462</v>
      </c>
      <c r="O3693" s="3"/>
      <c r="P3693" s="2" t="s">
        <v>73</v>
      </c>
      <c r="Q3693" s="3">
        <v>1450.0</v>
      </c>
      <c r="R3693" s="3">
        <v>0.5</v>
      </c>
      <c r="T3693" s="2" t="s">
        <v>13421</v>
      </c>
      <c r="U3693" s="171">
        <v>5247.0</v>
      </c>
      <c r="V3693" s="172">
        <v>46108.0</v>
      </c>
      <c r="W3693" s="3">
        <v>429.99</v>
      </c>
      <c r="X3693" s="172">
        <v>46105.707700706014</v>
      </c>
      <c r="Y3693" s="172">
        <v>46098.72712915509</v>
      </c>
      <c r="Z3693" s="3">
        <v>46098.0</v>
      </c>
      <c r="AA3693" s="2" t="s">
        <v>14103</v>
      </c>
    </row>
    <row r="3694">
      <c r="A3694" s="3">
        <v>6.956136169731E12</v>
      </c>
      <c r="B3694" s="2" t="s">
        <v>14965</v>
      </c>
      <c r="C3694" s="2" t="s">
        <v>14961</v>
      </c>
      <c r="D3694" s="169">
        <v>46098.0</v>
      </c>
      <c r="E3694" s="2">
        <v>3.217984092E9</v>
      </c>
      <c r="F3694" s="2" t="s">
        <v>14962</v>
      </c>
      <c r="G3694" s="2" t="s">
        <v>368</v>
      </c>
      <c r="H3694" s="2">
        <v>0.0</v>
      </c>
      <c r="J3694" s="3">
        <v>0.0</v>
      </c>
      <c r="K3694" s="2" t="s">
        <v>8446</v>
      </c>
      <c r="L3694" s="2"/>
      <c r="M3694" s="2" t="s">
        <v>468</v>
      </c>
      <c r="N3694" s="2" t="s">
        <v>406</v>
      </c>
      <c r="O3694" s="3"/>
      <c r="Q3694" s="3">
        <v>0.0</v>
      </c>
      <c r="R3694" s="3">
        <v>0.5</v>
      </c>
      <c r="U3694" s="141"/>
      <c r="X3694" s="172"/>
      <c r="Y3694" s="172">
        <v>46098.72712915509</v>
      </c>
      <c r="Z3694" s="3">
        <v>46098.0</v>
      </c>
      <c r="AA3694" s="2" t="s">
        <v>14103</v>
      </c>
    </row>
    <row r="3695">
      <c r="A3695" s="3">
        <v>6.956142166275E12</v>
      </c>
      <c r="B3695" s="2" t="s">
        <v>14966</v>
      </c>
      <c r="C3695" s="2" t="s">
        <v>14967</v>
      </c>
      <c r="D3695" s="169">
        <v>46098.0</v>
      </c>
      <c r="E3695" s="2">
        <v>3.333621065E9</v>
      </c>
      <c r="F3695" s="2" t="s">
        <v>14968</v>
      </c>
      <c r="G3695" s="2" t="s">
        <v>493</v>
      </c>
      <c r="H3695" s="2">
        <v>3348.0</v>
      </c>
      <c r="I3695" s="2">
        <v>2.3120050023114E13</v>
      </c>
      <c r="J3695" s="3">
        <v>2.0</v>
      </c>
      <c r="K3695" s="2" t="s">
        <v>13839</v>
      </c>
      <c r="L3695" s="2" t="s">
        <v>275</v>
      </c>
      <c r="M3695" s="2" t="s">
        <v>409</v>
      </c>
      <c r="N3695" s="2" t="s">
        <v>462</v>
      </c>
      <c r="O3695" s="3"/>
      <c r="P3695" s="2" t="s">
        <v>73</v>
      </c>
      <c r="Q3695" s="3">
        <v>800.0</v>
      </c>
      <c r="R3695" s="3">
        <v>0.5</v>
      </c>
      <c r="T3695" s="2" t="s">
        <v>12503</v>
      </c>
      <c r="U3695" s="171">
        <v>3348.0</v>
      </c>
      <c r="V3695" s="172">
        <v>46115.0</v>
      </c>
      <c r="W3695" s="3">
        <v>369.63</v>
      </c>
      <c r="X3695" s="172">
        <v>46113.58276266204</v>
      </c>
      <c r="Y3695" s="172">
        <v>46098.768842210644</v>
      </c>
      <c r="Z3695" s="3">
        <v>46098.0</v>
      </c>
      <c r="AA3695" s="2" t="s">
        <v>14032</v>
      </c>
    </row>
    <row r="3696">
      <c r="A3696" s="3">
        <v>6.956146983171E12</v>
      </c>
      <c r="B3696" s="2" t="s">
        <v>14969</v>
      </c>
      <c r="C3696" s="2" t="s">
        <v>1925</v>
      </c>
      <c r="D3696" s="169">
        <v>46098.0</v>
      </c>
      <c r="E3696" s="2">
        <v>3.083171317E9</v>
      </c>
      <c r="F3696" s="2" t="s">
        <v>14970</v>
      </c>
      <c r="G3696" s="2" t="s">
        <v>493</v>
      </c>
      <c r="H3696" s="2">
        <v>0.0</v>
      </c>
      <c r="J3696" s="3">
        <v>0.0</v>
      </c>
      <c r="K3696" s="2" t="s">
        <v>14971</v>
      </c>
      <c r="L3696" s="2"/>
      <c r="M3696" s="2" t="s">
        <v>468</v>
      </c>
      <c r="N3696" s="2" t="s">
        <v>406</v>
      </c>
      <c r="O3696" s="3"/>
      <c r="Q3696" s="3">
        <v>0.0</v>
      </c>
      <c r="R3696" s="3">
        <v>0.5</v>
      </c>
      <c r="U3696" s="141"/>
      <c r="X3696" s="172"/>
      <c r="Y3696" s="172">
        <v>46098.768842210644</v>
      </c>
      <c r="Z3696" s="3">
        <v>46098.0</v>
      </c>
      <c r="AA3696" s="2" t="s">
        <v>14032</v>
      </c>
    </row>
    <row r="3697">
      <c r="A3697" s="3">
        <v>6.956158353667E12</v>
      </c>
      <c r="B3697" s="2" t="s">
        <v>14972</v>
      </c>
      <c r="C3697" s="2" t="s">
        <v>14973</v>
      </c>
      <c r="D3697" s="169">
        <v>46098.0</v>
      </c>
      <c r="E3697" s="2">
        <v>3.234063618E9</v>
      </c>
      <c r="F3697" s="2" t="s">
        <v>14974</v>
      </c>
      <c r="G3697" s="2" t="s">
        <v>368</v>
      </c>
      <c r="H3697" s="2">
        <v>3348.0</v>
      </c>
      <c r="I3697" s="2">
        <v>2.9120050022781E13</v>
      </c>
      <c r="J3697" s="3">
        <v>2.0</v>
      </c>
      <c r="K3697" s="2" t="s">
        <v>14635</v>
      </c>
      <c r="L3697" s="2" t="s">
        <v>22</v>
      </c>
      <c r="M3697" s="2" t="s">
        <v>409</v>
      </c>
      <c r="N3697" s="2" t="s">
        <v>462</v>
      </c>
      <c r="O3697" s="3"/>
      <c r="P3697" s="2" t="s">
        <v>73</v>
      </c>
      <c r="Q3697" s="3">
        <v>800.0</v>
      </c>
      <c r="R3697" s="3">
        <v>0.5</v>
      </c>
      <c r="T3697" s="2" t="s">
        <v>12177</v>
      </c>
      <c r="U3697" s="171">
        <v>3348.0</v>
      </c>
      <c r="V3697" s="172">
        <v>46105.0</v>
      </c>
      <c r="W3697" s="3">
        <v>241.0</v>
      </c>
      <c r="X3697" s="172">
        <v>46100.541366516205</v>
      </c>
      <c r="Y3697" s="172">
        <v>46098.768842210644</v>
      </c>
      <c r="Z3697" s="3">
        <v>46098.0</v>
      </c>
      <c r="AA3697" s="2" t="s">
        <v>14041</v>
      </c>
    </row>
    <row r="3698">
      <c r="A3698" s="3">
        <v>6.956295749891E12</v>
      </c>
      <c r="B3698" s="2" t="s">
        <v>14975</v>
      </c>
      <c r="C3698" s="2" t="s">
        <v>214</v>
      </c>
      <c r="D3698" s="169">
        <v>46098.0</v>
      </c>
      <c r="E3698" s="2">
        <v>3.059848826E9</v>
      </c>
      <c r="F3698" s="2" t="s">
        <v>14976</v>
      </c>
      <c r="G3698" s="2" t="s">
        <v>14977</v>
      </c>
      <c r="H3698" s="2">
        <v>3348.0</v>
      </c>
      <c r="I3698" s="2" t="s">
        <v>213</v>
      </c>
      <c r="J3698" s="3">
        <v>2.0</v>
      </c>
      <c r="K3698" s="2" t="s">
        <v>217</v>
      </c>
      <c r="L3698" s="2" t="s">
        <v>218</v>
      </c>
      <c r="M3698" s="2" t="s">
        <v>14978</v>
      </c>
      <c r="N3698" s="2" t="s">
        <v>406</v>
      </c>
      <c r="O3698" s="3"/>
      <c r="P3698" s="2" t="s">
        <v>640</v>
      </c>
      <c r="Q3698" s="3">
        <v>720.0</v>
      </c>
      <c r="R3698" s="3">
        <v>0.5</v>
      </c>
      <c r="U3698" s="141"/>
      <c r="X3698" s="172">
        <v>46129.08327905093</v>
      </c>
      <c r="Y3698" s="172">
        <v>46098.85224634259</v>
      </c>
      <c r="Z3698" s="3">
        <v>46098.0</v>
      </c>
      <c r="AA3698" s="2" t="s">
        <v>14022</v>
      </c>
    </row>
    <row r="3699">
      <c r="A3699" s="3">
        <v>6.956314755331E12</v>
      </c>
      <c r="B3699" s="2" t="s">
        <v>14979</v>
      </c>
      <c r="C3699" s="2" t="s">
        <v>14980</v>
      </c>
      <c r="D3699" s="169">
        <v>46098.0</v>
      </c>
      <c r="E3699" s="2">
        <v>3.005395603E9</v>
      </c>
      <c r="F3699" s="2" t="s">
        <v>14981</v>
      </c>
      <c r="G3699" s="2" t="s">
        <v>366</v>
      </c>
      <c r="H3699" s="2">
        <v>249.0</v>
      </c>
      <c r="I3699" s="2">
        <v>2.8120050023113E13</v>
      </c>
      <c r="J3699" s="3">
        <v>0.0</v>
      </c>
      <c r="K3699" s="2" t="s">
        <v>14982</v>
      </c>
      <c r="L3699" s="2"/>
      <c r="M3699" s="170" t="s">
        <v>455</v>
      </c>
      <c r="N3699" s="2" t="s">
        <v>406</v>
      </c>
      <c r="O3699" s="3"/>
      <c r="P3699" s="2" t="s">
        <v>73</v>
      </c>
      <c r="Q3699" s="3">
        <v>0.0</v>
      </c>
      <c r="R3699" s="3">
        <v>0.5</v>
      </c>
      <c r="U3699" s="141"/>
      <c r="W3699" s="3">
        <v>220.98</v>
      </c>
      <c r="X3699" s="172">
        <v>46121.080956412035</v>
      </c>
      <c r="Y3699" s="172">
        <v>46098.85224634259</v>
      </c>
      <c r="Z3699" s="3">
        <v>46098.0</v>
      </c>
      <c r="AA3699" s="2" t="s">
        <v>14032</v>
      </c>
    </row>
    <row r="3700">
      <c r="A3700" s="3">
        <v>6.956319932675E12</v>
      </c>
      <c r="B3700" s="2" t="s">
        <v>14983</v>
      </c>
      <c r="C3700" s="2" t="s">
        <v>219</v>
      </c>
      <c r="D3700" s="169">
        <v>46098.0</v>
      </c>
      <c r="E3700" s="2">
        <v>3.407212821E9</v>
      </c>
      <c r="F3700" s="2" t="s">
        <v>14984</v>
      </c>
      <c r="G3700" s="2" t="s">
        <v>5331</v>
      </c>
      <c r="H3700" s="2">
        <v>2199.0</v>
      </c>
      <c r="I3700" s="2">
        <v>2.2120050023112E13</v>
      </c>
      <c r="J3700" s="3">
        <v>1.0</v>
      </c>
      <c r="K3700" s="2" t="s">
        <v>204</v>
      </c>
      <c r="L3700" s="2" t="s">
        <v>220</v>
      </c>
      <c r="M3700" s="2" t="s">
        <v>14076</v>
      </c>
      <c r="N3700" s="2" t="s">
        <v>406</v>
      </c>
      <c r="O3700" s="3"/>
      <c r="P3700" s="2" t="s">
        <v>73</v>
      </c>
      <c r="Q3700" s="3">
        <v>360.0</v>
      </c>
      <c r="R3700" s="3">
        <v>0.5</v>
      </c>
      <c r="U3700" s="141"/>
      <c r="X3700" s="172">
        <v>46122.08101782408</v>
      </c>
      <c r="Y3700" s="172">
        <v>46098.85224634259</v>
      </c>
      <c r="Z3700" s="3">
        <v>46098.0</v>
      </c>
      <c r="AA3700" s="2" t="s">
        <v>14022</v>
      </c>
    </row>
    <row r="3701">
      <c r="A3701" s="3">
        <v>6.956346933507E12</v>
      </c>
      <c r="B3701" s="2" t="s">
        <v>14985</v>
      </c>
      <c r="C3701" s="2" t="s">
        <v>14986</v>
      </c>
      <c r="D3701" s="169">
        <v>46098.0</v>
      </c>
      <c r="E3701" s="2">
        <v>3.224627176E9</v>
      </c>
      <c r="F3701" s="2" t="s">
        <v>14987</v>
      </c>
      <c r="G3701" s="2" t="s">
        <v>368</v>
      </c>
      <c r="H3701" s="2">
        <v>3348.0</v>
      </c>
      <c r="I3701" s="2">
        <v>2.2120050022775E13</v>
      </c>
      <c r="J3701" s="3">
        <v>2.0</v>
      </c>
      <c r="K3701" s="2" t="s">
        <v>13072</v>
      </c>
      <c r="L3701" s="2" t="s">
        <v>50</v>
      </c>
      <c r="M3701" s="2" t="s">
        <v>409</v>
      </c>
      <c r="N3701" s="2" t="s">
        <v>462</v>
      </c>
      <c r="O3701" s="3"/>
      <c r="P3701" s="2" t="s">
        <v>73</v>
      </c>
      <c r="Q3701" s="3">
        <v>720.0</v>
      </c>
      <c r="R3701" s="3">
        <v>0.5</v>
      </c>
      <c r="T3701" s="2" t="s">
        <v>12177</v>
      </c>
      <c r="U3701" s="171">
        <v>3348.0</v>
      </c>
      <c r="V3701" s="172">
        <v>46105.0</v>
      </c>
      <c r="W3701" s="3">
        <v>254.0</v>
      </c>
      <c r="X3701" s="172">
        <v>46100.541368819446</v>
      </c>
      <c r="Y3701" s="172">
        <v>46098.89377940972</v>
      </c>
      <c r="Z3701" s="3">
        <v>46098.0</v>
      </c>
      <c r="AA3701" s="2" t="s">
        <v>14022</v>
      </c>
    </row>
    <row r="3702">
      <c r="A3702" s="3">
        <v>6.956402508035E12</v>
      </c>
      <c r="B3702" s="2" t="s">
        <v>14988</v>
      </c>
      <c r="C3702" s="2" t="s">
        <v>14989</v>
      </c>
      <c r="D3702" s="169">
        <v>46098.0</v>
      </c>
      <c r="E3702" s="2">
        <v>3.452985856E9</v>
      </c>
      <c r="F3702" s="2" t="s">
        <v>14990</v>
      </c>
      <c r="G3702" s="2" t="s">
        <v>493</v>
      </c>
      <c r="H3702" s="2">
        <v>6198.0</v>
      </c>
      <c r="I3702" s="2">
        <v>2.3120050023111E13</v>
      </c>
      <c r="J3702" s="3">
        <v>2.0</v>
      </c>
      <c r="K3702" s="2" t="s">
        <v>14545</v>
      </c>
      <c r="L3702" s="2" t="s">
        <v>14991</v>
      </c>
      <c r="M3702" s="2" t="s">
        <v>409</v>
      </c>
      <c r="N3702" s="2" t="s">
        <v>462</v>
      </c>
      <c r="O3702" s="3"/>
      <c r="P3702" s="2" t="s">
        <v>73</v>
      </c>
      <c r="Q3702" s="3">
        <v>1600.0</v>
      </c>
      <c r="R3702" s="3">
        <v>0.5</v>
      </c>
      <c r="T3702" s="2" t="s">
        <v>12503</v>
      </c>
      <c r="U3702" s="171">
        <v>6198.0</v>
      </c>
      <c r="V3702" s="172">
        <v>46115.0</v>
      </c>
      <c r="W3702" s="3">
        <v>498.36</v>
      </c>
      <c r="X3702" s="172">
        <v>46113.582763495375</v>
      </c>
      <c r="Y3702" s="172">
        <v>46098.89377940972</v>
      </c>
      <c r="Z3702" s="3">
        <v>46098.0</v>
      </c>
      <c r="AA3702" s="2" t="s">
        <v>14032</v>
      </c>
    </row>
    <row r="3703">
      <c r="A3703" s="3">
        <v>6.956416696579E12</v>
      </c>
      <c r="B3703" s="2" t="s">
        <v>14992</v>
      </c>
      <c r="C3703" s="2" t="s">
        <v>14993</v>
      </c>
      <c r="D3703" s="169">
        <v>46098.0</v>
      </c>
      <c r="E3703" s="2">
        <v>3.258686862E9</v>
      </c>
      <c r="F3703" s="2" t="s">
        <v>14994</v>
      </c>
      <c r="G3703" s="2" t="s">
        <v>14995</v>
      </c>
      <c r="H3703" s="2">
        <v>0.0</v>
      </c>
      <c r="J3703" s="3">
        <v>0.0</v>
      </c>
      <c r="K3703" s="2" t="s">
        <v>14996</v>
      </c>
      <c r="L3703" s="2"/>
      <c r="M3703" s="2" t="s">
        <v>468</v>
      </c>
      <c r="N3703" s="2" t="s">
        <v>406</v>
      </c>
      <c r="O3703" s="3"/>
      <c r="Q3703" s="3">
        <v>0.0</v>
      </c>
      <c r="R3703" s="3">
        <v>0.5</v>
      </c>
      <c r="U3703" s="141"/>
      <c r="X3703" s="172"/>
      <c r="Y3703" s="172">
        <v>46098.89377940972</v>
      </c>
      <c r="Z3703" s="3">
        <v>46098.0</v>
      </c>
      <c r="AA3703" s="2" t="s">
        <v>14032</v>
      </c>
    </row>
    <row r="3704">
      <c r="A3704" s="3">
        <v>6.956425806083E12</v>
      </c>
      <c r="B3704" s="2" t="s">
        <v>14997</v>
      </c>
      <c r="C3704" s="2" t="s">
        <v>14998</v>
      </c>
      <c r="D3704" s="169">
        <v>46098.0</v>
      </c>
      <c r="E3704" s="2">
        <v>3.133113368E9</v>
      </c>
      <c r="F3704" s="2" t="s">
        <v>14999</v>
      </c>
      <c r="G3704" s="2" t="s">
        <v>506</v>
      </c>
      <c r="H3704" s="2">
        <v>249.0</v>
      </c>
      <c r="I3704" s="2">
        <v>2.4120050023155E13</v>
      </c>
      <c r="J3704" s="3">
        <v>0.0</v>
      </c>
      <c r="K3704" s="2" t="s">
        <v>14449</v>
      </c>
      <c r="L3704" s="2"/>
      <c r="M3704" s="170" t="s">
        <v>455</v>
      </c>
      <c r="N3704" s="2" t="s">
        <v>406</v>
      </c>
      <c r="O3704" s="3"/>
      <c r="P3704" s="2" t="s">
        <v>73</v>
      </c>
      <c r="Q3704" s="3">
        <v>0.0</v>
      </c>
      <c r="R3704" s="3">
        <v>0.5</v>
      </c>
      <c r="U3704" s="141"/>
      <c r="W3704" s="3">
        <v>220.98</v>
      </c>
      <c r="X3704" s="172">
        <v>46122.08101783565</v>
      </c>
      <c r="Y3704" s="172">
        <v>46098.935458900465</v>
      </c>
      <c r="Z3704" s="3">
        <v>46098.0</v>
      </c>
      <c r="AA3704" s="2" t="s">
        <v>14032</v>
      </c>
    </row>
    <row r="3705">
      <c r="A3705" s="3">
        <v>6.956461949187E12</v>
      </c>
      <c r="B3705" s="2" t="s">
        <v>15000</v>
      </c>
      <c r="C3705" s="2" t="s">
        <v>553</v>
      </c>
      <c r="D3705" s="169">
        <v>46098.0</v>
      </c>
      <c r="E3705" s="2">
        <v>3.452530158E9</v>
      </c>
      <c r="F3705" s="2" t="s">
        <v>15001</v>
      </c>
      <c r="G3705" s="2" t="s">
        <v>15002</v>
      </c>
      <c r="H3705" s="2">
        <v>0.0</v>
      </c>
      <c r="J3705" s="3">
        <v>0.0</v>
      </c>
      <c r="K3705" s="2" t="s">
        <v>14625</v>
      </c>
      <c r="L3705" s="2"/>
      <c r="M3705" s="2" t="s">
        <v>468</v>
      </c>
      <c r="N3705" s="2" t="s">
        <v>406</v>
      </c>
      <c r="O3705" s="3"/>
      <c r="Q3705" s="3">
        <v>0.0</v>
      </c>
      <c r="R3705" s="3">
        <v>0.5</v>
      </c>
      <c r="U3705" s="141"/>
      <c r="X3705" s="172"/>
      <c r="Y3705" s="172">
        <v>46098.935458900465</v>
      </c>
      <c r="Z3705" s="3">
        <v>46098.0</v>
      </c>
      <c r="AA3705" s="2" t="s">
        <v>14032</v>
      </c>
    </row>
    <row r="3706">
      <c r="A3706" s="3">
        <v>6.956462768387E12</v>
      </c>
      <c r="B3706" s="2" t="s">
        <v>15003</v>
      </c>
      <c r="C3706" s="2" t="s">
        <v>553</v>
      </c>
      <c r="D3706" s="169">
        <v>46098.0</v>
      </c>
      <c r="E3706" s="173" t="s">
        <v>15004</v>
      </c>
      <c r="F3706" s="2" t="s">
        <v>15001</v>
      </c>
      <c r="G3706" s="2" t="s">
        <v>15002</v>
      </c>
      <c r="H3706" s="2">
        <v>0.0</v>
      </c>
      <c r="J3706" s="3">
        <v>0.0</v>
      </c>
      <c r="K3706" s="2" t="s">
        <v>7954</v>
      </c>
      <c r="L3706" s="2"/>
      <c r="M3706" s="2" t="s">
        <v>468</v>
      </c>
      <c r="N3706" s="2" t="s">
        <v>406</v>
      </c>
      <c r="O3706" s="3"/>
      <c r="Q3706" s="3">
        <v>0.0</v>
      </c>
      <c r="R3706" s="3">
        <v>0.5</v>
      </c>
      <c r="U3706" s="141"/>
      <c r="X3706" s="172"/>
      <c r="Y3706" s="172">
        <v>46098.935458900465</v>
      </c>
      <c r="Z3706" s="3">
        <v>46098.0</v>
      </c>
      <c r="AA3706" s="2" t="s">
        <v>14032</v>
      </c>
    </row>
    <row r="3707">
      <c r="A3707" s="3">
        <v>6.956510150915E12</v>
      </c>
      <c r="B3707" s="2" t="s">
        <v>15005</v>
      </c>
      <c r="C3707" s="2" t="s">
        <v>15006</v>
      </c>
      <c r="D3707" s="169">
        <v>46098.0</v>
      </c>
      <c r="E3707" s="173" t="s">
        <v>15007</v>
      </c>
      <c r="F3707" s="2" t="s">
        <v>15008</v>
      </c>
      <c r="G3707" s="2" t="s">
        <v>523</v>
      </c>
      <c r="H3707" s="2">
        <v>3348.0</v>
      </c>
      <c r="I3707" s="2">
        <v>2.912005002311E13</v>
      </c>
      <c r="J3707" s="3">
        <v>2.0</v>
      </c>
      <c r="K3707" s="2" t="s">
        <v>15009</v>
      </c>
      <c r="L3707" s="2" t="s">
        <v>1446</v>
      </c>
      <c r="M3707" s="2" t="s">
        <v>409</v>
      </c>
      <c r="N3707" s="2" t="s">
        <v>462</v>
      </c>
      <c r="O3707" s="3"/>
      <c r="P3707" s="2" t="s">
        <v>73</v>
      </c>
      <c r="Q3707" s="3">
        <v>720.0</v>
      </c>
      <c r="R3707" s="3">
        <v>0.5</v>
      </c>
      <c r="T3707" s="2" t="s">
        <v>15010</v>
      </c>
      <c r="U3707" s="171">
        <v>3348.0</v>
      </c>
      <c r="V3707" s="172">
        <v>46119.0</v>
      </c>
      <c r="W3707" s="3">
        <v>369.62999999999994</v>
      </c>
      <c r="X3707" s="172">
        <v>46115.83273361111</v>
      </c>
      <c r="Y3707" s="172">
        <v>46098.977101192126</v>
      </c>
      <c r="Z3707" s="3">
        <v>46098.0</v>
      </c>
      <c r="AA3707" s="2" t="s">
        <v>14032</v>
      </c>
    </row>
    <row r="3708">
      <c r="A3708" s="3">
        <v>6.956512903427E12</v>
      </c>
      <c r="B3708" s="2" t="s">
        <v>15011</v>
      </c>
      <c r="C3708" s="2" t="s">
        <v>15012</v>
      </c>
      <c r="D3708" s="169">
        <v>46098.0</v>
      </c>
      <c r="E3708" s="2">
        <v>3.000871681E9</v>
      </c>
      <c r="F3708" s="175" t="s">
        <v>15013</v>
      </c>
      <c r="G3708" s="175" t="s">
        <v>15014</v>
      </c>
      <c r="H3708" s="2">
        <v>249.0</v>
      </c>
      <c r="I3708" s="2">
        <v>2.3120050023109E13</v>
      </c>
      <c r="J3708" s="3">
        <v>0.0</v>
      </c>
      <c r="K3708" s="2" t="s">
        <v>15015</v>
      </c>
      <c r="L3708" s="2"/>
      <c r="M3708" s="170" t="s">
        <v>455</v>
      </c>
      <c r="N3708" s="2" t="s">
        <v>406</v>
      </c>
      <c r="O3708" s="3"/>
      <c r="P3708" s="2" t="s">
        <v>73</v>
      </c>
      <c r="Q3708" s="3">
        <v>0.0</v>
      </c>
      <c r="R3708" s="3">
        <v>0.5</v>
      </c>
      <c r="U3708" s="141"/>
      <c r="W3708" s="3">
        <v>220.98</v>
      </c>
      <c r="X3708" s="172">
        <v>46121.08095643518</v>
      </c>
      <c r="Y3708" s="172">
        <v>46098.977101192126</v>
      </c>
      <c r="Z3708" s="3">
        <v>46098.0</v>
      </c>
      <c r="AA3708" s="2" t="s">
        <v>14032</v>
      </c>
    </row>
    <row r="3709">
      <c r="A3709" s="3">
        <v>6.956513820931E12</v>
      </c>
      <c r="B3709" s="2" t="s">
        <v>15016</v>
      </c>
      <c r="C3709" s="2" t="s">
        <v>15017</v>
      </c>
      <c r="D3709" s="169">
        <v>46098.0</v>
      </c>
      <c r="E3709" s="2">
        <v>3.343663603E9</v>
      </c>
      <c r="F3709" s="2" t="s">
        <v>15018</v>
      </c>
      <c r="G3709" s="2" t="s">
        <v>493</v>
      </c>
      <c r="H3709" s="2">
        <v>3548.0</v>
      </c>
      <c r="I3709" s="2">
        <v>2.8120050023108E13</v>
      </c>
      <c r="J3709" s="3">
        <v>2.0</v>
      </c>
      <c r="K3709" s="2" t="s">
        <v>15019</v>
      </c>
      <c r="L3709" s="2" t="s">
        <v>35</v>
      </c>
      <c r="M3709" s="2" t="s">
        <v>409</v>
      </c>
      <c r="N3709" s="2" t="s">
        <v>462</v>
      </c>
      <c r="O3709" s="3"/>
      <c r="P3709" s="2" t="s">
        <v>73</v>
      </c>
      <c r="Q3709" s="3">
        <v>980.0</v>
      </c>
      <c r="R3709" s="3">
        <v>0.5</v>
      </c>
      <c r="T3709" s="2" t="s">
        <v>12503</v>
      </c>
      <c r="U3709" s="171">
        <v>3548.0</v>
      </c>
      <c r="V3709" s="172">
        <v>46115.0</v>
      </c>
      <c r="W3709" s="3">
        <v>377.63</v>
      </c>
      <c r="X3709" s="172">
        <v>46113.70769401621</v>
      </c>
      <c r="Y3709" s="172">
        <v>46098.977101192126</v>
      </c>
      <c r="Z3709" s="3">
        <v>46098.0</v>
      </c>
      <c r="AA3709" s="2" t="s">
        <v>14022</v>
      </c>
    </row>
    <row r="3710">
      <c r="A3710" s="3">
        <v>6.956532400387E12</v>
      </c>
      <c r="B3710" s="2" t="s">
        <v>15020</v>
      </c>
      <c r="C3710" s="2" t="s">
        <v>2104</v>
      </c>
      <c r="D3710" s="169">
        <v>46098.0</v>
      </c>
      <c r="E3710" s="2">
        <v>3.159573786E9</v>
      </c>
      <c r="F3710" s="2" t="s">
        <v>2105</v>
      </c>
      <c r="G3710" s="2" t="s">
        <v>2106</v>
      </c>
      <c r="H3710" s="2">
        <v>249.0</v>
      </c>
      <c r="I3710" s="2">
        <v>2.5120050023107E13</v>
      </c>
      <c r="J3710" s="3">
        <v>0.0</v>
      </c>
      <c r="K3710" s="2" t="s">
        <v>13728</v>
      </c>
      <c r="L3710" s="2"/>
      <c r="M3710" s="170" t="s">
        <v>455</v>
      </c>
      <c r="N3710" s="2" t="s">
        <v>406</v>
      </c>
      <c r="O3710" s="3"/>
      <c r="P3710" s="2" t="s">
        <v>73</v>
      </c>
      <c r="Q3710" s="3">
        <v>0.0</v>
      </c>
      <c r="R3710" s="3">
        <v>0.5</v>
      </c>
      <c r="U3710" s="141"/>
      <c r="W3710" s="3">
        <v>220.98</v>
      </c>
      <c r="X3710" s="172">
        <v>46119.08103351852</v>
      </c>
      <c r="Y3710" s="172">
        <v>46098.977101192126</v>
      </c>
      <c r="Z3710" s="3">
        <v>46098.0</v>
      </c>
      <c r="AA3710" s="2" t="s">
        <v>14032</v>
      </c>
    </row>
    <row r="3711">
      <c r="A3711" s="3">
        <v>6.956533776643E12</v>
      </c>
      <c r="B3711" s="2" t="s">
        <v>15021</v>
      </c>
      <c r="C3711" s="2" t="s">
        <v>7082</v>
      </c>
      <c r="D3711" s="169">
        <v>46098.0</v>
      </c>
      <c r="E3711" s="2">
        <v>3.129553784E9</v>
      </c>
      <c r="F3711" s="2" t="s">
        <v>15022</v>
      </c>
      <c r="G3711" s="2" t="s">
        <v>9459</v>
      </c>
      <c r="H3711" s="2">
        <v>3348.0</v>
      </c>
      <c r="I3711" s="2">
        <v>2.6120050023171E13</v>
      </c>
      <c r="J3711" s="3">
        <v>2.0</v>
      </c>
      <c r="K3711" s="2" t="s">
        <v>15023</v>
      </c>
      <c r="L3711" s="2" t="s">
        <v>1446</v>
      </c>
      <c r="M3711" s="2" t="s">
        <v>409</v>
      </c>
      <c r="N3711" s="2" t="s">
        <v>462</v>
      </c>
      <c r="O3711" s="3"/>
      <c r="P3711" s="2" t="s">
        <v>73</v>
      </c>
      <c r="Q3711" s="3">
        <v>720.0</v>
      </c>
      <c r="R3711" s="3">
        <v>0.5</v>
      </c>
      <c r="T3711" s="2" t="s">
        <v>12503</v>
      </c>
      <c r="U3711" s="171">
        <v>3348.0</v>
      </c>
      <c r="V3711" s="172">
        <v>46115.0</v>
      </c>
      <c r="W3711" s="3">
        <v>369.63</v>
      </c>
      <c r="X3711" s="172">
        <v>46114.749495763885</v>
      </c>
      <c r="Y3711" s="172">
        <v>46098.977101192126</v>
      </c>
      <c r="Z3711" s="3">
        <v>46098.0</v>
      </c>
      <c r="AA3711" s="2" t="s">
        <v>14032</v>
      </c>
    </row>
    <row r="3712">
      <c r="A3712" s="3">
        <v>6.956547277059E12</v>
      </c>
      <c r="B3712" s="2" t="s">
        <v>15024</v>
      </c>
      <c r="C3712" s="2" t="s">
        <v>15025</v>
      </c>
      <c r="D3712" s="169">
        <v>46098.0</v>
      </c>
      <c r="E3712" s="2">
        <v>3.042107828E9</v>
      </c>
      <c r="F3712" s="2" t="s">
        <v>15026</v>
      </c>
      <c r="G3712" s="2" t="s">
        <v>1847</v>
      </c>
      <c r="H3712" s="2">
        <v>0.0</v>
      </c>
      <c r="J3712" s="3">
        <v>0.0</v>
      </c>
      <c r="K3712" s="2" t="s">
        <v>15027</v>
      </c>
      <c r="L3712" s="2"/>
      <c r="M3712" s="2" t="s">
        <v>468</v>
      </c>
      <c r="N3712" s="2" t="s">
        <v>406</v>
      </c>
      <c r="O3712" s="3"/>
      <c r="Q3712" s="3">
        <v>0.0</v>
      </c>
      <c r="R3712" s="3">
        <v>0.5</v>
      </c>
      <c r="U3712" s="141"/>
      <c r="X3712" s="172"/>
      <c r="Y3712" s="172">
        <v>46098.977101192126</v>
      </c>
      <c r="Z3712" s="3">
        <v>46098.0</v>
      </c>
      <c r="AA3712" s="2" t="s">
        <v>14022</v>
      </c>
    </row>
    <row r="3713">
      <c r="A3713" s="3">
        <v>6.956563333379E12</v>
      </c>
      <c r="B3713" s="2" t="s">
        <v>15028</v>
      </c>
      <c r="C3713" s="2" t="s">
        <v>15029</v>
      </c>
      <c r="D3713" s="169">
        <v>46098.0</v>
      </c>
      <c r="E3713" s="2">
        <v>3.198361539E9</v>
      </c>
      <c r="F3713" s="2" t="s">
        <v>15030</v>
      </c>
      <c r="G3713" s="2" t="s">
        <v>541</v>
      </c>
      <c r="H3713" s="2">
        <v>249.0</v>
      </c>
      <c r="I3713" s="2">
        <v>2.3120050023106E13</v>
      </c>
      <c r="J3713" s="3">
        <v>0.0</v>
      </c>
      <c r="K3713" s="2" t="s">
        <v>15031</v>
      </c>
      <c r="L3713" s="2"/>
      <c r="M3713" s="170" t="s">
        <v>455</v>
      </c>
      <c r="N3713" s="2" t="s">
        <v>406</v>
      </c>
      <c r="O3713" s="3"/>
      <c r="P3713" s="2" t="s">
        <v>73</v>
      </c>
      <c r="Q3713" s="3">
        <v>0.0</v>
      </c>
      <c r="R3713" s="3">
        <v>0.5</v>
      </c>
      <c r="U3713" s="141"/>
      <c r="W3713" s="3">
        <v>220.98</v>
      </c>
      <c r="X3713" s="172">
        <v>46122.081017847224</v>
      </c>
      <c r="Y3713" s="172">
        <v>46098.977101192126</v>
      </c>
      <c r="Z3713" s="3">
        <v>46098.0</v>
      </c>
      <c r="AA3713" s="2" t="s">
        <v>14041</v>
      </c>
    </row>
    <row r="3714">
      <c r="A3714" s="3">
        <v>6.956583878915E12</v>
      </c>
      <c r="B3714" s="2" t="s">
        <v>15032</v>
      </c>
      <c r="C3714" s="2" t="s">
        <v>15033</v>
      </c>
      <c r="D3714" s="169">
        <v>46098.0</v>
      </c>
      <c r="E3714" s="2">
        <v>3.029347115E9</v>
      </c>
      <c r="F3714" s="2" t="s">
        <v>15034</v>
      </c>
      <c r="G3714" s="2" t="s">
        <v>15035</v>
      </c>
      <c r="H3714" s="2">
        <v>3299.0</v>
      </c>
      <c r="I3714" s="2">
        <v>1.73012627071E11</v>
      </c>
      <c r="J3714" s="3">
        <v>1.0</v>
      </c>
      <c r="K3714" s="2" t="s">
        <v>15036</v>
      </c>
      <c r="L3714" s="2" t="s">
        <v>2028</v>
      </c>
      <c r="M3714" s="2" t="s">
        <v>15037</v>
      </c>
      <c r="N3714" s="2" t="s">
        <v>406</v>
      </c>
      <c r="O3714" s="3"/>
      <c r="P3714" s="2" t="s">
        <v>501</v>
      </c>
      <c r="Q3714" s="3">
        <v>1400.0</v>
      </c>
      <c r="R3714" s="3">
        <v>0.5</v>
      </c>
      <c r="U3714" s="141"/>
      <c r="X3714" s="172">
        <v>46132.0827969213</v>
      </c>
      <c r="Y3714" s="172">
        <v>46099.01877658565</v>
      </c>
      <c r="Z3714" s="3">
        <v>46098.0</v>
      </c>
      <c r="AA3714" s="2" t="s">
        <v>14032</v>
      </c>
    </row>
    <row r="3715">
      <c r="A3715" s="3">
        <v>6.956597149955E12</v>
      </c>
      <c r="B3715" s="2" t="s">
        <v>15038</v>
      </c>
      <c r="C3715" s="2" t="s">
        <v>15039</v>
      </c>
      <c r="D3715" s="169">
        <v>46098.0</v>
      </c>
      <c r="E3715" s="2">
        <v>3.390375898E9</v>
      </c>
      <c r="F3715" s="2" t="s">
        <v>15040</v>
      </c>
      <c r="G3715" s="2" t="s">
        <v>506</v>
      </c>
      <c r="H3715" s="2">
        <v>3348.0</v>
      </c>
      <c r="I3715" s="2">
        <v>2.0120050023105E13</v>
      </c>
      <c r="J3715" s="3">
        <v>2.0</v>
      </c>
      <c r="K3715" s="2" t="s">
        <v>13839</v>
      </c>
      <c r="L3715" s="2" t="s">
        <v>275</v>
      </c>
      <c r="M3715" s="2" t="s">
        <v>409</v>
      </c>
      <c r="N3715" s="2" t="s">
        <v>462</v>
      </c>
      <c r="O3715" s="3"/>
      <c r="P3715" s="2" t="s">
        <v>73</v>
      </c>
      <c r="Q3715" s="3">
        <v>800.0</v>
      </c>
      <c r="R3715" s="3">
        <v>0.5</v>
      </c>
      <c r="T3715" s="2" t="s">
        <v>12503</v>
      </c>
      <c r="U3715" s="171">
        <v>3348.0</v>
      </c>
      <c r="V3715" s="172">
        <v>46115.0</v>
      </c>
      <c r="W3715" s="3">
        <v>354.9</v>
      </c>
      <c r="X3715" s="172">
        <v>46113.74942063657</v>
      </c>
      <c r="Y3715" s="172">
        <v>46099.01877658565</v>
      </c>
      <c r="Z3715" s="3">
        <v>46098.0</v>
      </c>
      <c r="AA3715" s="2" t="s">
        <v>14032</v>
      </c>
    </row>
    <row r="3716">
      <c r="A3716" s="3">
        <v>6.956637192451E12</v>
      </c>
      <c r="B3716" s="2" t="s">
        <v>15041</v>
      </c>
      <c r="C3716" s="2" t="s">
        <v>15042</v>
      </c>
      <c r="D3716" s="169">
        <v>46099.0</v>
      </c>
      <c r="E3716" s="2">
        <v>3.219586498E9</v>
      </c>
      <c r="F3716" s="2" t="s">
        <v>15043</v>
      </c>
      <c r="G3716" s="2" t="s">
        <v>368</v>
      </c>
      <c r="H3716" s="2">
        <v>249.0</v>
      </c>
      <c r="I3716" s="2">
        <v>2.7120050022774E13</v>
      </c>
      <c r="J3716" s="3">
        <v>0.0</v>
      </c>
      <c r="K3716" s="2" t="s">
        <v>15044</v>
      </c>
      <c r="L3716" s="2"/>
      <c r="M3716" s="170" t="s">
        <v>455</v>
      </c>
      <c r="N3716" s="2" t="s">
        <v>406</v>
      </c>
      <c r="O3716" s="3"/>
      <c r="P3716" s="2" t="s">
        <v>73</v>
      </c>
      <c r="Q3716" s="3">
        <v>0.0</v>
      </c>
      <c r="R3716" s="3">
        <v>0.5</v>
      </c>
      <c r="U3716" s="141"/>
      <c r="W3716" s="3">
        <v>107.0</v>
      </c>
      <c r="X3716" s="172">
        <v>46110.58273543981</v>
      </c>
      <c r="Y3716" s="172">
        <v>46099.01877658565</v>
      </c>
      <c r="Z3716" s="3">
        <v>46099.0</v>
      </c>
      <c r="AA3716" s="2" t="s">
        <v>14022</v>
      </c>
    </row>
    <row r="3717">
      <c r="A3717" s="3">
        <v>6.956662554883E12</v>
      </c>
      <c r="B3717" s="2" t="s">
        <v>15045</v>
      </c>
      <c r="C3717" s="2" t="s">
        <v>15046</v>
      </c>
      <c r="D3717" s="169">
        <v>46099.0</v>
      </c>
      <c r="E3717" s="2">
        <v>3.180513331E9</v>
      </c>
      <c r="F3717" s="2" t="s">
        <v>15047</v>
      </c>
      <c r="G3717" s="2" t="s">
        <v>15048</v>
      </c>
      <c r="H3717" s="2">
        <v>0.0</v>
      </c>
      <c r="J3717" s="3">
        <v>0.0</v>
      </c>
      <c r="K3717" s="2" t="s">
        <v>15049</v>
      </c>
      <c r="L3717" s="2"/>
      <c r="M3717" s="2" t="s">
        <v>468</v>
      </c>
      <c r="N3717" s="2" t="s">
        <v>406</v>
      </c>
      <c r="O3717" s="3"/>
      <c r="Q3717" s="3">
        <v>0.0</v>
      </c>
      <c r="R3717" s="3">
        <v>0.5</v>
      </c>
      <c r="U3717" s="141"/>
      <c r="X3717" s="172"/>
      <c r="Y3717" s="172">
        <v>46099.060482546294</v>
      </c>
      <c r="Z3717" s="3">
        <v>46099.0</v>
      </c>
      <c r="AA3717" s="2" t="s">
        <v>14053</v>
      </c>
    </row>
    <row r="3718">
      <c r="A3718" s="3">
        <v>6.956669174019E12</v>
      </c>
      <c r="B3718" s="2" t="s">
        <v>15050</v>
      </c>
      <c r="C3718" s="2" t="s">
        <v>15051</v>
      </c>
      <c r="D3718" s="169">
        <v>46099.0</v>
      </c>
      <c r="E3718" s="173" t="s">
        <v>15052</v>
      </c>
      <c r="F3718" s="2" t="s">
        <v>15053</v>
      </c>
      <c r="G3718" s="2" t="s">
        <v>366</v>
      </c>
      <c r="H3718" s="2">
        <v>3348.0</v>
      </c>
      <c r="I3718" s="2">
        <v>2.5120050023104E13</v>
      </c>
      <c r="J3718" s="3">
        <v>2.0</v>
      </c>
      <c r="K3718" s="2" t="s">
        <v>13839</v>
      </c>
      <c r="L3718" s="2" t="s">
        <v>13413</v>
      </c>
      <c r="M3718" s="2" t="s">
        <v>409</v>
      </c>
      <c r="N3718" s="2" t="s">
        <v>462</v>
      </c>
      <c r="O3718" s="3"/>
      <c r="P3718" s="2" t="s">
        <v>73</v>
      </c>
      <c r="Q3718" s="3">
        <v>800.0</v>
      </c>
      <c r="R3718" s="3">
        <v>0.5</v>
      </c>
      <c r="T3718" s="2" t="s">
        <v>12503</v>
      </c>
      <c r="U3718" s="171">
        <v>3348.0</v>
      </c>
      <c r="V3718" s="172">
        <v>46115.0</v>
      </c>
      <c r="W3718" s="3">
        <v>354.9</v>
      </c>
      <c r="X3718" s="172">
        <v>46113.74942064815</v>
      </c>
      <c r="Y3718" s="172">
        <v>46099.060482546294</v>
      </c>
      <c r="Z3718" s="3">
        <v>46099.0</v>
      </c>
      <c r="AA3718" s="2" t="s">
        <v>14103</v>
      </c>
    </row>
    <row r="3719">
      <c r="A3719" s="3">
        <v>6.956671664387E12</v>
      </c>
      <c r="B3719" s="2" t="s">
        <v>15054</v>
      </c>
      <c r="C3719" s="2" t="s">
        <v>15055</v>
      </c>
      <c r="D3719" s="169">
        <v>46099.0</v>
      </c>
      <c r="E3719" s="173" t="s">
        <v>15056</v>
      </c>
      <c r="F3719" s="2" t="s">
        <v>15057</v>
      </c>
      <c r="G3719" s="2" t="s">
        <v>15058</v>
      </c>
      <c r="H3719" s="2">
        <v>249.0</v>
      </c>
      <c r="I3719" s="2">
        <v>2.0120050023103E13</v>
      </c>
      <c r="J3719" s="3">
        <v>0.0</v>
      </c>
      <c r="K3719" s="2" t="s">
        <v>15015</v>
      </c>
      <c r="L3719" s="2"/>
      <c r="M3719" s="170" t="s">
        <v>455</v>
      </c>
      <c r="N3719" s="2" t="s">
        <v>406</v>
      </c>
      <c r="O3719" s="3"/>
      <c r="P3719" s="2" t="s">
        <v>73</v>
      </c>
      <c r="Q3719" s="3">
        <v>0.0</v>
      </c>
      <c r="R3719" s="3">
        <v>0.5</v>
      </c>
      <c r="U3719" s="141"/>
      <c r="W3719" s="3">
        <v>220.98</v>
      </c>
      <c r="X3719" s="172">
        <v>46121.08095645833</v>
      </c>
      <c r="Y3719" s="172">
        <v>46099.060482546294</v>
      </c>
      <c r="Z3719" s="3">
        <v>46099.0</v>
      </c>
      <c r="AA3719" s="2" t="s">
        <v>14032</v>
      </c>
    </row>
    <row r="3720">
      <c r="A3720" s="3">
        <v>6.956697354499E12</v>
      </c>
      <c r="B3720" s="2" t="s">
        <v>15059</v>
      </c>
      <c r="C3720" s="2" t="s">
        <v>15060</v>
      </c>
      <c r="D3720" s="169">
        <v>46099.0</v>
      </c>
      <c r="E3720" s="173" t="s">
        <v>15061</v>
      </c>
      <c r="F3720" s="2" t="s">
        <v>15062</v>
      </c>
      <c r="G3720" s="2" t="s">
        <v>15063</v>
      </c>
      <c r="H3720" s="2">
        <v>0.0</v>
      </c>
      <c r="J3720" s="3">
        <v>0.0</v>
      </c>
      <c r="K3720" s="2" t="s">
        <v>537</v>
      </c>
      <c r="L3720" s="2"/>
      <c r="M3720" s="2" t="s">
        <v>468</v>
      </c>
      <c r="N3720" s="2" t="s">
        <v>406</v>
      </c>
      <c r="O3720" s="3"/>
      <c r="Q3720" s="3">
        <v>0.0</v>
      </c>
      <c r="R3720" s="3">
        <v>0.5</v>
      </c>
      <c r="U3720" s="141"/>
      <c r="X3720" s="172"/>
      <c r="Y3720" s="172">
        <v>46099.060482546294</v>
      </c>
      <c r="Z3720" s="3">
        <v>46099.0</v>
      </c>
      <c r="AA3720" s="2" t="s">
        <v>14032</v>
      </c>
    </row>
    <row r="3721">
      <c r="A3721" s="3">
        <v>6.956712296707E12</v>
      </c>
      <c r="B3721" s="2" t="s">
        <v>15064</v>
      </c>
      <c r="C3721" s="2" t="s">
        <v>15065</v>
      </c>
      <c r="D3721" s="169">
        <v>46099.0</v>
      </c>
      <c r="E3721" s="2">
        <v>3.008200746E9</v>
      </c>
      <c r="F3721" s="2" t="s">
        <v>15066</v>
      </c>
      <c r="G3721" s="2" t="s">
        <v>1323</v>
      </c>
      <c r="H3721" s="2">
        <v>2994.0</v>
      </c>
      <c r="I3721" s="2">
        <v>2.1120050023102E13</v>
      </c>
      <c r="J3721" s="3">
        <v>1.0</v>
      </c>
      <c r="K3721" s="2" t="s">
        <v>15067</v>
      </c>
      <c r="L3721" s="2" t="s">
        <v>3455</v>
      </c>
      <c r="M3721" s="2" t="s">
        <v>409</v>
      </c>
      <c r="N3721" s="2" t="s">
        <v>462</v>
      </c>
      <c r="O3721" s="3"/>
      <c r="P3721" s="2" t="s">
        <v>73</v>
      </c>
      <c r="Q3721" s="3">
        <v>1400.0</v>
      </c>
      <c r="R3721" s="3">
        <v>0.5</v>
      </c>
      <c r="T3721" s="2" t="s">
        <v>12503</v>
      </c>
      <c r="U3721" s="171">
        <v>2994.0</v>
      </c>
      <c r="V3721" s="172">
        <v>46115.0</v>
      </c>
      <c r="W3721" s="3">
        <v>362.84</v>
      </c>
      <c r="X3721" s="172">
        <v>46112.58287423611</v>
      </c>
      <c r="Y3721" s="172">
        <v>46099.102094699076</v>
      </c>
      <c r="Z3721" s="3">
        <v>46099.0</v>
      </c>
      <c r="AA3721" s="2" t="s">
        <v>14032</v>
      </c>
    </row>
    <row r="3722">
      <c r="A3722" s="3">
        <v>6.956740935939E12</v>
      </c>
      <c r="B3722" s="2" t="s">
        <v>15068</v>
      </c>
      <c r="C3722" s="2" t="s">
        <v>15069</v>
      </c>
      <c r="D3722" s="169">
        <v>46099.0</v>
      </c>
      <c r="E3722" s="2">
        <v>3.009495143E9</v>
      </c>
      <c r="F3722" s="2" t="s">
        <v>15070</v>
      </c>
      <c r="G3722" s="2" t="s">
        <v>855</v>
      </c>
      <c r="H3722" s="2">
        <v>10748.0</v>
      </c>
      <c r="I3722" s="2">
        <v>2.2120050023101E13</v>
      </c>
      <c r="J3722" s="3">
        <v>5.0</v>
      </c>
      <c r="K3722" s="2" t="s">
        <v>15071</v>
      </c>
      <c r="L3722" s="2" t="s">
        <v>15072</v>
      </c>
      <c r="M3722" s="2" t="s">
        <v>409</v>
      </c>
      <c r="N3722" s="2" t="s">
        <v>462</v>
      </c>
      <c r="O3722" s="3"/>
      <c r="P3722" s="2" t="s">
        <v>73</v>
      </c>
      <c r="Q3722" s="3">
        <v>4450.0</v>
      </c>
      <c r="R3722" s="3">
        <v>0.5</v>
      </c>
      <c r="T3722" s="2" t="s">
        <v>12503</v>
      </c>
      <c r="U3722" s="171">
        <v>10748.0</v>
      </c>
      <c r="V3722" s="172">
        <v>46115.0</v>
      </c>
      <c r="W3722" s="3">
        <v>776.12</v>
      </c>
      <c r="X3722" s="172">
        <v>46113.95771969907</v>
      </c>
      <c r="Y3722" s="172">
        <v>46099.102094699076</v>
      </c>
      <c r="Z3722" s="3">
        <v>46099.0</v>
      </c>
      <c r="AA3722" s="2" t="s">
        <v>14022</v>
      </c>
    </row>
    <row r="3723">
      <c r="A3723" s="3">
        <v>6.956750176515E12</v>
      </c>
      <c r="B3723" s="2" t="s">
        <v>15073</v>
      </c>
      <c r="C3723" s="2" t="s">
        <v>15074</v>
      </c>
      <c r="D3723" s="169">
        <v>46099.0</v>
      </c>
      <c r="E3723" s="2">
        <v>3.173143443E9</v>
      </c>
      <c r="F3723" s="2" t="s">
        <v>15075</v>
      </c>
      <c r="G3723" s="2" t="s">
        <v>493</v>
      </c>
      <c r="H3723" s="2">
        <v>0.0</v>
      </c>
      <c r="J3723" s="3">
        <v>0.0</v>
      </c>
      <c r="K3723" s="2" t="s">
        <v>15076</v>
      </c>
      <c r="L3723" s="2"/>
      <c r="M3723" s="2" t="s">
        <v>468</v>
      </c>
      <c r="N3723" s="2" t="s">
        <v>406</v>
      </c>
      <c r="O3723" s="3"/>
      <c r="Q3723" s="3">
        <v>0.0</v>
      </c>
      <c r="R3723" s="3">
        <v>0.5</v>
      </c>
      <c r="U3723" s="141"/>
      <c r="X3723" s="172"/>
      <c r="Y3723" s="172">
        <v>46099.102094699076</v>
      </c>
      <c r="Z3723" s="3">
        <v>46099.0</v>
      </c>
      <c r="AA3723" s="2" t="s">
        <v>14032</v>
      </c>
    </row>
    <row r="3724">
      <c r="A3724" s="3">
        <v>6.956804473091E12</v>
      </c>
      <c r="B3724" s="2" t="s">
        <v>15077</v>
      </c>
      <c r="C3724" s="2" t="s">
        <v>8319</v>
      </c>
      <c r="D3724" s="169">
        <v>46099.0</v>
      </c>
      <c r="E3724" s="2">
        <v>3.119006653E9</v>
      </c>
      <c r="F3724" s="2" t="s">
        <v>8320</v>
      </c>
      <c r="G3724" s="2" t="s">
        <v>4788</v>
      </c>
      <c r="H3724" s="2">
        <v>0.0</v>
      </c>
      <c r="J3724" s="3">
        <v>0.0</v>
      </c>
      <c r="K3724" s="2" t="s">
        <v>15078</v>
      </c>
      <c r="L3724" s="2"/>
      <c r="M3724" s="2" t="s">
        <v>468</v>
      </c>
      <c r="N3724" s="2" t="s">
        <v>406</v>
      </c>
      <c r="O3724" s="3"/>
      <c r="Q3724" s="3">
        <v>0.0</v>
      </c>
      <c r="R3724" s="3">
        <v>0.5</v>
      </c>
      <c r="U3724" s="141"/>
      <c r="X3724" s="172"/>
      <c r="Y3724" s="172">
        <v>46099.14375451389</v>
      </c>
      <c r="Z3724" s="3">
        <v>46099.0</v>
      </c>
      <c r="AA3724" s="2" t="s">
        <v>14032</v>
      </c>
    </row>
    <row r="3725">
      <c r="A3725" s="3">
        <v>6.956811190531E12</v>
      </c>
      <c r="B3725" s="2" t="s">
        <v>15079</v>
      </c>
      <c r="C3725" s="2" t="s">
        <v>15080</v>
      </c>
      <c r="D3725" s="169">
        <v>46099.0</v>
      </c>
      <c r="E3725" s="2">
        <v>3.271039383E9</v>
      </c>
      <c r="F3725" s="2" t="s">
        <v>15081</v>
      </c>
      <c r="G3725" s="2" t="s">
        <v>15082</v>
      </c>
      <c r="H3725" s="2">
        <v>0.0</v>
      </c>
      <c r="J3725" s="3">
        <v>0.0</v>
      </c>
      <c r="K3725" s="2" t="s">
        <v>14625</v>
      </c>
      <c r="L3725" s="2"/>
      <c r="M3725" s="2" t="s">
        <v>468</v>
      </c>
      <c r="N3725" s="2" t="s">
        <v>406</v>
      </c>
      <c r="O3725" s="3"/>
      <c r="Q3725" s="3">
        <v>0.0</v>
      </c>
      <c r="R3725" s="3">
        <v>0.5</v>
      </c>
      <c r="U3725" s="141"/>
      <c r="X3725" s="172"/>
      <c r="Y3725" s="172">
        <v>46099.14375451389</v>
      </c>
      <c r="Z3725" s="3">
        <v>46099.0</v>
      </c>
      <c r="AA3725" s="2" t="s">
        <v>14041</v>
      </c>
    </row>
    <row r="3726">
      <c r="A3726" s="3">
        <v>6.956852281603E12</v>
      </c>
      <c r="B3726" s="2" t="s">
        <v>15083</v>
      </c>
      <c r="C3726" s="2" t="s">
        <v>15084</v>
      </c>
      <c r="D3726" s="169">
        <v>46099.0</v>
      </c>
      <c r="E3726" s="2">
        <v>3.335251113E9</v>
      </c>
      <c r="F3726" s="2" t="s">
        <v>15085</v>
      </c>
      <c r="G3726" s="2" t="s">
        <v>366</v>
      </c>
      <c r="H3726" s="2">
        <v>2199.0</v>
      </c>
      <c r="I3726" s="2">
        <v>2.4120050023095E13</v>
      </c>
      <c r="J3726" s="3">
        <v>1.0</v>
      </c>
      <c r="K3726" s="2" t="s">
        <v>15086</v>
      </c>
      <c r="L3726" s="2" t="s">
        <v>15087</v>
      </c>
      <c r="M3726" s="2" t="s">
        <v>409</v>
      </c>
      <c r="N3726" s="2" t="s">
        <v>462</v>
      </c>
      <c r="O3726" s="3"/>
      <c r="P3726" s="2" t="s">
        <v>73</v>
      </c>
      <c r="Q3726" s="3">
        <v>525.0</v>
      </c>
      <c r="R3726" s="3">
        <v>0.5</v>
      </c>
      <c r="T3726" s="2" t="s">
        <v>12503</v>
      </c>
      <c r="U3726" s="171">
        <v>2199.0</v>
      </c>
      <c r="V3726" s="172">
        <v>46115.0</v>
      </c>
      <c r="W3726" s="3">
        <v>308.94</v>
      </c>
      <c r="X3726" s="172">
        <v>46113.79104251157</v>
      </c>
      <c r="Y3726" s="172">
        <v>46099.185423020834</v>
      </c>
      <c r="Z3726" s="3">
        <v>46099.0</v>
      </c>
      <c r="AA3726" s="2" t="s">
        <v>14032</v>
      </c>
    </row>
    <row r="3727">
      <c r="A3727" s="3">
        <v>6.956869157123E12</v>
      </c>
      <c r="B3727" s="2" t="s">
        <v>15088</v>
      </c>
      <c r="C3727" s="2" t="s">
        <v>15089</v>
      </c>
      <c r="D3727" s="169">
        <v>46099.0</v>
      </c>
      <c r="E3727" s="2">
        <v>3.218418889E9</v>
      </c>
      <c r="F3727" s="2" t="s">
        <v>15090</v>
      </c>
      <c r="G3727" s="2" t="s">
        <v>368</v>
      </c>
      <c r="H3727" s="2">
        <v>3348.0</v>
      </c>
      <c r="I3727" s="2">
        <v>2.1120050022773E13</v>
      </c>
      <c r="J3727" s="3">
        <v>2.0</v>
      </c>
      <c r="K3727" s="2" t="s">
        <v>13072</v>
      </c>
      <c r="L3727" s="2" t="s">
        <v>50</v>
      </c>
      <c r="M3727" s="2" t="s">
        <v>409</v>
      </c>
      <c r="N3727" s="2" t="s">
        <v>462</v>
      </c>
      <c r="O3727" s="3"/>
      <c r="P3727" s="2" t="s">
        <v>73</v>
      </c>
      <c r="Q3727" s="3">
        <v>720.0</v>
      </c>
      <c r="R3727" s="3">
        <v>0.5</v>
      </c>
      <c r="T3727" s="2" t="s">
        <v>12177</v>
      </c>
      <c r="U3727" s="171">
        <v>3348.0</v>
      </c>
      <c r="V3727" s="172">
        <v>46105.0</v>
      </c>
      <c r="W3727" s="3">
        <v>254.0</v>
      </c>
      <c r="X3727" s="172">
        <v>46100.62442666666</v>
      </c>
      <c r="Y3727" s="172">
        <v>46099.185423020834</v>
      </c>
      <c r="Z3727" s="3">
        <v>46099.0</v>
      </c>
      <c r="AA3727" s="2" t="s">
        <v>14032</v>
      </c>
    </row>
    <row r="3728">
      <c r="A3728" s="3">
        <v>6.956873449731E12</v>
      </c>
      <c r="B3728" s="2" t="s">
        <v>15091</v>
      </c>
      <c r="C3728" s="2" t="s">
        <v>15092</v>
      </c>
      <c r="D3728" s="169">
        <v>46099.0</v>
      </c>
      <c r="E3728" s="2">
        <v>3.270909676E9</v>
      </c>
      <c r="F3728" s="2" t="s">
        <v>15093</v>
      </c>
      <c r="G3728" s="2" t="s">
        <v>368</v>
      </c>
      <c r="H3728" s="2">
        <v>3348.0</v>
      </c>
      <c r="I3728" s="2">
        <v>2.9120050022772E13</v>
      </c>
      <c r="J3728" s="3">
        <v>2.0</v>
      </c>
      <c r="K3728" s="2" t="s">
        <v>13072</v>
      </c>
      <c r="L3728" s="2" t="s">
        <v>234</v>
      </c>
      <c r="M3728" s="2" t="s">
        <v>409</v>
      </c>
      <c r="N3728" s="2" t="s">
        <v>462</v>
      </c>
      <c r="O3728" s="3"/>
      <c r="P3728" s="2" t="s">
        <v>73</v>
      </c>
      <c r="Q3728" s="3">
        <v>800.0</v>
      </c>
      <c r="R3728" s="3">
        <v>0.5</v>
      </c>
      <c r="T3728" s="2" t="s">
        <v>12177</v>
      </c>
      <c r="U3728" s="171">
        <v>3348.0</v>
      </c>
      <c r="V3728" s="172">
        <v>46105.0</v>
      </c>
      <c r="W3728" s="3">
        <v>241.0</v>
      </c>
      <c r="X3728" s="172">
        <v>46100.624426828705</v>
      </c>
      <c r="Y3728" s="172">
        <v>46099.185423020834</v>
      </c>
      <c r="Z3728" s="3">
        <v>46099.0</v>
      </c>
      <c r="AA3728" s="2" t="s">
        <v>14053</v>
      </c>
    </row>
    <row r="3729">
      <c r="A3729" s="3">
        <v>6.956902187267E12</v>
      </c>
      <c r="B3729" s="2" t="s">
        <v>15094</v>
      </c>
      <c r="C3729" s="2" t="s">
        <v>5625</v>
      </c>
      <c r="D3729" s="169">
        <v>46099.0</v>
      </c>
      <c r="E3729" s="173" t="s">
        <v>15095</v>
      </c>
      <c r="F3729" s="2" t="s">
        <v>15096</v>
      </c>
      <c r="G3729" s="2" t="s">
        <v>2725</v>
      </c>
      <c r="H3729" s="2">
        <v>0.0</v>
      </c>
      <c r="J3729" s="3">
        <v>0.0</v>
      </c>
      <c r="K3729" s="2" t="s">
        <v>15097</v>
      </c>
      <c r="L3729" s="2"/>
      <c r="M3729" s="2" t="s">
        <v>468</v>
      </c>
      <c r="N3729" s="2" t="s">
        <v>406</v>
      </c>
      <c r="O3729" s="3"/>
      <c r="Q3729" s="3">
        <v>0.0</v>
      </c>
      <c r="R3729" s="3">
        <v>0.5</v>
      </c>
      <c r="U3729" s="141"/>
      <c r="X3729" s="172"/>
      <c r="Y3729" s="172">
        <v>46099.227144606484</v>
      </c>
      <c r="Z3729" s="3">
        <v>46099.0</v>
      </c>
      <c r="AA3729" s="2" t="s">
        <v>14032</v>
      </c>
    </row>
    <row r="3730">
      <c r="A3730" s="3">
        <v>6.956903694595E12</v>
      </c>
      <c r="B3730" s="2" t="s">
        <v>15098</v>
      </c>
      <c r="C3730" s="2" t="s">
        <v>5625</v>
      </c>
      <c r="D3730" s="169">
        <v>46099.0</v>
      </c>
      <c r="E3730" s="173" t="s">
        <v>15095</v>
      </c>
      <c r="F3730" s="2" t="s">
        <v>15096</v>
      </c>
      <c r="G3730" s="2" t="s">
        <v>2725</v>
      </c>
      <c r="H3730" s="2">
        <v>0.0</v>
      </c>
      <c r="J3730" s="3">
        <v>0.0</v>
      </c>
      <c r="K3730" s="2" t="s">
        <v>7954</v>
      </c>
      <c r="L3730" s="2"/>
      <c r="M3730" s="2" t="s">
        <v>468</v>
      </c>
      <c r="N3730" s="2" t="s">
        <v>406</v>
      </c>
      <c r="O3730" s="3"/>
      <c r="Q3730" s="3">
        <v>0.0</v>
      </c>
      <c r="R3730" s="3">
        <v>0.5</v>
      </c>
      <c r="U3730" s="141"/>
      <c r="X3730" s="172"/>
      <c r="Y3730" s="172">
        <v>46099.227144606484</v>
      </c>
      <c r="Z3730" s="3">
        <v>46099.0</v>
      </c>
      <c r="AA3730" s="2" t="s">
        <v>14032</v>
      </c>
    </row>
    <row r="3731">
      <c r="A3731" s="3">
        <v>6.956904415491E12</v>
      </c>
      <c r="B3731" s="2" t="s">
        <v>15099</v>
      </c>
      <c r="C3731" s="2" t="s">
        <v>15100</v>
      </c>
      <c r="D3731" s="169">
        <v>46099.0</v>
      </c>
      <c r="E3731" s="2">
        <v>3.263333433E9</v>
      </c>
      <c r="F3731" s="2" t="s">
        <v>15101</v>
      </c>
      <c r="G3731" s="2" t="s">
        <v>506</v>
      </c>
      <c r="H3731" s="2">
        <v>3347.0</v>
      </c>
      <c r="I3731" s="2">
        <v>2.3120050023094E13</v>
      </c>
      <c r="J3731" s="3">
        <v>2.0</v>
      </c>
      <c r="K3731" s="2" t="s">
        <v>15102</v>
      </c>
      <c r="L3731" s="2" t="s">
        <v>1446</v>
      </c>
      <c r="M3731" s="2" t="s">
        <v>409</v>
      </c>
      <c r="N3731" s="2" t="s">
        <v>462</v>
      </c>
      <c r="O3731" s="3"/>
      <c r="P3731" s="2" t="s">
        <v>73</v>
      </c>
      <c r="Q3731" s="3">
        <v>720.0</v>
      </c>
      <c r="R3731" s="3">
        <v>0.5</v>
      </c>
      <c r="T3731" s="2" t="s">
        <v>12503</v>
      </c>
      <c r="U3731" s="171">
        <v>3347.0</v>
      </c>
      <c r="V3731" s="172">
        <v>46115.0</v>
      </c>
      <c r="W3731" s="3">
        <v>354.86</v>
      </c>
      <c r="X3731" s="172">
        <v>46113.70769418981</v>
      </c>
      <c r="Y3731" s="172">
        <v>46099.227144606484</v>
      </c>
      <c r="Z3731" s="3">
        <v>46099.0</v>
      </c>
      <c r="AA3731" s="2" t="s">
        <v>14032</v>
      </c>
    </row>
    <row r="3732">
      <c r="A3732" s="3">
        <v>6.956926107907E12</v>
      </c>
      <c r="B3732" s="2" t="s">
        <v>15103</v>
      </c>
      <c r="C3732" s="2" t="s">
        <v>15104</v>
      </c>
      <c r="D3732" s="169">
        <v>46099.0</v>
      </c>
      <c r="E3732" s="2">
        <v>3.007937559E9</v>
      </c>
      <c r="F3732" s="2" t="s">
        <v>15105</v>
      </c>
      <c r="G3732" s="2" t="s">
        <v>368</v>
      </c>
      <c r="H3732" s="2">
        <v>3548.0</v>
      </c>
      <c r="I3732" s="2">
        <v>2.8120050022771E13</v>
      </c>
      <c r="J3732" s="3">
        <v>2.0</v>
      </c>
      <c r="K3732" s="2" t="s">
        <v>14304</v>
      </c>
      <c r="L3732" s="2" t="s">
        <v>926</v>
      </c>
      <c r="M3732" s="2" t="s">
        <v>409</v>
      </c>
      <c r="N3732" s="2" t="s">
        <v>462</v>
      </c>
      <c r="O3732" s="3"/>
      <c r="P3732" s="2" t="s">
        <v>73</v>
      </c>
      <c r="Q3732" s="3">
        <v>980.0</v>
      </c>
      <c r="R3732" s="3">
        <v>0.5</v>
      </c>
      <c r="T3732" s="2" t="s">
        <v>12177</v>
      </c>
      <c r="U3732" s="171">
        <v>3548.0</v>
      </c>
      <c r="V3732" s="172">
        <v>46105.0</v>
      </c>
      <c r="W3732" s="3">
        <v>262.0</v>
      </c>
      <c r="X3732" s="172">
        <v>46100.62442688657</v>
      </c>
      <c r="Y3732" s="172">
        <v>46099.227144606484</v>
      </c>
      <c r="Z3732" s="3">
        <v>46099.0</v>
      </c>
      <c r="AA3732" s="2" t="s">
        <v>14032</v>
      </c>
    </row>
    <row r="3733">
      <c r="A3733" s="3">
        <v>6.956927090947E12</v>
      </c>
      <c r="B3733" s="2" t="s">
        <v>15106</v>
      </c>
      <c r="C3733" s="2" t="s">
        <v>15107</v>
      </c>
      <c r="D3733" s="169">
        <v>46099.0</v>
      </c>
      <c r="E3733" s="2">
        <v>3.11213102E9</v>
      </c>
      <c r="F3733" s="2" t="s">
        <v>15108</v>
      </c>
      <c r="G3733" s="2" t="s">
        <v>493</v>
      </c>
      <c r="H3733" s="2">
        <v>3348.0</v>
      </c>
      <c r="I3733" s="2">
        <v>2.9120050023093E13</v>
      </c>
      <c r="J3733" s="3">
        <v>2.0</v>
      </c>
      <c r="K3733" s="2" t="s">
        <v>15109</v>
      </c>
      <c r="L3733" s="2" t="s">
        <v>50</v>
      </c>
      <c r="M3733" s="2" t="s">
        <v>409</v>
      </c>
      <c r="N3733" s="2" t="s">
        <v>462</v>
      </c>
      <c r="O3733" s="3"/>
      <c r="P3733" s="2" t="s">
        <v>73</v>
      </c>
      <c r="Q3733" s="3">
        <v>720.0</v>
      </c>
      <c r="R3733" s="3">
        <v>0.5</v>
      </c>
      <c r="T3733" s="2" t="s">
        <v>15010</v>
      </c>
      <c r="U3733" s="171">
        <v>3348.0</v>
      </c>
      <c r="V3733" s="172">
        <v>46119.0</v>
      </c>
      <c r="W3733" s="3">
        <v>369.62999999999994</v>
      </c>
      <c r="X3733" s="172">
        <v>46115.70766774306</v>
      </c>
      <c r="Y3733" s="172">
        <v>46099.227144606484</v>
      </c>
      <c r="Z3733" s="3">
        <v>46099.0</v>
      </c>
      <c r="AA3733" s="2" t="s">
        <v>14032</v>
      </c>
    </row>
    <row r="3734">
      <c r="A3734" s="3">
        <v>6.956949176579E12</v>
      </c>
      <c r="B3734" s="2" t="s">
        <v>15110</v>
      </c>
      <c r="C3734" s="2" t="s">
        <v>15111</v>
      </c>
      <c r="D3734" s="169">
        <v>46099.0</v>
      </c>
      <c r="E3734" s="2">
        <v>3.270907116E9</v>
      </c>
      <c r="F3734" s="2" t="s">
        <v>15112</v>
      </c>
      <c r="G3734" s="2" t="s">
        <v>374</v>
      </c>
      <c r="H3734" s="2">
        <v>1499.0</v>
      </c>
      <c r="I3734" s="2">
        <v>2.2120050023092E13</v>
      </c>
      <c r="J3734" s="3">
        <v>1.0</v>
      </c>
      <c r="K3734" s="2" t="s">
        <v>15113</v>
      </c>
      <c r="L3734" s="2" t="s">
        <v>15114</v>
      </c>
      <c r="M3734" s="2" t="s">
        <v>409</v>
      </c>
      <c r="N3734" s="2" t="s">
        <v>462</v>
      </c>
      <c r="O3734" s="3"/>
      <c r="P3734" s="2" t="s">
        <v>73</v>
      </c>
      <c r="Q3734" s="3">
        <v>750.0</v>
      </c>
      <c r="R3734" s="3">
        <v>0.5</v>
      </c>
      <c r="T3734" s="2" t="s">
        <v>12503</v>
      </c>
      <c r="U3734" s="171">
        <v>1499.0</v>
      </c>
      <c r="V3734" s="172">
        <v>46115.0</v>
      </c>
      <c r="W3734" s="3">
        <v>280.94</v>
      </c>
      <c r="X3734" s="172">
        <v>46112.49940206019</v>
      </c>
      <c r="Y3734" s="172">
        <v>46099.22714461805</v>
      </c>
      <c r="Z3734" s="3">
        <v>46099.0</v>
      </c>
      <c r="AA3734" s="2" t="s">
        <v>14032</v>
      </c>
    </row>
    <row r="3735">
      <c r="A3735" s="3">
        <v>6.956961333507E12</v>
      </c>
      <c r="B3735" s="2" t="s">
        <v>15115</v>
      </c>
      <c r="C3735" s="2" t="s">
        <v>15116</v>
      </c>
      <c r="D3735" s="169">
        <v>46099.0</v>
      </c>
      <c r="E3735" s="2">
        <v>3.127717851E9</v>
      </c>
      <c r="F3735" s="2" t="s">
        <v>15117</v>
      </c>
      <c r="G3735" s="2" t="s">
        <v>3148</v>
      </c>
      <c r="H3735" s="2">
        <v>2099.0</v>
      </c>
      <c r="I3735" s="2">
        <v>2.0120050023091E13</v>
      </c>
      <c r="J3735" s="3">
        <v>1.0</v>
      </c>
      <c r="K3735" s="2" t="s">
        <v>15118</v>
      </c>
      <c r="L3735" s="2" t="s">
        <v>3222</v>
      </c>
      <c r="M3735" s="2" t="s">
        <v>409</v>
      </c>
      <c r="N3735" s="2" t="s">
        <v>462</v>
      </c>
      <c r="O3735" s="3"/>
      <c r="P3735" s="2" t="s">
        <v>73</v>
      </c>
      <c r="Q3735" s="3">
        <v>490.0</v>
      </c>
      <c r="R3735" s="3">
        <v>0.5</v>
      </c>
      <c r="T3735" s="2" t="s">
        <v>12503</v>
      </c>
      <c r="U3735" s="171">
        <v>2099.0</v>
      </c>
      <c r="V3735" s="172">
        <v>46115.0</v>
      </c>
      <c r="W3735" s="3">
        <v>304.94</v>
      </c>
      <c r="X3735" s="172">
        <v>46113.582763784725</v>
      </c>
      <c r="Y3735" s="172">
        <v>46099.22714461805</v>
      </c>
      <c r="Z3735" s="3">
        <v>46099.0</v>
      </c>
      <c r="AA3735" s="2" t="s">
        <v>14032</v>
      </c>
    </row>
    <row r="3736">
      <c r="A3736" s="3">
        <v>6.956962873603E12</v>
      </c>
      <c r="B3736" s="2" t="s">
        <v>15119</v>
      </c>
      <c r="C3736" s="2" t="s">
        <v>15120</v>
      </c>
      <c r="D3736" s="169">
        <v>46099.0</v>
      </c>
      <c r="E3736" s="173" t="s">
        <v>15121</v>
      </c>
      <c r="F3736" s="2" t="s">
        <v>15122</v>
      </c>
      <c r="G3736" s="2" t="s">
        <v>1630</v>
      </c>
      <c r="H3736" s="2">
        <v>3348.0</v>
      </c>
      <c r="I3736" s="2">
        <v>2.1120050023533E13</v>
      </c>
      <c r="J3736" s="3">
        <v>2.0</v>
      </c>
      <c r="K3736" s="2" t="s">
        <v>15123</v>
      </c>
      <c r="L3736" s="2" t="s">
        <v>40</v>
      </c>
      <c r="M3736" s="2" t="s">
        <v>15124</v>
      </c>
      <c r="N3736" s="2" t="s">
        <v>406</v>
      </c>
      <c r="O3736" s="3"/>
      <c r="P3736" s="2" t="s">
        <v>73</v>
      </c>
      <c r="Q3736" s="3">
        <v>720.0</v>
      </c>
      <c r="R3736" s="3">
        <v>0.5</v>
      </c>
      <c r="U3736" s="141"/>
      <c r="X3736" s="172">
        <v>46131.08096011574</v>
      </c>
      <c r="Y3736" s="172">
        <v>46099.22714461805</v>
      </c>
      <c r="Z3736" s="3">
        <v>46099.0</v>
      </c>
      <c r="AA3736" s="2" t="s">
        <v>14032</v>
      </c>
    </row>
    <row r="3737">
      <c r="A3737" s="3">
        <v>6.956976996611E12</v>
      </c>
      <c r="B3737" s="2" t="s">
        <v>15125</v>
      </c>
      <c r="C3737" s="2" t="s">
        <v>15126</v>
      </c>
      <c r="D3737" s="169">
        <v>46099.0</v>
      </c>
      <c r="E3737" s="2">
        <v>3.405206977E9</v>
      </c>
      <c r="F3737" s="2" t="s">
        <v>15127</v>
      </c>
      <c r="G3737" s="2" t="s">
        <v>493</v>
      </c>
      <c r="H3737" s="2">
        <v>3548.0</v>
      </c>
      <c r="I3737" s="2">
        <v>2.2120050023099E13</v>
      </c>
      <c r="J3737" s="3">
        <v>2.0</v>
      </c>
      <c r="K3737" s="2" t="s">
        <v>15128</v>
      </c>
      <c r="L3737" s="2" t="s">
        <v>16</v>
      </c>
      <c r="M3737" s="2" t="s">
        <v>409</v>
      </c>
      <c r="N3737" s="2" t="s">
        <v>462</v>
      </c>
      <c r="O3737" s="3"/>
      <c r="P3737" s="2" t="s">
        <v>73</v>
      </c>
      <c r="Q3737" s="3">
        <v>980.0</v>
      </c>
      <c r="R3737" s="3">
        <v>0.5</v>
      </c>
      <c r="T3737" s="2" t="s">
        <v>12503</v>
      </c>
      <c r="U3737" s="171">
        <v>3548.0</v>
      </c>
      <c r="V3737" s="172">
        <v>46115.0</v>
      </c>
      <c r="W3737" s="3">
        <v>377.63</v>
      </c>
      <c r="X3737" s="172">
        <v>46113.70769422453</v>
      </c>
      <c r="Y3737" s="172">
        <v>46099.26877229167</v>
      </c>
      <c r="Z3737" s="3">
        <v>46099.0</v>
      </c>
      <c r="AA3737" s="2" t="s">
        <v>14032</v>
      </c>
    </row>
    <row r="3738">
      <c r="A3738" s="3">
        <v>6.957004194051E12</v>
      </c>
      <c r="B3738" s="2" t="s">
        <v>15129</v>
      </c>
      <c r="C3738" s="2" t="s">
        <v>15130</v>
      </c>
      <c r="D3738" s="169">
        <v>46099.0</v>
      </c>
      <c r="E3738" s="2">
        <v>3.218845415E9</v>
      </c>
      <c r="F3738" s="2" t="s">
        <v>15131</v>
      </c>
      <c r="G3738" s="2" t="s">
        <v>368</v>
      </c>
      <c r="H3738" s="2">
        <v>3348.0</v>
      </c>
      <c r="I3738" s="2">
        <v>2.212005002277E13</v>
      </c>
      <c r="J3738" s="3">
        <v>2.0</v>
      </c>
      <c r="K3738" s="2" t="s">
        <v>13072</v>
      </c>
      <c r="L3738" s="2" t="s">
        <v>50</v>
      </c>
      <c r="M3738" s="2" t="s">
        <v>409</v>
      </c>
      <c r="N3738" s="2" t="s">
        <v>462</v>
      </c>
      <c r="O3738" s="3"/>
      <c r="P3738" s="2" t="s">
        <v>73</v>
      </c>
      <c r="Q3738" s="3">
        <v>720.0</v>
      </c>
      <c r="R3738" s="3">
        <v>0.5</v>
      </c>
      <c r="T3738" s="2" t="s">
        <v>12177</v>
      </c>
      <c r="U3738" s="171">
        <v>3348.0</v>
      </c>
      <c r="V3738" s="172">
        <v>46105.0</v>
      </c>
      <c r="W3738" s="3">
        <v>241.0</v>
      </c>
      <c r="X3738" s="172">
        <v>46100.54137327547</v>
      </c>
      <c r="Y3738" s="172">
        <v>46099.26877229167</v>
      </c>
      <c r="Z3738" s="3">
        <v>46099.0</v>
      </c>
      <c r="AA3738" s="2" t="s">
        <v>14032</v>
      </c>
    </row>
    <row r="3739">
      <c r="A3739" s="3">
        <v>6.957007995139E12</v>
      </c>
      <c r="B3739" s="2" t="s">
        <v>15132</v>
      </c>
      <c r="C3739" s="2" t="s">
        <v>11876</v>
      </c>
      <c r="D3739" s="169">
        <v>46099.0</v>
      </c>
      <c r="E3739" s="2">
        <v>3.254777157E9</v>
      </c>
      <c r="F3739" s="2" t="s">
        <v>11884</v>
      </c>
      <c r="G3739" s="2" t="s">
        <v>368</v>
      </c>
      <c r="H3739" s="2">
        <v>249.0</v>
      </c>
      <c r="I3739" s="2">
        <v>2.4120050023003E13</v>
      </c>
      <c r="J3739" s="3">
        <v>0.0</v>
      </c>
      <c r="K3739" s="2" t="s">
        <v>15133</v>
      </c>
      <c r="L3739" s="2"/>
      <c r="M3739" s="170" t="s">
        <v>455</v>
      </c>
      <c r="N3739" s="2" t="s">
        <v>406</v>
      </c>
      <c r="O3739" s="3"/>
      <c r="P3739" s="2" t="s">
        <v>73</v>
      </c>
      <c r="Q3739" s="3">
        <v>0.0</v>
      </c>
      <c r="R3739" s="3">
        <v>0.5</v>
      </c>
      <c r="U3739" s="141"/>
      <c r="W3739" s="3">
        <v>117.86</v>
      </c>
      <c r="X3739" s="172">
        <v>46115.83273417824</v>
      </c>
      <c r="Y3739" s="172">
        <v>46099.26877229167</v>
      </c>
      <c r="Z3739" s="3">
        <v>46099.0</v>
      </c>
      <c r="AA3739" s="2" t="s">
        <v>14041</v>
      </c>
    </row>
    <row r="3740">
      <c r="A3740" s="3">
        <v>6.957008650499E12</v>
      </c>
      <c r="B3740" s="2" t="s">
        <v>15134</v>
      </c>
      <c r="C3740" s="2" t="s">
        <v>15135</v>
      </c>
      <c r="D3740" s="169">
        <v>46099.0</v>
      </c>
      <c r="E3740" s="2">
        <v>3.436151399E9</v>
      </c>
      <c r="F3740" s="2" t="s">
        <v>15136</v>
      </c>
      <c r="G3740" s="2" t="s">
        <v>15137</v>
      </c>
      <c r="H3740" s="2">
        <v>0.0</v>
      </c>
      <c r="J3740" s="3">
        <v>0.0</v>
      </c>
      <c r="K3740" s="2" t="s">
        <v>15138</v>
      </c>
      <c r="L3740" s="2"/>
      <c r="M3740" s="2" t="s">
        <v>468</v>
      </c>
      <c r="N3740" s="2" t="s">
        <v>406</v>
      </c>
      <c r="O3740" s="3"/>
      <c r="Q3740" s="3">
        <v>0.0</v>
      </c>
      <c r="R3740" s="3">
        <v>0.5</v>
      </c>
      <c r="U3740" s="141"/>
      <c r="X3740" s="172"/>
      <c r="Y3740" s="172">
        <v>46099.26877229167</v>
      </c>
      <c r="Z3740" s="3">
        <v>46099.0</v>
      </c>
      <c r="AA3740" s="2" t="s">
        <v>14041</v>
      </c>
    </row>
    <row r="3741">
      <c r="A3741" s="3">
        <v>6.957067436291E12</v>
      </c>
      <c r="B3741" s="2" t="s">
        <v>15139</v>
      </c>
      <c r="C3741" s="2" t="s">
        <v>14243</v>
      </c>
      <c r="D3741" s="169">
        <v>46099.0</v>
      </c>
      <c r="E3741" s="2">
        <v>3.006140774E9</v>
      </c>
      <c r="F3741" s="2" t="s">
        <v>15140</v>
      </c>
      <c r="G3741" s="2" t="s">
        <v>688</v>
      </c>
      <c r="H3741" s="2">
        <v>249.0</v>
      </c>
      <c r="I3741" s="2">
        <v>2.9120050023098E13</v>
      </c>
      <c r="J3741" s="3">
        <v>0.0</v>
      </c>
      <c r="K3741" s="2" t="s">
        <v>15141</v>
      </c>
      <c r="L3741" s="2"/>
      <c r="M3741" s="170" t="s">
        <v>455</v>
      </c>
      <c r="N3741" s="2" t="s">
        <v>406</v>
      </c>
      <c r="O3741" s="3"/>
      <c r="P3741" s="2" t="s">
        <v>73</v>
      </c>
      <c r="Q3741" s="3">
        <v>0.0</v>
      </c>
      <c r="R3741" s="3">
        <v>0.5</v>
      </c>
      <c r="U3741" s="141"/>
      <c r="W3741" s="3">
        <v>220.98</v>
      </c>
      <c r="X3741" s="172">
        <v>46119.0810337963</v>
      </c>
      <c r="Y3741" s="172">
        <v>46099.31043063657</v>
      </c>
      <c r="Z3741" s="3">
        <v>46099.0</v>
      </c>
      <c r="AA3741" s="2" t="s">
        <v>14032</v>
      </c>
    </row>
    <row r="3742">
      <c r="A3742" s="3">
        <v>6.957135528195E12</v>
      </c>
      <c r="B3742" s="2" t="s">
        <v>15142</v>
      </c>
      <c r="C3742" s="2" t="s">
        <v>15143</v>
      </c>
      <c r="D3742" s="169">
        <v>46099.0</v>
      </c>
      <c r="E3742" s="2">
        <v>3.00459297E9</v>
      </c>
      <c r="F3742" s="2" t="s">
        <v>15144</v>
      </c>
      <c r="G3742" s="2" t="s">
        <v>368</v>
      </c>
      <c r="H3742" s="2">
        <v>3348.0</v>
      </c>
      <c r="I3742" s="2">
        <v>2.5120050022769E13</v>
      </c>
      <c r="J3742" s="3">
        <v>2.0</v>
      </c>
      <c r="K3742" s="2" t="s">
        <v>13072</v>
      </c>
      <c r="L3742" s="2" t="s">
        <v>40</v>
      </c>
      <c r="M3742" s="2" t="s">
        <v>409</v>
      </c>
      <c r="N3742" s="2" t="s">
        <v>462</v>
      </c>
      <c r="O3742" s="3"/>
      <c r="P3742" s="2" t="s">
        <v>73</v>
      </c>
      <c r="Q3742" s="3">
        <v>720.0</v>
      </c>
      <c r="R3742" s="3">
        <v>0.5</v>
      </c>
      <c r="T3742" s="2" t="s">
        <v>12177</v>
      </c>
      <c r="U3742" s="171">
        <v>3348.0</v>
      </c>
      <c r="V3742" s="172">
        <v>46105.0</v>
      </c>
      <c r="W3742" s="3">
        <v>241.0</v>
      </c>
      <c r="X3742" s="172">
        <v>46100.499673935185</v>
      </c>
      <c r="Y3742" s="172">
        <v>46099.3937778588</v>
      </c>
      <c r="Z3742" s="3">
        <v>46099.0</v>
      </c>
      <c r="AA3742" s="2" t="s">
        <v>14032</v>
      </c>
    </row>
    <row r="3743">
      <c r="A3743" s="3">
        <v>6.957193003267E12</v>
      </c>
      <c r="B3743" s="2" t="s">
        <v>15145</v>
      </c>
      <c r="C3743" s="2" t="s">
        <v>221</v>
      </c>
      <c r="D3743" s="169">
        <v>46099.0</v>
      </c>
      <c r="E3743" s="2">
        <v>3.006822792E9</v>
      </c>
      <c r="F3743" s="2" t="s">
        <v>15146</v>
      </c>
      <c r="G3743" s="2" t="s">
        <v>15147</v>
      </c>
      <c r="H3743" s="2">
        <v>3348.0</v>
      </c>
      <c r="I3743" s="2">
        <v>2.4120050023097E13</v>
      </c>
      <c r="J3743" s="3">
        <v>2.0</v>
      </c>
      <c r="K3743" s="2" t="s">
        <v>204</v>
      </c>
      <c r="L3743" s="2" t="s">
        <v>50</v>
      </c>
      <c r="M3743" s="2" t="s">
        <v>14076</v>
      </c>
      <c r="N3743" s="2" t="s">
        <v>406</v>
      </c>
      <c r="O3743" s="3"/>
      <c r="P3743" s="2" t="s">
        <v>73</v>
      </c>
      <c r="Q3743" s="3">
        <v>720.0</v>
      </c>
      <c r="R3743" s="3">
        <v>0.5</v>
      </c>
      <c r="U3743" s="141"/>
      <c r="X3743" s="172">
        <v>46122.0810178588</v>
      </c>
      <c r="Y3743" s="172">
        <v>46099.435447627315</v>
      </c>
      <c r="Z3743" s="3">
        <v>46099.0</v>
      </c>
      <c r="AA3743" s="2" t="s">
        <v>14041</v>
      </c>
    </row>
    <row r="3744">
      <c r="A3744" s="3">
        <v>6.957270532355E12</v>
      </c>
      <c r="B3744" s="2" t="s">
        <v>15148</v>
      </c>
      <c r="C3744" s="2" t="s">
        <v>15149</v>
      </c>
      <c r="D3744" s="169">
        <v>46099.0</v>
      </c>
      <c r="E3744" s="2">
        <v>3.004196138E9</v>
      </c>
      <c r="F3744" s="2" t="s">
        <v>15150</v>
      </c>
      <c r="G3744" s="2" t="s">
        <v>368</v>
      </c>
      <c r="H3744" s="2">
        <v>249.0</v>
      </c>
      <c r="I3744" s="2">
        <v>2.7120050022832E13</v>
      </c>
      <c r="J3744" s="3">
        <v>0.0</v>
      </c>
      <c r="K3744" s="2" t="s">
        <v>15151</v>
      </c>
      <c r="L3744" s="2"/>
      <c r="M3744" s="2" t="s">
        <v>409</v>
      </c>
      <c r="N3744" s="2" t="s">
        <v>406</v>
      </c>
      <c r="O3744" s="3"/>
      <c r="P3744" s="2" t="s">
        <v>73</v>
      </c>
      <c r="Q3744" s="3">
        <v>0.0</v>
      </c>
      <c r="R3744" s="3">
        <v>0.5</v>
      </c>
      <c r="T3744" s="2" t="s">
        <v>14037</v>
      </c>
      <c r="U3744" s="171">
        <v>249.0</v>
      </c>
      <c r="V3744" s="172">
        <v>46112.0</v>
      </c>
      <c r="W3744" s="3">
        <v>280.0</v>
      </c>
      <c r="X3744" s="172">
        <v>46108.6660790162</v>
      </c>
      <c r="Y3744" s="172">
        <v>46099.477087175925</v>
      </c>
      <c r="Z3744" s="3">
        <v>46099.0</v>
      </c>
      <c r="AA3744" s="2" t="s">
        <v>14041</v>
      </c>
    </row>
    <row r="3745">
      <c r="A3745" s="3">
        <v>6.957281476867E12</v>
      </c>
      <c r="B3745" s="2" t="s">
        <v>15152</v>
      </c>
      <c r="C3745" s="2" t="s">
        <v>15153</v>
      </c>
      <c r="D3745" s="169">
        <v>46099.0</v>
      </c>
      <c r="E3745" s="173" t="s">
        <v>15154</v>
      </c>
      <c r="F3745" s="2" t="s">
        <v>15155</v>
      </c>
      <c r="G3745" s="2" t="s">
        <v>368</v>
      </c>
      <c r="H3745" s="2">
        <v>3348.0</v>
      </c>
      <c r="I3745" s="2">
        <v>2.1120050022768E13</v>
      </c>
      <c r="J3745" s="3">
        <v>2.0</v>
      </c>
      <c r="K3745" s="2" t="s">
        <v>13072</v>
      </c>
      <c r="L3745" s="2" t="s">
        <v>50</v>
      </c>
      <c r="M3745" s="2" t="s">
        <v>409</v>
      </c>
      <c r="N3745" s="2" t="s">
        <v>462</v>
      </c>
      <c r="O3745" s="3"/>
      <c r="P3745" s="2" t="s">
        <v>73</v>
      </c>
      <c r="Q3745" s="3">
        <v>720.0</v>
      </c>
      <c r="R3745" s="3">
        <v>0.5</v>
      </c>
      <c r="T3745" s="2" t="s">
        <v>12177</v>
      </c>
      <c r="U3745" s="171">
        <v>3348.0</v>
      </c>
      <c r="V3745" s="172">
        <v>46105.0</v>
      </c>
      <c r="W3745" s="3">
        <v>241.0</v>
      </c>
      <c r="X3745" s="172">
        <v>46100.91610707176</v>
      </c>
      <c r="Y3745" s="172">
        <v>46099.51874670139</v>
      </c>
      <c r="Z3745" s="3">
        <v>46099.0</v>
      </c>
      <c r="AA3745" s="2" t="s">
        <v>14032</v>
      </c>
    </row>
    <row r="3746">
      <c r="A3746" s="3">
        <v>6.957291208963E12</v>
      </c>
      <c r="B3746" s="2" t="s">
        <v>15156</v>
      </c>
      <c r="C3746" s="2" t="s">
        <v>15157</v>
      </c>
      <c r="D3746" s="169">
        <v>46099.0</v>
      </c>
      <c r="E3746" s="2">
        <v>3.003000048E9</v>
      </c>
      <c r="F3746" s="2" t="s">
        <v>15158</v>
      </c>
      <c r="G3746" s="2" t="s">
        <v>493</v>
      </c>
      <c r="H3746" s="2">
        <v>249.0</v>
      </c>
      <c r="I3746" s="2">
        <v>2.6120050023096E13</v>
      </c>
      <c r="J3746" s="3">
        <v>0.0</v>
      </c>
      <c r="K3746" s="2" t="s">
        <v>14582</v>
      </c>
      <c r="L3746" s="2"/>
      <c r="M3746" s="170" t="s">
        <v>455</v>
      </c>
      <c r="N3746" s="2" t="s">
        <v>406</v>
      </c>
      <c r="O3746" s="3"/>
      <c r="P3746" s="2" t="s">
        <v>73</v>
      </c>
      <c r="Q3746" s="3">
        <v>0.0</v>
      </c>
      <c r="R3746" s="3">
        <v>0.5</v>
      </c>
      <c r="U3746" s="141"/>
      <c r="W3746" s="3">
        <v>235.70999999999998</v>
      </c>
      <c r="X3746" s="172">
        <v>46121.08099378472</v>
      </c>
      <c r="Y3746" s="172">
        <v>46099.51874670139</v>
      </c>
      <c r="Z3746" s="3">
        <v>46099.0</v>
      </c>
      <c r="AA3746" s="2" t="s">
        <v>14032</v>
      </c>
    </row>
    <row r="3747">
      <c r="A3747" s="3">
        <v>6.957313392899E12</v>
      </c>
      <c r="B3747" s="2" t="s">
        <v>15159</v>
      </c>
      <c r="C3747" s="2" t="s">
        <v>15160</v>
      </c>
      <c r="D3747" s="169">
        <v>46099.0</v>
      </c>
      <c r="E3747" s="2">
        <v>3.088798159E9</v>
      </c>
      <c r="F3747" s="2" t="s">
        <v>15161</v>
      </c>
      <c r="G3747" s="2" t="s">
        <v>368</v>
      </c>
      <c r="H3747" s="2">
        <v>1449.0</v>
      </c>
      <c r="I3747" s="2">
        <v>2.212005002278E13</v>
      </c>
      <c r="J3747" s="3">
        <v>1.0</v>
      </c>
      <c r="K3747" s="2" t="s">
        <v>15162</v>
      </c>
      <c r="L3747" s="2" t="s">
        <v>15163</v>
      </c>
      <c r="M3747" s="2" t="s">
        <v>409</v>
      </c>
      <c r="N3747" s="2" t="s">
        <v>462</v>
      </c>
      <c r="O3747" s="3"/>
      <c r="P3747" s="2" t="s">
        <v>73</v>
      </c>
      <c r="Q3747" s="3">
        <v>550.0</v>
      </c>
      <c r="R3747" s="3">
        <v>0.5</v>
      </c>
      <c r="T3747" s="2" t="s">
        <v>12177</v>
      </c>
      <c r="U3747" s="171">
        <v>1449.0</v>
      </c>
      <c r="V3747" s="172">
        <v>46105.0</v>
      </c>
      <c r="W3747" s="3">
        <v>165.0</v>
      </c>
      <c r="X3747" s="172">
        <v>46100.582916377316</v>
      </c>
      <c r="Y3747" s="172">
        <v>46099.5604249537</v>
      </c>
      <c r="Z3747" s="3">
        <v>46099.0</v>
      </c>
      <c r="AA3747" s="2" t="s">
        <v>14032</v>
      </c>
    </row>
    <row r="3748">
      <c r="A3748" s="3">
        <v>6.957314343171E12</v>
      </c>
      <c r="B3748" s="2" t="s">
        <v>15164</v>
      </c>
      <c r="C3748" s="2" t="s">
        <v>15165</v>
      </c>
      <c r="D3748" s="169">
        <v>46099.0</v>
      </c>
      <c r="E3748" s="2">
        <v>9.23034947245E11</v>
      </c>
      <c r="F3748" s="2" t="s">
        <v>15166</v>
      </c>
      <c r="G3748" s="2" t="s">
        <v>917</v>
      </c>
      <c r="H3748" s="2">
        <v>0.0</v>
      </c>
      <c r="J3748" s="3">
        <v>0.0</v>
      </c>
      <c r="K3748" s="2" t="s">
        <v>8446</v>
      </c>
      <c r="L3748" s="2"/>
      <c r="M3748" s="2" t="s">
        <v>468</v>
      </c>
      <c r="N3748" s="2" t="s">
        <v>406</v>
      </c>
      <c r="O3748" s="3"/>
      <c r="Q3748" s="3">
        <v>0.0</v>
      </c>
      <c r="R3748" s="3">
        <v>0.5</v>
      </c>
      <c r="U3748" s="141"/>
      <c r="X3748" s="172"/>
      <c r="Y3748" s="172">
        <v>46099.5604249537</v>
      </c>
      <c r="Z3748" s="3">
        <v>46099.0</v>
      </c>
      <c r="AA3748" s="2" t="s">
        <v>14041</v>
      </c>
    </row>
    <row r="3749">
      <c r="A3749" s="3">
        <v>6.957333971203E12</v>
      </c>
      <c r="B3749" s="2" t="s">
        <v>15167</v>
      </c>
      <c r="C3749" s="2" t="s">
        <v>13745</v>
      </c>
      <c r="D3749" s="169">
        <v>46099.0</v>
      </c>
      <c r="E3749" s="2">
        <v>3.119222337E9</v>
      </c>
      <c r="F3749" s="2" t="s">
        <v>15168</v>
      </c>
      <c r="G3749" s="2" t="s">
        <v>541</v>
      </c>
      <c r="H3749" s="2">
        <v>249.0</v>
      </c>
      <c r="I3749" s="2">
        <v>2.0120050022779E13</v>
      </c>
      <c r="J3749" s="3">
        <v>0.0</v>
      </c>
      <c r="K3749" s="2" t="s">
        <v>15169</v>
      </c>
      <c r="L3749" s="2"/>
      <c r="M3749" s="170" t="s">
        <v>455</v>
      </c>
      <c r="N3749" s="2" t="s">
        <v>406</v>
      </c>
      <c r="O3749" s="3"/>
      <c r="P3749" s="2" t="s">
        <v>73</v>
      </c>
      <c r="Q3749" s="3">
        <v>0.0</v>
      </c>
      <c r="R3749" s="3">
        <v>0.5</v>
      </c>
      <c r="U3749" s="141"/>
      <c r="W3749" s="3">
        <v>200.1</v>
      </c>
      <c r="X3749" s="172">
        <v>46112.91607738426</v>
      </c>
      <c r="Y3749" s="172">
        <v>46099.5604249537</v>
      </c>
      <c r="Z3749" s="3">
        <v>46099.0</v>
      </c>
      <c r="AA3749" s="2" t="s">
        <v>14026</v>
      </c>
    </row>
    <row r="3750">
      <c r="A3750" s="3">
        <v>6.957338067203E12</v>
      </c>
      <c r="B3750" s="2" t="s">
        <v>15170</v>
      </c>
      <c r="C3750" s="2" t="s">
        <v>12680</v>
      </c>
      <c r="D3750" s="169">
        <v>46099.0</v>
      </c>
      <c r="E3750" s="2">
        <v>3.214134674E9</v>
      </c>
      <c r="F3750" s="2" t="s">
        <v>15171</v>
      </c>
      <c r="G3750" s="2" t="s">
        <v>368</v>
      </c>
      <c r="H3750" s="2">
        <v>3348.0</v>
      </c>
      <c r="I3750" s="2">
        <v>2.3120050022767E13</v>
      </c>
      <c r="J3750" s="3">
        <v>2.0</v>
      </c>
      <c r="K3750" s="2" t="s">
        <v>13072</v>
      </c>
      <c r="L3750" s="2" t="s">
        <v>50</v>
      </c>
      <c r="M3750" s="2" t="s">
        <v>409</v>
      </c>
      <c r="N3750" s="2" t="s">
        <v>462</v>
      </c>
      <c r="O3750" s="3"/>
      <c r="P3750" s="2" t="s">
        <v>73</v>
      </c>
      <c r="Q3750" s="3">
        <v>720.0</v>
      </c>
      <c r="R3750" s="3">
        <v>0.5</v>
      </c>
      <c r="T3750" s="2" t="s">
        <v>12177</v>
      </c>
      <c r="U3750" s="171">
        <v>3348.0</v>
      </c>
      <c r="V3750" s="172">
        <v>46105.0</v>
      </c>
      <c r="W3750" s="3">
        <v>254.0</v>
      </c>
      <c r="X3750" s="172">
        <v>46100.45781998843</v>
      </c>
      <c r="Y3750" s="172">
        <v>46099.5604249537</v>
      </c>
      <c r="Z3750" s="3">
        <v>46099.0</v>
      </c>
      <c r="AA3750" s="2" t="s">
        <v>14022</v>
      </c>
    </row>
    <row r="3751">
      <c r="A3751" s="3">
        <v>6.957338919171E12</v>
      </c>
      <c r="B3751" s="2" t="s">
        <v>15172</v>
      </c>
      <c r="C3751" s="2" t="s">
        <v>15173</v>
      </c>
      <c r="D3751" s="169">
        <v>46099.0</v>
      </c>
      <c r="E3751" s="173" t="s">
        <v>15174</v>
      </c>
      <c r="F3751" s="2" t="s">
        <v>15175</v>
      </c>
      <c r="G3751" s="2" t="s">
        <v>15176</v>
      </c>
      <c r="H3751" s="2">
        <v>3348.0</v>
      </c>
      <c r="I3751" s="2">
        <v>2.9120050023124E13</v>
      </c>
      <c r="J3751" s="3">
        <v>2.0</v>
      </c>
      <c r="K3751" s="2" t="s">
        <v>15177</v>
      </c>
      <c r="L3751" s="2" t="s">
        <v>228</v>
      </c>
      <c r="M3751" s="2" t="s">
        <v>409</v>
      </c>
      <c r="N3751" s="2" t="s">
        <v>462</v>
      </c>
      <c r="O3751" s="3"/>
      <c r="P3751" s="2" t="s">
        <v>73</v>
      </c>
      <c r="Q3751" s="3">
        <v>720.0</v>
      </c>
      <c r="R3751" s="3">
        <v>0.5</v>
      </c>
      <c r="T3751" s="2" t="s">
        <v>12503</v>
      </c>
      <c r="U3751" s="171">
        <v>3348.0</v>
      </c>
      <c r="V3751" s="172">
        <v>46115.0</v>
      </c>
      <c r="W3751" s="3">
        <v>369.63</v>
      </c>
      <c r="X3751" s="172">
        <v>46113.499456226855</v>
      </c>
      <c r="Y3751" s="172">
        <v>46099.5604249537</v>
      </c>
      <c r="Z3751" s="3">
        <v>46099.0</v>
      </c>
      <c r="AA3751" s="2" t="s">
        <v>14032</v>
      </c>
    </row>
    <row r="3752">
      <c r="A3752" s="3">
        <v>6.957362413827E12</v>
      </c>
      <c r="B3752" s="2" t="s">
        <v>15178</v>
      </c>
      <c r="C3752" s="2" t="s">
        <v>15179</v>
      </c>
      <c r="D3752" s="169">
        <v>46099.0</v>
      </c>
      <c r="E3752" s="2">
        <v>3.315222457E9</v>
      </c>
      <c r="F3752" s="2" t="s">
        <v>15180</v>
      </c>
      <c r="G3752" s="2" t="s">
        <v>506</v>
      </c>
      <c r="H3752" s="2">
        <v>249.0</v>
      </c>
      <c r="I3752" s="2">
        <v>2.6120050023123E13</v>
      </c>
      <c r="J3752" s="3">
        <v>0.0</v>
      </c>
      <c r="K3752" s="2" t="s">
        <v>15181</v>
      </c>
      <c r="L3752" s="2"/>
      <c r="M3752" s="170" t="s">
        <v>455</v>
      </c>
      <c r="N3752" s="2" t="s">
        <v>406</v>
      </c>
      <c r="O3752" s="3"/>
      <c r="P3752" s="2" t="s">
        <v>73</v>
      </c>
      <c r="Q3752" s="3">
        <v>0.0</v>
      </c>
      <c r="R3752" s="3">
        <v>0.5</v>
      </c>
      <c r="U3752" s="141"/>
      <c r="W3752" s="3">
        <v>220.98</v>
      </c>
      <c r="X3752" s="172">
        <v>46121.08099379629</v>
      </c>
      <c r="Y3752" s="172">
        <v>46099.60209704861</v>
      </c>
      <c r="Z3752" s="3">
        <v>46099.0</v>
      </c>
      <c r="AA3752" s="2" t="s">
        <v>14032</v>
      </c>
    </row>
    <row r="3753">
      <c r="A3753" s="3">
        <v>6.957362708739E12</v>
      </c>
      <c r="B3753" s="2" t="s">
        <v>15182</v>
      </c>
      <c r="C3753" s="2" t="s">
        <v>15183</v>
      </c>
      <c r="D3753" s="169">
        <v>46099.0</v>
      </c>
      <c r="E3753" s="173" t="s">
        <v>15184</v>
      </c>
      <c r="F3753" s="2" t="s">
        <v>15185</v>
      </c>
      <c r="G3753" s="2" t="s">
        <v>8628</v>
      </c>
      <c r="H3753" s="2">
        <v>3037.2</v>
      </c>
      <c r="I3753" s="2">
        <v>2.8120050022831E13</v>
      </c>
      <c r="J3753" s="3">
        <v>2.0</v>
      </c>
      <c r="K3753" s="2" t="s">
        <v>15186</v>
      </c>
      <c r="L3753" s="2" t="s">
        <v>1263</v>
      </c>
      <c r="M3753" s="2" t="s">
        <v>409</v>
      </c>
      <c r="N3753" s="2" t="s">
        <v>462</v>
      </c>
      <c r="O3753" s="3"/>
      <c r="P3753" s="2" t="s">
        <v>73</v>
      </c>
      <c r="Q3753" s="3">
        <v>720.0</v>
      </c>
      <c r="R3753" s="3">
        <v>0.5</v>
      </c>
      <c r="T3753" s="2" t="s">
        <v>14037</v>
      </c>
      <c r="U3753" s="171">
        <v>3037.2</v>
      </c>
      <c r="V3753" s="172">
        <v>46112.0</v>
      </c>
      <c r="W3753" s="3">
        <v>342.0</v>
      </c>
      <c r="X3753" s="172">
        <v>46108.66607905093</v>
      </c>
      <c r="Y3753" s="172">
        <v>46099.60209704861</v>
      </c>
      <c r="Z3753" s="3">
        <v>46099.0</v>
      </c>
      <c r="AA3753" s="2" t="s">
        <v>14032</v>
      </c>
    </row>
    <row r="3754">
      <c r="A3754" s="3">
        <v>6.957397410051E12</v>
      </c>
      <c r="B3754" s="2" t="s">
        <v>15187</v>
      </c>
      <c r="C3754" s="2" t="s">
        <v>15165</v>
      </c>
      <c r="D3754" s="169">
        <v>46099.0</v>
      </c>
      <c r="E3754" s="2">
        <v>3.35751053E9</v>
      </c>
      <c r="F3754" s="2" t="s">
        <v>15166</v>
      </c>
      <c r="G3754" s="2" t="s">
        <v>917</v>
      </c>
      <c r="H3754" s="2">
        <v>0.0</v>
      </c>
      <c r="J3754" s="3">
        <v>0.0</v>
      </c>
      <c r="K3754" s="2" t="s">
        <v>8402</v>
      </c>
      <c r="L3754" s="2"/>
      <c r="M3754" s="2" t="s">
        <v>468</v>
      </c>
      <c r="N3754" s="2" t="s">
        <v>406</v>
      </c>
      <c r="O3754" s="3"/>
      <c r="Q3754" s="3">
        <v>0.0</v>
      </c>
      <c r="R3754" s="3">
        <v>0.5</v>
      </c>
      <c r="U3754" s="141"/>
      <c r="X3754" s="172"/>
      <c r="Y3754" s="172">
        <v>46099.643768124995</v>
      </c>
      <c r="Z3754" s="3">
        <v>46099.0</v>
      </c>
      <c r="AA3754" s="2" t="s">
        <v>14041</v>
      </c>
    </row>
    <row r="3755">
      <c r="A3755" s="3">
        <v>6.957403144451E12</v>
      </c>
      <c r="B3755" s="2" t="s">
        <v>15188</v>
      </c>
      <c r="C3755" s="2" t="s">
        <v>15189</v>
      </c>
      <c r="D3755" s="169">
        <v>46099.0</v>
      </c>
      <c r="E3755" s="2">
        <v>3.058236083E9</v>
      </c>
      <c r="F3755" s="2" t="s">
        <v>15190</v>
      </c>
      <c r="G3755" s="2" t="s">
        <v>4472</v>
      </c>
      <c r="H3755" s="2">
        <v>0.0</v>
      </c>
      <c r="J3755" s="3">
        <v>0.0</v>
      </c>
      <c r="K3755" s="2" t="s">
        <v>15191</v>
      </c>
      <c r="L3755" s="2"/>
      <c r="M3755" s="2" t="s">
        <v>468</v>
      </c>
      <c r="N3755" s="2" t="s">
        <v>406</v>
      </c>
      <c r="O3755" s="3"/>
      <c r="Q3755" s="3">
        <v>0.0</v>
      </c>
      <c r="R3755" s="3">
        <v>0.5</v>
      </c>
      <c r="U3755" s="141"/>
      <c r="X3755" s="172"/>
      <c r="Y3755" s="172">
        <v>46099.643768124995</v>
      </c>
      <c r="Z3755" s="3">
        <v>46099.0</v>
      </c>
      <c r="AA3755" s="2" t="s">
        <v>14032</v>
      </c>
    </row>
    <row r="3756">
      <c r="A3756" s="3">
        <v>6.957422870787E12</v>
      </c>
      <c r="B3756" s="2" t="s">
        <v>15192</v>
      </c>
      <c r="C3756" s="2" t="s">
        <v>15193</v>
      </c>
      <c r="D3756" s="169">
        <v>46099.0</v>
      </c>
      <c r="E3756" s="2">
        <v>3.213344022E9</v>
      </c>
      <c r="F3756" s="2" t="s">
        <v>15194</v>
      </c>
      <c r="G3756" s="2" t="s">
        <v>493</v>
      </c>
      <c r="H3756" s="2">
        <v>249.0</v>
      </c>
      <c r="I3756" s="2">
        <v>2.3120050023122E13</v>
      </c>
      <c r="J3756" s="3">
        <v>0.0</v>
      </c>
      <c r="K3756" s="2" t="s">
        <v>15109</v>
      </c>
      <c r="L3756" s="2"/>
      <c r="M3756" s="2" t="s">
        <v>409</v>
      </c>
      <c r="N3756" s="2" t="s">
        <v>406</v>
      </c>
      <c r="O3756" s="3"/>
      <c r="P3756" s="2" t="s">
        <v>73</v>
      </c>
      <c r="Q3756" s="3">
        <v>0.0</v>
      </c>
      <c r="R3756" s="3">
        <v>0.5</v>
      </c>
      <c r="T3756" s="2" t="s">
        <v>15010</v>
      </c>
      <c r="U3756" s="171">
        <v>3348.0</v>
      </c>
      <c r="V3756" s="172">
        <v>46119.0</v>
      </c>
      <c r="W3756" s="3">
        <v>369.62999999999994</v>
      </c>
      <c r="X3756" s="172">
        <v>46116.624382187496</v>
      </c>
      <c r="Y3756" s="172">
        <v>46099.643768124995</v>
      </c>
      <c r="Z3756" s="3">
        <v>46099.0</v>
      </c>
      <c r="AA3756" s="2" t="s">
        <v>14032</v>
      </c>
    </row>
    <row r="3757">
      <c r="A3757" s="3">
        <v>6.957439123715E12</v>
      </c>
      <c r="B3757" s="2" t="s">
        <v>15195</v>
      </c>
      <c r="C3757" s="2" t="s">
        <v>5625</v>
      </c>
      <c r="D3757" s="169">
        <v>46099.0</v>
      </c>
      <c r="E3757" s="173" t="s">
        <v>15095</v>
      </c>
      <c r="F3757" s="2" t="s">
        <v>15096</v>
      </c>
      <c r="G3757" s="2" t="s">
        <v>2725</v>
      </c>
      <c r="H3757" s="2">
        <v>0.0</v>
      </c>
      <c r="J3757" s="3">
        <v>0.0</v>
      </c>
      <c r="K3757" s="2" t="s">
        <v>7954</v>
      </c>
      <c r="L3757" s="2"/>
      <c r="M3757" s="2" t="s">
        <v>468</v>
      </c>
      <c r="N3757" s="2" t="s">
        <v>406</v>
      </c>
      <c r="O3757" s="3"/>
      <c r="Q3757" s="3">
        <v>0.0</v>
      </c>
      <c r="R3757" s="3">
        <v>0.5</v>
      </c>
      <c r="U3757" s="141"/>
      <c r="X3757" s="172"/>
      <c r="Y3757" s="172">
        <v>46099.68546758102</v>
      </c>
      <c r="Z3757" s="3">
        <v>46099.0</v>
      </c>
      <c r="AA3757" s="2" t="s">
        <v>14032</v>
      </c>
    </row>
    <row r="3758">
      <c r="A3758" s="3">
        <v>6.957440958723E12</v>
      </c>
      <c r="B3758" s="2" t="s">
        <v>15196</v>
      </c>
      <c r="C3758" s="2" t="s">
        <v>15197</v>
      </c>
      <c r="D3758" s="169">
        <v>46099.0</v>
      </c>
      <c r="E3758" s="2">
        <v>3.353753434E9</v>
      </c>
      <c r="F3758" s="2" t="s">
        <v>15198</v>
      </c>
      <c r="G3758" s="2" t="s">
        <v>781</v>
      </c>
      <c r="H3758" s="2">
        <v>249.0</v>
      </c>
      <c r="I3758" s="2">
        <v>2.712005002309E13</v>
      </c>
      <c r="J3758" s="3">
        <v>0.0</v>
      </c>
      <c r="K3758" s="2" t="s">
        <v>14582</v>
      </c>
      <c r="L3758" s="2"/>
      <c r="M3758" s="170" t="s">
        <v>455</v>
      </c>
      <c r="N3758" s="2" t="s">
        <v>406</v>
      </c>
      <c r="O3758" s="3"/>
      <c r="P3758" s="2" t="s">
        <v>73</v>
      </c>
      <c r="Q3758" s="3">
        <v>0.0</v>
      </c>
      <c r="R3758" s="3">
        <v>0.5</v>
      </c>
      <c r="U3758" s="141"/>
      <c r="W3758" s="3">
        <v>235.70999999999998</v>
      </c>
      <c r="X3758" s="172">
        <v>46120.08102519676</v>
      </c>
      <c r="Y3758" s="172">
        <v>46099.68546758102</v>
      </c>
      <c r="Z3758" s="3">
        <v>46099.0</v>
      </c>
      <c r="AA3758" s="2" t="s">
        <v>14032</v>
      </c>
    </row>
    <row r="3759">
      <c r="A3759" s="3">
        <v>6.957449871619E12</v>
      </c>
      <c r="B3759" s="2" t="s">
        <v>15199</v>
      </c>
      <c r="C3759" s="2" t="s">
        <v>6943</v>
      </c>
      <c r="D3759" s="169">
        <v>46099.0</v>
      </c>
      <c r="E3759" s="2">
        <v>3.214445419E9</v>
      </c>
      <c r="F3759" s="2" t="s">
        <v>15200</v>
      </c>
      <c r="G3759" s="2" t="s">
        <v>368</v>
      </c>
      <c r="H3759" s="2">
        <v>5199.0</v>
      </c>
      <c r="I3759" s="2">
        <v>2.912005002363E13</v>
      </c>
      <c r="J3759" s="3">
        <v>3.0</v>
      </c>
      <c r="K3759" s="2" t="s">
        <v>15201</v>
      </c>
      <c r="L3759" s="2" t="s">
        <v>15202</v>
      </c>
      <c r="M3759" s="2" t="s">
        <v>409</v>
      </c>
      <c r="N3759" s="2" t="s">
        <v>406</v>
      </c>
      <c r="O3759" s="3"/>
      <c r="P3759" s="2" t="s">
        <v>73</v>
      </c>
      <c r="Q3759" s="3">
        <v>1650.0</v>
      </c>
      <c r="R3759" s="3">
        <v>0.5</v>
      </c>
      <c r="U3759" s="141"/>
      <c r="X3759" s="172">
        <v>46131.08096024305</v>
      </c>
      <c r="Y3759" s="172">
        <v>46099.68546758102</v>
      </c>
      <c r="Z3759" s="3">
        <v>46099.0</v>
      </c>
      <c r="AA3759" s="2" t="s">
        <v>14032</v>
      </c>
    </row>
    <row r="3760">
      <c r="A3760" s="3">
        <v>6.957461274883E12</v>
      </c>
      <c r="B3760" s="2" t="s">
        <v>15203</v>
      </c>
      <c r="C3760" s="2" t="s">
        <v>15204</v>
      </c>
      <c r="D3760" s="169">
        <v>46099.0</v>
      </c>
      <c r="E3760" s="2">
        <v>3.45408073E9</v>
      </c>
      <c r="F3760" s="2" t="s">
        <v>15205</v>
      </c>
      <c r="G3760" s="2" t="s">
        <v>15206</v>
      </c>
      <c r="H3760" s="2">
        <v>249.0</v>
      </c>
      <c r="I3760" s="2" t="s">
        <v>15207</v>
      </c>
      <c r="J3760" s="3">
        <v>0.0</v>
      </c>
      <c r="L3760" s="2"/>
      <c r="M3760" s="170" t="s">
        <v>455</v>
      </c>
      <c r="N3760" s="2" t="s">
        <v>406</v>
      </c>
      <c r="O3760" s="3"/>
      <c r="P3760" s="2" t="s">
        <v>640</v>
      </c>
      <c r="Q3760" s="3">
        <v>0.0</v>
      </c>
      <c r="R3760" s="3">
        <v>0.5</v>
      </c>
      <c r="U3760" s="141"/>
      <c r="X3760" s="172">
        <v>46122.082759108795</v>
      </c>
      <c r="Y3760" s="172">
        <v>46099.68546758102</v>
      </c>
      <c r="Z3760" s="3">
        <v>46099.0</v>
      </c>
      <c r="AA3760" s="2" t="s">
        <v>14032</v>
      </c>
    </row>
    <row r="3761">
      <c r="A3761" s="3">
        <v>6.957465469187E12</v>
      </c>
      <c r="B3761" s="2" t="s">
        <v>15208</v>
      </c>
      <c r="C3761" s="2" t="s">
        <v>15209</v>
      </c>
      <c r="D3761" s="169">
        <v>46099.0</v>
      </c>
      <c r="E3761" s="2">
        <v>3.316357553E9</v>
      </c>
      <c r="F3761" s="2" t="s">
        <v>15210</v>
      </c>
      <c r="G3761" s="2" t="s">
        <v>368</v>
      </c>
      <c r="H3761" s="2">
        <v>8049.0</v>
      </c>
      <c r="I3761" s="2">
        <v>2.7120050023002E13</v>
      </c>
      <c r="J3761" s="3">
        <v>5.0</v>
      </c>
      <c r="K3761" s="2" t="s">
        <v>15211</v>
      </c>
      <c r="L3761" s="2" t="s">
        <v>15212</v>
      </c>
      <c r="M3761" s="2" t="s">
        <v>409</v>
      </c>
      <c r="N3761" s="2" t="s">
        <v>462</v>
      </c>
      <c r="O3761" s="3"/>
      <c r="P3761" s="2" t="s">
        <v>73</v>
      </c>
      <c r="Q3761" s="3">
        <v>2450.0</v>
      </c>
      <c r="R3761" s="3">
        <v>0.5</v>
      </c>
      <c r="T3761" s="2" t="s">
        <v>14037</v>
      </c>
      <c r="U3761" s="171">
        <v>8049.0</v>
      </c>
      <c r="V3761" s="172">
        <v>46112.0</v>
      </c>
      <c r="W3761" s="3">
        <v>668.0</v>
      </c>
      <c r="X3761" s="172">
        <v>46111.74949436342</v>
      </c>
      <c r="Y3761" s="172">
        <v>46099.72715048611</v>
      </c>
      <c r="Z3761" s="3">
        <v>46099.0</v>
      </c>
      <c r="AA3761" s="2" t="s">
        <v>14032</v>
      </c>
    </row>
    <row r="3762">
      <c r="A3762" s="3">
        <v>6.957472055555E12</v>
      </c>
      <c r="B3762" s="2" t="s">
        <v>15213</v>
      </c>
      <c r="C3762" s="2" t="s">
        <v>15214</v>
      </c>
      <c r="D3762" s="169">
        <v>46099.0</v>
      </c>
      <c r="E3762" s="2">
        <v>3.016646049E9</v>
      </c>
      <c r="F3762" s="2" t="s">
        <v>15215</v>
      </c>
      <c r="G3762" s="2" t="s">
        <v>855</v>
      </c>
      <c r="H3762" s="2">
        <v>3348.0</v>
      </c>
      <c r="I3762" s="2">
        <v>2.612005002312E13</v>
      </c>
      <c r="J3762" s="3">
        <v>2.0</v>
      </c>
      <c r="K3762" s="2" t="s">
        <v>13839</v>
      </c>
      <c r="L3762" s="2" t="s">
        <v>296</v>
      </c>
      <c r="M3762" s="2" t="s">
        <v>409</v>
      </c>
      <c r="N3762" s="2" t="s">
        <v>462</v>
      </c>
      <c r="O3762" s="3"/>
      <c r="P3762" s="2" t="s">
        <v>73</v>
      </c>
      <c r="Q3762" s="3">
        <v>720.0</v>
      </c>
      <c r="R3762" s="3">
        <v>0.5</v>
      </c>
      <c r="T3762" s="2" t="s">
        <v>12503</v>
      </c>
      <c r="U3762" s="171">
        <v>3348.0</v>
      </c>
      <c r="V3762" s="172">
        <v>46115.0</v>
      </c>
      <c r="W3762" s="3">
        <v>354.9</v>
      </c>
      <c r="X3762" s="172">
        <v>46113.77094537037</v>
      </c>
      <c r="Y3762" s="172">
        <v>46099.72715049768</v>
      </c>
      <c r="Z3762" s="3">
        <v>46099.0</v>
      </c>
      <c r="AA3762" s="2" t="s">
        <v>14032</v>
      </c>
    </row>
    <row r="3763">
      <c r="A3763" s="3">
        <v>6.957487948035E12</v>
      </c>
      <c r="B3763" s="2" t="s">
        <v>15216</v>
      </c>
      <c r="C3763" s="2" t="s">
        <v>15217</v>
      </c>
      <c r="D3763" s="169">
        <v>46099.0</v>
      </c>
      <c r="E3763" s="2">
        <v>3.077022E9</v>
      </c>
      <c r="F3763" s="2" t="s">
        <v>15218</v>
      </c>
      <c r="G3763" s="2" t="s">
        <v>855</v>
      </c>
      <c r="H3763" s="2">
        <v>0.0</v>
      </c>
      <c r="J3763" s="3">
        <v>0.0</v>
      </c>
      <c r="K3763" s="173" t="s">
        <v>15219</v>
      </c>
      <c r="L3763" s="2"/>
      <c r="M3763" s="2" t="s">
        <v>468</v>
      </c>
      <c r="N3763" s="2" t="s">
        <v>406</v>
      </c>
      <c r="O3763" s="3"/>
      <c r="Q3763" s="3">
        <v>0.0</v>
      </c>
      <c r="R3763" s="3">
        <v>0.5</v>
      </c>
      <c r="U3763" s="141"/>
      <c r="X3763" s="172"/>
      <c r="Y3763" s="172">
        <v>46099.72715049768</v>
      </c>
      <c r="Z3763" s="3">
        <v>46099.0</v>
      </c>
      <c r="AA3763" s="2" t="s">
        <v>14022</v>
      </c>
    </row>
    <row r="3764">
      <c r="A3764" s="3">
        <v>6.957501808899E12</v>
      </c>
      <c r="B3764" s="2" t="s">
        <v>15220</v>
      </c>
      <c r="C3764" s="2" t="s">
        <v>15221</v>
      </c>
      <c r="D3764" s="169">
        <v>46099.0</v>
      </c>
      <c r="E3764" s="173" t="s">
        <v>15222</v>
      </c>
      <c r="F3764" s="2" t="s">
        <v>15223</v>
      </c>
      <c r="G3764" s="2" t="s">
        <v>701</v>
      </c>
      <c r="H3764" s="2">
        <v>249.0</v>
      </c>
      <c r="I3764" s="2">
        <v>2.9120050023119E13</v>
      </c>
      <c r="J3764" s="3">
        <v>0.0</v>
      </c>
      <c r="K3764" s="2" t="s">
        <v>15224</v>
      </c>
      <c r="L3764" s="2"/>
      <c r="M3764" s="170" t="s">
        <v>455</v>
      </c>
      <c r="N3764" s="2" t="s">
        <v>406</v>
      </c>
      <c r="O3764" s="3"/>
      <c r="P3764" s="2" t="s">
        <v>73</v>
      </c>
      <c r="Q3764" s="3">
        <v>0.0</v>
      </c>
      <c r="R3764" s="3">
        <v>0.5</v>
      </c>
      <c r="U3764" s="141"/>
      <c r="W3764" s="3">
        <v>220.98</v>
      </c>
      <c r="X3764" s="172">
        <v>46121.08099381944</v>
      </c>
      <c r="Y3764" s="172">
        <v>46099.72715049768</v>
      </c>
      <c r="Z3764" s="3">
        <v>46099.0</v>
      </c>
      <c r="AA3764" s="2" t="s">
        <v>14032</v>
      </c>
    </row>
    <row r="3765">
      <c r="A3765" s="3">
        <v>6.957502169347E12</v>
      </c>
      <c r="B3765" s="2" t="s">
        <v>15225</v>
      </c>
      <c r="C3765" s="2" t="s">
        <v>15226</v>
      </c>
      <c r="D3765" s="169">
        <v>46099.0</v>
      </c>
      <c r="E3765" s="2">
        <v>3.035314303E9</v>
      </c>
      <c r="F3765" s="2" t="s">
        <v>15227</v>
      </c>
      <c r="G3765" s="2" t="s">
        <v>3148</v>
      </c>
      <c r="H3765" s="2">
        <v>3348.0</v>
      </c>
      <c r="I3765" s="2">
        <v>2.912005002283E13</v>
      </c>
      <c r="J3765" s="3">
        <v>2.0</v>
      </c>
      <c r="K3765" s="2" t="s">
        <v>14036</v>
      </c>
      <c r="L3765" s="2" t="s">
        <v>296</v>
      </c>
      <c r="M3765" s="2" t="s">
        <v>409</v>
      </c>
      <c r="N3765" s="2" t="s">
        <v>462</v>
      </c>
      <c r="O3765" s="3"/>
      <c r="P3765" s="2" t="s">
        <v>73</v>
      </c>
      <c r="Q3765" s="3">
        <v>720.0</v>
      </c>
      <c r="R3765" s="3">
        <v>0.5</v>
      </c>
      <c r="T3765" s="2" t="s">
        <v>14037</v>
      </c>
      <c r="U3765" s="171">
        <v>3348.0</v>
      </c>
      <c r="V3765" s="172">
        <v>46112.0</v>
      </c>
      <c r="W3765" s="3">
        <v>355.0</v>
      </c>
      <c r="X3765" s="172">
        <v>46111.66615913194</v>
      </c>
      <c r="Y3765" s="172">
        <v>46099.72715049768</v>
      </c>
      <c r="Z3765" s="3">
        <v>46099.0</v>
      </c>
      <c r="AA3765" s="2" t="s">
        <v>14103</v>
      </c>
    </row>
    <row r="3766">
      <c r="A3766" s="3">
        <v>6.957510394115E12</v>
      </c>
      <c r="B3766" s="2" t="s">
        <v>15228</v>
      </c>
      <c r="C3766" s="2" t="s">
        <v>15229</v>
      </c>
      <c r="D3766" s="169">
        <v>46099.0</v>
      </c>
      <c r="E3766" s="2">
        <v>3.015557589E9</v>
      </c>
      <c r="F3766" s="2" t="s">
        <v>15230</v>
      </c>
      <c r="G3766" s="2" t="s">
        <v>461</v>
      </c>
      <c r="H3766" s="2">
        <v>249.0</v>
      </c>
      <c r="I3766" s="2">
        <v>2.6120050023118E13</v>
      </c>
      <c r="J3766" s="3">
        <v>0.0</v>
      </c>
      <c r="K3766" s="2" t="s">
        <v>15015</v>
      </c>
      <c r="L3766" s="2"/>
      <c r="M3766" s="170" t="s">
        <v>455</v>
      </c>
      <c r="N3766" s="2" t="s">
        <v>406</v>
      </c>
      <c r="O3766" s="3"/>
      <c r="P3766" s="2" t="s">
        <v>73</v>
      </c>
      <c r="Q3766" s="3">
        <v>0.0</v>
      </c>
      <c r="R3766" s="3">
        <v>0.5</v>
      </c>
      <c r="U3766" s="141"/>
      <c r="W3766" s="3">
        <v>220.98</v>
      </c>
      <c r="X3766" s="172">
        <v>46121.08099383102</v>
      </c>
      <c r="Y3766" s="172">
        <v>46099.76879853009</v>
      </c>
      <c r="Z3766" s="3">
        <v>46099.0</v>
      </c>
      <c r="AA3766" s="2" t="s">
        <v>14032</v>
      </c>
    </row>
    <row r="3767">
      <c r="A3767" s="3">
        <v>6.957526221059E12</v>
      </c>
      <c r="B3767" s="2" t="s">
        <v>15231</v>
      </c>
      <c r="C3767" s="2" t="s">
        <v>14637</v>
      </c>
      <c r="D3767" s="169">
        <v>46099.0</v>
      </c>
      <c r="E3767" s="173" t="s">
        <v>15232</v>
      </c>
      <c r="F3767" s="2" t="s">
        <v>14638</v>
      </c>
      <c r="G3767" s="2" t="s">
        <v>493</v>
      </c>
      <c r="H3767" s="2">
        <v>0.0</v>
      </c>
      <c r="J3767" s="3">
        <v>0.0</v>
      </c>
      <c r="K3767" s="2" t="s">
        <v>15233</v>
      </c>
      <c r="L3767" s="2"/>
      <c r="M3767" s="2" t="s">
        <v>468</v>
      </c>
      <c r="N3767" s="2" t="s">
        <v>406</v>
      </c>
      <c r="O3767" s="3"/>
      <c r="Q3767" s="3">
        <v>0.0</v>
      </c>
      <c r="R3767" s="3">
        <v>0.5</v>
      </c>
      <c r="U3767" s="141"/>
      <c r="X3767" s="172"/>
      <c r="Y3767" s="172">
        <v>46099.76879853009</v>
      </c>
      <c r="Z3767" s="3">
        <v>46099.0</v>
      </c>
      <c r="AA3767" s="2" t="s">
        <v>14103</v>
      </c>
    </row>
    <row r="3768">
      <c r="A3768" s="3">
        <v>6.957539098883E12</v>
      </c>
      <c r="B3768" s="2" t="s">
        <v>15234</v>
      </c>
      <c r="C3768" s="2" t="s">
        <v>15235</v>
      </c>
      <c r="D3768" s="169">
        <v>46099.0</v>
      </c>
      <c r="E3768" s="173" t="s">
        <v>15236</v>
      </c>
      <c r="F3768" s="2" t="s">
        <v>15237</v>
      </c>
      <c r="G3768" s="2" t="s">
        <v>10429</v>
      </c>
      <c r="H3768" s="2">
        <v>0.0</v>
      </c>
      <c r="J3768" s="3">
        <v>0.0</v>
      </c>
      <c r="K3768" s="2" t="s">
        <v>15238</v>
      </c>
      <c r="L3768" s="2"/>
      <c r="M3768" s="2" t="s">
        <v>468</v>
      </c>
      <c r="N3768" s="2" t="s">
        <v>406</v>
      </c>
      <c r="O3768" s="3"/>
      <c r="Q3768" s="3">
        <v>0.0</v>
      </c>
      <c r="R3768" s="3">
        <v>0.5</v>
      </c>
      <c r="U3768" s="141"/>
      <c r="X3768" s="172"/>
      <c r="Y3768" s="172">
        <v>46099.76879853009</v>
      </c>
      <c r="Z3768" s="3">
        <v>46099.0</v>
      </c>
      <c r="AA3768" s="2" t="s">
        <v>14103</v>
      </c>
    </row>
    <row r="3769">
      <c r="A3769" s="3">
        <v>6.957584613635E12</v>
      </c>
      <c r="B3769" s="2" t="s">
        <v>15239</v>
      </c>
      <c r="C3769" s="2" t="s">
        <v>15240</v>
      </c>
      <c r="D3769" s="169">
        <v>46099.0</v>
      </c>
      <c r="E3769" s="2">
        <v>3.002240185E9</v>
      </c>
      <c r="F3769" s="2" t="s">
        <v>15241</v>
      </c>
      <c r="G3769" s="2" t="s">
        <v>493</v>
      </c>
      <c r="H3769" s="2">
        <v>3348.0</v>
      </c>
      <c r="I3769" s="2">
        <v>2.0120050023117E13</v>
      </c>
      <c r="J3769" s="3">
        <v>2.0</v>
      </c>
      <c r="K3769" s="2" t="s">
        <v>13839</v>
      </c>
      <c r="L3769" s="2" t="s">
        <v>1446</v>
      </c>
      <c r="M3769" s="2" t="s">
        <v>409</v>
      </c>
      <c r="N3769" s="2" t="s">
        <v>462</v>
      </c>
      <c r="O3769" s="3"/>
      <c r="P3769" s="2" t="s">
        <v>73</v>
      </c>
      <c r="Q3769" s="3">
        <v>720.0</v>
      </c>
      <c r="R3769" s="3">
        <v>0.5</v>
      </c>
      <c r="T3769" s="2" t="s">
        <v>12503</v>
      </c>
      <c r="U3769" s="171">
        <v>3348.0</v>
      </c>
      <c r="V3769" s="172">
        <v>46115.0</v>
      </c>
      <c r="W3769" s="3">
        <v>369.63</v>
      </c>
      <c r="X3769" s="172">
        <v>46114.74949636574</v>
      </c>
      <c r="Y3769" s="172">
        <v>46099.81044497685</v>
      </c>
      <c r="Z3769" s="3">
        <v>46099.0</v>
      </c>
      <c r="AA3769" s="2" t="s">
        <v>14041</v>
      </c>
    </row>
    <row r="3770">
      <c r="A3770" s="3">
        <v>6.957591855363E12</v>
      </c>
      <c r="B3770" s="2" t="s">
        <v>15242</v>
      </c>
      <c r="C3770" s="2" t="s">
        <v>15243</v>
      </c>
      <c r="D3770" s="169">
        <v>46099.0</v>
      </c>
      <c r="E3770" s="2">
        <v>3.169349443E9</v>
      </c>
      <c r="F3770" s="2" t="s">
        <v>15244</v>
      </c>
      <c r="G3770" s="2" t="s">
        <v>15245</v>
      </c>
      <c r="H3770" s="2">
        <v>249.0</v>
      </c>
      <c r="I3770" s="2">
        <v>2.0120050023154E13</v>
      </c>
      <c r="J3770" s="3">
        <v>0.0</v>
      </c>
      <c r="K3770" s="2" t="s">
        <v>15246</v>
      </c>
      <c r="L3770" s="2"/>
      <c r="M3770" s="170" t="s">
        <v>455</v>
      </c>
      <c r="N3770" s="2" t="s">
        <v>406</v>
      </c>
      <c r="O3770" s="3"/>
      <c r="P3770" s="2" t="s">
        <v>73</v>
      </c>
      <c r="Q3770" s="3">
        <v>0.0</v>
      </c>
      <c r="R3770" s="3">
        <v>0.5</v>
      </c>
      <c r="U3770" s="141"/>
      <c r="W3770" s="3">
        <v>235.70999999999998</v>
      </c>
      <c r="X3770" s="172">
        <v>46121.080993842595</v>
      </c>
      <c r="Y3770" s="172">
        <v>46099.81044497685</v>
      </c>
      <c r="Z3770" s="3">
        <v>46099.0</v>
      </c>
      <c r="AA3770" s="2" t="s">
        <v>14032</v>
      </c>
    </row>
    <row r="3771">
      <c r="A3771" s="3">
        <v>6.957707297027E12</v>
      </c>
      <c r="B3771" s="2" t="s">
        <v>15247</v>
      </c>
      <c r="C3771" s="2" t="s">
        <v>15248</v>
      </c>
      <c r="D3771" s="169">
        <v>46099.0</v>
      </c>
      <c r="E3771" s="2">
        <v>3.248289851E9</v>
      </c>
      <c r="F3771" s="2" t="s">
        <v>15249</v>
      </c>
      <c r="G3771" s="2" t="s">
        <v>493</v>
      </c>
      <c r="H3771" s="2">
        <v>2649.0</v>
      </c>
      <c r="I3771" s="2">
        <v>2.8120050022929E13</v>
      </c>
      <c r="J3771" s="3">
        <v>2.0</v>
      </c>
      <c r="K3771" s="2" t="s">
        <v>15250</v>
      </c>
      <c r="L3771" s="2" t="s">
        <v>15251</v>
      </c>
      <c r="M3771" s="2" t="s">
        <v>409</v>
      </c>
      <c r="N3771" s="2" t="s">
        <v>462</v>
      </c>
      <c r="O3771" s="3"/>
      <c r="P3771" s="2" t="s">
        <v>73</v>
      </c>
      <c r="Q3771" s="3">
        <v>1100.0</v>
      </c>
      <c r="R3771" s="3">
        <v>0.5</v>
      </c>
      <c r="T3771" s="2" t="s">
        <v>14037</v>
      </c>
      <c r="U3771" s="171">
        <v>2649.0</v>
      </c>
      <c r="V3771" s="172">
        <v>46112.0</v>
      </c>
      <c r="W3771" s="3">
        <v>342.0</v>
      </c>
      <c r="X3771" s="172">
        <v>46110.771325995374</v>
      </c>
      <c r="Y3771" s="172">
        <v>46099.8520934375</v>
      </c>
      <c r="Z3771" s="3">
        <v>46099.0</v>
      </c>
      <c r="AA3771" s="2" t="s">
        <v>14041</v>
      </c>
    </row>
    <row r="3772">
      <c r="A3772" s="3">
        <v>6.957751730435E12</v>
      </c>
      <c r="B3772" s="2" t="s">
        <v>15252</v>
      </c>
      <c r="C3772" s="2" t="s">
        <v>15253</v>
      </c>
      <c r="D3772" s="169">
        <v>46099.0</v>
      </c>
      <c r="E3772" s="2">
        <v>3.463257694E9</v>
      </c>
      <c r="F3772" s="2" t="s">
        <v>15254</v>
      </c>
      <c r="G3772" s="2" t="s">
        <v>493</v>
      </c>
      <c r="H3772" s="2">
        <v>0.0</v>
      </c>
      <c r="J3772" s="3">
        <v>0.0</v>
      </c>
      <c r="K3772" s="2" t="s">
        <v>15255</v>
      </c>
      <c r="L3772" s="2"/>
      <c r="M3772" s="2" t="s">
        <v>468</v>
      </c>
      <c r="N3772" s="2" t="s">
        <v>406</v>
      </c>
      <c r="O3772" s="3"/>
      <c r="Q3772" s="3">
        <v>0.0</v>
      </c>
      <c r="R3772" s="3">
        <v>0.5</v>
      </c>
      <c r="U3772" s="141"/>
      <c r="X3772" s="172"/>
      <c r="Y3772" s="172">
        <v>46099.89378165509</v>
      </c>
      <c r="Z3772" s="3">
        <v>46099.0</v>
      </c>
      <c r="AA3772" s="2" t="s">
        <v>14032</v>
      </c>
    </row>
    <row r="3773">
      <c r="A3773" s="3">
        <v>6.957801439491E12</v>
      </c>
      <c r="B3773" s="2" t="s">
        <v>15256</v>
      </c>
      <c r="C3773" s="2" t="s">
        <v>2825</v>
      </c>
      <c r="D3773" s="169">
        <v>46099.0</v>
      </c>
      <c r="E3773" s="2">
        <v>3.145751331E9</v>
      </c>
      <c r="F3773" s="2" t="s">
        <v>15257</v>
      </c>
      <c r="G3773" s="2" t="s">
        <v>366</v>
      </c>
      <c r="H3773" s="2">
        <v>0.0</v>
      </c>
      <c r="J3773" s="3">
        <v>0.0</v>
      </c>
      <c r="K3773" s="2" t="s">
        <v>15258</v>
      </c>
      <c r="L3773" s="2"/>
      <c r="M3773" s="2" t="s">
        <v>468</v>
      </c>
      <c r="N3773" s="2" t="s">
        <v>406</v>
      </c>
      <c r="O3773" s="3"/>
      <c r="Q3773" s="3">
        <v>0.0</v>
      </c>
      <c r="R3773" s="3">
        <v>0.5</v>
      </c>
      <c r="U3773" s="141"/>
      <c r="X3773" s="172"/>
      <c r="Y3773" s="172">
        <v>46099.89378165509</v>
      </c>
      <c r="Z3773" s="3">
        <v>46099.0</v>
      </c>
      <c r="AA3773" s="2" t="s">
        <v>14022</v>
      </c>
    </row>
    <row r="3774">
      <c r="A3774" s="3">
        <v>6.957804224771E12</v>
      </c>
      <c r="B3774" s="2" t="s">
        <v>15259</v>
      </c>
      <c r="C3774" s="2" t="s">
        <v>2825</v>
      </c>
      <c r="D3774" s="169">
        <v>46099.0</v>
      </c>
      <c r="E3774" s="2">
        <v>3.145751331E9</v>
      </c>
      <c r="F3774" s="2" t="s">
        <v>15257</v>
      </c>
      <c r="G3774" s="2" t="s">
        <v>366</v>
      </c>
      <c r="H3774" s="2">
        <v>0.0</v>
      </c>
      <c r="J3774" s="3">
        <v>0.0</v>
      </c>
      <c r="K3774" s="2" t="s">
        <v>15260</v>
      </c>
      <c r="L3774" s="2"/>
      <c r="M3774" s="2" t="s">
        <v>468</v>
      </c>
      <c r="N3774" s="2" t="s">
        <v>406</v>
      </c>
      <c r="O3774" s="3"/>
      <c r="Q3774" s="3">
        <v>0.0</v>
      </c>
      <c r="R3774" s="3">
        <v>0.5</v>
      </c>
      <c r="U3774" s="141"/>
      <c r="X3774" s="172"/>
      <c r="Y3774" s="172">
        <v>46099.893781666666</v>
      </c>
      <c r="Z3774" s="3">
        <v>46099.0</v>
      </c>
      <c r="AA3774" s="2" t="s">
        <v>14022</v>
      </c>
    </row>
    <row r="3775">
      <c r="A3775" s="3">
        <v>6.957868679427E12</v>
      </c>
      <c r="B3775" s="2" t="s">
        <v>15261</v>
      </c>
      <c r="C3775" s="2" t="s">
        <v>15262</v>
      </c>
      <c r="D3775" s="169">
        <v>46099.0</v>
      </c>
      <c r="E3775" s="2">
        <v>3.003392999E9</v>
      </c>
      <c r="F3775" s="2" t="s">
        <v>15263</v>
      </c>
      <c r="G3775" s="2" t="s">
        <v>493</v>
      </c>
      <c r="H3775" s="2">
        <v>249.0</v>
      </c>
      <c r="I3775" s="2">
        <v>2.9120050023153E13</v>
      </c>
      <c r="J3775" s="3">
        <v>0.0</v>
      </c>
      <c r="K3775" s="2" t="s">
        <v>15264</v>
      </c>
      <c r="L3775" s="2"/>
      <c r="M3775" s="170" t="s">
        <v>455</v>
      </c>
      <c r="N3775" s="2" t="s">
        <v>406</v>
      </c>
      <c r="O3775" s="3"/>
      <c r="P3775" s="2" t="s">
        <v>73</v>
      </c>
      <c r="Q3775" s="3">
        <v>0.0</v>
      </c>
      <c r="R3775" s="3">
        <v>0.5</v>
      </c>
      <c r="U3775" s="141"/>
      <c r="W3775" s="3">
        <v>235.70999999999998</v>
      </c>
      <c r="X3775" s="172">
        <v>46126.08105341435</v>
      </c>
      <c r="Y3775" s="172">
        <v>46099.935444814815</v>
      </c>
      <c r="Z3775" s="3">
        <v>46099.0</v>
      </c>
      <c r="AA3775" s="2" t="s">
        <v>14041</v>
      </c>
    </row>
    <row r="3776">
      <c r="A3776" s="3">
        <v>6.957910294787E12</v>
      </c>
      <c r="B3776" s="2" t="s">
        <v>15265</v>
      </c>
      <c r="C3776" s="2" t="s">
        <v>15266</v>
      </c>
      <c r="D3776" s="169">
        <v>46099.0</v>
      </c>
      <c r="E3776" s="2">
        <v>3.446084415E9</v>
      </c>
      <c r="F3776" s="2" t="s">
        <v>15267</v>
      </c>
      <c r="G3776" s="2" t="s">
        <v>855</v>
      </c>
      <c r="H3776" s="2">
        <v>3548.0</v>
      </c>
      <c r="I3776" s="2">
        <v>2.5120050022936E13</v>
      </c>
      <c r="J3776" s="3">
        <v>2.0</v>
      </c>
      <c r="K3776" s="2" t="s">
        <v>15268</v>
      </c>
      <c r="L3776" s="2" t="s">
        <v>926</v>
      </c>
      <c r="M3776" s="2" t="s">
        <v>409</v>
      </c>
      <c r="N3776" s="2" t="s">
        <v>462</v>
      </c>
      <c r="O3776" s="3"/>
      <c r="P3776" s="2" t="s">
        <v>73</v>
      </c>
      <c r="Q3776" s="3">
        <v>980.0</v>
      </c>
      <c r="R3776" s="3">
        <v>0.5</v>
      </c>
      <c r="T3776" s="2" t="s">
        <v>14037</v>
      </c>
      <c r="U3776" s="171">
        <v>3548.0</v>
      </c>
      <c r="V3776" s="172">
        <v>46112.0</v>
      </c>
      <c r="W3776" s="3">
        <v>385.0</v>
      </c>
      <c r="X3776" s="172">
        <v>46109.54102164352</v>
      </c>
      <c r="Y3776" s="172">
        <v>46099.97710886574</v>
      </c>
      <c r="Z3776" s="3">
        <v>46099.0</v>
      </c>
      <c r="AA3776" s="2" t="s">
        <v>14032</v>
      </c>
    </row>
    <row r="3777">
      <c r="A3777" s="3">
        <v>6.957914521859E12</v>
      </c>
      <c r="B3777" s="2" t="s">
        <v>15269</v>
      </c>
      <c r="C3777" s="2" t="s">
        <v>15270</v>
      </c>
      <c r="D3777" s="169">
        <v>46099.0</v>
      </c>
      <c r="E3777" s="2">
        <v>3.055141526E9</v>
      </c>
      <c r="F3777" s="2" t="s">
        <v>15271</v>
      </c>
      <c r="G3777" s="2" t="s">
        <v>1016</v>
      </c>
      <c r="H3777" s="2">
        <v>1329.0</v>
      </c>
      <c r="I3777" s="2">
        <v>2.8120050023152E13</v>
      </c>
      <c r="J3777" s="3">
        <v>1.0</v>
      </c>
      <c r="K3777" s="2" t="s">
        <v>15272</v>
      </c>
      <c r="L3777" s="2" t="s">
        <v>15273</v>
      </c>
      <c r="M3777" s="2" t="s">
        <v>409</v>
      </c>
      <c r="N3777" s="2" t="s">
        <v>462</v>
      </c>
      <c r="O3777" s="3"/>
      <c r="P3777" s="2" t="s">
        <v>73</v>
      </c>
      <c r="Q3777" s="3">
        <v>550.0</v>
      </c>
      <c r="R3777" s="3">
        <v>0.5</v>
      </c>
      <c r="T3777" s="2" t="s">
        <v>12503</v>
      </c>
      <c r="U3777" s="171">
        <v>1329.0</v>
      </c>
      <c r="V3777" s="172">
        <v>46115.0</v>
      </c>
      <c r="W3777" s="3">
        <v>274.14</v>
      </c>
      <c r="X3777" s="172">
        <v>46114.54111122685</v>
      </c>
      <c r="Y3777" s="172">
        <v>46099.97710886574</v>
      </c>
      <c r="Z3777" s="3">
        <v>46099.0</v>
      </c>
      <c r="AA3777" s="2" t="s">
        <v>14032</v>
      </c>
    </row>
    <row r="3778">
      <c r="A3778" s="3">
        <v>6.957935132931E12</v>
      </c>
      <c r="B3778" s="2" t="s">
        <v>15274</v>
      </c>
      <c r="C3778" s="2" t="s">
        <v>15275</v>
      </c>
      <c r="D3778" s="169">
        <v>46099.0</v>
      </c>
      <c r="E3778" s="2">
        <v>3.018468199E9</v>
      </c>
      <c r="F3778" s="2" t="s">
        <v>15276</v>
      </c>
      <c r="G3778" s="2" t="s">
        <v>368</v>
      </c>
      <c r="H3778" s="2">
        <v>3348.0</v>
      </c>
      <c r="I3778" s="2">
        <v>2.312005002347E13</v>
      </c>
      <c r="J3778" s="3">
        <v>2.0</v>
      </c>
      <c r="K3778" s="2" t="s">
        <v>15277</v>
      </c>
      <c r="L3778" s="2" t="s">
        <v>275</v>
      </c>
      <c r="M3778" s="2" t="s">
        <v>409</v>
      </c>
      <c r="N3778" s="2" t="s">
        <v>462</v>
      </c>
      <c r="O3778" s="3"/>
      <c r="P3778" s="2" t="s">
        <v>73</v>
      </c>
      <c r="Q3778" s="3">
        <v>800.0</v>
      </c>
      <c r="R3778" s="3">
        <v>0.5</v>
      </c>
      <c r="T3778" s="2" t="s">
        <v>15278</v>
      </c>
      <c r="U3778" s="171">
        <v>3348.0</v>
      </c>
      <c r="V3778" s="172">
        <v>46126.0</v>
      </c>
      <c r="W3778" s="3">
        <v>262.90999999999997</v>
      </c>
      <c r="X3778" s="172">
        <v>46124.081217314815</v>
      </c>
      <c r="Y3778" s="172">
        <v>46099.97710886574</v>
      </c>
      <c r="Z3778" s="3">
        <v>46099.0</v>
      </c>
      <c r="AA3778" s="2" t="s">
        <v>14032</v>
      </c>
    </row>
    <row r="3779">
      <c r="A3779" s="3">
        <v>6.958039040259E12</v>
      </c>
      <c r="B3779" s="2" t="s">
        <v>15279</v>
      </c>
      <c r="C3779" s="2" t="s">
        <v>15280</v>
      </c>
      <c r="D3779" s="169">
        <v>46100.0</v>
      </c>
      <c r="E3779" s="173" t="s">
        <v>15281</v>
      </c>
      <c r="F3779" s="2" t="s">
        <v>15282</v>
      </c>
      <c r="G3779" s="2" t="s">
        <v>15283</v>
      </c>
      <c r="H3779" s="2">
        <v>0.0</v>
      </c>
      <c r="J3779" s="3">
        <v>0.0</v>
      </c>
      <c r="K3779" s="2" t="s">
        <v>15284</v>
      </c>
      <c r="L3779" s="2"/>
      <c r="M3779" s="2" t="s">
        <v>468</v>
      </c>
      <c r="N3779" s="2" t="s">
        <v>406</v>
      </c>
      <c r="O3779" s="3"/>
      <c r="Q3779" s="3">
        <v>0.0</v>
      </c>
      <c r="R3779" s="3">
        <v>0.5</v>
      </c>
      <c r="U3779" s="141"/>
      <c r="X3779" s="172"/>
      <c r="Y3779" s="172">
        <v>46100.060434618055</v>
      </c>
      <c r="Z3779" s="3">
        <v>46100.0</v>
      </c>
      <c r="AA3779" s="2" t="s">
        <v>14032</v>
      </c>
    </row>
    <row r="3780">
      <c r="A3780" s="3">
        <v>6.958050410755E12</v>
      </c>
      <c r="B3780" s="2" t="s">
        <v>15285</v>
      </c>
      <c r="C3780" s="2" t="s">
        <v>779</v>
      </c>
      <c r="D3780" s="169">
        <v>46100.0</v>
      </c>
      <c r="E3780" s="2">
        <v>3.209332936E9</v>
      </c>
      <c r="F3780" s="2" t="s">
        <v>15286</v>
      </c>
      <c r="G3780" s="2" t="s">
        <v>2316</v>
      </c>
      <c r="H3780" s="2">
        <v>249.0</v>
      </c>
      <c r="I3780" s="2">
        <v>2.112005002315E13</v>
      </c>
      <c r="J3780" s="3">
        <v>0.0</v>
      </c>
      <c r="K3780" s="2" t="s">
        <v>15287</v>
      </c>
      <c r="L3780" s="2"/>
      <c r="M3780" s="170" t="s">
        <v>455</v>
      </c>
      <c r="N3780" s="2" t="s">
        <v>406</v>
      </c>
      <c r="O3780" s="3"/>
      <c r="P3780" s="2" t="s">
        <v>73</v>
      </c>
      <c r="Q3780" s="3">
        <v>0.0</v>
      </c>
      <c r="R3780" s="3">
        <v>0.5</v>
      </c>
      <c r="U3780" s="141"/>
      <c r="W3780" s="3">
        <v>235.70999999999998</v>
      </c>
      <c r="X3780" s="172">
        <v>46126.08105420139</v>
      </c>
      <c r="Y3780" s="172">
        <v>46100.060434618055</v>
      </c>
      <c r="Z3780" s="3">
        <v>46100.0</v>
      </c>
      <c r="AA3780" s="2" t="s">
        <v>14032</v>
      </c>
    </row>
    <row r="3781">
      <c r="A3781" s="3">
        <v>6.958066106627E12</v>
      </c>
      <c r="B3781" s="2" t="s">
        <v>15288</v>
      </c>
      <c r="C3781" s="2" t="s">
        <v>15289</v>
      </c>
      <c r="D3781" s="169">
        <v>46100.0</v>
      </c>
      <c r="E3781" s="2">
        <v>3.244493088E9</v>
      </c>
      <c r="F3781" s="2" t="s">
        <v>15290</v>
      </c>
      <c r="G3781" s="2" t="s">
        <v>368</v>
      </c>
      <c r="H3781" s="2">
        <v>249.0</v>
      </c>
      <c r="I3781" s="2">
        <v>2.9120050023149E13</v>
      </c>
      <c r="J3781" s="3">
        <v>0.0</v>
      </c>
      <c r="K3781" s="2" t="s">
        <v>14604</v>
      </c>
      <c r="L3781" s="2"/>
      <c r="M3781" s="170" t="s">
        <v>455</v>
      </c>
      <c r="N3781" s="2" t="s">
        <v>406</v>
      </c>
      <c r="O3781" s="3"/>
      <c r="P3781" s="2" t="s">
        <v>73</v>
      </c>
      <c r="Q3781" s="3">
        <v>0.0</v>
      </c>
      <c r="R3781" s="3">
        <v>0.5</v>
      </c>
      <c r="U3781" s="141"/>
      <c r="W3781" s="3">
        <v>117.86</v>
      </c>
      <c r="X3781" s="172">
        <v>46119.08103586806</v>
      </c>
      <c r="Y3781" s="172">
        <v>46100.060434618055</v>
      </c>
      <c r="Z3781" s="3">
        <v>46100.0</v>
      </c>
      <c r="AA3781" s="2" t="s">
        <v>14041</v>
      </c>
    </row>
    <row r="3782">
      <c r="A3782" s="3">
        <v>6.958142259459E12</v>
      </c>
      <c r="B3782" s="2" t="s">
        <v>15291</v>
      </c>
      <c r="C3782" s="2" t="s">
        <v>15292</v>
      </c>
      <c r="D3782" s="169">
        <v>46100.0</v>
      </c>
      <c r="E3782" s="2">
        <v>3.278163898E9</v>
      </c>
      <c r="F3782" s="2" t="s">
        <v>15293</v>
      </c>
      <c r="G3782" s="2" t="s">
        <v>368</v>
      </c>
      <c r="H3782" s="2">
        <v>3348.0</v>
      </c>
      <c r="I3782" s="2">
        <v>2.6120050022928E13</v>
      </c>
      <c r="J3782" s="3">
        <v>2.0</v>
      </c>
      <c r="K3782" s="2" t="s">
        <v>14036</v>
      </c>
      <c r="L3782" s="2" t="s">
        <v>2906</v>
      </c>
      <c r="M3782" s="2" t="s">
        <v>409</v>
      </c>
      <c r="N3782" s="2" t="s">
        <v>462</v>
      </c>
      <c r="O3782" s="3"/>
      <c r="P3782" s="2" t="s">
        <v>73</v>
      </c>
      <c r="Q3782" s="3">
        <v>800.0</v>
      </c>
      <c r="R3782" s="3">
        <v>0.5</v>
      </c>
      <c r="T3782" s="2" t="s">
        <v>14037</v>
      </c>
      <c r="U3782" s="171">
        <v>3348.0</v>
      </c>
      <c r="V3782" s="172">
        <v>46112.0</v>
      </c>
      <c r="W3782" s="3">
        <v>252.0</v>
      </c>
      <c r="X3782" s="172">
        <v>46108.66607972222</v>
      </c>
      <c r="Y3782" s="172">
        <v>46100.10209353009</v>
      </c>
      <c r="Z3782" s="3">
        <v>46100.0</v>
      </c>
      <c r="AA3782" s="2" t="s">
        <v>14053</v>
      </c>
    </row>
    <row r="3783">
      <c r="A3783" s="3">
        <v>6.958143602947E12</v>
      </c>
      <c r="B3783" s="2" t="s">
        <v>15294</v>
      </c>
      <c r="C3783" s="2" t="s">
        <v>15295</v>
      </c>
      <c r="D3783" s="169">
        <v>46100.0</v>
      </c>
      <c r="E3783" s="2">
        <v>3.25145449E9</v>
      </c>
      <c r="F3783" s="2" t="s">
        <v>15296</v>
      </c>
      <c r="G3783" s="2" t="s">
        <v>366</v>
      </c>
      <c r="H3783" s="2">
        <v>0.0</v>
      </c>
      <c r="J3783" s="3">
        <v>0.0</v>
      </c>
      <c r="K3783" s="2" t="s">
        <v>15297</v>
      </c>
      <c r="L3783" s="2"/>
      <c r="M3783" s="2" t="s">
        <v>468</v>
      </c>
      <c r="N3783" s="2" t="s">
        <v>406</v>
      </c>
      <c r="O3783" s="3"/>
      <c r="Q3783" s="3">
        <v>0.0</v>
      </c>
      <c r="R3783" s="3">
        <v>0.5</v>
      </c>
      <c r="U3783" s="141"/>
      <c r="X3783" s="172"/>
      <c r="Y3783" s="172">
        <v>46100.10209353009</v>
      </c>
      <c r="Z3783" s="3">
        <v>46100.0</v>
      </c>
      <c r="AA3783" s="2" t="s">
        <v>14041</v>
      </c>
    </row>
    <row r="3784">
      <c r="A3784" s="3">
        <v>6.958152515843E12</v>
      </c>
      <c r="B3784" s="2" t="s">
        <v>15298</v>
      </c>
      <c r="C3784" s="2" t="s">
        <v>1277</v>
      </c>
      <c r="D3784" s="169">
        <v>46100.0</v>
      </c>
      <c r="E3784" s="2">
        <v>3.134322192E9</v>
      </c>
      <c r="F3784" s="2" t="s">
        <v>15299</v>
      </c>
      <c r="G3784" s="2" t="s">
        <v>368</v>
      </c>
      <c r="H3784" s="2">
        <v>3348.0</v>
      </c>
      <c r="J3784" s="3">
        <v>2.0</v>
      </c>
      <c r="K3784" s="2" t="s">
        <v>537</v>
      </c>
      <c r="L3784" s="2" t="s">
        <v>4209</v>
      </c>
      <c r="M3784" s="2" t="s">
        <v>406</v>
      </c>
      <c r="N3784" s="2" t="s">
        <v>406</v>
      </c>
      <c r="O3784" s="3"/>
      <c r="Q3784" s="3">
        <v>720.0</v>
      </c>
      <c r="R3784" s="3">
        <v>0.5</v>
      </c>
      <c r="U3784" s="141"/>
      <c r="X3784" s="172"/>
      <c r="Y3784" s="172">
        <v>46100.14375429398</v>
      </c>
      <c r="Z3784" s="3">
        <v>46100.0</v>
      </c>
      <c r="AA3784" s="2" t="s">
        <v>14032</v>
      </c>
    </row>
    <row r="3785">
      <c r="A3785" s="3">
        <v>6.958164705539E12</v>
      </c>
      <c r="B3785" s="2" t="s">
        <v>15300</v>
      </c>
      <c r="C3785" s="2" t="s">
        <v>15301</v>
      </c>
      <c r="D3785" s="169">
        <v>46100.0</v>
      </c>
      <c r="E3785" s="2">
        <v>3.21477501E9</v>
      </c>
      <c r="F3785" s="2" t="s">
        <v>15302</v>
      </c>
      <c r="G3785" s="2" t="s">
        <v>368</v>
      </c>
      <c r="H3785" s="2">
        <v>3348.0</v>
      </c>
      <c r="I3785" s="2">
        <v>2.9120050022829E13</v>
      </c>
      <c r="J3785" s="3">
        <v>2.0</v>
      </c>
      <c r="K3785" s="2" t="s">
        <v>14036</v>
      </c>
      <c r="L3785" s="2" t="s">
        <v>1446</v>
      </c>
      <c r="M3785" s="2" t="s">
        <v>409</v>
      </c>
      <c r="N3785" s="2" t="s">
        <v>462</v>
      </c>
      <c r="O3785" s="3"/>
      <c r="P3785" s="2" t="s">
        <v>73</v>
      </c>
      <c r="Q3785" s="3">
        <v>720.0</v>
      </c>
      <c r="R3785" s="3">
        <v>0.5</v>
      </c>
      <c r="T3785" s="2" t="s">
        <v>14037</v>
      </c>
      <c r="U3785" s="171">
        <v>3348.0</v>
      </c>
      <c r="V3785" s="172">
        <v>46112.0</v>
      </c>
      <c r="W3785" s="3">
        <v>252.0</v>
      </c>
      <c r="X3785" s="172">
        <v>46108.541334016205</v>
      </c>
      <c r="Y3785" s="172">
        <v>46100.14375429398</v>
      </c>
      <c r="Z3785" s="3">
        <v>46100.0</v>
      </c>
      <c r="AA3785" s="2" t="s">
        <v>14022</v>
      </c>
    </row>
    <row r="3786">
      <c r="A3786" s="3">
        <v>6.958168047875E12</v>
      </c>
      <c r="B3786" s="2" t="s">
        <v>15303</v>
      </c>
      <c r="C3786" s="2" t="s">
        <v>14312</v>
      </c>
      <c r="D3786" s="169">
        <v>46100.0</v>
      </c>
      <c r="E3786" s="173" t="s">
        <v>15304</v>
      </c>
      <c r="F3786" s="2" t="s">
        <v>14313</v>
      </c>
      <c r="G3786" s="2" t="s">
        <v>368</v>
      </c>
      <c r="H3786" s="2">
        <v>249.0</v>
      </c>
      <c r="I3786" s="2">
        <v>2.8120050023148E13</v>
      </c>
      <c r="J3786" s="3">
        <v>0.0</v>
      </c>
      <c r="K3786" s="2" t="s">
        <v>15305</v>
      </c>
      <c r="L3786" s="2"/>
      <c r="M3786" s="170" t="s">
        <v>455</v>
      </c>
      <c r="N3786" s="2" t="s">
        <v>406</v>
      </c>
      <c r="O3786" s="3"/>
      <c r="P3786" s="2" t="s">
        <v>73</v>
      </c>
      <c r="Q3786" s="3">
        <v>0.0</v>
      </c>
      <c r="R3786" s="3">
        <v>0.5</v>
      </c>
      <c r="U3786" s="141"/>
      <c r="W3786" s="3">
        <v>117.86</v>
      </c>
      <c r="X3786" s="172">
        <v>46121.080993877316</v>
      </c>
      <c r="Y3786" s="172">
        <v>46100.14375429398</v>
      </c>
      <c r="Z3786" s="3">
        <v>46100.0</v>
      </c>
      <c r="AA3786" s="2" t="s">
        <v>14041</v>
      </c>
    </row>
    <row r="3787">
      <c r="A3787" s="3">
        <v>6.958171816195E12</v>
      </c>
      <c r="B3787" s="2" t="s">
        <v>174</v>
      </c>
      <c r="C3787" s="2" t="s">
        <v>15306</v>
      </c>
      <c r="D3787" s="169">
        <v>46100.0</v>
      </c>
      <c r="E3787" s="2">
        <v>9.23337448008E11</v>
      </c>
      <c r="F3787" s="2" t="s">
        <v>15307</v>
      </c>
      <c r="G3787" s="2" t="s">
        <v>1044</v>
      </c>
      <c r="H3787" s="2">
        <v>249.0</v>
      </c>
      <c r="I3787" s="2">
        <v>2.8120050023147E13</v>
      </c>
      <c r="J3787" s="3">
        <v>0.0</v>
      </c>
      <c r="K3787" s="2" t="s">
        <v>15308</v>
      </c>
      <c r="L3787" s="2"/>
      <c r="M3787" s="170" t="s">
        <v>455</v>
      </c>
      <c r="N3787" s="2" t="s">
        <v>406</v>
      </c>
      <c r="O3787" s="3"/>
      <c r="P3787" s="2" t="s">
        <v>73</v>
      </c>
      <c r="Q3787" s="3">
        <v>0.0</v>
      </c>
      <c r="R3787" s="3">
        <v>0.5</v>
      </c>
      <c r="U3787" s="141"/>
      <c r="W3787" s="3">
        <v>220.98</v>
      </c>
      <c r="X3787" s="172">
        <v>46127.08096670139</v>
      </c>
      <c r="Y3787" s="172">
        <v>46100.14375429398</v>
      </c>
      <c r="Z3787" s="3">
        <v>46100.0</v>
      </c>
      <c r="AA3787" s="2" t="s">
        <v>14032</v>
      </c>
    </row>
    <row r="3788">
      <c r="A3788" s="3">
        <v>6.958262092035E12</v>
      </c>
      <c r="B3788" s="2" t="s">
        <v>15309</v>
      </c>
      <c r="C3788" s="2" t="s">
        <v>283</v>
      </c>
      <c r="D3788" s="169">
        <v>46100.0</v>
      </c>
      <c r="E3788" s="2">
        <v>3.18015429E9</v>
      </c>
      <c r="F3788" s="2" t="s">
        <v>15310</v>
      </c>
      <c r="G3788" s="2" t="s">
        <v>506</v>
      </c>
      <c r="H3788" s="2">
        <v>0.0</v>
      </c>
      <c r="J3788" s="3">
        <v>0.0</v>
      </c>
      <c r="K3788" s="2">
        <v>3.45097429E9</v>
      </c>
      <c r="L3788" s="2"/>
      <c r="M3788" s="2" t="s">
        <v>468</v>
      </c>
      <c r="N3788" s="2" t="s">
        <v>406</v>
      </c>
      <c r="O3788" s="3"/>
      <c r="Q3788" s="3">
        <v>0.0</v>
      </c>
      <c r="R3788" s="3">
        <v>0.5</v>
      </c>
      <c r="U3788" s="141"/>
      <c r="X3788" s="172"/>
      <c r="Y3788" s="172">
        <v>46100.227093634254</v>
      </c>
      <c r="Z3788" s="3">
        <v>46100.0</v>
      </c>
      <c r="AA3788" s="2" t="s">
        <v>14032</v>
      </c>
    </row>
    <row r="3789">
      <c r="A3789" s="3">
        <v>6.958272708867E12</v>
      </c>
      <c r="B3789" s="2" t="s">
        <v>15311</v>
      </c>
      <c r="C3789" s="2" t="s">
        <v>15312</v>
      </c>
      <c r="D3789" s="169">
        <v>46100.0</v>
      </c>
      <c r="E3789" s="2">
        <v>3.33335883E9</v>
      </c>
      <c r="F3789" s="2" t="s">
        <v>15313</v>
      </c>
      <c r="G3789" s="2" t="s">
        <v>541</v>
      </c>
      <c r="H3789" s="2">
        <v>3348.0</v>
      </c>
      <c r="J3789" s="3">
        <v>2.0</v>
      </c>
      <c r="K3789" s="2" t="s">
        <v>537</v>
      </c>
      <c r="L3789" s="2" t="s">
        <v>906</v>
      </c>
      <c r="M3789" s="2" t="s">
        <v>406</v>
      </c>
      <c r="N3789" s="2" t="s">
        <v>406</v>
      </c>
      <c r="O3789" s="3"/>
      <c r="Q3789" s="3">
        <v>720.0</v>
      </c>
      <c r="R3789" s="3">
        <v>0.5</v>
      </c>
      <c r="U3789" s="141"/>
      <c r="X3789" s="172"/>
      <c r="Y3789" s="172">
        <v>46100.22709364584</v>
      </c>
      <c r="Z3789" s="3">
        <v>46100.0</v>
      </c>
      <c r="AA3789" s="2" t="s">
        <v>14041</v>
      </c>
    </row>
    <row r="3790">
      <c r="A3790" s="3">
        <v>6.958314356995E12</v>
      </c>
      <c r="B3790" s="2" t="s">
        <v>15314</v>
      </c>
      <c r="C3790" s="2" t="s">
        <v>15315</v>
      </c>
      <c r="D3790" s="169">
        <v>46100.0</v>
      </c>
      <c r="E3790" s="2">
        <v>3.219959199E9</v>
      </c>
      <c r="F3790" s="2" t="s">
        <v>15316</v>
      </c>
      <c r="G3790" s="2" t="s">
        <v>781</v>
      </c>
      <c r="H3790" s="2">
        <v>5199.0</v>
      </c>
      <c r="I3790" s="2">
        <v>2.7120050022956E13</v>
      </c>
      <c r="J3790" s="3">
        <v>3.0</v>
      </c>
      <c r="K3790" s="2" t="s">
        <v>15317</v>
      </c>
      <c r="L3790" s="2" t="s">
        <v>15318</v>
      </c>
      <c r="M3790" s="2" t="s">
        <v>409</v>
      </c>
      <c r="N3790" s="2" t="s">
        <v>462</v>
      </c>
      <c r="O3790" s="3"/>
      <c r="P3790" s="2" t="s">
        <v>73</v>
      </c>
      <c r="Q3790" s="3">
        <v>1650.0</v>
      </c>
      <c r="R3790" s="3">
        <v>0.5</v>
      </c>
      <c r="T3790" s="2" t="s">
        <v>14037</v>
      </c>
      <c r="U3790" s="171">
        <v>5199.0</v>
      </c>
      <c r="V3790" s="172">
        <v>46112.0</v>
      </c>
      <c r="W3790" s="3">
        <v>458.0</v>
      </c>
      <c r="X3790" s="172">
        <v>46111.58281723379</v>
      </c>
      <c r="Y3790" s="172">
        <v>46100.26874090278</v>
      </c>
      <c r="Z3790" s="3">
        <v>46100.0</v>
      </c>
      <c r="AA3790" s="2" t="s">
        <v>14103</v>
      </c>
    </row>
    <row r="3791">
      <c r="A3791" s="3">
        <v>6.958320091395E12</v>
      </c>
      <c r="B3791" s="2" t="s">
        <v>15319</v>
      </c>
      <c r="C3791" s="2" t="s">
        <v>15320</v>
      </c>
      <c r="D3791" s="169">
        <v>46100.0</v>
      </c>
      <c r="E3791" s="2">
        <v>3.204028198E9</v>
      </c>
      <c r="F3791" s="2" t="s">
        <v>15321</v>
      </c>
      <c r="G3791" s="2" t="s">
        <v>5987</v>
      </c>
      <c r="H3791" s="2">
        <v>6699.0</v>
      </c>
      <c r="I3791" s="2">
        <v>2.9120050022935E13</v>
      </c>
      <c r="J3791" s="3">
        <v>4.0</v>
      </c>
      <c r="K3791" s="2" t="s">
        <v>15322</v>
      </c>
      <c r="L3791" s="2" t="s">
        <v>15323</v>
      </c>
      <c r="M3791" s="2" t="s">
        <v>409</v>
      </c>
      <c r="N3791" s="2" t="s">
        <v>462</v>
      </c>
      <c r="O3791" s="3"/>
      <c r="P3791" s="2" t="s">
        <v>73</v>
      </c>
      <c r="Q3791" s="3">
        <v>1660.0</v>
      </c>
      <c r="R3791" s="3">
        <v>0.5</v>
      </c>
      <c r="T3791" s="2" t="s">
        <v>12503</v>
      </c>
      <c r="U3791" s="171">
        <v>6699.0</v>
      </c>
      <c r="V3791" s="172">
        <v>46115.0</v>
      </c>
      <c r="W3791" s="3">
        <v>511.04</v>
      </c>
      <c r="X3791" s="172">
        <v>46112.70782016204</v>
      </c>
      <c r="Y3791" s="172">
        <v>46100.26874090278</v>
      </c>
      <c r="Z3791" s="3">
        <v>46100.0</v>
      </c>
      <c r="AA3791" s="2" t="s">
        <v>14053</v>
      </c>
    </row>
    <row r="3792">
      <c r="A3792" s="3">
        <v>6.958341062915E12</v>
      </c>
      <c r="B3792" s="2" t="s">
        <v>15324</v>
      </c>
      <c r="C3792" s="2" t="s">
        <v>15325</v>
      </c>
      <c r="D3792" s="169">
        <v>46100.0</v>
      </c>
      <c r="E3792" s="2">
        <v>3.152522544E9</v>
      </c>
      <c r="F3792" s="2" t="s">
        <v>15326</v>
      </c>
      <c r="G3792" s="2" t="s">
        <v>493</v>
      </c>
      <c r="H3792" s="2">
        <v>5199.0</v>
      </c>
      <c r="I3792" s="2">
        <v>2.2120050023629E13</v>
      </c>
      <c r="J3792" s="3">
        <v>3.0</v>
      </c>
      <c r="L3792" s="2" t="s">
        <v>15327</v>
      </c>
      <c r="M3792" s="2" t="s">
        <v>15328</v>
      </c>
      <c r="N3792" s="2" t="s">
        <v>406</v>
      </c>
      <c r="O3792" s="3"/>
      <c r="P3792" s="2" t="s">
        <v>73</v>
      </c>
      <c r="Q3792" s="3">
        <v>1650.0</v>
      </c>
      <c r="R3792" s="3">
        <v>0.5</v>
      </c>
      <c r="U3792" s="141"/>
      <c r="X3792" s="172">
        <v>46131.08096025463</v>
      </c>
      <c r="Y3792" s="172">
        <v>46100.26874090278</v>
      </c>
      <c r="Z3792" s="3">
        <v>46100.0</v>
      </c>
      <c r="AA3792" s="2" t="s">
        <v>14032</v>
      </c>
    </row>
    <row r="3793">
      <c r="A3793" s="3">
        <v>6.958351679747E12</v>
      </c>
      <c r="B3793" s="2" t="s">
        <v>15329</v>
      </c>
      <c r="C3793" s="2" t="s">
        <v>15330</v>
      </c>
      <c r="D3793" s="169">
        <v>46100.0</v>
      </c>
      <c r="E3793" s="2">
        <v>3.224151111E9</v>
      </c>
      <c r="F3793" s="2" t="s">
        <v>15331</v>
      </c>
      <c r="G3793" s="2" t="s">
        <v>368</v>
      </c>
      <c r="H3793" s="2">
        <v>7048.0</v>
      </c>
      <c r="I3793" s="2">
        <v>2.112005002317E13</v>
      </c>
      <c r="J3793" s="3">
        <v>2.0</v>
      </c>
      <c r="K3793" s="2" t="s">
        <v>15332</v>
      </c>
      <c r="L3793" s="2" t="s">
        <v>15333</v>
      </c>
      <c r="M3793" s="2" t="s">
        <v>409</v>
      </c>
      <c r="N3793" s="2" t="s">
        <v>462</v>
      </c>
      <c r="O3793" s="3"/>
      <c r="P3793" s="2" t="s">
        <v>73</v>
      </c>
      <c r="Q3793" s="3">
        <v>2750.0</v>
      </c>
      <c r="R3793" s="3">
        <v>0.5</v>
      </c>
      <c r="T3793" s="2" t="s">
        <v>12503</v>
      </c>
      <c r="U3793" s="171">
        <v>7048.0</v>
      </c>
      <c r="V3793" s="172">
        <v>46115.0</v>
      </c>
      <c r="W3793" s="3">
        <v>399.78</v>
      </c>
      <c r="X3793" s="172">
        <v>46114.749499074074</v>
      </c>
      <c r="Y3793" s="172">
        <v>46100.26874090278</v>
      </c>
      <c r="Z3793" s="3">
        <v>46100.0</v>
      </c>
      <c r="AA3793" s="2" t="s">
        <v>14053</v>
      </c>
    </row>
    <row r="3794">
      <c r="A3794" s="3">
        <v>6.958355022083E12</v>
      </c>
      <c r="B3794" s="2" t="s">
        <v>15334</v>
      </c>
      <c r="C3794" s="2" t="s">
        <v>15335</v>
      </c>
      <c r="D3794" s="169">
        <v>46100.0</v>
      </c>
      <c r="E3794" s="2">
        <v>3.444547069E9</v>
      </c>
      <c r="F3794" s="2" t="s">
        <v>15336</v>
      </c>
      <c r="G3794" s="2" t="s">
        <v>15337</v>
      </c>
      <c r="H3794" s="2">
        <v>249.0</v>
      </c>
      <c r="I3794" s="2" t="s">
        <v>15338</v>
      </c>
      <c r="J3794" s="3">
        <v>0.0</v>
      </c>
      <c r="K3794" s="2" t="s">
        <v>15339</v>
      </c>
      <c r="L3794" s="2"/>
      <c r="M3794" s="170" t="s">
        <v>455</v>
      </c>
      <c r="N3794" s="2" t="s">
        <v>406</v>
      </c>
      <c r="O3794" s="3"/>
      <c r="P3794" s="2" t="s">
        <v>640</v>
      </c>
      <c r="Q3794" s="3">
        <v>0.0</v>
      </c>
      <c r="R3794" s="3">
        <v>0.5</v>
      </c>
      <c r="U3794" s="141"/>
      <c r="X3794" s="172">
        <v>46130.082693958335</v>
      </c>
      <c r="Y3794" s="172">
        <v>46100.26874090278</v>
      </c>
      <c r="Z3794" s="3">
        <v>46100.0</v>
      </c>
      <c r="AA3794" s="2" t="s">
        <v>14032</v>
      </c>
    </row>
    <row r="3795">
      <c r="A3795" s="3">
        <v>6.958374420739E12</v>
      </c>
      <c r="B3795" s="2" t="s">
        <v>15340</v>
      </c>
      <c r="C3795" s="2" t="s">
        <v>15341</v>
      </c>
      <c r="D3795" s="169">
        <v>46100.0</v>
      </c>
      <c r="E3795" s="2">
        <v>3.374977844E9</v>
      </c>
      <c r="F3795" s="2" t="s">
        <v>15342</v>
      </c>
      <c r="G3795" s="2" t="s">
        <v>368</v>
      </c>
      <c r="H3795" s="2">
        <v>0.0</v>
      </c>
      <c r="J3795" s="3">
        <v>0.0</v>
      </c>
      <c r="K3795" s="2" t="s">
        <v>7809</v>
      </c>
      <c r="L3795" s="2"/>
      <c r="M3795" s="2" t="s">
        <v>468</v>
      </c>
      <c r="N3795" s="2" t="s">
        <v>406</v>
      </c>
      <c r="O3795" s="3"/>
      <c r="Q3795" s="3">
        <v>0.0</v>
      </c>
      <c r="R3795" s="3">
        <v>0.5</v>
      </c>
      <c r="U3795" s="141"/>
      <c r="X3795" s="172"/>
      <c r="Y3795" s="172">
        <v>46100.3104212037</v>
      </c>
      <c r="Z3795" s="3">
        <v>46100.0</v>
      </c>
      <c r="AA3795" s="2" t="s">
        <v>14032</v>
      </c>
    </row>
    <row r="3796">
      <c r="A3796" s="3">
        <v>6.958424228099E12</v>
      </c>
      <c r="B3796" s="2" t="s">
        <v>15343</v>
      </c>
      <c r="C3796" s="2" t="s">
        <v>15344</v>
      </c>
      <c r="D3796" s="169">
        <v>46100.0</v>
      </c>
      <c r="E3796" s="173" t="s">
        <v>15345</v>
      </c>
      <c r="F3796" s="2" t="s">
        <v>15346</v>
      </c>
      <c r="G3796" s="2" t="s">
        <v>9084</v>
      </c>
      <c r="H3796" s="2">
        <v>0.0</v>
      </c>
      <c r="J3796" s="3">
        <v>0.0</v>
      </c>
      <c r="K3796" s="2" t="s">
        <v>15347</v>
      </c>
      <c r="L3796" s="2"/>
      <c r="M3796" s="2" t="s">
        <v>468</v>
      </c>
      <c r="N3796" s="2" t="s">
        <v>406</v>
      </c>
      <c r="O3796" s="3"/>
      <c r="Q3796" s="3">
        <v>0.0</v>
      </c>
      <c r="R3796" s="3">
        <v>0.5</v>
      </c>
      <c r="U3796" s="141"/>
      <c r="X3796" s="172"/>
      <c r="Y3796" s="172">
        <v>46100.35211304398</v>
      </c>
      <c r="Z3796" s="3">
        <v>46100.0</v>
      </c>
      <c r="AA3796" s="2" t="s">
        <v>14032</v>
      </c>
    </row>
    <row r="3797">
      <c r="A3797" s="3">
        <v>6.958433894659E12</v>
      </c>
      <c r="B3797" s="2" t="s">
        <v>15348</v>
      </c>
      <c r="C3797" s="2" t="s">
        <v>15349</v>
      </c>
      <c r="D3797" s="169">
        <v>46100.0</v>
      </c>
      <c r="E3797" s="2">
        <v>3.13489252E9</v>
      </c>
      <c r="F3797" s="2" t="s">
        <v>15350</v>
      </c>
      <c r="G3797" s="2" t="s">
        <v>368</v>
      </c>
      <c r="H3797" s="2">
        <v>1899.0</v>
      </c>
      <c r="I3797" s="2">
        <v>2.7120050023146E13</v>
      </c>
      <c r="J3797" s="3">
        <v>1.0</v>
      </c>
      <c r="K3797" s="2" t="s">
        <v>15351</v>
      </c>
      <c r="L3797" s="2" t="s">
        <v>10974</v>
      </c>
      <c r="M3797" s="2" t="s">
        <v>409</v>
      </c>
      <c r="N3797" s="2" t="s">
        <v>462</v>
      </c>
      <c r="O3797" s="3"/>
      <c r="P3797" s="2" t="s">
        <v>73</v>
      </c>
      <c r="Q3797" s="3">
        <v>550.0</v>
      </c>
      <c r="R3797" s="3">
        <v>0.5</v>
      </c>
      <c r="T3797" s="2" t="s">
        <v>15010</v>
      </c>
      <c r="U3797" s="171">
        <v>1899.0</v>
      </c>
      <c r="V3797" s="172">
        <v>46119.0</v>
      </c>
      <c r="W3797" s="3">
        <v>193.82</v>
      </c>
      <c r="X3797" s="172">
        <v>46116.62438341435</v>
      </c>
      <c r="Y3797" s="172">
        <v>46100.35211305556</v>
      </c>
      <c r="Z3797" s="3">
        <v>46100.0</v>
      </c>
      <c r="AA3797" s="2" t="s">
        <v>14022</v>
      </c>
    </row>
    <row r="3798">
      <c r="A3798" s="3">
        <v>6.958450540803E12</v>
      </c>
      <c r="B3798" s="2" t="s">
        <v>15352</v>
      </c>
      <c r="C3798" s="2" t="s">
        <v>15353</v>
      </c>
      <c r="D3798" s="169">
        <v>46100.0</v>
      </c>
      <c r="E3798" s="2">
        <v>3.129625958E9</v>
      </c>
      <c r="F3798" s="2" t="s">
        <v>15354</v>
      </c>
      <c r="G3798" s="2" t="s">
        <v>993</v>
      </c>
      <c r="H3798" s="2">
        <v>3348.0</v>
      </c>
      <c r="I3798" s="2">
        <v>2.3120050023145E13</v>
      </c>
      <c r="J3798" s="3">
        <v>2.0</v>
      </c>
      <c r="K3798" s="2" t="s">
        <v>15355</v>
      </c>
      <c r="L3798" s="2" t="s">
        <v>13413</v>
      </c>
      <c r="M3798" s="2" t="s">
        <v>409</v>
      </c>
      <c r="N3798" s="2" t="s">
        <v>462</v>
      </c>
      <c r="O3798" s="3"/>
      <c r="P3798" s="2" t="s">
        <v>73</v>
      </c>
      <c r="Q3798" s="3">
        <v>800.0</v>
      </c>
      <c r="R3798" s="3">
        <v>0.5</v>
      </c>
      <c r="T3798" s="2" t="s">
        <v>15356</v>
      </c>
      <c r="U3798" s="171">
        <v>3348.0</v>
      </c>
      <c r="V3798" s="172">
        <v>46122.0</v>
      </c>
      <c r="W3798" s="3">
        <v>354.9</v>
      </c>
      <c r="X3798" s="172">
        <v>46121.080993923606</v>
      </c>
      <c r="Y3798" s="172">
        <v>46100.35211305556</v>
      </c>
      <c r="Z3798" s="3">
        <v>46100.0</v>
      </c>
      <c r="AA3798" s="2" t="s">
        <v>14032</v>
      </c>
    </row>
    <row r="3799">
      <c r="A3799" s="3">
        <v>6.958462501123E12</v>
      </c>
      <c r="B3799" s="2" t="s">
        <v>15357</v>
      </c>
      <c r="C3799" s="2" t="s">
        <v>6431</v>
      </c>
      <c r="D3799" s="169">
        <v>46100.0</v>
      </c>
      <c r="E3799" s="2">
        <v>3.129060248E9</v>
      </c>
      <c r="F3799" s="2" t="s">
        <v>15358</v>
      </c>
      <c r="G3799" s="2" t="s">
        <v>781</v>
      </c>
      <c r="H3799" s="2">
        <v>3348.0</v>
      </c>
      <c r="I3799" s="2">
        <v>2.6120050022955E13</v>
      </c>
      <c r="J3799" s="3">
        <v>2.0</v>
      </c>
      <c r="K3799" s="2" t="s">
        <v>14497</v>
      </c>
      <c r="L3799" s="2" t="s">
        <v>906</v>
      </c>
      <c r="M3799" s="2" t="s">
        <v>409</v>
      </c>
      <c r="N3799" s="2" t="s">
        <v>462</v>
      </c>
      <c r="O3799" s="3"/>
      <c r="P3799" s="2" t="s">
        <v>73</v>
      </c>
      <c r="Q3799" s="3">
        <v>720.0</v>
      </c>
      <c r="R3799" s="3">
        <v>0.5</v>
      </c>
      <c r="T3799" s="2" t="s">
        <v>14037</v>
      </c>
      <c r="U3799" s="171">
        <v>3348.0</v>
      </c>
      <c r="V3799" s="172">
        <v>46112.0</v>
      </c>
      <c r="W3799" s="3">
        <v>370.0</v>
      </c>
      <c r="X3799" s="172">
        <v>46109.52097414352</v>
      </c>
      <c r="Y3799" s="172">
        <v>46100.39376423611</v>
      </c>
      <c r="Z3799" s="3">
        <v>46100.0</v>
      </c>
      <c r="AA3799" s="2" t="s">
        <v>14032</v>
      </c>
    </row>
    <row r="3800">
      <c r="A3800" s="3">
        <v>6.958469841155E12</v>
      </c>
      <c r="B3800" s="2" t="s">
        <v>15359</v>
      </c>
      <c r="C3800" s="2" t="s">
        <v>15360</v>
      </c>
      <c r="D3800" s="169">
        <v>46100.0</v>
      </c>
      <c r="E3800" s="2">
        <v>3.455553501E9</v>
      </c>
      <c r="F3800" s="2" t="s">
        <v>15361</v>
      </c>
      <c r="G3800" s="2" t="s">
        <v>506</v>
      </c>
      <c r="H3800" s="2">
        <v>0.0</v>
      </c>
      <c r="J3800" s="3">
        <v>0.0</v>
      </c>
      <c r="K3800" s="2" t="s">
        <v>8446</v>
      </c>
      <c r="L3800" s="2"/>
      <c r="M3800" s="2" t="s">
        <v>468</v>
      </c>
      <c r="N3800" s="2" t="s">
        <v>406</v>
      </c>
      <c r="O3800" s="3"/>
      <c r="Q3800" s="3">
        <v>0.0</v>
      </c>
      <c r="R3800" s="3">
        <v>0.5</v>
      </c>
      <c r="U3800" s="141"/>
      <c r="X3800" s="172"/>
      <c r="Y3800" s="172">
        <v>46100.39376423611</v>
      </c>
      <c r="Z3800" s="3">
        <v>46100.0</v>
      </c>
      <c r="AA3800" s="2" t="s">
        <v>14041</v>
      </c>
    </row>
    <row r="3801">
      <c r="A3801" s="3">
        <v>6.958471774467E12</v>
      </c>
      <c r="B3801" s="2" t="s">
        <v>15362</v>
      </c>
      <c r="C3801" s="2" t="s">
        <v>15360</v>
      </c>
      <c r="D3801" s="169">
        <v>46100.0</v>
      </c>
      <c r="E3801" s="173" t="s">
        <v>15363</v>
      </c>
      <c r="F3801" s="2" t="s">
        <v>15361</v>
      </c>
      <c r="G3801" s="2" t="s">
        <v>506</v>
      </c>
      <c r="H3801" s="2">
        <v>4149.0</v>
      </c>
      <c r="I3801" s="2">
        <v>2.4120050023144E13</v>
      </c>
      <c r="J3801" s="3">
        <v>1.0</v>
      </c>
      <c r="K3801" s="2" t="s">
        <v>15364</v>
      </c>
      <c r="L3801" s="2" t="s">
        <v>15365</v>
      </c>
      <c r="M3801" s="2" t="s">
        <v>409</v>
      </c>
      <c r="N3801" s="2" t="s">
        <v>462</v>
      </c>
      <c r="O3801" s="3"/>
      <c r="P3801" s="2" t="s">
        <v>73</v>
      </c>
      <c r="Q3801" s="3">
        <v>720.0</v>
      </c>
      <c r="R3801" s="3">
        <v>0.5</v>
      </c>
      <c r="T3801" s="2" t="s">
        <v>12503</v>
      </c>
      <c r="U3801" s="171">
        <v>4149.0</v>
      </c>
      <c r="V3801" s="172">
        <v>46115.0</v>
      </c>
      <c r="W3801" s="3">
        <v>386.94</v>
      </c>
      <c r="X3801" s="172">
        <v>46114.54111160879</v>
      </c>
      <c r="Y3801" s="172">
        <v>46100.39376423611</v>
      </c>
      <c r="Z3801" s="3">
        <v>46100.0</v>
      </c>
      <c r="AA3801" s="2" t="s">
        <v>14041</v>
      </c>
    </row>
    <row r="3802">
      <c r="A3802" s="3">
        <v>6.958487503107E12</v>
      </c>
      <c r="B3802" s="2" t="s">
        <v>15366</v>
      </c>
      <c r="C3802" s="2" t="s">
        <v>15367</v>
      </c>
      <c r="D3802" s="169">
        <v>46100.0</v>
      </c>
      <c r="E3802" s="2">
        <v>3.345763447E9</v>
      </c>
      <c r="F3802" s="2" t="s">
        <v>15368</v>
      </c>
      <c r="G3802" s="2" t="s">
        <v>2966</v>
      </c>
      <c r="H3802" s="2">
        <v>0.0</v>
      </c>
      <c r="J3802" s="3">
        <v>0.0</v>
      </c>
      <c r="K3802" s="2" t="s">
        <v>15369</v>
      </c>
      <c r="L3802" s="2"/>
      <c r="M3802" s="2" t="s">
        <v>468</v>
      </c>
      <c r="N3802" s="2" t="s">
        <v>406</v>
      </c>
      <c r="O3802" s="3"/>
      <c r="Q3802" s="3">
        <v>0.0</v>
      </c>
      <c r="R3802" s="3">
        <v>0.5</v>
      </c>
      <c r="U3802" s="141"/>
      <c r="X3802" s="172"/>
      <c r="Y3802" s="172">
        <v>46100.39376423611</v>
      </c>
      <c r="Z3802" s="3">
        <v>46100.0</v>
      </c>
      <c r="AA3802" s="2" t="s">
        <v>14032</v>
      </c>
    </row>
    <row r="3803">
      <c r="A3803" s="3">
        <v>6.958581874947E12</v>
      </c>
      <c r="B3803" s="2" t="s">
        <v>15370</v>
      </c>
      <c r="C3803" s="2" t="s">
        <v>15371</v>
      </c>
      <c r="D3803" s="169">
        <v>46100.0</v>
      </c>
      <c r="E3803" s="2">
        <v>3.302929846E9</v>
      </c>
      <c r="F3803" s="2" t="s">
        <v>15372</v>
      </c>
      <c r="G3803" s="2" t="s">
        <v>4591</v>
      </c>
      <c r="H3803" s="2">
        <v>3348.0</v>
      </c>
      <c r="I3803" s="2">
        <v>2.1120050022828E13</v>
      </c>
      <c r="J3803" s="3">
        <v>2.0</v>
      </c>
      <c r="K3803" s="2" t="s">
        <v>15373</v>
      </c>
      <c r="L3803" s="2" t="s">
        <v>1116</v>
      </c>
      <c r="M3803" s="2" t="s">
        <v>409</v>
      </c>
      <c r="N3803" s="2" t="s">
        <v>462</v>
      </c>
      <c r="O3803" s="3"/>
      <c r="P3803" s="2" t="s">
        <v>73</v>
      </c>
      <c r="Q3803" s="3">
        <v>800.0</v>
      </c>
      <c r="R3803" s="3">
        <v>0.5</v>
      </c>
      <c r="T3803" s="2" t="s">
        <v>14037</v>
      </c>
      <c r="U3803" s="171">
        <v>3348.0</v>
      </c>
      <c r="V3803" s="172">
        <v>46112.0</v>
      </c>
      <c r="W3803" s="3">
        <v>370.0</v>
      </c>
      <c r="X3803" s="172">
        <v>46109.666043703706</v>
      </c>
      <c r="Y3803" s="172">
        <v>46100.47709652778</v>
      </c>
      <c r="Z3803" s="3">
        <v>46100.0</v>
      </c>
      <c r="AA3803" s="2" t="s">
        <v>14032</v>
      </c>
    </row>
    <row r="3804">
      <c r="A3804" s="3">
        <v>6.958650753283E12</v>
      </c>
      <c r="B3804" s="2" t="s">
        <v>15374</v>
      </c>
      <c r="C3804" s="2" t="s">
        <v>15375</v>
      </c>
      <c r="D3804" s="169">
        <v>46100.0</v>
      </c>
      <c r="E3804" s="2">
        <v>3.087256454E9</v>
      </c>
      <c r="F3804" s="2" t="s">
        <v>15376</v>
      </c>
      <c r="G3804" s="2" t="s">
        <v>9484</v>
      </c>
      <c r="H3804" s="2">
        <v>0.0</v>
      </c>
      <c r="J3804" s="3">
        <v>0.0</v>
      </c>
      <c r="K3804" s="2" t="s">
        <v>15377</v>
      </c>
      <c r="L3804" s="2"/>
      <c r="M3804" s="2" t="s">
        <v>468</v>
      </c>
      <c r="N3804" s="2" t="s">
        <v>406</v>
      </c>
      <c r="O3804" s="3"/>
      <c r="Q3804" s="3">
        <v>0.0</v>
      </c>
      <c r="R3804" s="3">
        <v>0.5</v>
      </c>
      <c r="U3804" s="141"/>
      <c r="X3804" s="172"/>
      <c r="Y3804" s="172">
        <v>46100.56041481481</v>
      </c>
      <c r="Z3804" s="3">
        <v>46100.0</v>
      </c>
      <c r="AA3804" s="2" t="s">
        <v>14032</v>
      </c>
    </row>
    <row r="3805">
      <c r="A3805" s="3">
        <v>6.958665072899E12</v>
      </c>
      <c r="B3805" s="2" t="s">
        <v>150</v>
      </c>
      <c r="C3805" s="2" t="s">
        <v>15378</v>
      </c>
      <c r="D3805" s="169">
        <v>46100.0</v>
      </c>
      <c r="E3805" s="2">
        <v>3.456759332E9</v>
      </c>
      <c r="F3805" s="2" t="s">
        <v>15379</v>
      </c>
      <c r="G3805" s="2" t="s">
        <v>688</v>
      </c>
      <c r="H3805" s="2">
        <v>3348.0</v>
      </c>
      <c r="I3805" s="2">
        <v>2.7120050023532E13</v>
      </c>
      <c r="J3805" s="3">
        <v>2.0</v>
      </c>
      <c r="K3805" s="2" t="s">
        <v>15380</v>
      </c>
      <c r="L3805" s="2" t="s">
        <v>275</v>
      </c>
      <c r="M3805" s="2" t="s">
        <v>409</v>
      </c>
      <c r="N3805" s="2" t="s">
        <v>462</v>
      </c>
      <c r="O3805" s="3"/>
      <c r="P3805" s="2" t="s">
        <v>73</v>
      </c>
      <c r="Q3805" s="3">
        <v>800.0</v>
      </c>
      <c r="R3805" s="3">
        <v>0.5</v>
      </c>
      <c r="T3805" s="2" t="s">
        <v>72</v>
      </c>
      <c r="U3805" s="171">
        <v>3348.0</v>
      </c>
      <c r="V3805" s="172">
        <v>46129.0</v>
      </c>
      <c r="W3805" s="3">
        <v>375.78</v>
      </c>
      <c r="X3805" s="172">
        <v>46128.08098486111</v>
      </c>
      <c r="Y3805" s="172">
        <v>46100.56041481481</v>
      </c>
      <c r="Z3805" s="3">
        <v>46100.0</v>
      </c>
      <c r="AA3805" s="2" t="s">
        <v>14053</v>
      </c>
    </row>
    <row r="3806">
      <c r="A3806" s="3">
        <v>6.958703018243E12</v>
      </c>
      <c r="B3806" s="2" t="s">
        <v>15381</v>
      </c>
      <c r="C3806" s="2" t="s">
        <v>15382</v>
      </c>
      <c r="D3806" s="169">
        <v>46100.0</v>
      </c>
      <c r="E3806" s="2">
        <v>3.009476639E9</v>
      </c>
      <c r="F3806" s="2" t="s">
        <v>15383</v>
      </c>
      <c r="G3806" s="2" t="s">
        <v>368</v>
      </c>
      <c r="H3806" s="2">
        <v>3348.0</v>
      </c>
      <c r="I3806" s="2">
        <v>2.7120050022954E13</v>
      </c>
      <c r="J3806" s="3">
        <v>2.0</v>
      </c>
      <c r="K3806" s="2" t="s">
        <v>14497</v>
      </c>
      <c r="L3806" s="2" t="s">
        <v>1446</v>
      </c>
      <c r="M3806" s="2" t="s">
        <v>409</v>
      </c>
      <c r="N3806" s="2" t="s">
        <v>462</v>
      </c>
      <c r="O3806" s="3"/>
      <c r="P3806" s="2" t="s">
        <v>73</v>
      </c>
      <c r="Q3806" s="3">
        <v>720.0</v>
      </c>
      <c r="R3806" s="3">
        <v>0.5</v>
      </c>
      <c r="T3806" s="2" t="s">
        <v>14037</v>
      </c>
      <c r="U3806" s="171">
        <v>3348.0</v>
      </c>
      <c r="V3806" s="172">
        <v>46112.0</v>
      </c>
      <c r="W3806" s="3">
        <v>252.0</v>
      </c>
      <c r="X3806" s="172">
        <v>46108.58272813658</v>
      </c>
      <c r="Y3806" s="172">
        <v>46100.60210153935</v>
      </c>
      <c r="Z3806" s="3">
        <v>46100.0</v>
      </c>
      <c r="AA3806" s="2" t="s">
        <v>14032</v>
      </c>
    </row>
    <row r="3807">
      <c r="A3807" s="3">
        <v>6.958705606915E12</v>
      </c>
      <c r="B3807" s="2" t="s">
        <v>15384</v>
      </c>
      <c r="C3807" s="2" t="s">
        <v>15385</v>
      </c>
      <c r="D3807" s="169">
        <v>46100.0</v>
      </c>
      <c r="E3807" s="2">
        <v>3.119826814E9</v>
      </c>
      <c r="F3807" s="2" t="s">
        <v>15386</v>
      </c>
      <c r="G3807" s="2" t="s">
        <v>1180</v>
      </c>
      <c r="H3807" s="2">
        <v>0.0</v>
      </c>
      <c r="J3807" s="3">
        <v>0.0</v>
      </c>
      <c r="K3807" s="2" t="s">
        <v>15387</v>
      </c>
      <c r="L3807" s="2"/>
      <c r="M3807" s="2" t="s">
        <v>468</v>
      </c>
      <c r="N3807" s="2" t="s">
        <v>406</v>
      </c>
      <c r="O3807" s="3"/>
      <c r="Q3807" s="3">
        <v>0.0</v>
      </c>
      <c r="R3807" s="3">
        <v>0.5</v>
      </c>
      <c r="U3807" s="141"/>
      <c r="X3807" s="172"/>
      <c r="Y3807" s="172">
        <v>46100.60210157407</v>
      </c>
      <c r="Z3807" s="3">
        <v>46100.0</v>
      </c>
      <c r="AA3807" s="2" t="s">
        <v>14032</v>
      </c>
    </row>
    <row r="3808">
      <c r="A3808" s="3">
        <v>6.958709309699E12</v>
      </c>
      <c r="B3808" s="2" t="s">
        <v>15388</v>
      </c>
      <c r="C3808" s="2" t="s">
        <v>15385</v>
      </c>
      <c r="D3808" s="169">
        <v>46100.0</v>
      </c>
      <c r="E3808" s="2">
        <v>3.119826814E9</v>
      </c>
      <c r="F3808" s="2" t="s">
        <v>15386</v>
      </c>
      <c r="G3808" s="2" t="s">
        <v>1180</v>
      </c>
      <c r="H3808" s="2">
        <v>0.0</v>
      </c>
      <c r="J3808" s="3">
        <v>0.0</v>
      </c>
      <c r="K3808" s="2" t="s">
        <v>15387</v>
      </c>
      <c r="L3808" s="2"/>
      <c r="M3808" s="2" t="s">
        <v>468</v>
      </c>
      <c r="N3808" s="2" t="s">
        <v>406</v>
      </c>
      <c r="O3808" s="3"/>
      <c r="Q3808" s="3">
        <v>0.0</v>
      </c>
      <c r="R3808" s="3">
        <v>0.5</v>
      </c>
      <c r="U3808" s="141"/>
      <c r="X3808" s="172"/>
      <c r="Y3808" s="172">
        <v>46100.6437633912</v>
      </c>
      <c r="Z3808" s="3">
        <v>46100.0</v>
      </c>
      <c r="AA3808" s="2" t="s">
        <v>14032</v>
      </c>
    </row>
    <row r="3809">
      <c r="A3809" s="3">
        <v>6.958723662083E12</v>
      </c>
      <c r="B3809" s="2" t="s">
        <v>15389</v>
      </c>
      <c r="C3809" s="2" t="s">
        <v>15390</v>
      </c>
      <c r="D3809" s="169">
        <v>46100.0</v>
      </c>
      <c r="E3809" s="173" t="s">
        <v>15391</v>
      </c>
      <c r="F3809" s="2" t="s">
        <v>15392</v>
      </c>
      <c r="G3809" s="2" t="s">
        <v>15393</v>
      </c>
      <c r="H3809" s="2">
        <v>3348.0</v>
      </c>
      <c r="I3809" s="2">
        <v>2.7120050022926E13</v>
      </c>
      <c r="J3809" s="3">
        <v>2.0</v>
      </c>
      <c r="K3809" s="2" t="s">
        <v>14497</v>
      </c>
      <c r="L3809" s="2" t="s">
        <v>275</v>
      </c>
      <c r="M3809" s="2" t="s">
        <v>409</v>
      </c>
      <c r="N3809" s="2" t="s">
        <v>462</v>
      </c>
      <c r="O3809" s="3"/>
      <c r="P3809" s="2" t="s">
        <v>73</v>
      </c>
      <c r="Q3809" s="3">
        <v>800.0</v>
      </c>
      <c r="R3809" s="3">
        <v>0.5</v>
      </c>
      <c r="T3809" s="2" t="s">
        <v>14037</v>
      </c>
      <c r="U3809" s="171">
        <v>3348.0</v>
      </c>
      <c r="V3809" s="172">
        <v>46112.0</v>
      </c>
      <c r="W3809" s="3">
        <v>355.0</v>
      </c>
      <c r="X3809" s="172">
        <v>46111.58281738426</v>
      </c>
      <c r="Y3809" s="172">
        <v>46100.6437633912</v>
      </c>
      <c r="Z3809" s="3">
        <v>46100.0</v>
      </c>
      <c r="AA3809" s="2" t="s">
        <v>14032</v>
      </c>
    </row>
    <row r="3810">
      <c r="A3810" s="3">
        <v>6.958727495939E12</v>
      </c>
      <c r="B3810" s="2" t="s">
        <v>15394</v>
      </c>
      <c r="C3810" s="2" t="s">
        <v>15395</v>
      </c>
      <c r="D3810" s="169">
        <v>46100.0</v>
      </c>
      <c r="E3810" s="173" t="s">
        <v>15396</v>
      </c>
      <c r="F3810" s="2" t="s">
        <v>15397</v>
      </c>
      <c r="G3810" s="2" t="s">
        <v>493</v>
      </c>
      <c r="H3810" s="2">
        <v>249.0</v>
      </c>
      <c r="I3810" s="2">
        <v>2.2120050022953E13</v>
      </c>
      <c r="J3810" s="3">
        <v>0.0</v>
      </c>
      <c r="K3810" s="2" t="s">
        <v>15398</v>
      </c>
      <c r="L3810" s="2"/>
      <c r="M3810" s="170" t="s">
        <v>455</v>
      </c>
      <c r="N3810" s="2" t="s">
        <v>406</v>
      </c>
      <c r="O3810" s="3"/>
      <c r="P3810" s="2" t="s">
        <v>73</v>
      </c>
      <c r="Q3810" s="3">
        <v>0.0</v>
      </c>
      <c r="R3810" s="3">
        <v>0.5</v>
      </c>
      <c r="U3810" s="141"/>
      <c r="W3810" s="3">
        <v>235.70999999999998</v>
      </c>
      <c r="X3810" s="172">
        <v>46120.08102540509</v>
      </c>
      <c r="Y3810" s="172">
        <v>46100.6437633912</v>
      </c>
      <c r="Z3810" s="3">
        <v>46100.0</v>
      </c>
      <c r="AA3810" s="2" t="s">
        <v>14041</v>
      </c>
    </row>
    <row r="3811">
      <c r="A3811" s="3">
        <v>6.958777172227E12</v>
      </c>
      <c r="B3811" s="2" t="s">
        <v>15399</v>
      </c>
      <c r="C3811" s="2" t="s">
        <v>15400</v>
      </c>
      <c r="D3811" s="169">
        <v>46100.0</v>
      </c>
      <c r="E3811" s="2">
        <v>3.051636923E9</v>
      </c>
      <c r="F3811" s="2" t="s">
        <v>15401</v>
      </c>
      <c r="G3811" s="2" t="s">
        <v>15402</v>
      </c>
      <c r="H3811" s="2">
        <v>3548.0</v>
      </c>
      <c r="I3811" s="2">
        <v>2.9120050023143E13</v>
      </c>
      <c r="J3811" s="3">
        <v>2.0</v>
      </c>
      <c r="K3811" s="2" t="s">
        <v>15128</v>
      </c>
      <c r="L3811" s="2" t="s">
        <v>926</v>
      </c>
      <c r="M3811" s="2" t="s">
        <v>409</v>
      </c>
      <c r="N3811" s="2" t="s">
        <v>462</v>
      </c>
      <c r="O3811" s="3"/>
      <c r="P3811" s="2" t="s">
        <v>73</v>
      </c>
      <c r="Q3811" s="3">
        <v>980.0</v>
      </c>
      <c r="R3811" s="3">
        <v>0.5</v>
      </c>
      <c r="T3811" s="2" t="s">
        <v>12503</v>
      </c>
      <c r="U3811" s="171">
        <v>3548.0</v>
      </c>
      <c r="V3811" s="172">
        <v>46115.0</v>
      </c>
      <c r="W3811" s="3">
        <v>385.0</v>
      </c>
      <c r="X3811" s="172">
        <v>46114.54111170139</v>
      </c>
      <c r="Y3811" s="172">
        <v>46100.68542091435</v>
      </c>
      <c r="Z3811" s="3">
        <v>46100.0</v>
      </c>
      <c r="AA3811" s="2" t="s">
        <v>14041</v>
      </c>
    </row>
    <row r="3812">
      <c r="A3812" s="3">
        <v>6.958783103235E12</v>
      </c>
      <c r="B3812" s="2" t="s">
        <v>15403</v>
      </c>
      <c r="C3812" s="2" t="s">
        <v>15404</v>
      </c>
      <c r="D3812" s="169">
        <v>46100.0</v>
      </c>
      <c r="E3812" s="2">
        <v>3.218489559E9</v>
      </c>
      <c r="F3812" s="2" t="s">
        <v>15405</v>
      </c>
      <c r="G3812" s="2" t="s">
        <v>368</v>
      </c>
      <c r="H3812" s="2">
        <v>5100.0</v>
      </c>
      <c r="I3812" s="2">
        <v>2.6120050023142E13</v>
      </c>
      <c r="J3812" s="3">
        <v>2.0</v>
      </c>
      <c r="K3812" s="2" t="s">
        <v>15406</v>
      </c>
      <c r="L3812" s="2" t="s">
        <v>15407</v>
      </c>
      <c r="M3812" s="2" t="s">
        <v>409</v>
      </c>
      <c r="N3812" s="2" t="s">
        <v>462</v>
      </c>
      <c r="O3812" s="3"/>
      <c r="P3812" s="2" t="s">
        <v>73</v>
      </c>
      <c r="Q3812" s="3">
        <v>1600.0</v>
      </c>
      <c r="R3812" s="3">
        <v>0.5</v>
      </c>
      <c r="T3812" s="2" t="s">
        <v>15010</v>
      </c>
      <c r="U3812" s="171">
        <v>5100.0</v>
      </c>
      <c r="V3812" s="172">
        <v>46119.0</v>
      </c>
      <c r="W3812" s="3">
        <v>336.59000000000003</v>
      </c>
      <c r="X3812" s="172">
        <v>46119.08103614583</v>
      </c>
      <c r="Y3812" s="172">
        <v>46100.68542091435</v>
      </c>
      <c r="Z3812" s="3">
        <v>46100.0</v>
      </c>
      <c r="AA3812" s="2" t="s">
        <v>14032</v>
      </c>
    </row>
    <row r="3813">
      <c r="A3813" s="3">
        <v>6.958800863491E12</v>
      </c>
      <c r="B3813" s="2" t="s">
        <v>15408</v>
      </c>
      <c r="C3813" s="2" t="s">
        <v>15409</v>
      </c>
      <c r="D3813" s="169">
        <v>46100.0</v>
      </c>
      <c r="E3813" s="173" t="s">
        <v>15410</v>
      </c>
      <c r="F3813" s="2" t="s">
        <v>15411</v>
      </c>
      <c r="G3813" s="2" t="s">
        <v>493</v>
      </c>
      <c r="H3813" s="2">
        <v>2500.0</v>
      </c>
      <c r="I3813" s="2">
        <v>2.7120050022827E13</v>
      </c>
      <c r="J3813" s="3">
        <v>2.0</v>
      </c>
      <c r="K3813" s="2" t="s">
        <v>15412</v>
      </c>
      <c r="L3813" s="2" t="s">
        <v>16</v>
      </c>
      <c r="M3813" s="2" t="s">
        <v>409</v>
      </c>
      <c r="N3813" s="2" t="s">
        <v>462</v>
      </c>
      <c r="O3813" s="3"/>
      <c r="P3813" s="2" t="s">
        <v>73</v>
      </c>
      <c r="Q3813" s="3">
        <v>980.0</v>
      </c>
      <c r="R3813" s="3">
        <v>0.5</v>
      </c>
      <c r="T3813" s="2" t="s">
        <v>14037</v>
      </c>
      <c r="U3813" s="171">
        <v>2500.0</v>
      </c>
      <c r="V3813" s="172">
        <v>46112.0</v>
      </c>
      <c r="W3813" s="3">
        <v>236.0</v>
      </c>
      <c r="X3813" s="172">
        <v>46110.66606974537</v>
      </c>
      <c r="Y3813" s="172">
        <v>46100.72709785879</v>
      </c>
      <c r="Z3813" s="3">
        <v>46100.0</v>
      </c>
      <c r="AA3813" s="2" t="s">
        <v>14026</v>
      </c>
    </row>
    <row r="3814">
      <c r="A3814" s="3">
        <v>6.958814232835E12</v>
      </c>
      <c r="B3814" s="2" t="s">
        <v>15413</v>
      </c>
      <c r="C3814" s="2" t="s">
        <v>15414</v>
      </c>
      <c r="D3814" s="169">
        <v>46100.0</v>
      </c>
      <c r="E3814" s="2">
        <v>3.419308553E9</v>
      </c>
      <c r="F3814" s="2" t="s">
        <v>15415</v>
      </c>
      <c r="G3814" s="2" t="s">
        <v>672</v>
      </c>
      <c r="H3814" s="2">
        <v>3348.0</v>
      </c>
      <c r="I3814" s="2">
        <v>2.9120050023141E13</v>
      </c>
      <c r="J3814" s="3">
        <v>2.0</v>
      </c>
      <c r="K3814" s="2" t="s">
        <v>15109</v>
      </c>
      <c r="L3814" s="2" t="s">
        <v>2324</v>
      </c>
      <c r="M3814" s="2" t="s">
        <v>409</v>
      </c>
      <c r="N3814" s="2" t="s">
        <v>462</v>
      </c>
      <c r="O3814" s="3"/>
      <c r="P3814" s="2" t="s">
        <v>73</v>
      </c>
      <c r="Q3814" s="3">
        <v>720.0</v>
      </c>
      <c r="R3814" s="3">
        <v>0.5</v>
      </c>
      <c r="T3814" s="2" t="s">
        <v>15010</v>
      </c>
      <c r="U3814" s="171">
        <v>3348.0</v>
      </c>
      <c r="V3814" s="172">
        <v>46119.0</v>
      </c>
      <c r="W3814" s="3">
        <v>369.62999999999994</v>
      </c>
      <c r="X3814" s="172">
        <v>46115.58276244213</v>
      </c>
      <c r="Y3814" s="172">
        <v>46100.72709785879</v>
      </c>
      <c r="Z3814" s="3">
        <v>46100.0</v>
      </c>
      <c r="AA3814" s="2" t="s">
        <v>14053</v>
      </c>
    </row>
    <row r="3815">
      <c r="A3815" s="3">
        <v>6.958825701635E12</v>
      </c>
      <c r="B3815" s="2" t="s">
        <v>15416</v>
      </c>
      <c r="C3815" s="2" t="s">
        <v>15417</v>
      </c>
      <c r="D3815" s="169">
        <v>46100.0</v>
      </c>
      <c r="E3815" s="173" t="s">
        <v>14858</v>
      </c>
      <c r="F3815" s="2" t="s">
        <v>15418</v>
      </c>
      <c r="G3815" s="2" t="s">
        <v>688</v>
      </c>
      <c r="H3815" s="2">
        <v>0.0</v>
      </c>
      <c r="J3815" s="3">
        <v>0.0</v>
      </c>
      <c r="K3815" s="2" t="s">
        <v>15419</v>
      </c>
      <c r="L3815" s="2"/>
      <c r="M3815" s="2" t="s">
        <v>468</v>
      </c>
      <c r="N3815" s="2" t="s">
        <v>406</v>
      </c>
      <c r="O3815" s="3"/>
      <c r="Q3815" s="3">
        <v>0.0</v>
      </c>
      <c r="R3815" s="3">
        <v>0.5</v>
      </c>
      <c r="U3815" s="141"/>
      <c r="X3815" s="172"/>
      <c r="Y3815" s="172">
        <v>46100.72709785879</v>
      </c>
      <c r="Z3815" s="3">
        <v>46100.0</v>
      </c>
      <c r="AA3815" s="2" t="s">
        <v>14032</v>
      </c>
    </row>
    <row r="3816">
      <c r="A3816" s="3">
        <v>6.958913192195E12</v>
      </c>
      <c r="B3816" s="2" t="s">
        <v>15420</v>
      </c>
      <c r="C3816" s="2" t="s">
        <v>15421</v>
      </c>
      <c r="D3816" s="169">
        <v>46100.0</v>
      </c>
      <c r="E3816" s="2">
        <v>3.337566696E9</v>
      </c>
      <c r="F3816" s="2" t="s">
        <v>15422</v>
      </c>
      <c r="G3816" s="2" t="s">
        <v>1425</v>
      </c>
      <c r="H3816" s="2">
        <v>3348.0</v>
      </c>
      <c r="I3816" s="2">
        <v>2.312005002314E13</v>
      </c>
      <c r="J3816" s="3">
        <v>2.0</v>
      </c>
      <c r="K3816" s="2" t="s">
        <v>15109</v>
      </c>
      <c r="L3816" s="2" t="s">
        <v>275</v>
      </c>
      <c r="M3816" s="2" t="s">
        <v>409</v>
      </c>
      <c r="N3816" s="2" t="s">
        <v>462</v>
      </c>
      <c r="O3816" s="3"/>
      <c r="P3816" s="2" t="s">
        <v>73</v>
      </c>
      <c r="Q3816" s="3">
        <v>800.0</v>
      </c>
      <c r="R3816" s="3">
        <v>0.5</v>
      </c>
      <c r="T3816" s="2" t="s">
        <v>15010</v>
      </c>
      <c r="U3816" s="171">
        <v>3348.0</v>
      </c>
      <c r="V3816" s="172">
        <v>46119.0</v>
      </c>
      <c r="W3816" s="3">
        <v>369.62999999999994</v>
      </c>
      <c r="X3816" s="172">
        <v>46116.62438356482</v>
      </c>
      <c r="Y3816" s="172">
        <v>46100.810444375005</v>
      </c>
      <c r="Z3816" s="3">
        <v>46100.0</v>
      </c>
      <c r="AA3816" s="2" t="s">
        <v>14032</v>
      </c>
    </row>
    <row r="3817">
      <c r="A3817" s="3">
        <v>6.958966866179E12</v>
      </c>
      <c r="B3817" s="2" t="s">
        <v>15423</v>
      </c>
      <c r="C3817" s="2" t="s">
        <v>14813</v>
      </c>
      <c r="D3817" s="169">
        <v>46100.0</v>
      </c>
      <c r="E3817" s="2">
        <v>3.180289873E9</v>
      </c>
      <c r="F3817" s="2" t="s">
        <v>14814</v>
      </c>
      <c r="G3817" s="2" t="s">
        <v>493</v>
      </c>
      <c r="H3817" s="2">
        <v>0.0</v>
      </c>
      <c r="J3817" s="3">
        <v>0.0</v>
      </c>
      <c r="K3817" s="2" t="s">
        <v>7954</v>
      </c>
      <c r="L3817" s="2"/>
      <c r="M3817" s="2" t="s">
        <v>468</v>
      </c>
      <c r="N3817" s="2" t="s">
        <v>406</v>
      </c>
      <c r="O3817" s="3"/>
      <c r="Q3817" s="3">
        <v>0.0</v>
      </c>
      <c r="R3817" s="3">
        <v>0.5</v>
      </c>
      <c r="U3817" s="141"/>
      <c r="X3817" s="172"/>
      <c r="Y3817" s="172">
        <v>46100.85209428241</v>
      </c>
      <c r="Z3817" s="3">
        <v>46100.0</v>
      </c>
      <c r="AA3817" s="2" t="s">
        <v>14032</v>
      </c>
    </row>
    <row r="3818">
      <c r="A3818" s="3">
        <v>6.959039807747E12</v>
      </c>
      <c r="B3818" s="2" t="s">
        <v>15424</v>
      </c>
      <c r="C3818" s="2" t="s">
        <v>15425</v>
      </c>
      <c r="D3818" s="169">
        <v>46100.0</v>
      </c>
      <c r="E3818" s="2">
        <v>3.008792005E9</v>
      </c>
      <c r="F3818" s="2" t="s">
        <v>15426</v>
      </c>
      <c r="G3818" s="2" t="s">
        <v>15427</v>
      </c>
      <c r="H3818" s="2">
        <v>3348.0</v>
      </c>
      <c r="I3818" s="2">
        <v>2.1120050022925E13</v>
      </c>
      <c r="J3818" s="3">
        <v>2.0</v>
      </c>
      <c r="K3818" s="2" t="s">
        <v>15428</v>
      </c>
      <c r="L3818" s="2" t="s">
        <v>13413</v>
      </c>
      <c r="M3818" s="2" t="s">
        <v>409</v>
      </c>
      <c r="N3818" s="2" t="s">
        <v>462</v>
      </c>
      <c r="O3818" s="3"/>
      <c r="P3818" s="2" t="s">
        <v>73</v>
      </c>
      <c r="Q3818" s="3">
        <v>800.0</v>
      </c>
      <c r="R3818" s="3">
        <v>0.5</v>
      </c>
      <c r="T3818" s="2" t="s">
        <v>14037</v>
      </c>
      <c r="U3818" s="171">
        <v>3348.0</v>
      </c>
      <c r="V3818" s="172">
        <v>46112.0</v>
      </c>
      <c r="W3818" s="3">
        <v>355.0</v>
      </c>
      <c r="X3818" s="172">
        <v>46109.45768856481</v>
      </c>
      <c r="Y3818" s="172">
        <v>46100.85209428241</v>
      </c>
      <c r="Z3818" s="3">
        <v>46100.0</v>
      </c>
      <c r="AA3818" s="2" t="s">
        <v>14041</v>
      </c>
    </row>
    <row r="3819">
      <c r="A3819" s="3">
        <v>6.959089811715E12</v>
      </c>
      <c r="B3819" s="2" t="s">
        <v>15429</v>
      </c>
      <c r="C3819" s="2" t="s">
        <v>15430</v>
      </c>
      <c r="D3819" s="169">
        <v>46100.0</v>
      </c>
      <c r="E3819" s="2">
        <v>3.265487738E9</v>
      </c>
      <c r="F3819" s="2" t="s">
        <v>15431</v>
      </c>
      <c r="G3819" s="2" t="s">
        <v>1328</v>
      </c>
      <c r="H3819" s="2">
        <v>3548.0</v>
      </c>
      <c r="J3819" s="3">
        <v>2.0</v>
      </c>
      <c r="K3819" s="2" t="s">
        <v>15238</v>
      </c>
      <c r="L3819" s="2" t="s">
        <v>35</v>
      </c>
      <c r="M3819" s="2" t="s">
        <v>406</v>
      </c>
      <c r="N3819" s="2" t="s">
        <v>406</v>
      </c>
      <c r="O3819" s="3"/>
      <c r="Q3819" s="3">
        <v>980.0</v>
      </c>
      <c r="R3819" s="3">
        <v>0.5</v>
      </c>
      <c r="U3819" s="141"/>
      <c r="X3819" s="172"/>
      <c r="Y3819" s="172">
        <v>46100.89375670139</v>
      </c>
      <c r="Z3819" s="3">
        <v>46100.0</v>
      </c>
      <c r="AA3819" s="2" t="s">
        <v>14041</v>
      </c>
    </row>
    <row r="3820">
      <c r="A3820" s="3">
        <v>6.959115436291E12</v>
      </c>
      <c r="B3820" s="2" t="s">
        <v>15432</v>
      </c>
      <c r="C3820" s="2" t="s">
        <v>15120</v>
      </c>
      <c r="D3820" s="169">
        <v>46100.0</v>
      </c>
      <c r="E3820" s="2">
        <v>3.007824134E9</v>
      </c>
      <c r="F3820" s="2" t="s">
        <v>15122</v>
      </c>
      <c r="G3820" s="2" t="s">
        <v>1630</v>
      </c>
      <c r="H3820" s="2">
        <v>0.0</v>
      </c>
      <c r="J3820" s="3">
        <v>0.0</v>
      </c>
      <c r="K3820" s="2" t="s">
        <v>8446</v>
      </c>
      <c r="L3820" s="2"/>
      <c r="M3820" s="2" t="s">
        <v>468</v>
      </c>
      <c r="N3820" s="2" t="s">
        <v>406</v>
      </c>
      <c r="O3820" s="3"/>
      <c r="Q3820" s="3">
        <v>0.0</v>
      </c>
      <c r="R3820" s="3">
        <v>0.5</v>
      </c>
      <c r="U3820" s="141"/>
      <c r="X3820" s="172"/>
      <c r="Y3820" s="172">
        <v>46100.935435046296</v>
      </c>
      <c r="Z3820" s="3">
        <v>46100.0</v>
      </c>
      <c r="AA3820" s="2" t="s">
        <v>14032</v>
      </c>
    </row>
    <row r="3821">
      <c r="A3821" s="3">
        <v>6.959136506115E12</v>
      </c>
      <c r="B3821" s="2" t="s">
        <v>15433</v>
      </c>
      <c r="C3821" s="2" t="s">
        <v>288</v>
      </c>
      <c r="D3821" s="169">
        <v>46100.0</v>
      </c>
      <c r="E3821" s="2">
        <v>3.338618033E9</v>
      </c>
      <c r="F3821" s="2" t="s">
        <v>15434</v>
      </c>
      <c r="G3821" s="2" t="s">
        <v>672</v>
      </c>
      <c r="H3821" s="2">
        <v>3348.0</v>
      </c>
      <c r="I3821" s="2">
        <v>2.5120050023139E13</v>
      </c>
      <c r="J3821" s="3">
        <v>2.0</v>
      </c>
      <c r="K3821" s="2" t="s">
        <v>15109</v>
      </c>
      <c r="L3821" s="2" t="s">
        <v>1446</v>
      </c>
      <c r="M3821" s="2" t="s">
        <v>409</v>
      </c>
      <c r="N3821" s="2" t="s">
        <v>462</v>
      </c>
      <c r="O3821" s="3"/>
      <c r="P3821" s="2" t="s">
        <v>73</v>
      </c>
      <c r="Q3821" s="3">
        <v>720.0</v>
      </c>
      <c r="R3821" s="3">
        <v>0.5</v>
      </c>
      <c r="T3821" s="2" t="s">
        <v>15010</v>
      </c>
      <c r="U3821" s="171">
        <v>3348.0</v>
      </c>
      <c r="V3821" s="172">
        <v>46119.0</v>
      </c>
      <c r="W3821" s="3">
        <v>369.62999999999994</v>
      </c>
      <c r="X3821" s="172">
        <v>46116.624383622686</v>
      </c>
      <c r="Y3821" s="172">
        <v>46100.935435057865</v>
      </c>
      <c r="Z3821" s="3">
        <v>46100.0</v>
      </c>
      <c r="AA3821" s="2" t="s">
        <v>14041</v>
      </c>
    </row>
    <row r="3822">
      <c r="A3822" s="3">
        <v>6.959277834499E12</v>
      </c>
      <c r="B3822" s="2" t="s">
        <v>15435</v>
      </c>
      <c r="C3822" s="2" t="s">
        <v>15436</v>
      </c>
      <c r="D3822" s="169">
        <v>46100.0</v>
      </c>
      <c r="E3822" s="2">
        <v>3.135552767E9</v>
      </c>
      <c r="F3822" s="2" t="s">
        <v>15437</v>
      </c>
      <c r="G3822" s="2" t="s">
        <v>14713</v>
      </c>
      <c r="H3822" s="2">
        <v>2099.0</v>
      </c>
      <c r="I3822" s="2">
        <v>2.0120050023138E13</v>
      </c>
      <c r="J3822" s="3">
        <v>1.0</v>
      </c>
      <c r="K3822" s="2" t="s">
        <v>15438</v>
      </c>
      <c r="L3822" s="2" t="s">
        <v>15439</v>
      </c>
      <c r="M3822" s="2" t="s">
        <v>409</v>
      </c>
      <c r="N3822" s="2" t="s">
        <v>462</v>
      </c>
      <c r="O3822" s="3"/>
      <c r="P3822" s="2" t="s">
        <v>73</v>
      </c>
      <c r="Q3822" s="3">
        <v>850.0</v>
      </c>
      <c r="R3822" s="3">
        <v>0.5</v>
      </c>
      <c r="T3822" s="2" t="s">
        <v>15356</v>
      </c>
      <c r="U3822" s="171">
        <v>2099.0</v>
      </c>
      <c r="V3822" s="172">
        <v>46122.0</v>
      </c>
      <c r="W3822" s="3">
        <v>319.67</v>
      </c>
      <c r="X3822" s="172">
        <v>46122.08106635416</v>
      </c>
      <c r="Y3822" s="172">
        <v>46100.977105150465</v>
      </c>
      <c r="Z3822" s="3">
        <v>46100.0</v>
      </c>
      <c r="AA3822" s="2" t="s">
        <v>14022</v>
      </c>
    </row>
    <row r="3823">
      <c r="A3823" s="3">
        <v>6.959283437827E12</v>
      </c>
      <c r="B3823" s="2" t="s">
        <v>15440</v>
      </c>
      <c r="C3823" s="2" t="s">
        <v>15441</v>
      </c>
      <c r="D3823" s="169">
        <v>46100.0</v>
      </c>
      <c r="E3823" s="2">
        <v>3.086662067E9</v>
      </c>
      <c r="F3823" s="2" t="s">
        <v>15442</v>
      </c>
      <c r="G3823" s="2" t="s">
        <v>368</v>
      </c>
      <c r="H3823" s="2">
        <v>3099.0</v>
      </c>
      <c r="I3823" s="2">
        <v>2.0120050022952E13</v>
      </c>
      <c r="J3823" s="3">
        <v>1.0</v>
      </c>
      <c r="K3823" s="2" t="s">
        <v>15443</v>
      </c>
      <c r="L3823" s="2" t="s">
        <v>15444</v>
      </c>
      <c r="M3823" s="2" t="s">
        <v>409</v>
      </c>
      <c r="N3823" s="2" t="s">
        <v>462</v>
      </c>
      <c r="O3823" s="3"/>
      <c r="P3823" s="2" t="s">
        <v>73</v>
      </c>
      <c r="Q3823" s="3">
        <v>1300.0</v>
      </c>
      <c r="R3823" s="3">
        <v>0.5</v>
      </c>
      <c r="T3823" s="2" t="s">
        <v>14037</v>
      </c>
      <c r="U3823" s="171">
        <v>3099.0</v>
      </c>
      <c r="V3823" s="172">
        <v>46112.0</v>
      </c>
      <c r="W3823" s="3">
        <v>242.0</v>
      </c>
      <c r="X3823" s="172">
        <v>46108.58272832176</v>
      </c>
      <c r="Y3823" s="172">
        <v>46100.977105150465</v>
      </c>
      <c r="Z3823" s="3">
        <v>46100.0</v>
      </c>
      <c r="AA3823" s="2" t="s">
        <v>14032</v>
      </c>
    </row>
    <row r="3824">
      <c r="A3824" s="3">
        <v>6.959365456131E12</v>
      </c>
      <c r="B3824" s="2" t="s">
        <v>15445</v>
      </c>
      <c r="C3824" s="2" t="s">
        <v>15446</v>
      </c>
      <c r="D3824" s="169">
        <v>46101.0</v>
      </c>
      <c r="E3824" s="2">
        <v>3.183608712E9</v>
      </c>
      <c r="F3824" s="2" t="s">
        <v>15447</v>
      </c>
      <c r="G3824" s="2" t="s">
        <v>15448</v>
      </c>
      <c r="H3824" s="2">
        <v>3348.0</v>
      </c>
      <c r="I3824" s="2" t="s">
        <v>15449</v>
      </c>
      <c r="J3824" s="3">
        <v>2.0</v>
      </c>
      <c r="K3824" s="2" t="s">
        <v>12065</v>
      </c>
      <c r="L3824" s="2" t="s">
        <v>228</v>
      </c>
      <c r="M3824" s="2" t="s">
        <v>15450</v>
      </c>
      <c r="N3824" s="2" t="s">
        <v>406</v>
      </c>
      <c r="O3824" s="3"/>
      <c r="P3824" s="2" t="s">
        <v>640</v>
      </c>
      <c r="Q3824" s="3">
        <v>720.0</v>
      </c>
      <c r="R3824" s="3">
        <v>0.5</v>
      </c>
      <c r="U3824" s="141"/>
      <c r="X3824" s="172">
        <v>46130.08269398148</v>
      </c>
      <c r="Y3824" s="172">
        <v>46101.06043543982</v>
      </c>
      <c r="Z3824" s="3">
        <v>46101.0</v>
      </c>
      <c r="AA3824" s="2" t="s">
        <v>14022</v>
      </c>
    </row>
    <row r="3825">
      <c r="A3825" s="3">
        <v>6.959385837827E12</v>
      </c>
      <c r="B3825" s="2" t="s">
        <v>15451</v>
      </c>
      <c r="C3825" s="2" t="s">
        <v>15452</v>
      </c>
      <c r="D3825" s="169">
        <v>46101.0</v>
      </c>
      <c r="E3825" s="173" t="s">
        <v>15453</v>
      </c>
      <c r="F3825" s="2" t="s">
        <v>15454</v>
      </c>
      <c r="G3825" s="2" t="s">
        <v>493</v>
      </c>
      <c r="H3825" s="2">
        <v>6699.0</v>
      </c>
      <c r="I3825" s="2">
        <v>2.8120050022951E13</v>
      </c>
      <c r="J3825" s="3">
        <v>4.0</v>
      </c>
      <c r="K3825" s="2" t="s">
        <v>15455</v>
      </c>
      <c r="L3825" s="2" t="s">
        <v>15456</v>
      </c>
      <c r="M3825" s="2" t="s">
        <v>409</v>
      </c>
      <c r="N3825" s="2" t="s">
        <v>462</v>
      </c>
      <c r="O3825" s="3"/>
      <c r="P3825" s="2" t="s">
        <v>73</v>
      </c>
      <c r="Q3825" s="3">
        <v>1600.0</v>
      </c>
      <c r="R3825" s="3">
        <v>0.5</v>
      </c>
      <c r="T3825" s="2" t="s">
        <v>14037</v>
      </c>
      <c r="U3825" s="171">
        <v>6699.0</v>
      </c>
      <c r="V3825" s="172">
        <v>46112.0</v>
      </c>
      <c r="W3825" s="3">
        <v>518.0</v>
      </c>
      <c r="X3825" s="172">
        <v>46111.58281821759</v>
      </c>
      <c r="Y3825" s="172">
        <v>46101.06043543982</v>
      </c>
      <c r="Z3825" s="3">
        <v>46101.0</v>
      </c>
      <c r="AA3825" s="2" t="s">
        <v>14032</v>
      </c>
    </row>
    <row r="3826">
      <c r="A3826" s="3">
        <v>6.959392850179E12</v>
      </c>
      <c r="B3826" s="2" t="s">
        <v>15457</v>
      </c>
      <c r="C3826" s="2" t="s">
        <v>15458</v>
      </c>
      <c r="D3826" s="169">
        <v>46101.0</v>
      </c>
      <c r="E3826" s="2">
        <v>3.271553428E9</v>
      </c>
      <c r="F3826" s="2" t="s">
        <v>15459</v>
      </c>
      <c r="G3826" s="2" t="s">
        <v>3016</v>
      </c>
      <c r="H3826" s="2">
        <v>249.0</v>
      </c>
      <c r="I3826" s="2">
        <v>2.9120050023137E13</v>
      </c>
      <c r="J3826" s="3">
        <v>0.0</v>
      </c>
      <c r="K3826" s="2" t="s">
        <v>15460</v>
      </c>
      <c r="L3826" s="2"/>
      <c r="M3826" s="170" t="s">
        <v>455</v>
      </c>
      <c r="N3826" s="2" t="s">
        <v>406</v>
      </c>
      <c r="O3826" s="3"/>
      <c r="P3826" s="2" t="s">
        <v>73</v>
      </c>
      <c r="Q3826" s="3">
        <v>0.0</v>
      </c>
      <c r="R3826" s="3">
        <v>0.5</v>
      </c>
      <c r="U3826" s="141"/>
      <c r="W3826" s="3">
        <v>220.98</v>
      </c>
      <c r="X3826" s="172">
        <v>46121.08099396991</v>
      </c>
      <c r="Y3826" s="172">
        <v>46101.06043543982</v>
      </c>
      <c r="Z3826" s="3">
        <v>46101.0</v>
      </c>
      <c r="AA3826" s="2" t="s">
        <v>14032</v>
      </c>
    </row>
    <row r="3827">
      <c r="A3827" s="3">
        <v>6.959434301699E12</v>
      </c>
      <c r="B3827" s="2" t="s">
        <v>15461</v>
      </c>
      <c r="C3827" s="2" t="s">
        <v>11435</v>
      </c>
      <c r="D3827" s="169">
        <v>46101.0</v>
      </c>
      <c r="E3827" s="173" t="s">
        <v>15462</v>
      </c>
      <c r="F3827" s="2" t="s">
        <v>15463</v>
      </c>
      <c r="G3827" s="2" t="s">
        <v>366</v>
      </c>
      <c r="H3827" s="2">
        <v>1449.0</v>
      </c>
      <c r="I3827" s="2">
        <v>2.8120050023136E13</v>
      </c>
      <c r="J3827" s="3">
        <v>1.0</v>
      </c>
      <c r="K3827" s="2" t="s">
        <v>15464</v>
      </c>
      <c r="L3827" s="2" t="s">
        <v>765</v>
      </c>
      <c r="M3827" s="2" t="s">
        <v>409</v>
      </c>
      <c r="N3827" s="2" t="s">
        <v>462</v>
      </c>
      <c r="O3827" s="3"/>
      <c r="P3827" s="2" t="s">
        <v>73</v>
      </c>
      <c r="Q3827" s="3">
        <v>550.0</v>
      </c>
      <c r="R3827" s="3">
        <v>0.5</v>
      </c>
      <c r="T3827" s="2" t="s">
        <v>15010</v>
      </c>
      <c r="U3827" s="171">
        <v>1449.0</v>
      </c>
      <c r="V3827" s="172">
        <v>46119.0</v>
      </c>
      <c r="W3827" s="3">
        <v>278.94</v>
      </c>
      <c r="X3827" s="172">
        <v>46115.707668414354</v>
      </c>
      <c r="Y3827" s="172">
        <v>46101.10210643518</v>
      </c>
      <c r="Z3827" s="3">
        <v>46101.0</v>
      </c>
      <c r="AA3827" s="2" t="s">
        <v>14032</v>
      </c>
    </row>
    <row r="3828">
      <c r="A3828" s="3">
        <v>6.959447703811E12</v>
      </c>
      <c r="B3828" s="2" t="s">
        <v>15465</v>
      </c>
      <c r="C3828" s="2" t="s">
        <v>15466</v>
      </c>
      <c r="D3828" s="169">
        <v>46101.0</v>
      </c>
      <c r="E3828" s="2">
        <v>3.004000378E9</v>
      </c>
      <c r="F3828" s="2" t="s">
        <v>15467</v>
      </c>
      <c r="G3828" s="2" t="s">
        <v>368</v>
      </c>
      <c r="H3828" s="2">
        <v>2049.0</v>
      </c>
      <c r="I3828" s="2">
        <v>2.612005002295E13</v>
      </c>
      <c r="J3828" s="3">
        <v>1.0</v>
      </c>
      <c r="K3828" s="2" t="s">
        <v>15468</v>
      </c>
      <c r="L3828" s="2" t="s">
        <v>11096</v>
      </c>
      <c r="M3828" s="2" t="s">
        <v>409</v>
      </c>
      <c r="N3828" s="2" t="s">
        <v>462</v>
      </c>
      <c r="O3828" s="3"/>
      <c r="P3828" s="2" t="s">
        <v>73</v>
      </c>
      <c r="Q3828" s="3">
        <v>400.0</v>
      </c>
      <c r="R3828" s="3">
        <v>0.5</v>
      </c>
      <c r="T3828" s="2" t="s">
        <v>14037</v>
      </c>
      <c r="U3828" s="171">
        <v>2049.0</v>
      </c>
      <c r="V3828" s="172">
        <v>46112.0</v>
      </c>
      <c r="W3828" s="3">
        <v>200.0</v>
      </c>
      <c r="X3828" s="172">
        <v>46108.499435405094</v>
      </c>
      <c r="Y3828" s="172">
        <v>46101.10210643518</v>
      </c>
      <c r="Z3828" s="3">
        <v>46101.0</v>
      </c>
      <c r="AA3828" s="2" t="s">
        <v>14053</v>
      </c>
    </row>
    <row r="3829">
      <c r="A3829" s="3">
        <v>6.959451963651E12</v>
      </c>
      <c r="B3829" s="2" t="s">
        <v>15469</v>
      </c>
      <c r="C3829" s="2" t="s">
        <v>15470</v>
      </c>
      <c r="D3829" s="169">
        <v>46101.0</v>
      </c>
      <c r="E3829" s="2">
        <v>3.028713E9</v>
      </c>
      <c r="F3829" s="2" t="s">
        <v>15471</v>
      </c>
      <c r="G3829" s="2" t="s">
        <v>688</v>
      </c>
      <c r="H3829" s="2">
        <v>2848.0</v>
      </c>
      <c r="I3829" s="2">
        <v>2.8120050023135E13</v>
      </c>
      <c r="J3829" s="3">
        <v>1.0</v>
      </c>
      <c r="K3829" s="2" t="s">
        <v>15472</v>
      </c>
      <c r="L3829" s="2" t="s">
        <v>15473</v>
      </c>
      <c r="M3829" s="2" t="s">
        <v>409</v>
      </c>
      <c r="N3829" s="2" t="s">
        <v>462</v>
      </c>
      <c r="O3829" s="3"/>
      <c r="P3829" s="2" t="s">
        <v>73</v>
      </c>
      <c r="Q3829" s="3">
        <v>950.0</v>
      </c>
      <c r="R3829" s="3">
        <v>0.5</v>
      </c>
      <c r="T3829" s="2" t="s">
        <v>12503</v>
      </c>
      <c r="U3829" s="171">
        <v>2848.0</v>
      </c>
      <c r="V3829" s="172">
        <v>46115.0</v>
      </c>
      <c r="W3829" s="3">
        <v>334.9</v>
      </c>
      <c r="X3829" s="172">
        <v>46114.54119256945</v>
      </c>
      <c r="Y3829" s="172">
        <v>46101.10210643518</v>
      </c>
      <c r="Z3829" s="3">
        <v>46101.0</v>
      </c>
      <c r="AA3829" s="2" t="s">
        <v>14032</v>
      </c>
    </row>
    <row r="3830">
      <c r="A3830" s="3">
        <v>6.959504359683E12</v>
      </c>
      <c r="B3830" s="2" t="s">
        <v>15474</v>
      </c>
      <c r="C3830" s="2" t="s">
        <v>15475</v>
      </c>
      <c r="D3830" s="169">
        <v>46101.0</v>
      </c>
      <c r="E3830" s="2">
        <v>3.347172545E9</v>
      </c>
      <c r="F3830" s="2" t="s">
        <v>15476</v>
      </c>
      <c r="G3830" s="2" t="s">
        <v>15477</v>
      </c>
      <c r="H3830" s="2">
        <v>0.0</v>
      </c>
      <c r="J3830" s="3">
        <v>0.0</v>
      </c>
      <c r="K3830" s="2" t="s">
        <v>14625</v>
      </c>
      <c r="L3830" s="2"/>
      <c r="M3830" s="2" t="s">
        <v>468</v>
      </c>
      <c r="N3830" s="2" t="s">
        <v>406</v>
      </c>
      <c r="O3830" s="3"/>
      <c r="Q3830" s="3">
        <v>0.0</v>
      </c>
      <c r="R3830" s="3">
        <v>0.5</v>
      </c>
      <c r="U3830" s="141"/>
      <c r="X3830" s="172"/>
      <c r="Y3830" s="172">
        <v>46101.1437597801</v>
      </c>
      <c r="Z3830" s="3">
        <v>46101.0</v>
      </c>
      <c r="AA3830" s="2" t="s">
        <v>14041</v>
      </c>
    </row>
    <row r="3831">
      <c r="A3831" s="3">
        <v>6.959519400195E12</v>
      </c>
      <c r="B3831" s="2" t="s">
        <v>15478</v>
      </c>
      <c r="C3831" s="2" t="s">
        <v>15479</v>
      </c>
      <c r="D3831" s="169">
        <v>46101.0</v>
      </c>
      <c r="E3831" s="2">
        <v>3.0748041E9</v>
      </c>
      <c r="F3831" s="2" t="s">
        <v>15480</v>
      </c>
      <c r="G3831" s="2" t="s">
        <v>15481</v>
      </c>
      <c r="H3831" s="2">
        <v>249.0</v>
      </c>
      <c r="I3831" s="2" t="s">
        <v>15482</v>
      </c>
      <c r="J3831" s="3">
        <v>0.0</v>
      </c>
      <c r="K3831" s="2" t="s">
        <v>15483</v>
      </c>
      <c r="L3831" s="2"/>
      <c r="M3831" s="170" t="s">
        <v>455</v>
      </c>
      <c r="N3831" s="2" t="s">
        <v>406</v>
      </c>
      <c r="O3831" s="3"/>
      <c r="P3831" s="2" t="s">
        <v>640</v>
      </c>
      <c r="Q3831" s="3">
        <v>0.0</v>
      </c>
      <c r="R3831" s="3">
        <v>0.5</v>
      </c>
      <c r="U3831" s="141"/>
      <c r="X3831" s="172">
        <v>46122.08288844908</v>
      </c>
      <c r="Y3831" s="172">
        <v>46101.1437597801</v>
      </c>
      <c r="Z3831" s="3">
        <v>46101.0</v>
      </c>
      <c r="AA3831" s="2" t="s">
        <v>14032</v>
      </c>
    </row>
    <row r="3832">
      <c r="A3832" s="3">
        <v>6.959530574083E12</v>
      </c>
      <c r="B3832" s="2" t="s">
        <v>15484</v>
      </c>
      <c r="C3832" s="2" t="s">
        <v>15485</v>
      </c>
      <c r="D3832" s="169">
        <v>46101.0</v>
      </c>
      <c r="E3832" s="2">
        <v>3.006376196E9</v>
      </c>
      <c r="F3832" s="2" t="s">
        <v>15486</v>
      </c>
      <c r="G3832" s="2" t="s">
        <v>541</v>
      </c>
      <c r="H3832" s="2">
        <v>3348.0</v>
      </c>
      <c r="I3832" s="2">
        <v>2.1120050022949E13</v>
      </c>
      <c r="J3832" s="3">
        <v>2.0</v>
      </c>
      <c r="K3832" s="2" t="s">
        <v>14497</v>
      </c>
      <c r="L3832" s="2" t="s">
        <v>296</v>
      </c>
      <c r="M3832" s="2" t="s">
        <v>409</v>
      </c>
      <c r="N3832" s="2" t="s">
        <v>462</v>
      </c>
      <c r="O3832" s="3"/>
      <c r="P3832" s="2" t="s">
        <v>73</v>
      </c>
      <c r="Q3832" s="3">
        <v>720.0</v>
      </c>
      <c r="R3832" s="3">
        <v>0.5</v>
      </c>
      <c r="T3832" s="2" t="s">
        <v>14037</v>
      </c>
      <c r="U3832" s="171">
        <v>3348.0</v>
      </c>
      <c r="V3832" s="172">
        <v>46112.0</v>
      </c>
      <c r="W3832" s="3">
        <v>355.0</v>
      </c>
      <c r="X3832" s="172">
        <v>46111.77096686343</v>
      </c>
      <c r="Y3832" s="172">
        <v>46101.1437597801</v>
      </c>
      <c r="Z3832" s="3">
        <v>46101.0</v>
      </c>
      <c r="AA3832" s="2" t="s">
        <v>14032</v>
      </c>
    </row>
    <row r="3833">
      <c r="A3833" s="3">
        <v>6.959539388675E12</v>
      </c>
      <c r="B3833" s="2" t="s">
        <v>15487</v>
      </c>
      <c r="C3833" s="2" t="s">
        <v>508</v>
      </c>
      <c r="D3833" s="169">
        <v>46101.0</v>
      </c>
      <c r="E3833" s="2">
        <v>3.09674442E9</v>
      </c>
      <c r="F3833" s="2" t="s">
        <v>15488</v>
      </c>
      <c r="G3833" s="2" t="s">
        <v>366</v>
      </c>
      <c r="H3833" s="2">
        <v>249.0</v>
      </c>
      <c r="I3833" s="2">
        <v>2.1120050022948E13</v>
      </c>
      <c r="J3833" s="3">
        <v>0.0</v>
      </c>
      <c r="K3833" s="2" t="s">
        <v>15489</v>
      </c>
      <c r="L3833" s="2"/>
      <c r="M3833" s="2" t="s">
        <v>409</v>
      </c>
      <c r="N3833" s="2" t="s">
        <v>406</v>
      </c>
      <c r="O3833" s="3"/>
      <c r="P3833" s="2" t="s">
        <v>73</v>
      </c>
      <c r="Q3833" s="3">
        <v>0.0</v>
      </c>
      <c r="R3833" s="3">
        <v>0.5</v>
      </c>
      <c r="T3833" s="2" t="s">
        <v>14037</v>
      </c>
      <c r="U3833" s="171">
        <v>249.0</v>
      </c>
      <c r="V3833" s="172">
        <v>46112.0</v>
      </c>
      <c r="W3833" s="3">
        <v>281.0</v>
      </c>
      <c r="X3833" s="172">
        <v>46111.74949530093</v>
      </c>
      <c r="Y3833" s="172">
        <v>46101.1437597801</v>
      </c>
      <c r="Z3833" s="3">
        <v>46101.0</v>
      </c>
      <c r="AA3833" s="2" t="s">
        <v>14032</v>
      </c>
    </row>
    <row r="3834">
      <c r="A3834" s="3">
        <v>6.959580643587E12</v>
      </c>
      <c r="B3834" s="2" t="s">
        <v>15490</v>
      </c>
      <c r="C3834" s="2" t="s">
        <v>15491</v>
      </c>
      <c r="D3834" s="169">
        <v>46101.0</v>
      </c>
      <c r="E3834" s="2">
        <v>3.101414725E9</v>
      </c>
      <c r="F3834" s="2" t="s">
        <v>15492</v>
      </c>
      <c r="G3834" s="2" t="s">
        <v>493</v>
      </c>
      <c r="H3834" s="2">
        <v>3348.0</v>
      </c>
      <c r="I3834" s="2">
        <v>2.1120050022947E13</v>
      </c>
      <c r="J3834" s="3">
        <v>2.0</v>
      </c>
      <c r="K3834" s="2" t="s">
        <v>14497</v>
      </c>
      <c r="L3834" s="2" t="s">
        <v>27</v>
      </c>
      <c r="M3834" s="2" t="s">
        <v>409</v>
      </c>
      <c r="N3834" s="2" t="s">
        <v>462</v>
      </c>
      <c r="O3834" s="3"/>
      <c r="P3834" s="2" t="s">
        <v>73</v>
      </c>
      <c r="Q3834" s="3">
        <v>720.0</v>
      </c>
      <c r="R3834" s="3">
        <v>0.5</v>
      </c>
      <c r="T3834" s="2" t="s">
        <v>14037</v>
      </c>
      <c r="U3834" s="171">
        <v>3348.0</v>
      </c>
      <c r="V3834" s="172">
        <v>46112.0</v>
      </c>
      <c r="W3834" s="3">
        <v>370.0</v>
      </c>
      <c r="X3834" s="172">
        <v>46110.58273583333</v>
      </c>
      <c r="Y3834" s="172">
        <v>46101.18544436342</v>
      </c>
      <c r="Z3834" s="3">
        <v>46101.0</v>
      </c>
      <c r="AA3834" s="2" t="s">
        <v>14032</v>
      </c>
    </row>
    <row r="3835">
      <c r="A3835" s="3">
        <v>6.959596568835E12</v>
      </c>
      <c r="B3835" s="2" t="s">
        <v>15493</v>
      </c>
      <c r="C3835" s="2" t="s">
        <v>15494</v>
      </c>
      <c r="D3835" s="169">
        <v>46101.0</v>
      </c>
      <c r="E3835" s="2">
        <v>3.354111171E9</v>
      </c>
      <c r="F3835" s="2" t="s">
        <v>15495</v>
      </c>
      <c r="G3835" s="2" t="s">
        <v>15496</v>
      </c>
      <c r="H3835" s="2">
        <v>249.0</v>
      </c>
      <c r="I3835" s="2" t="s">
        <v>15497</v>
      </c>
      <c r="J3835" s="3">
        <v>0.0</v>
      </c>
      <c r="K3835" s="2" t="s">
        <v>15498</v>
      </c>
      <c r="L3835" s="2"/>
      <c r="M3835" s="170" t="s">
        <v>455</v>
      </c>
      <c r="N3835" s="2" t="s">
        <v>406</v>
      </c>
      <c r="O3835" s="3"/>
      <c r="P3835" s="2" t="s">
        <v>640</v>
      </c>
      <c r="Q3835" s="3">
        <v>0.0</v>
      </c>
      <c r="R3835" s="3">
        <v>0.5</v>
      </c>
      <c r="U3835" s="141"/>
      <c r="X3835" s="172">
        <v>46130.082694004624</v>
      </c>
      <c r="Y3835" s="172">
        <v>46101.18544436342</v>
      </c>
      <c r="Z3835" s="3">
        <v>46101.0</v>
      </c>
      <c r="AA3835" s="2" t="s">
        <v>14041</v>
      </c>
    </row>
    <row r="3836">
      <c r="A3836" s="3">
        <v>6.959597748483E12</v>
      </c>
      <c r="B3836" s="2" t="s">
        <v>15499</v>
      </c>
      <c r="C3836" s="2" t="s">
        <v>15500</v>
      </c>
      <c r="D3836" s="169">
        <v>46101.0</v>
      </c>
      <c r="E3836" s="2">
        <v>9.23044326181E11</v>
      </c>
      <c r="F3836" s="2" t="s">
        <v>15501</v>
      </c>
      <c r="G3836" s="2" t="s">
        <v>1619</v>
      </c>
      <c r="H3836" s="2">
        <v>249.0</v>
      </c>
      <c r="I3836" s="2">
        <v>2.5120050023134E13</v>
      </c>
      <c r="J3836" s="3">
        <v>0.0</v>
      </c>
      <c r="K3836" s="2" t="s">
        <v>15502</v>
      </c>
      <c r="L3836" s="2"/>
      <c r="M3836" s="170" t="s">
        <v>455</v>
      </c>
      <c r="N3836" s="2" t="s">
        <v>406</v>
      </c>
      <c r="O3836" s="3"/>
      <c r="P3836" s="2" t="s">
        <v>73</v>
      </c>
      <c r="Q3836" s="3">
        <v>0.0</v>
      </c>
      <c r="R3836" s="3">
        <v>0.5</v>
      </c>
      <c r="U3836" s="141"/>
      <c r="W3836" s="3">
        <v>117.86</v>
      </c>
      <c r="X3836" s="172">
        <v>46120.08102568287</v>
      </c>
      <c r="Y3836" s="172">
        <v>46101.18544436342</v>
      </c>
      <c r="Z3836" s="3">
        <v>46101.0</v>
      </c>
      <c r="AA3836" s="2" t="s">
        <v>14041</v>
      </c>
    </row>
    <row r="3837">
      <c r="A3837" s="3">
        <v>6.959601844483E12</v>
      </c>
      <c r="B3837" s="2" t="s">
        <v>15503</v>
      </c>
      <c r="C3837" s="2" t="s">
        <v>15504</v>
      </c>
      <c r="D3837" s="169">
        <v>46101.0</v>
      </c>
      <c r="E3837" s="173" t="s">
        <v>15505</v>
      </c>
      <c r="F3837" s="2" t="s">
        <v>15506</v>
      </c>
      <c r="G3837" s="2" t="s">
        <v>15507</v>
      </c>
      <c r="H3837" s="2">
        <v>7448.0</v>
      </c>
      <c r="I3837" s="2" t="s">
        <v>15508</v>
      </c>
      <c r="J3837" s="3">
        <v>5.0</v>
      </c>
      <c r="K3837" s="2" t="s">
        <v>15509</v>
      </c>
      <c r="L3837" s="2" t="s">
        <v>15510</v>
      </c>
      <c r="M3837" s="2" t="s">
        <v>409</v>
      </c>
      <c r="N3837" s="2" t="s">
        <v>406</v>
      </c>
      <c r="O3837" s="3"/>
      <c r="P3837" s="2" t="s">
        <v>640</v>
      </c>
      <c r="Q3837" s="3">
        <v>2190.0</v>
      </c>
      <c r="R3837" s="3">
        <v>0.5</v>
      </c>
      <c r="U3837" s="141"/>
      <c r="X3837" s="172">
        <v>46128.0826846875</v>
      </c>
      <c r="Y3837" s="172">
        <v>46101.18544436342</v>
      </c>
      <c r="Z3837" s="3">
        <v>46101.0</v>
      </c>
      <c r="AA3837" s="2" t="s">
        <v>14022</v>
      </c>
    </row>
    <row r="3838">
      <c r="A3838" s="3">
        <v>6.959606300931E12</v>
      </c>
      <c r="B3838" s="2" t="s">
        <v>15511</v>
      </c>
      <c r="C3838" s="2" t="s">
        <v>15512</v>
      </c>
      <c r="D3838" s="169">
        <v>46101.0</v>
      </c>
      <c r="E3838" s="2">
        <v>9.23007283932E11</v>
      </c>
      <c r="F3838" s="2" t="s">
        <v>15513</v>
      </c>
      <c r="G3838" s="2" t="s">
        <v>7166</v>
      </c>
      <c r="H3838" s="2">
        <v>3348.0</v>
      </c>
      <c r="I3838" s="2">
        <v>2.8120050023133E13</v>
      </c>
      <c r="J3838" s="3">
        <v>2.0</v>
      </c>
      <c r="K3838" s="2" t="s">
        <v>15109</v>
      </c>
      <c r="L3838" s="2" t="s">
        <v>275</v>
      </c>
      <c r="M3838" s="2" t="s">
        <v>409</v>
      </c>
      <c r="N3838" s="2" t="s">
        <v>462</v>
      </c>
      <c r="O3838" s="3"/>
      <c r="P3838" s="2" t="s">
        <v>73</v>
      </c>
      <c r="Q3838" s="3">
        <v>800.0</v>
      </c>
      <c r="R3838" s="3">
        <v>0.5</v>
      </c>
      <c r="T3838" s="2" t="s">
        <v>15010</v>
      </c>
      <c r="U3838" s="171">
        <v>3348.0</v>
      </c>
      <c r="V3838" s="172">
        <v>46119.0</v>
      </c>
      <c r="W3838" s="3">
        <v>354.9</v>
      </c>
      <c r="X3838" s="172">
        <v>46116.54103206018</v>
      </c>
      <c r="Y3838" s="172">
        <v>46101.22708525463</v>
      </c>
      <c r="Z3838" s="3">
        <v>46101.0</v>
      </c>
      <c r="AA3838" s="2" t="s">
        <v>14041</v>
      </c>
    </row>
    <row r="3839">
      <c r="A3839" s="3">
        <v>6.959611216131E12</v>
      </c>
      <c r="B3839" s="2" t="s">
        <v>15514</v>
      </c>
      <c r="C3839" s="2" t="s">
        <v>15515</v>
      </c>
      <c r="D3839" s="169">
        <v>46101.0</v>
      </c>
      <c r="E3839" s="2">
        <v>3.197976583E9</v>
      </c>
      <c r="F3839" s="2" t="s">
        <v>15516</v>
      </c>
      <c r="G3839" s="2" t="s">
        <v>15517</v>
      </c>
      <c r="H3839" s="2">
        <v>3348.0</v>
      </c>
      <c r="I3839" s="2" t="s">
        <v>15518</v>
      </c>
      <c r="J3839" s="3">
        <v>2.0</v>
      </c>
      <c r="K3839" s="2" t="s">
        <v>2055</v>
      </c>
      <c r="L3839" s="2" t="s">
        <v>228</v>
      </c>
      <c r="M3839" s="2" t="s">
        <v>409</v>
      </c>
      <c r="N3839" s="2" t="s">
        <v>406</v>
      </c>
      <c r="O3839" s="3"/>
      <c r="P3839" s="2" t="s">
        <v>640</v>
      </c>
      <c r="Q3839" s="3">
        <v>720.0</v>
      </c>
      <c r="R3839" s="3">
        <v>0.5</v>
      </c>
      <c r="U3839" s="141"/>
      <c r="X3839" s="172">
        <v>46114.75126856481</v>
      </c>
      <c r="Y3839" s="172">
        <v>46101.22708525463</v>
      </c>
      <c r="Z3839" s="3">
        <v>46101.0</v>
      </c>
      <c r="AA3839" s="2" t="s">
        <v>14103</v>
      </c>
    </row>
    <row r="3840">
      <c r="A3840" s="3">
        <v>6.959614820611E12</v>
      </c>
      <c r="B3840" s="2" t="s">
        <v>15519</v>
      </c>
      <c r="C3840" s="2" t="s">
        <v>15520</v>
      </c>
      <c r="D3840" s="169">
        <v>46101.0</v>
      </c>
      <c r="E3840" s="2">
        <v>3.237070236E9</v>
      </c>
      <c r="F3840" s="2" t="s">
        <v>15521</v>
      </c>
      <c r="G3840" s="2" t="s">
        <v>1587</v>
      </c>
      <c r="H3840" s="2">
        <v>3348.0</v>
      </c>
      <c r="I3840" s="2">
        <v>2.4120050023132E13</v>
      </c>
      <c r="J3840" s="3">
        <v>2.0</v>
      </c>
      <c r="K3840" s="2" t="s">
        <v>15109</v>
      </c>
      <c r="L3840" s="2" t="s">
        <v>228</v>
      </c>
      <c r="M3840" s="2" t="s">
        <v>409</v>
      </c>
      <c r="N3840" s="2" t="s">
        <v>462</v>
      </c>
      <c r="O3840" s="3"/>
      <c r="P3840" s="2" t="s">
        <v>73</v>
      </c>
      <c r="Q3840" s="3">
        <v>720.0</v>
      </c>
      <c r="R3840" s="3">
        <v>0.5</v>
      </c>
      <c r="T3840" s="2" t="s">
        <v>15010</v>
      </c>
      <c r="U3840" s="171">
        <v>3348.0</v>
      </c>
      <c r="V3840" s="172">
        <v>46119.0</v>
      </c>
      <c r="W3840" s="3">
        <v>354.9</v>
      </c>
      <c r="X3840" s="172">
        <v>46116.520888541665</v>
      </c>
      <c r="Y3840" s="172">
        <v>46101.22708525463</v>
      </c>
      <c r="Z3840" s="3">
        <v>46101.0</v>
      </c>
      <c r="AA3840" s="2" t="s">
        <v>14022</v>
      </c>
    </row>
    <row r="3841">
      <c r="A3841" s="3">
        <v>6.959625535747E12</v>
      </c>
      <c r="B3841" s="2" t="s">
        <v>15522</v>
      </c>
      <c r="C3841" s="2" t="s">
        <v>15523</v>
      </c>
      <c r="D3841" s="169">
        <v>46101.0</v>
      </c>
      <c r="E3841" s="173" t="s">
        <v>15524</v>
      </c>
      <c r="F3841" s="2" t="s">
        <v>15525</v>
      </c>
      <c r="G3841" s="2" t="s">
        <v>368</v>
      </c>
      <c r="H3841" s="2">
        <v>4498.0</v>
      </c>
      <c r="I3841" s="2">
        <v>2.5120050022946E13</v>
      </c>
      <c r="J3841" s="3">
        <v>2.0</v>
      </c>
      <c r="K3841" s="2" t="s">
        <v>15526</v>
      </c>
      <c r="L3841" s="2" t="s">
        <v>15527</v>
      </c>
      <c r="M3841" s="2" t="s">
        <v>409</v>
      </c>
      <c r="N3841" s="2" t="s">
        <v>462</v>
      </c>
      <c r="O3841" s="3"/>
      <c r="P3841" s="2" t="s">
        <v>73</v>
      </c>
      <c r="Q3841" s="3">
        <v>1500.0</v>
      </c>
      <c r="R3841" s="3">
        <v>0.5</v>
      </c>
      <c r="T3841" s="2" t="s">
        <v>14037</v>
      </c>
      <c r="U3841" s="171">
        <v>4498.0</v>
      </c>
      <c r="V3841" s="172">
        <v>46112.0</v>
      </c>
      <c r="W3841" s="3">
        <v>313.0</v>
      </c>
      <c r="X3841" s="172">
        <v>46108.58272866898</v>
      </c>
      <c r="Y3841" s="172">
        <v>46101.22708525463</v>
      </c>
      <c r="Z3841" s="3">
        <v>46101.0</v>
      </c>
      <c r="AA3841" s="2" t="s">
        <v>14032</v>
      </c>
    </row>
    <row r="3842">
      <c r="A3842" s="3">
        <v>6.959653224707E12</v>
      </c>
      <c r="B3842" s="2" t="s">
        <v>15528</v>
      </c>
      <c r="C3842" s="2" t="s">
        <v>15529</v>
      </c>
      <c r="D3842" s="169">
        <v>46101.0</v>
      </c>
      <c r="E3842" s="2">
        <v>3.33599006E9</v>
      </c>
      <c r="F3842" s="2" t="s">
        <v>15530</v>
      </c>
      <c r="G3842" s="2" t="s">
        <v>506</v>
      </c>
      <c r="H3842" s="2">
        <v>3348.0</v>
      </c>
      <c r="I3842" s="2">
        <v>2.6120050022945E13</v>
      </c>
      <c r="J3842" s="3">
        <v>2.0</v>
      </c>
      <c r="K3842" s="2" t="s">
        <v>15531</v>
      </c>
      <c r="L3842" s="2" t="s">
        <v>1116</v>
      </c>
      <c r="M3842" s="2" t="s">
        <v>409</v>
      </c>
      <c r="N3842" s="2" t="s">
        <v>462</v>
      </c>
      <c r="O3842" s="3"/>
      <c r="P3842" s="2" t="s">
        <v>73</v>
      </c>
      <c r="Q3842" s="3">
        <v>800.0</v>
      </c>
      <c r="R3842" s="3">
        <v>0.5</v>
      </c>
      <c r="T3842" s="2" t="s">
        <v>15010</v>
      </c>
      <c r="U3842" s="171">
        <v>3348.0</v>
      </c>
      <c r="V3842" s="172">
        <v>46119.0</v>
      </c>
      <c r="W3842" s="3">
        <v>354.9</v>
      </c>
      <c r="X3842" s="172">
        <v>46115.87437464121</v>
      </c>
      <c r="Y3842" s="172">
        <v>46101.22708525463</v>
      </c>
      <c r="Z3842" s="3">
        <v>46101.0</v>
      </c>
      <c r="AA3842" s="2" t="s">
        <v>14032</v>
      </c>
    </row>
    <row r="3843">
      <c r="A3843" s="3">
        <v>6.959658303747E12</v>
      </c>
      <c r="B3843" s="2" t="s">
        <v>15532</v>
      </c>
      <c r="C3843" s="2" t="s">
        <v>15533</v>
      </c>
      <c r="D3843" s="169">
        <v>46101.0</v>
      </c>
      <c r="E3843" s="2">
        <v>3.294575501E9</v>
      </c>
      <c r="F3843" s="2" t="s">
        <v>15534</v>
      </c>
      <c r="G3843" s="2" t="s">
        <v>368</v>
      </c>
      <c r="H3843" s="2">
        <v>249.0</v>
      </c>
      <c r="I3843" s="2">
        <v>2.4120050022944E13</v>
      </c>
      <c r="J3843" s="3">
        <v>0.0</v>
      </c>
      <c r="K3843" s="2" t="s">
        <v>15535</v>
      </c>
      <c r="L3843" s="2"/>
      <c r="M3843" s="170" t="s">
        <v>455</v>
      </c>
      <c r="N3843" s="2" t="s">
        <v>406</v>
      </c>
      <c r="O3843" s="3"/>
      <c r="P3843" s="2" t="s">
        <v>73</v>
      </c>
      <c r="Q3843" s="3">
        <v>0.0</v>
      </c>
      <c r="R3843" s="3">
        <v>0.5</v>
      </c>
      <c r="U3843" s="141"/>
      <c r="W3843" s="3">
        <v>117.86</v>
      </c>
      <c r="X3843" s="172">
        <v>46113.91604190972</v>
      </c>
      <c r="Y3843" s="172">
        <v>46101.22708525463</v>
      </c>
      <c r="Z3843" s="3">
        <v>46101.0</v>
      </c>
      <c r="AA3843" s="2" t="s">
        <v>14022</v>
      </c>
    </row>
    <row r="3844">
      <c r="A3844" s="3">
        <v>6.959664300291E12</v>
      </c>
      <c r="B3844" s="2" t="s">
        <v>15536</v>
      </c>
      <c r="C3844" s="2" t="s">
        <v>15537</v>
      </c>
      <c r="D3844" s="169">
        <v>46101.0</v>
      </c>
      <c r="E3844" s="173" t="s">
        <v>15538</v>
      </c>
      <c r="F3844" s="2" t="s">
        <v>15539</v>
      </c>
      <c r="G3844" s="2" t="s">
        <v>493</v>
      </c>
      <c r="H3844" s="2">
        <v>3348.0</v>
      </c>
      <c r="I3844" s="2">
        <v>2.8120050022943E13</v>
      </c>
      <c r="J3844" s="3">
        <v>2.0</v>
      </c>
      <c r="K3844" s="2" t="s">
        <v>14497</v>
      </c>
      <c r="L3844" s="2" t="s">
        <v>40</v>
      </c>
      <c r="M3844" s="2" t="s">
        <v>409</v>
      </c>
      <c r="N3844" s="2" t="s">
        <v>462</v>
      </c>
      <c r="O3844" s="3"/>
      <c r="P3844" s="2" t="s">
        <v>73</v>
      </c>
      <c r="Q3844" s="3">
        <v>720.0</v>
      </c>
      <c r="R3844" s="3">
        <v>0.5</v>
      </c>
      <c r="T3844" s="2" t="s">
        <v>14037</v>
      </c>
      <c r="U3844" s="171">
        <v>3348.0</v>
      </c>
      <c r="V3844" s="172">
        <v>46112.0</v>
      </c>
      <c r="W3844" s="3">
        <v>370.0</v>
      </c>
      <c r="X3844" s="172">
        <v>46111.74949533565</v>
      </c>
      <c r="Y3844" s="172">
        <v>46101.26875013889</v>
      </c>
      <c r="Z3844" s="3">
        <v>46101.0</v>
      </c>
      <c r="AA3844" s="2" t="s">
        <v>14032</v>
      </c>
    </row>
    <row r="3845">
      <c r="A3845" s="3">
        <v>6.959674458371E12</v>
      </c>
      <c r="B3845" s="2" t="s">
        <v>15540</v>
      </c>
      <c r="C3845" s="2" t="s">
        <v>15541</v>
      </c>
      <c r="D3845" s="169">
        <v>46101.0</v>
      </c>
      <c r="E3845" s="2">
        <v>3.008023866E9</v>
      </c>
      <c r="F3845" s="2" t="s">
        <v>15542</v>
      </c>
      <c r="G3845" s="2" t="s">
        <v>368</v>
      </c>
      <c r="H3845" s="2">
        <v>249.0</v>
      </c>
      <c r="I3845" s="2">
        <v>2.0120050022942E13</v>
      </c>
      <c r="J3845" s="3">
        <v>0.0</v>
      </c>
      <c r="K3845" s="2" t="s">
        <v>15543</v>
      </c>
      <c r="L3845" s="2"/>
      <c r="M3845" s="170" t="s">
        <v>455</v>
      </c>
      <c r="N3845" s="2" t="s">
        <v>406</v>
      </c>
      <c r="O3845" s="3"/>
      <c r="P3845" s="2" t="s">
        <v>73</v>
      </c>
      <c r="Q3845" s="3">
        <v>0.0</v>
      </c>
      <c r="R3845" s="3">
        <v>0.5</v>
      </c>
      <c r="U3845" s="141"/>
      <c r="W3845" s="3">
        <v>117.86</v>
      </c>
      <c r="X3845" s="172">
        <v>46115.832777766205</v>
      </c>
      <c r="Y3845" s="172">
        <v>46101.26875013889</v>
      </c>
      <c r="Z3845" s="3">
        <v>46101.0</v>
      </c>
      <c r="AA3845" s="2" t="s">
        <v>14032</v>
      </c>
    </row>
    <row r="3846">
      <c r="A3846" s="3">
        <v>6.959736619267E12</v>
      </c>
      <c r="B3846" s="2" t="s">
        <v>15544</v>
      </c>
      <c r="C3846" s="2" t="s">
        <v>364</v>
      </c>
      <c r="D3846" s="169">
        <v>46101.0</v>
      </c>
      <c r="E3846" s="2">
        <v>3.093895214E9</v>
      </c>
      <c r="F3846" s="2" t="s">
        <v>15545</v>
      </c>
      <c r="G3846" s="2" t="s">
        <v>365</v>
      </c>
      <c r="H3846" s="2">
        <v>249.0</v>
      </c>
      <c r="I3846" s="2">
        <v>2.9120050023334E13</v>
      </c>
      <c r="J3846" s="3">
        <v>0.0</v>
      </c>
      <c r="K3846" s="2" t="s">
        <v>204</v>
      </c>
      <c r="L3846" s="2"/>
      <c r="M3846" s="170" t="s">
        <v>455</v>
      </c>
      <c r="N3846" s="2" t="s">
        <v>406</v>
      </c>
      <c r="O3846" s="3"/>
      <c r="P3846" s="2" t="s">
        <v>73</v>
      </c>
      <c r="Q3846" s="3">
        <v>0.0</v>
      </c>
      <c r="R3846" s="3">
        <v>0.5</v>
      </c>
      <c r="U3846" s="141"/>
      <c r="X3846" s="172">
        <v>46131.08096027777</v>
      </c>
      <c r="Y3846" s="172">
        <v>46101.31045211805</v>
      </c>
      <c r="Z3846" s="3">
        <v>46101.0</v>
      </c>
      <c r="AA3846" s="2" t="s">
        <v>14041</v>
      </c>
    </row>
    <row r="3847">
      <c r="A3847" s="3">
        <v>6.959759622403E12</v>
      </c>
      <c r="B3847" s="2" t="s">
        <v>15546</v>
      </c>
      <c r="C3847" s="2" t="s">
        <v>3854</v>
      </c>
      <c r="D3847" s="169">
        <v>46101.0</v>
      </c>
      <c r="E3847" s="2">
        <v>3.305959016E9</v>
      </c>
      <c r="F3847" s="2" t="s">
        <v>15547</v>
      </c>
      <c r="G3847" s="2" t="s">
        <v>15548</v>
      </c>
      <c r="H3847" s="2">
        <v>3349.0</v>
      </c>
      <c r="I3847" s="2" t="s">
        <v>15549</v>
      </c>
      <c r="J3847" s="3">
        <v>2.0</v>
      </c>
      <c r="K3847" s="2" t="s">
        <v>241</v>
      </c>
      <c r="L3847" s="2" t="s">
        <v>40</v>
      </c>
      <c r="M3847" s="2" t="s">
        <v>409</v>
      </c>
      <c r="N3847" s="2" t="s">
        <v>406</v>
      </c>
      <c r="O3847" s="3"/>
      <c r="P3847" s="2" t="s">
        <v>640</v>
      </c>
      <c r="Q3847" s="3">
        <v>720.0</v>
      </c>
      <c r="R3847" s="3">
        <v>0.5</v>
      </c>
      <c r="U3847" s="141"/>
      <c r="X3847" s="172">
        <v>46116.6680184838</v>
      </c>
      <c r="Y3847" s="172">
        <v>46101.31045212963</v>
      </c>
      <c r="Z3847" s="3">
        <v>46101.0</v>
      </c>
      <c r="AA3847" s="2" t="s">
        <v>14053</v>
      </c>
    </row>
    <row r="3848">
      <c r="A3848" s="3">
        <v>6.959832924419E12</v>
      </c>
      <c r="B3848" s="2" t="s">
        <v>15550</v>
      </c>
      <c r="C3848" s="2" t="s">
        <v>15551</v>
      </c>
      <c r="D3848" s="169">
        <v>46101.0</v>
      </c>
      <c r="E3848" s="2">
        <v>3.460427708E9</v>
      </c>
      <c r="F3848" s="2" t="s">
        <v>15552</v>
      </c>
      <c r="G3848" s="2" t="s">
        <v>4949</v>
      </c>
      <c r="H3848" s="2">
        <v>2199.0</v>
      </c>
      <c r="I3848" s="2">
        <v>2.9120050023131E13</v>
      </c>
      <c r="J3848" s="3">
        <v>1.0</v>
      </c>
      <c r="K3848" s="2" t="s">
        <v>15553</v>
      </c>
      <c r="L3848" s="2" t="s">
        <v>220</v>
      </c>
      <c r="M3848" s="2" t="s">
        <v>409</v>
      </c>
      <c r="N3848" s="2" t="s">
        <v>462</v>
      </c>
      <c r="O3848" s="3"/>
      <c r="P3848" s="2" t="s">
        <v>73</v>
      </c>
      <c r="Q3848" s="3">
        <v>360.0</v>
      </c>
      <c r="R3848" s="3">
        <v>0.5</v>
      </c>
      <c r="T3848" s="2" t="s">
        <v>15010</v>
      </c>
      <c r="U3848" s="171">
        <v>2199.0</v>
      </c>
      <c r="V3848" s="172">
        <v>46119.0</v>
      </c>
      <c r="W3848" s="3">
        <v>308.94</v>
      </c>
      <c r="X3848" s="172">
        <v>46119.0810375463</v>
      </c>
      <c r="Y3848" s="172">
        <v>46101.39376380787</v>
      </c>
      <c r="Z3848" s="3">
        <v>46101.0</v>
      </c>
      <c r="AA3848" s="2" t="s">
        <v>14053</v>
      </c>
    </row>
    <row r="3849">
      <c r="A3849" s="3">
        <v>6.959903047939E12</v>
      </c>
      <c r="B3849" s="2" t="s">
        <v>15554</v>
      </c>
      <c r="C3849" s="2" t="s">
        <v>5692</v>
      </c>
      <c r="D3849" s="169">
        <v>46101.0</v>
      </c>
      <c r="E3849" s="2">
        <v>3.468680165E9</v>
      </c>
      <c r="F3849" s="2" t="s">
        <v>15555</v>
      </c>
      <c r="G3849" s="2" t="s">
        <v>701</v>
      </c>
      <c r="H3849" s="2">
        <v>3348.0</v>
      </c>
      <c r="I3849" s="2">
        <v>2.0120050022941E13</v>
      </c>
      <c r="J3849" s="3">
        <v>2.0</v>
      </c>
      <c r="K3849" s="2" t="s">
        <v>14497</v>
      </c>
      <c r="L3849" s="2" t="s">
        <v>296</v>
      </c>
      <c r="M3849" s="2" t="s">
        <v>409</v>
      </c>
      <c r="N3849" s="2" t="s">
        <v>462</v>
      </c>
      <c r="O3849" s="3"/>
      <c r="P3849" s="2" t="s">
        <v>73</v>
      </c>
      <c r="Q3849" s="3">
        <v>720.0</v>
      </c>
      <c r="R3849" s="3">
        <v>0.5</v>
      </c>
      <c r="T3849" s="2" t="s">
        <v>14037</v>
      </c>
      <c r="U3849" s="171">
        <v>3348.0</v>
      </c>
      <c r="V3849" s="172">
        <v>46112.0</v>
      </c>
      <c r="W3849" s="3">
        <v>355.0</v>
      </c>
      <c r="X3849" s="172">
        <v>46109.749482569445</v>
      </c>
      <c r="Y3849" s="172">
        <v>46101.43544082176</v>
      </c>
      <c r="Z3849" s="3">
        <v>46101.0</v>
      </c>
      <c r="AA3849" s="2" t="s">
        <v>14032</v>
      </c>
    </row>
    <row r="3850">
      <c r="A3850" s="3">
        <v>6.959907471619E12</v>
      </c>
      <c r="B3850" s="2" t="s">
        <v>15556</v>
      </c>
      <c r="C3850" s="2" t="s">
        <v>15557</v>
      </c>
      <c r="D3850" s="169">
        <v>46101.0</v>
      </c>
      <c r="E3850" s="2">
        <v>3.338109594E9</v>
      </c>
      <c r="F3850" s="2" t="s">
        <v>15558</v>
      </c>
      <c r="G3850" s="2" t="s">
        <v>506</v>
      </c>
      <c r="H3850" s="2">
        <v>3348.0</v>
      </c>
      <c r="I3850" s="2">
        <v>2.912005002294E13</v>
      </c>
      <c r="J3850" s="3">
        <v>2.0</v>
      </c>
      <c r="K3850" s="2" t="s">
        <v>14497</v>
      </c>
      <c r="L3850" s="2" t="s">
        <v>40</v>
      </c>
      <c r="M3850" s="2" t="s">
        <v>409</v>
      </c>
      <c r="N3850" s="2" t="s">
        <v>462</v>
      </c>
      <c r="O3850" s="3"/>
      <c r="P3850" s="2" t="s">
        <v>73</v>
      </c>
      <c r="Q3850" s="3">
        <v>720.0</v>
      </c>
      <c r="R3850" s="3">
        <v>0.5</v>
      </c>
      <c r="T3850" s="2" t="s">
        <v>14037</v>
      </c>
      <c r="U3850" s="171">
        <v>3348.0</v>
      </c>
      <c r="V3850" s="172">
        <v>46112.0</v>
      </c>
      <c r="W3850" s="3">
        <v>355.0</v>
      </c>
      <c r="X3850" s="172">
        <v>46111.66616140046</v>
      </c>
      <c r="Y3850" s="172">
        <v>46101.43544082176</v>
      </c>
      <c r="Z3850" s="3">
        <v>46101.0</v>
      </c>
      <c r="AA3850" s="2" t="s">
        <v>14032</v>
      </c>
    </row>
    <row r="3851">
      <c r="A3851" s="3">
        <v>6.959919268099E12</v>
      </c>
      <c r="B3851" s="2" t="s">
        <v>15559</v>
      </c>
      <c r="C3851" s="2" t="s">
        <v>2848</v>
      </c>
      <c r="D3851" s="169">
        <v>46101.0</v>
      </c>
      <c r="E3851" s="2">
        <v>3.029628767E9</v>
      </c>
      <c r="F3851" s="2" t="s">
        <v>15560</v>
      </c>
      <c r="G3851" s="2" t="s">
        <v>368</v>
      </c>
      <c r="H3851" s="2">
        <v>0.0</v>
      </c>
      <c r="J3851" s="3">
        <v>0.0</v>
      </c>
      <c r="K3851" s="2" t="s">
        <v>15561</v>
      </c>
      <c r="L3851" s="2"/>
      <c r="M3851" s="2" t="s">
        <v>468</v>
      </c>
      <c r="N3851" s="2" t="s">
        <v>406</v>
      </c>
      <c r="O3851" s="3"/>
      <c r="Q3851" s="3">
        <v>0.0</v>
      </c>
      <c r="R3851" s="3">
        <v>0.5</v>
      </c>
      <c r="U3851" s="141"/>
      <c r="X3851" s="172"/>
      <c r="Y3851" s="172">
        <v>46101.47708849537</v>
      </c>
      <c r="Z3851" s="3">
        <v>46101.0</v>
      </c>
      <c r="AA3851" s="2" t="s">
        <v>14041</v>
      </c>
    </row>
    <row r="3852">
      <c r="A3852" s="3">
        <v>6.959921889539E12</v>
      </c>
      <c r="B3852" s="2" t="s">
        <v>15562</v>
      </c>
      <c r="C3852" s="2" t="s">
        <v>2848</v>
      </c>
      <c r="D3852" s="169">
        <v>46101.0</v>
      </c>
      <c r="E3852" s="173" t="s">
        <v>15563</v>
      </c>
      <c r="F3852" s="2" t="s">
        <v>15560</v>
      </c>
      <c r="G3852" s="2" t="s">
        <v>368</v>
      </c>
      <c r="H3852" s="2">
        <v>0.0</v>
      </c>
      <c r="J3852" s="3">
        <v>0.0</v>
      </c>
      <c r="K3852" s="2" t="s">
        <v>15564</v>
      </c>
      <c r="L3852" s="2"/>
      <c r="M3852" s="2" t="s">
        <v>468</v>
      </c>
      <c r="N3852" s="2" t="s">
        <v>406</v>
      </c>
      <c r="O3852" s="3"/>
      <c r="Q3852" s="3">
        <v>0.0</v>
      </c>
      <c r="R3852" s="3">
        <v>0.5</v>
      </c>
      <c r="U3852" s="141"/>
      <c r="X3852" s="172"/>
      <c r="Y3852" s="172">
        <v>46101.47708849537</v>
      </c>
      <c r="Z3852" s="3">
        <v>46101.0</v>
      </c>
      <c r="AA3852" s="2" t="s">
        <v>14041</v>
      </c>
    </row>
    <row r="3853">
      <c r="A3853" s="3">
        <v>6.959928639747E12</v>
      </c>
      <c r="B3853" s="2" t="s">
        <v>15565</v>
      </c>
      <c r="C3853" s="2" t="s">
        <v>15566</v>
      </c>
      <c r="D3853" s="169">
        <v>46101.0</v>
      </c>
      <c r="E3853" s="2">
        <v>3.476664068E9</v>
      </c>
      <c r="F3853" s="2" t="s">
        <v>15567</v>
      </c>
      <c r="G3853" s="2" t="s">
        <v>1257</v>
      </c>
      <c r="H3853" s="2">
        <v>249.0</v>
      </c>
      <c r="I3853" s="2">
        <v>2.812005002313E13</v>
      </c>
      <c r="J3853" s="3">
        <v>0.0</v>
      </c>
      <c r="K3853" s="2" t="s">
        <v>15568</v>
      </c>
      <c r="L3853" s="2"/>
      <c r="M3853" s="170" t="s">
        <v>455</v>
      </c>
      <c r="N3853" s="2" t="s">
        <v>406</v>
      </c>
      <c r="O3853" s="3"/>
      <c r="P3853" s="2" t="s">
        <v>73</v>
      </c>
      <c r="Q3853" s="3">
        <v>0.0</v>
      </c>
      <c r="R3853" s="3">
        <v>0.5</v>
      </c>
      <c r="U3853" s="141"/>
      <c r="W3853" s="3">
        <v>243.08</v>
      </c>
      <c r="X3853" s="172">
        <v>46121.080994097225</v>
      </c>
      <c r="Y3853" s="172">
        <v>46101.47708849537</v>
      </c>
      <c r="Z3853" s="3">
        <v>46101.0</v>
      </c>
      <c r="AA3853" s="2" t="s">
        <v>14041</v>
      </c>
    </row>
    <row r="3854">
      <c r="A3854" s="3">
        <v>6.959940075779E12</v>
      </c>
      <c r="B3854" s="2" t="s">
        <v>173</v>
      </c>
      <c r="C3854" s="2" t="s">
        <v>15569</v>
      </c>
      <c r="D3854" s="169">
        <v>46101.0</v>
      </c>
      <c r="E3854" s="2">
        <v>3.007325015E9</v>
      </c>
      <c r="F3854" s="2" t="s">
        <v>15570</v>
      </c>
      <c r="G3854" s="2" t="s">
        <v>541</v>
      </c>
      <c r="H3854" s="2">
        <v>249.0</v>
      </c>
      <c r="I3854" s="2">
        <v>2.9120050023169E13</v>
      </c>
      <c r="J3854" s="3">
        <v>0.0</v>
      </c>
      <c r="K3854" s="2" t="s">
        <v>15308</v>
      </c>
      <c r="L3854" s="2"/>
      <c r="M3854" s="170" t="s">
        <v>455</v>
      </c>
      <c r="N3854" s="2" t="s">
        <v>406</v>
      </c>
      <c r="O3854" s="3"/>
      <c r="P3854" s="2" t="s">
        <v>73</v>
      </c>
      <c r="Q3854" s="3">
        <v>0.0</v>
      </c>
      <c r="R3854" s="3">
        <v>0.5</v>
      </c>
      <c r="U3854" s="141"/>
      <c r="W3854" s="3">
        <v>220.98</v>
      </c>
      <c r="X3854" s="172">
        <v>46129.08097964121</v>
      </c>
      <c r="Y3854" s="172">
        <v>46101.47708849537</v>
      </c>
      <c r="Z3854" s="3">
        <v>46101.0</v>
      </c>
      <c r="AA3854" s="2" t="s">
        <v>14032</v>
      </c>
    </row>
    <row r="3855">
      <c r="A3855" s="3">
        <v>6.959969632515E12</v>
      </c>
      <c r="B3855" s="2" t="s">
        <v>15571</v>
      </c>
      <c r="C3855" s="2" t="s">
        <v>15572</v>
      </c>
      <c r="D3855" s="169">
        <v>46101.0</v>
      </c>
      <c r="E3855" s="2">
        <v>3.084656047E9</v>
      </c>
      <c r="F3855" s="2" t="s">
        <v>15573</v>
      </c>
      <c r="G3855" s="2" t="s">
        <v>15574</v>
      </c>
      <c r="H3855" s="2">
        <v>249.0</v>
      </c>
      <c r="I3855" s="2">
        <v>2.1120050023168E13</v>
      </c>
      <c r="J3855" s="3">
        <v>0.0</v>
      </c>
      <c r="K3855" s="2" t="s">
        <v>15575</v>
      </c>
      <c r="L3855" s="2"/>
      <c r="M3855" s="170" t="s">
        <v>455</v>
      </c>
      <c r="N3855" s="2" t="s">
        <v>406</v>
      </c>
      <c r="O3855" s="3"/>
      <c r="P3855" s="2" t="s">
        <v>73</v>
      </c>
      <c r="Q3855" s="3">
        <v>0.0</v>
      </c>
      <c r="R3855" s="3">
        <v>0.5</v>
      </c>
      <c r="U3855" s="141"/>
      <c r="W3855" s="3">
        <v>243.08</v>
      </c>
      <c r="X3855" s="172">
        <v>46120.08102582176</v>
      </c>
      <c r="Y3855" s="172">
        <v>46101.47708849537</v>
      </c>
      <c r="Z3855" s="3">
        <v>46101.0</v>
      </c>
      <c r="AA3855" s="2" t="s">
        <v>14041</v>
      </c>
    </row>
    <row r="3856">
      <c r="A3856" s="3">
        <v>6.959974449411E12</v>
      </c>
      <c r="B3856" s="2" t="s">
        <v>15576</v>
      </c>
      <c r="C3856" s="2" t="s">
        <v>15577</v>
      </c>
      <c r="D3856" s="169">
        <v>46101.0</v>
      </c>
      <c r="E3856" s="173" t="s">
        <v>15578</v>
      </c>
      <c r="F3856" s="2" t="s">
        <v>15579</v>
      </c>
      <c r="G3856" s="2" t="s">
        <v>493</v>
      </c>
      <c r="H3856" s="2">
        <v>249.0</v>
      </c>
      <c r="I3856" s="2">
        <v>2.1120050022939E13</v>
      </c>
      <c r="J3856" s="3">
        <v>0.0</v>
      </c>
      <c r="K3856" s="2" t="s">
        <v>15580</v>
      </c>
      <c r="L3856" s="2"/>
      <c r="M3856" s="170" t="s">
        <v>455</v>
      </c>
      <c r="N3856" s="2" t="s">
        <v>406</v>
      </c>
      <c r="O3856" s="3"/>
      <c r="P3856" s="2" t="s">
        <v>73</v>
      </c>
      <c r="Q3856" s="3">
        <v>0.0</v>
      </c>
      <c r="R3856" s="3">
        <v>0.5</v>
      </c>
      <c r="U3856" s="141"/>
      <c r="W3856" s="3">
        <v>235.70999999999998</v>
      </c>
      <c r="X3856" s="172">
        <v>46121.080994143515</v>
      </c>
      <c r="Y3856" s="172">
        <v>46101.47708849537</v>
      </c>
      <c r="Z3856" s="3">
        <v>46101.0</v>
      </c>
      <c r="AA3856" s="2" t="s">
        <v>14536</v>
      </c>
    </row>
    <row r="3857">
      <c r="A3857" s="3">
        <v>6.960000991491E12</v>
      </c>
      <c r="B3857" s="2" t="s">
        <v>15581</v>
      </c>
      <c r="C3857" s="2" t="s">
        <v>15582</v>
      </c>
      <c r="D3857" s="169">
        <v>46101.0</v>
      </c>
      <c r="E3857" s="2">
        <v>3.31531404E9</v>
      </c>
      <c r="F3857" s="2" t="s">
        <v>15583</v>
      </c>
      <c r="G3857" s="2" t="s">
        <v>15584</v>
      </c>
      <c r="H3857" s="2">
        <v>2099.0</v>
      </c>
      <c r="I3857" s="2">
        <v>2.0120050023167E13</v>
      </c>
      <c r="J3857" s="3">
        <v>1.0</v>
      </c>
      <c r="K3857" s="2" t="s">
        <v>15118</v>
      </c>
      <c r="L3857" s="2" t="s">
        <v>2154</v>
      </c>
      <c r="M3857" s="2" t="s">
        <v>409</v>
      </c>
      <c r="N3857" s="2" t="s">
        <v>462</v>
      </c>
      <c r="O3857" s="3"/>
      <c r="P3857" s="2" t="s">
        <v>73</v>
      </c>
      <c r="Q3857" s="3">
        <v>490.0</v>
      </c>
      <c r="R3857" s="3">
        <v>0.5</v>
      </c>
      <c r="T3857" s="2" t="s">
        <v>12503</v>
      </c>
      <c r="U3857" s="171">
        <v>2099.0</v>
      </c>
      <c r="V3857" s="172">
        <v>46115.0</v>
      </c>
      <c r="W3857" s="3">
        <v>304.94</v>
      </c>
      <c r="X3857" s="172">
        <v>46114.70778063657</v>
      </c>
      <c r="Y3857" s="172">
        <v>46101.51879412037</v>
      </c>
      <c r="Z3857" s="3">
        <v>46101.0</v>
      </c>
      <c r="AA3857" s="2" t="s">
        <v>14041</v>
      </c>
    </row>
    <row r="3858">
      <c r="A3858" s="3">
        <v>6.960020816131E12</v>
      </c>
      <c r="B3858" s="2" t="s">
        <v>15585</v>
      </c>
      <c r="C3858" s="2" t="s">
        <v>15586</v>
      </c>
      <c r="D3858" s="169">
        <v>46101.0</v>
      </c>
      <c r="E3858" s="173" t="s">
        <v>15587</v>
      </c>
      <c r="F3858" s="2" t="s">
        <v>15588</v>
      </c>
      <c r="G3858" s="2" t="s">
        <v>15589</v>
      </c>
      <c r="H3858" s="2">
        <v>1899.0</v>
      </c>
      <c r="I3858" s="2">
        <v>2.5120050022924E13</v>
      </c>
      <c r="J3858" s="3">
        <v>1.0</v>
      </c>
      <c r="K3858" s="2" t="s">
        <v>15590</v>
      </c>
      <c r="L3858" s="2" t="s">
        <v>2046</v>
      </c>
      <c r="M3858" s="2" t="s">
        <v>409</v>
      </c>
      <c r="N3858" s="2" t="s">
        <v>462</v>
      </c>
      <c r="O3858" s="3"/>
      <c r="P3858" s="2" t="s">
        <v>73</v>
      </c>
      <c r="Q3858" s="3">
        <v>550.0</v>
      </c>
      <c r="R3858" s="3">
        <v>0.5</v>
      </c>
      <c r="T3858" s="2" t="s">
        <v>14037</v>
      </c>
      <c r="U3858" s="171">
        <v>1899.0</v>
      </c>
      <c r="V3858" s="172">
        <v>46112.0</v>
      </c>
      <c r="W3858" s="3">
        <v>297.0</v>
      </c>
      <c r="X3858" s="172">
        <v>46108.83346731482</v>
      </c>
      <c r="Y3858" s="172">
        <v>46101.560445462965</v>
      </c>
      <c r="Z3858" s="3">
        <v>46101.0</v>
      </c>
      <c r="AA3858" s="2" t="s">
        <v>14032</v>
      </c>
    </row>
    <row r="3859">
      <c r="A3859" s="3">
        <v>6.960027533571E12</v>
      </c>
      <c r="B3859" s="2" t="s">
        <v>15591</v>
      </c>
      <c r="C3859" s="2" t="s">
        <v>15592</v>
      </c>
      <c r="D3859" s="169">
        <v>46101.0</v>
      </c>
      <c r="E3859" s="2">
        <v>9.23234087181E11</v>
      </c>
      <c r="F3859" s="2" t="s">
        <v>15593</v>
      </c>
      <c r="G3859" s="2" t="s">
        <v>506</v>
      </c>
      <c r="H3859" s="2">
        <v>249.0</v>
      </c>
      <c r="I3859" s="2">
        <v>2.1120050022923E13</v>
      </c>
      <c r="J3859" s="3">
        <v>0.0</v>
      </c>
      <c r="K3859" s="2" t="s">
        <v>15594</v>
      </c>
      <c r="L3859" s="2"/>
      <c r="M3859" s="170" t="s">
        <v>455</v>
      </c>
      <c r="N3859" s="2" t="s">
        <v>406</v>
      </c>
      <c r="O3859" s="3"/>
      <c r="P3859" s="2" t="s">
        <v>73</v>
      </c>
      <c r="Q3859" s="3">
        <v>0.0</v>
      </c>
      <c r="R3859" s="3">
        <v>0.5</v>
      </c>
      <c r="U3859" s="141"/>
      <c r="W3859" s="3">
        <v>220.98</v>
      </c>
      <c r="X3859" s="172">
        <v>46116.87441979167</v>
      </c>
      <c r="Y3859" s="172">
        <v>46101.560445462965</v>
      </c>
      <c r="Z3859" s="3">
        <v>46101.0</v>
      </c>
      <c r="AA3859" s="2" t="s">
        <v>14041</v>
      </c>
    </row>
    <row r="3860">
      <c r="A3860" s="3">
        <v>6.960068854019E12</v>
      </c>
      <c r="B3860" s="2" t="s">
        <v>15595</v>
      </c>
      <c r="C3860" s="2" t="s">
        <v>15596</v>
      </c>
      <c r="D3860" s="169">
        <v>46101.0</v>
      </c>
      <c r="E3860" s="173" t="s">
        <v>15597</v>
      </c>
      <c r="F3860" s="2" t="s">
        <v>15598</v>
      </c>
      <c r="G3860" s="2" t="s">
        <v>506</v>
      </c>
      <c r="H3860" s="2">
        <v>3348.0</v>
      </c>
      <c r="I3860" s="2">
        <v>2.8120050022922E13</v>
      </c>
      <c r="J3860" s="3">
        <v>2.0</v>
      </c>
      <c r="K3860" s="2" t="s">
        <v>14497</v>
      </c>
      <c r="L3860" s="2" t="s">
        <v>40</v>
      </c>
      <c r="M3860" s="2" t="s">
        <v>409</v>
      </c>
      <c r="N3860" s="2" t="s">
        <v>462</v>
      </c>
      <c r="O3860" s="3"/>
      <c r="P3860" s="2" t="s">
        <v>73</v>
      </c>
      <c r="Q3860" s="3">
        <v>720.0</v>
      </c>
      <c r="R3860" s="3">
        <v>0.5</v>
      </c>
      <c r="T3860" s="2" t="s">
        <v>14037</v>
      </c>
      <c r="U3860" s="171">
        <v>3348.0</v>
      </c>
      <c r="V3860" s="172">
        <v>46112.0</v>
      </c>
      <c r="W3860" s="3">
        <v>355.0</v>
      </c>
      <c r="X3860" s="172">
        <v>46109.74948261574</v>
      </c>
      <c r="Y3860" s="172">
        <v>46101.60210579861</v>
      </c>
      <c r="Z3860" s="3">
        <v>46101.0</v>
      </c>
      <c r="AA3860" s="2" t="s">
        <v>14032</v>
      </c>
    </row>
    <row r="3861">
      <c r="A3861" s="3">
        <v>6.960071475459E12</v>
      </c>
      <c r="B3861" s="2" t="s">
        <v>15599</v>
      </c>
      <c r="C3861" s="2" t="s">
        <v>15600</v>
      </c>
      <c r="D3861" s="169">
        <v>46101.0</v>
      </c>
      <c r="E3861" s="2">
        <v>3.009451784E9</v>
      </c>
      <c r="F3861" s="2" t="s">
        <v>15601</v>
      </c>
      <c r="G3861" s="2" t="s">
        <v>2905</v>
      </c>
      <c r="H3861" s="2">
        <v>249.0</v>
      </c>
      <c r="I3861" s="2">
        <v>2.6120050022921E13</v>
      </c>
      <c r="J3861" s="3">
        <v>0.0</v>
      </c>
      <c r="K3861" s="2" t="s">
        <v>15602</v>
      </c>
      <c r="L3861" s="2"/>
      <c r="M3861" s="170" t="s">
        <v>455</v>
      </c>
      <c r="N3861" s="2" t="s">
        <v>406</v>
      </c>
      <c r="O3861" s="3"/>
      <c r="P3861" s="2" t="s">
        <v>73</v>
      </c>
      <c r="Q3861" s="3">
        <v>0.0</v>
      </c>
      <c r="R3861" s="3">
        <v>0.5</v>
      </c>
      <c r="U3861" s="141"/>
      <c r="W3861" s="3">
        <v>220.98</v>
      </c>
      <c r="X3861" s="172">
        <v>46114.87449282408</v>
      </c>
      <c r="Y3861" s="172">
        <v>46101.60210579861</v>
      </c>
      <c r="Z3861" s="3">
        <v>46101.0</v>
      </c>
      <c r="AA3861" s="2" t="s">
        <v>14032</v>
      </c>
    </row>
    <row r="3862">
      <c r="A3862" s="3">
        <v>6.960086188291E12</v>
      </c>
      <c r="B3862" s="2" t="s">
        <v>15603</v>
      </c>
      <c r="C3862" s="2" t="s">
        <v>15604</v>
      </c>
      <c r="D3862" s="169">
        <v>46101.0</v>
      </c>
      <c r="E3862" s="2">
        <v>3.349603774E9</v>
      </c>
      <c r="F3862" s="2" t="s">
        <v>15605</v>
      </c>
      <c r="G3862" s="2" t="s">
        <v>3305</v>
      </c>
      <c r="H3862" s="2">
        <v>3348.0</v>
      </c>
      <c r="I3862" s="2">
        <v>2.2120050023166E13</v>
      </c>
      <c r="J3862" s="3">
        <v>2.0</v>
      </c>
      <c r="K3862" s="2" t="s">
        <v>13839</v>
      </c>
      <c r="L3862" s="2" t="s">
        <v>27</v>
      </c>
      <c r="M3862" s="2" t="s">
        <v>409</v>
      </c>
      <c r="N3862" s="2" t="s">
        <v>462</v>
      </c>
      <c r="O3862" s="3"/>
      <c r="P3862" s="2" t="s">
        <v>73</v>
      </c>
      <c r="Q3862" s="3">
        <v>720.0</v>
      </c>
      <c r="R3862" s="3">
        <v>0.5</v>
      </c>
      <c r="T3862" s="2" t="s">
        <v>12503</v>
      </c>
      <c r="U3862" s="171">
        <v>3348.0</v>
      </c>
      <c r="V3862" s="172">
        <v>46115.0</v>
      </c>
      <c r="W3862" s="3">
        <v>354.9</v>
      </c>
      <c r="X3862" s="172">
        <v>46114.54119462963</v>
      </c>
      <c r="Y3862" s="172">
        <v>46101.60210579861</v>
      </c>
      <c r="Z3862" s="3">
        <v>46101.0</v>
      </c>
      <c r="AA3862" s="2" t="s">
        <v>14032</v>
      </c>
    </row>
    <row r="3863">
      <c r="A3863" s="3">
        <v>6.960186622211E12</v>
      </c>
      <c r="B3863" s="2" t="s">
        <v>15606</v>
      </c>
      <c r="C3863" s="2" t="s">
        <v>15607</v>
      </c>
      <c r="D3863" s="169">
        <v>46101.0</v>
      </c>
      <c r="E3863" s="2">
        <v>3.000451145E9</v>
      </c>
      <c r="F3863" s="2" t="s">
        <v>15608</v>
      </c>
      <c r="G3863" s="2" t="s">
        <v>368</v>
      </c>
      <c r="H3863" s="2">
        <v>3099.0</v>
      </c>
      <c r="I3863" s="2">
        <v>2.812005002292E13</v>
      </c>
      <c r="J3863" s="3">
        <v>2.0</v>
      </c>
      <c r="K3863" s="2" t="s">
        <v>15443</v>
      </c>
      <c r="L3863" s="2" t="s">
        <v>16</v>
      </c>
      <c r="M3863" s="2" t="s">
        <v>409</v>
      </c>
      <c r="N3863" s="2" t="s">
        <v>462</v>
      </c>
      <c r="O3863" s="3"/>
      <c r="P3863" s="2" t="s">
        <v>73</v>
      </c>
      <c r="Q3863" s="3">
        <v>980.0</v>
      </c>
      <c r="R3863" s="3">
        <v>0.5</v>
      </c>
      <c r="T3863" s="2" t="s">
        <v>14037</v>
      </c>
      <c r="U3863" s="171">
        <v>3099.0</v>
      </c>
      <c r="V3863" s="172">
        <v>46112.0</v>
      </c>
      <c r="W3863" s="3">
        <v>242.0</v>
      </c>
      <c r="X3863" s="172">
        <v>46108.66613189815</v>
      </c>
      <c r="Y3863" s="172">
        <v>46101.68549002315</v>
      </c>
      <c r="Z3863" s="3">
        <v>46101.0</v>
      </c>
      <c r="AA3863" s="2" t="s">
        <v>14032</v>
      </c>
    </row>
    <row r="3864">
      <c r="A3864" s="3">
        <v>6.960195141891E12</v>
      </c>
      <c r="B3864" s="2" t="s">
        <v>15609</v>
      </c>
      <c r="C3864" s="2" t="s">
        <v>15610</v>
      </c>
      <c r="D3864" s="169">
        <v>46101.0</v>
      </c>
      <c r="E3864" s="2">
        <v>3.154569771E9</v>
      </c>
      <c r="F3864" s="2" t="s">
        <v>15611</v>
      </c>
      <c r="G3864" s="2" t="s">
        <v>855</v>
      </c>
      <c r="H3864" s="2">
        <v>249.0</v>
      </c>
      <c r="I3864" s="2">
        <v>2.0120050022919E13</v>
      </c>
      <c r="J3864" s="3">
        <v>0.0</v>
      </c>
      <c r="K3864" s="2" t="s">
        <v>15612</v>
      </c>
      <c r="L3864" s="2"/>
      <c r="M3864" s="170" t="s">
        <v>455</v>
      </c>
      <c r="N3864" s="2" t="s">
        <v>406</v>
      </c>
      <c r="O3864" s="3"/>
      <c r="P3864" s="2" t="s">
        <v>73</v>
      </c>
      <c r="Q3864" s="3">
        <v>0.0</v>
      </c>
      <c r="R3864" s="3">
        <v>0.5</v>
      </c>
      <c r="U3864" s="141"/>
      <c r="W3864" s="3">
        <v>220.98</v>
      </c>
      <c r="X3864" s="172">
        <v>46121.080994143515</v>
      </c>
      <c r="Y3864" s="172">
        <v>46101.68549002315</v>
      </c>
      <c r="Z3864" s="3">
        <v>46101.0</v>
      </c>
      <c r="AA3864" s="2" t="s">
        <v>14022</v>
      </c>
    </row>
    <row r="3865">
      <c r="A3865" s="3">
        <v>6.960197140739E12</v>
      </c>
      <c r="B3865" s="2" t="s">
        <v>15613</v>
      </c>
      <c r="C3865" s="2" t="s">
        <v>15614</v>
      </c>
      <c r="D3865" s="169">
        <v>46101.0</v>
      </c>
      <c r="E3865" s="2">
        <v>3.004789762E9</v>
      </c>
      <c r="F3865" s="2" t="s">
        <v>15615</v>
      </c>
      <c r="G3865" s="2" t="s">
        <v>374</v>
      </c>
      <c r="H3865" s="2">
        <v>3499.0</v>
      </c>
      <c r="I3865" s="2">
        <v>2.4120050022918E13</v>
      </c>
      <c r="J3865" s="3">
        <v>2.0</v>
      </c>
      <c r="K3865" s="2" t="s">
        <v>15616</v>
      </c>
      <c r="L3865" s="2" t="s">
        <v>40</v>
      </c>
      <c r="M3865" s="2" t="s">
        <v>409</v>
      </c>
      <c r="N3865" s="2" t="s">
        <v>462</v>
      </c>
      <c r="O3865" s="3"/>
      <c r="P3865" s="2" t="s">
        <v>73</v>
      </c>
      <c r="Q3865" s="3">
        <v>720.0</v>
      </c>
      <c r="R3865" s="3">
        <v>0.5</v>
      </c>
      <c r="T3865" s="2" t="s">
        <v>14037</v>
      </c>
      <c r="U3865" s="171">
        <v>3499.0</v>
      </c>
      <c r="V3865" s="172">
        <v>46112.0</v>
      </c>
      <c r="W3865" s="3">
        <v>361.0</v>
      </c>
      <c r="X3865" s="172">
        <v>46111.582818888885</v>
      </c>
      <c r="Y3865" s="172">
        <v>46101.72713396991</v>
      </c>
      <c r="Z3865" s="3">
        <v>46101.0</v>
      </c>
      <c r="AA3865" s="2" t="s">
        <v>14103</v>
      </c>
    </row>
    <row r="3866">
      <c r="A3866" s="3">
        <v>6.960275357955E12</v>
      </c>
      <c r="B3866" s="2" t="s">
        <v>15617</v>
      </c>
      <c r="C3866" s="2" t="s">
        <v>15618</v>
      </c>
      <c r="D3866" s="169">
        <v>46101.0</v>
      </c>
      <c r="E3866" s="2">
        <v>3.138445647E9</v>
      </c>
      <c r="F3866" s="2" t="s">
        <v>15619</v>
      </c>
      <c r="G3866" s="2" t="s">
        <v>15620</v>
      </c>
      <c r="H3866" s="2">
        <v>0.0</v>
      </c>
      <c r="J3866" s="3">
        <v>0.0</v>
      </c>
      <c r="K3866" s="2" t="s">
        <v>15621</v>
      </c>
      <c r="L3866" s="2"/>
      <c r="M3866" s="2" t="s">
        <v>468</v>
      </c>
      <c r="N3866" s="2" t="s">
        <v>406</v>
      </c>
      <c r="O3866" s="3"/>
      <c r="Q3866" s="3">
        <v>0.0</v>
      </c>
      <c r="R3866" s="3">
        <v>0.5</v>
      </c>
      <c r="U3866" s="141"/>
      <c r="X3866" s="172"/>
      <c r="Y3866" s="172">
        <v>46101.768801909726</v>
      </c>
      <c r="Z3866" s="3">
        <v>46101.0</v>
      </c>
      <c r="AA3866" s="2" t="s">
        <v>14022</v>
      </c>
    </row>
    <row r="3867">
      <c r="A3867" s="3">
        <v>6.960294592771E12</v>
      </c>
      <c r="B3867" s="2" t="s">
        <v>15622</v>
      </c>
      <c r="C3867" s="2" t="s">
        <v>15623</v>
      </c>
      <c r="D3867" s="169">
        <v>46101.0</v>
      </c>
      <c r="E3867" s="2">
        <v>3.234492504E9</v>
      </c>
      <c r="F3867" s="2" t="s">
        <v>15624</v>
      </c>
      <c r="G3867" s="2" t="s">
        <v>1257</v>
      </c>
      <c r="H3867" s="2">
        <v>249.0</v>
      </c>
      <c r="I3867" s="2">
        <v>2.5120050022917E13</v>
      </c>
      <c r="J3867" s="3">
        <v>0.0</v>
      </c>
      <c r="K3867" s="2" t="s">
        <v>15602</v>
      </c>
      <c r="L3867" s="2"/>
      <c r="M3867" s="170" t="s">
        <v>455</v>
      </c>
      <c r="N3867" s="2" t="s">
        <v>406</v>
      </c>
      <c r="O3867" s="3"/>
      <c r="P3867" s="2" t="s">
        <v>73</v>
      </c>
      <c r="Q3867" s="3">
        <v>0.0</v>
      </c>
      <c r="R3867" s="3">
        <v>0.5</v>
      </c>
      <c r="U3867" s="141"/>
      <c r="W3867" s="3">
        <v>220.98</v>
      </c>
      <c r="X3867" s="172">
        <v>46114.874493599535</v>
      </c>
      <c r="Y3867" s="172">
        <v>46101.81045322916</v>
      </c>
      <c r="Z3867" s="3">
        <v>46101.0</v>
      </c>
      <c r="AA3867" s="2" t="s">
        <v>14103</v>
      </c>
    </row>
    <row r="3868">
      <c r="A3868" s="3">
        <v>6.960361472259E12</v>
      </c>
      <c r="B3868" s="2" t="s">
        <v>15625</v>
      </c>
      <c r="C3868" s="2" t="s">
        <v>15626</v>
      </c>
      <c r="D3868" s="169">
        <v>46101.0</v>
      </c>
      <c r="E3868" s="2">
        <v>3.341224998E9</v>
      </c>
      <c r="F3868" s="2" t="s">
        <v>15627</v>
      </c>
      <c r="G3868" s="2" t="s">
        <v>1044</v>
      </c>
      <c r="H3868" s="2">
        <v>3099.0</v>
      </c>
      <c r="I3868" s="2">
        <v>2.2120050022916E13</v>
      </c>
      <c r="J3868" s="3">
        <v>2.0</v>
      </c>
      <c r="K3868" s="2" t="s">
        <v>15443</v>
      </c>
      <c r="L3868" s="2" t="s">
        <v>35</v>
      </c>
      <c r="M3868" s="2" t="s">
        <v>409</v>
      </c>
      <c r="N3868" s="2" t="s">
        <v>462</v>
      </c>
      <c r="O3868" s="3"/>
      <c r="P3868" s="2" t="s">
        <v>73</v>
      </c>
      <c r="Q3868" s="3">
        <v>980.0</v>
      </c>
      <c r="R3868" s="3">
        <v>0.5</v>
      </c>
      <c r="T3868" s="2" t="s">
        <v>14037</v>
      </c>
      <c r="U3868" s="171">
        <v>3099.0</v>
      </c>
      <c r="V3868" s="172">
        <v>46112.0</v>
      </c>
      <c r="W3868" s="3">
        <v>345.0</v>
      </c>
      <c r="X3868" s="172">
        <v>46109.624372488426</v>
      </c>
      <c r="Y3868" s="172">
        <v>46101.81045322916</v>
      </c>
      <c r="Z3868" s="3">
        <v>46101.0</v>
      </c>
      <c r="AA3868" s="2" t="s">
        <v>14032</v>
      </c>
    </row>
    <row r="3869">
      <c r="A3869" s="3">
        <v>6.960379199747E12</v>
      </c>
      <c r="B3869" s="2" t="s">
        <v>15628</v>
      </c>
      <c r="C3869" s="2" t="s">
        <v>15629</v>
      </c>
      <c r="D3869" s="169">
        <v>46101.0</v>
      </c>
      <c r="E3869" s="2">
        <v>3.03932752E9</v>
      </c>
      <c r="F3869" s="2" t="s">
        <v>15630</v>
      </c>
      <c r="G3869" s="2" t="s">
        <v>688</v>
      </c>
      <c r="H3869" s="2">
        <v>0.0</v>
      </c>
      <c r="J3869" s="3">
        <v>0.0</v>
      </c>
      <c r="K3869" s="2" t="s">
        <v>15631</v>
      </c>
      <c r="L3869" s="2"/>
      <c r="M3869" s="2" t="s">
        <v>468</v>
      </c>
      <c r="N3869" s="2" t="s">
        <v>406</v>
      </c>
      <c r="O3869" s="3"/>
      <c r="Q3869" s="3">
        <v>0.0</v>
      </c>
      <c r="R3869" s="3">
        <v>0.5</v>
      </c>
      <c r="U3869" s="141"/>
      <c r="X3869" s="172"/>
      <c r="Y3869" s="172">
        <v>46101.85209726852</v>
      </c>
      <c r="Z3869" s="3">
        <v>46101.0</v>
      </c>
      <c r="AA3869" s="2" t="s">
        <v>14032</v>
      </c>
    </row>
    <row r="3870">
      <c r="A3870" s="3">
        <v>6.960490152195E12</v>
      </c>
      <c r="B3870" s="2" t="s">
        <v>15632</v>
      </c>
      <c r="C3870" s="2" t="s">
        <v>14826</v>
      </c>
      <c r="D3870" s="169">
        <v>46101.0</v>
      </c>
      <c r="E3870" s="2">
        <v>3.348548063E9</v>
      </c>
      <c r="F3870" s="2" t="s">
        <v>4590</v>
      </c>
      <c r="G3870" s="2" t="s">
        <v>4591</v>
      </c>
      <c r="H3870" s="2">
        <v>0.0</v>
      </c>
      <c r="J3870" s="3">
        <v>0.0</v>
      </c>
      <c r="K3870" s="2" t="s">
        <v>7954</v>
      </c>
      <c r="L3870" s="2"/>
      <c r="M3870" s="2" t="s">
        <v>468</v>
      </c>
      <c r="N3870" s="2" t="s">
        <v>406</v>
      </c>
      <c r="O3870" s="3"/>
      <c r="Q3870" s="3">
        <v>0.0</v>
      </c>
      <c r="R3870" s="3">
        <v>0.5</v>
      </c>
      <c r="U3870" s="141"/>
      <c r="X3870" s="172"/>
      <c r="Y3870" s="172">
        <v>46101.893754432866</v>
      </c>
      <c r="Z3870" s="3">
        <v>46101.0</v>
      </c>
      <c r="AA3870" s="2" t="s">
        <v>14032</v>
      </c>
    </row>
    <row r="3871">
      <c r="A3871" s="3">
        <v>6.960548184323E12</v>
      </c>
      <c r="B3871" s="2" t="s">
        <v>15633</v>
      </c>
      <c r="C3871" s="2" t="s">
        <v>15634</v>
      </c>
      <c r="D3871" s="169">
        <v>46101.0</v>
      </c>
      <c r="E3871" s="2">
        <v>3.239424394E9</v>
      </c>
      <c r="F3871" s="2" t="s">
        <v>15635</v>
      </c>
      <c r="G3871" s="2" t="s">
        <v>15636</v>
      </c>
      <c r="H3871" s="2">
        <v>249.0</v>
      </c>
      <c r="I3871" s="2" t="s">
        <v>15637</v>
      </c>
      <c r="J3871" s="3">
        <v>0.0</v>
      </c>
      <c r="L3871" s="2"/>
      <c r="M3871" s="170" t="s">
        <v>455</v>
      </c>
      <c r="N3871" s="2" t="s">
        <v>406</v>
      </c>
      <c r="O3871" s="3"/>
      <c r="P3871" s="2" t="s">
        <v>640</v>
      </c>
      <c r="Q3871" s="3">
        <v>0.0</v>
      </c>
      <c r="R3871" s="3">
        <v>0.5</v>
      </c>
      <c r="U3871" s="141"/>
      <c r="X3871" s="172">
        <v>46130.08269431713</v>
      </c>
      <c r="Y3871" s="172">
        <v>46101.93543175926</v>
      </c>
      <c r="Z3871" s="3">
        <v>46101.0</v>
      </c>
      <c r="AA3871" s="2" t="s">
        <v>14041</v>
      </c>
    </row>
    <row r="3872">
      <c r="A3872" s="3">
        <v>6.960666837251E12</v>
      </c>
      <c r="B3872" s="2" t="s">
        <v>15638</v>
      </c>
      <c r="C3872" s="2" t="s">
        <v>15639</v>
      </c>
      <c r="D3872" s="169">
        <v>46101.0</v>
      </c>
      <c r="E3872" s="173" t="s">
        <v>15640</v>
      </c>
      <c r="F3872" s="2" t="s">
        <v>15641</v>
      </c>
      <c r="G3872" s="2" t="s">
        <v>4425</v>
      </c>
      <c r="H3872" s="2">
        <v>3348.0</v>
      </c>
      <c r="I3872" s="2">
        <v>2.4120050022915E13</v>
      </c>
      <c r="J3872" s="3">
        <v>2.0</v>
      </c>
      <c r="K3872" s="2" t="s">
        <v>14497</v>
      </c>
      <c r="L3872" s="2" t="s">
        <v>234</v>
      </c>
      <c r="M3872" s="2" t="s">
        <v>409</v>
      </c>
      <c r="N3872" s="2" t="s">
        <v>462</v>
      </c>
      <c r="O3872" s="3"/>
      <c r="P3872" s="2" t="s">
        <v>73</v>
      </c>
      <c r="Q3872" s="3">
        <v>800.0</v>
      </c>
      <c r="R3872" s="3">
        <v>0.5</v>
      </c>
      <c r="T3872" s="2" t="s">
        <v>14037</v>
      </c>
      <c r="U3872" s="171">
        <v>3348.0</v>
      </c>
      <c r="V3872" s="172">
        <v>46112.0</v>
      </c>
      <c r="W3872" s="3">
        <v>370.0</v>
      </c>
      <c r="X3872" s="172">
        <v>46111.52108335648</v>
      </c>
      <c r="Y3872" s="172">
        <v>46102.01879613426</v>
      </c>
      <c r="Z3872" s="3">
        <v>46101.0</v>
      </c>
      <c r="AA3872" s="2" t="s">
        <v>14103</v>
      </c>
    </row>
    <row r="3873">
      <c r="A3873" s="3">
        <v>6.960820191491E12</v>
      </c>
      <c r="B3873" s="2" t="s">
        <v>15642</v>
      </c>
      <c r="C3873" s="2" t="s">
        <v>13029</v>
      </c>
      <c r="D3873" s="169">
        <v>46102.0</v>
      </c>
      <c r="E3873" s="173" t="s">
        <v>15643</v>
      </c>
      <c r="F3873" s="2" t="s">
        <v>13030</v>
      </c>
      <c r="G3873" s="2" t="s">
        <v>368</v>
      </c>
      <c r="H3873" s="2">
        <v>4749.0</v>
      </c>
      <c r="I3873" s="2">
        <v>2.7120050022958E13</v>
      </c>
      <c r="J3873" s="3">
        <v>3.0</v>
      </c>
      <c r="K3873" s="2" t="s">
        <v>15644</v>
      </c>
      <c r="L3873" s="2" t="s">
        <v>15645</v>
      </c>
      <c r="M3873" s="2" t="s">
        <v>409</v>
      </c>
      <c r="N3873" s="2" t="s">
        <v>462</v>
      </c>
      <c r="O3873" s="3"/>
      <c r="P3873" s="2" t="s">
        <v>73</v>
      </c>
      <c r="Q3873" s="3">
        <v>1650.0</v>
      </c>
      <c r="R3873" s="3">
        <v>0.5</v>
      </c>
      <c r="T3873" s="2" t="s">
        <v>14037</v>
      </c>
      <c r="U3873" s="171">
        <v>4749.0</v>
      </c>
      <c r="V3873" s="172">
        <v>46112.0</v>
      </c>
      <c r="W3873" s="3">
        <v>323.0</v>
      </c>
      <c r="X3873" s="172">
        <v>46111.749495509255</v>
      </c>
      <c r="Y3873" s="172">
        <v>46102.102101446755</v>
      </c>
      <c r="Z3873" s="3">
        <v>46102.0</v>
      </c>
      <c r="AA3873" s="2" t="s">
        <v>14032</v>
      </c>
    </row>
    <row r="3874">
      <c r="A3874" s="3">
        <v>6.960837034243E12</v>
      </c>
      <c r="B3874" s="2" t="s">
        <v>15646</v>
      </c>
      <c r="C3874" s="2" t="s">
        <v>15647</v>
      </c>
      <c r="D3874" s="169">
        <v>46102.0</v>
      </c>
      <c r="E3874" s="2">
        <v>3.364555699E9</v>
      </c>
      <c r="F3874" s="2" t="s">
        <v>15648</v>
      </c>
      <c r="G3874" s="2" t="s">
        <v>368</v>
      </c>
      <c r="H3874" s="2">
        <v>3499.0</v>
      </c>
      <c r="I3874" s="2">
        <v>2.2120050022914E13</v>
      </c>
      <c r="J3874" s="3">
        <v>2.0</v>
      </c>
      <c r="K3874" s="2" t="s">
        <v>15616</v>
      </c>
      <c r="L3874" s="2" t="s">
        <v>1258</v>
      </c>
      <c r="M3874" s="2" t="s">
        <v>409</v>
      </c>
      <c r="N3874" s="2" t="s">
        <v>462</v>
      </c>
      <c r="O3874" s="3"/>
      <c r="P3874" s="2" t="s">
        <v>73</v>
      </c>
      <c r="Q3874" s="3">
        <v>800.0</v>
      </c>
      <c r="R3874" s="3">
        <v>0.5</v>
      </c>
      <c r="T3874" s="2" t="s">
        <v>14037</v>
      </c>
      <c r="U3874" s="171">
        <v>3499.0</v>
      </c>
      <c r="V3874" s="172">
        <v>46112.0</v>
      </c>
      <c r="W3874" s="3">
        <v>258.0</v>
      </c>
      <c r="X3874" s="172">
        <v>46108.70784587963</v>
      </c>
      <c r="Y3874" s="172">
        <v>46102.102101446755</v>
      </c>
      <c r="Z3874" s="3">
        <v>46102.0</v>
      </c>
      <c r="AA3874" s="2" t="s">
        <v>14053</v>
      </c>
    </row>
    <row r="3875">
      <c r="A3875" s="3">
        <v>6.960840245507E12</v>
      </c>
      <c r="B3875" s="2" t="s">
        <v>15649</v>
      </c>
      <c r="C3875" s="2" t="s">
        <v>15650</v>
      </c>
      <c r="D3875" s="169">
        <v>46102.0</v>
      </c>
      <c r="E3875" s="2">
        <v>3.009413742E9</v>
      </c>
      <c r="F3875" s="2" t="s">
        <v>15651</v>
      </c>
      <c r="G3875" s="2" t="s">
        <v>541</v>
      </c>
      <c r="H3875" s="2">
        <v>249.0</v>
      </c>
      <c r="I3875" s="2" t="s">
        <v>15652</v>
      </c>
      <c r="J3875" s="3">
        <v>0.0</v>
      </c>
      <c r="K3875" s="2" t="s">
        <v>15653</v>
      </c>
      <c r="L3875" s="2"/>
      <c r="M3875" s="170" t="s">
        <v>455</v>
      </c>
      <c r="N3875" s="2" t="s">
        <v>406</v>
      </c>
      <c r="O3875" s="3"/>
      <c r="P3875" s="2" t="s">
        <v>640</v>
      </c>
      <c r="Q3875" s="3">
        <v>0.0</v>
      </c>
      <c r="R3875" s="3">
        <v>0.5</v>
      </c>
      <c r="U3875" s="141"/>
      <c r="X3875" s="172">
        <v>46122.08288851852</v>
      </c>
      <c r="Y3875" s="172">
        <v>46102.102101446755</v>
      </c>
      <c r="Z3875" s="3">
        <v>46102.0</v>
      </c>
      <c r="AA3875" s="2" t="s">
        <v>14032</v>
      </c>
    </row>
    <row r="3876">
      <c r="A3876" s="3">
        <v>6.960871342339E12</v>
      </c>
      <c r="B3876" s="2" t="s">
        <v>15654</v>
      </c>
      <c r="C3876" s="2" t="s">
        <v>15655</v>
      </c>
      <c r="D3876" s="169">
        <v>46102.0</v>
      </c>
      <c r="E3876" s="173" t="s">
        <v>15656</v>
      </c>
      <c r="F3876" s="2" t="s">
        <v>15657</v>
      </c>
      <c r="G3876" s="2" t="s">
        <v>493</v>
      </c>
      <c r="H3876" s="2">
        <v>3299.0</v>
      </c>
      <c r="I3876" s="2">
        <v>402001.0</v>
      </c>
      <c r="J3876" s="3">
        <v>1.0</v>
      </c>
      <c r="K3876" s="2" t="s">
        <v>204</v>
      </c>
      <c r="L3876" s="2" t="s">
        <v>3455</v>
      </c>
      <c r="M3876" s="2" t="s">
        <v>409</v>
      </c>
      <c r="N3876" s="2" t="s">
        <v>406</v>
      </c>
      <c r="O3876" s="3"/>
      <c r="P3876" s="2" t="s">
        <v>11478</v>
      </c>
      <c r="Q3876" s="3">
        <v>1400.0</v>
      </c>
      <c r="R3876" s="3">
        <v>0.5</v>
      </c>
      <c r="U3876" s="141"/>
      <c r="X3876" s="172">
        <v>46119.082852384265</v>
      </c>
      <c r="Y3876" s="172">
        <v>46102.1437777199</v>
      </c>
      <c r="Z3876" s="3">
        <v>46102.0</v>
      </c>
      <c r="AA3876" s="2" t="s">
        <v>14032</v>
      </c>
    </row>
    <row r="3877">
      <c r="A3877" s="3">
        <v>6.960898900227E12</v>
      </c>
      <c r="B3877" s="2" t="s">
        <v>15658</v>
      </c>
      <c r="C3877" s="2" t="s">
        <v>15659</v>
      </c>
      <c r="D3877" s="169">
        <v>46102.0</v>
      </c>
      <c r="E3877" s="2">
        <v>3.218655216E9</v>
      </c>
      <c r="F3877" s="2" t="s">
        <v>15660</v>
      </c>
      <c r="G3877" s="2" t="s">
        <v>374</v>
      </c>
      <c r="H3877" s="2">
        <v>0.0</v>
      </c>
      <c r="J3877" s="3">
        <v>0.0</v>
      </c>
      <c r="K3877" s="2" t="s">
        <v>15661</v>
      </c>
      <c r="L3877" s="2"/>
      <c r="M3877" s="2" t="s">
        <v>468</v>
      </c>
      <c r="N3877" s="2" t="s">
        <v>406</v>
      </c>
      <c r="O3877" s="3"/>
      <c r="Q3877" s="3">
        <v>0.0</v>
      </c>
      <c r="R3877" s="3">
        <v>0.5</v>
      </c>
      <c r="U3877" s="141"/>
      <c r="X3877" s="172"/>
      <c r="Y3877" s="172">
        <v>46102.1437777199</v>
      </c>
      <c r="Z3877" s="3">
        <v>46102.0</v>
      </c>
      <c r="AA3877" s="2" t="s">
        <v>14032</v>
      </c>
    </row>
    <row r="3878">
      <c r="A3878" s="3">
        <v>6.961117102339E12</v>
      </c>
      <c r="B3878" s="2" t="s">
        <v>15662</v>
      </c>
      <c r="C3878" s="2" t="s">
        <v>15663</v>
      </c>
      <c r="D3878" s="169">
        <v>46102.0</v>
      </c>
      <c r="E3878" s="173" t="s">
        <v>15664</v>
      </c>
      <c r="F3878" s="2" t="s">
        <v>15665</v>
      </c>
      <c r="G3878" s="2" t="s">
        <v>925</v>
      </c>
      <c r="H3878" s="2">
        <v>0.0</v>
      </c>
      <c r="J3878" s="3">
        <v>0.0</v>
      </c>
      <c r="K3878" s="2" t="s">
        <v>7833</v>
      </c>
      <c r="L3878" s="2"/>
      <c r="M3878" s="2" t="s">
        <v>468</v>
      </c>
      <c r="N3878" s="2" t="s">
        <v>406</v>
      </c>
      <c r="O3878" s="3"/>
      <c r="Q3878" s="3">
        <v>0.0</v>
      </c>
      <c r="R3878" s="3">
        <v>0.5</v>
      </c>
      <c r="U3878" s="141"/>
      <c r="X3878" s="172"/>
      <c r="Y3878" s="172">
        <v>46102.31044173611</v>
      </c>
      <c r="Z3878" s="3">
        <v>46102.0</v>
      </c>
      <c r="AA3878" s="2" t="s">
        <v>14032</v>
      </c>
    </row>
    <row r="3879">
      <c r="A3879" s="3">
        <v>6.961145053443E12</v>
      </c>
      <c r="B3879" s="2" t="s">
        <v>15666</v>
      </c>
      <c r="C3879" s="2" t="s">
        <v>15667</v>
      </c>
      <c r="D3879" s="169">
        <v>46102.0</v>
      </c>
      <c r="E3879" s="2">
        <v>3.403232974E9</v>
      </c>
      <c r="F3879" s="2" t="s">
        <v>15668</v>
      </c>
      <c r="G3879" s="2" t="s">
        <v>15669</v>
      </c>
      <c r="H3879" s="2">
        <v>249.0</v>
      </c>
      <c r="I3879" s="2">
        <v>2.3120050023001E13</v>
      </c>
      <c r="J3879" s="3">
        <v>0.0</v>
      </c>
      <c r="K3879" s="2" t="s">
        <v>15287</v>
      </c>
      <c r="L3879" s="2"/>
      <c r="M3879" s="170" t="s">
        <v>455</v>
      </c>
      <c r="N3879" s="2" t="s">
        <v>406</v>
      </c>
      <c r="O3879" s="3"/>
      <c r="P3879" s="2" t="s">
        <v>73</v>
      </c>
      <c r="Q3879" s="3">
        <v>0.0</v>
      </c>
      <c r="R3879" s="3">
        <v>0.5</v>
      </c>
      <c r="U3879" s="141"/>
      <c r="W3879" s="3">
        <v>235.70999999999998</v>
      </c>
      <c r="X3879" s="172">
        <v>46122.08106643519</v>
      </c>
      <c r="Y3879" s="172">
        <v>46102.35209813657</v>
      </c>
      <c r="Z3879" s="3">
        <v>46102.0</v>
      </c>
      <c r="AA3879" s="2" t="s">
        <v>14032</v>
      </c>
    </row>
    <row r="3880">
      <c r="A3880" s="3">
        <v>6.961262461187E12</v>
      </c>
      <c r="B3880" s="2" t="s">
        <v>15670</v>
      </c>
      <c r="C3880" s="2" t="s">
        <v>6242</v>
      </c>
      <c r="D3880" s="169">
        <v>46102.0</v>
      </c>
      <c r="E3880" s="2">
        <v>3.062379313E9</v>
      </c>
      <c r="F3880" s="2" t="s">
        <v>15671</v>
      </c>
      <c r="G3880" s="2" t="s">
        <v>506</v>
      </c>
      <c r="H3880" s="2">
        <v>4947.0</v>
      </c>
      <c r="I3880" s="2">
        <v>2.8120050022913E13</v>
      </c>
      <c r="J3880" s="3">
        <v>3.0</v>
      </c>
      <c r="K3880" s="2" t="s">
        <v>15672</v>
      </c>
      <c r="L3880" s="2" t="s">
        <v>15673</v>
      </c>
      <c r="M3880" s="2" t="s">
        <v>409</v>
      </c>
      <c r="N3880" s="2" t="s">
        <v>462</v>
      </c>
      <c r="O3880" s="3"/>
      <c r="P3880" s="2" t="s">
        <v>73</v>
      </c>
      <c r="Q3880" s="3">
        <v>1370.0</v>
      </c>
      <c r="R3880" s="3">
        <v>0.5</v>
      </c>
      <c r="T3880" s="2" t="s">
        <v>14037</v>
      </c>
      <c r="U3880" s="171">
        <v>4947.0</v>
      </c>
      <c r="V3880" s="172">
        <v>46112.0</v>
      </c>
      <c r="W3880" s="3">
        <v>441.0</v>
      </c>
      <c r="X3880" s="172">
        <v>46109.87439157408</v>
      </c>
      <c r="Y3880" s="172">
        <v>46102.47712800926</v>
      </c>
      <c r="Z3880" s="3">
        <v>46102.0</v>
      </c>
      <c r="AA3880" s="2" t="s">
        <v>14032</v>
      </c>
    </row>
    <row r="3881">
      <c r="A3881" s="3">
        <v>6.961262493955E12</v>
      </c>
      <c r="B3881" s="2" t="s">
        <v>15674</v>
      </c>
      <c r="C3881" s="2" t="s">
        <v>15675</v>
      </c>
      <c r="D3881" s="169">
        <v>46102.0</v>
      </c>
      <c r="E3881" s="173" t="s">
        <v>15676</v>
      </c>
      <c r="F3881" s="2" t="s">
        <v>15677</v>
      </c>
      <c r="G3881" s="2" t="s">
        <v>1180</v>
      </c>
      <c r="H3881" s="2">
        <v>249.0</v>
      </c>
      <c r="I3881" s="2" t="s">
        <v>15678</v>
      </c>
      <c r="J3881" s="3">
        <v>0.0</v>
      </c>
      <c r="K3881" s="2" t="s">
        <v>204</v>
      </c>
      <c r="L3881" s="2"/>
      <c r="M3881" s="170" t="s">
        <v>455</v>
      </c>
      <c r="N3881" s="2" t="s">
        <v>406</v>
      </c>
      <c r="O3881" s="3"/>
      <c r="P3881" s="2" t="s">
        <v>640</v>
      </c>
      <c r="Q3881" s="3">
        <v>0.0</v>
      </c>
      <c r="R3881" s="3">
        <v>0.5</v>
      </c>
      <c r="U3881" s="141"/>
      <c r="X3881" s="172">
        <v>46130.08269434028</v>
      </c>
      <c r="Y3881" s="172">
        <v>46102.47712800926</v>
      </c>
      <c r="Z3881" s="3">
        <v>46102.0</v>
      </c>
      <c r="AA3881" s="2" t="s">
        <v>14041</v>
      </c>
    </row>
    <row r="3882">
      <c r="A3882" s="3">
        <v>6.961306665219E12</v>
      </c>
      <c r="B3882" s="2" t="s">
        <v>15679</v>
      </c>
      <c r="C3882" s="2" t="s">
        <v>222</v>
      </c>
      <c r="D3882" s="169">
        <v>46102.0</v>
      </c>
      <c r="E3882" s="2">
        <v>3.175669996E9</v>
      </c>
      <c r="F3882" s="2" t="s">
        <v>15680</v>
      </c>
      <c r="G3882" s="2" t="s">
        <v>15681</v>
      </c>
      <c r="H3882" s="2">
        <v>3348.0</v>
      </c>
      <c r="I3882" s="2">
        <v>2.5120050023E13</v>
      </c>
      <c r="J3882" s="3">
        <v>2.0</v>
      </c>
      <c r="K3882" s="2" t="s">
        <v>223</v>
      </c>
      <c r="L3882" s="2" t="s">
        <v>27</v>
      </c>
      <c r="M3882" s="2" t="s">
        <v>14076</v>
      </c>
      <c r="N3882" s="2" t="s">
        <v>406</v>
      </c>
      <c r="O3882" s="3"/>
      <c r="P3882" s="2" t="s">
        <v>73</v>
      </c>
      <c r="Q3882" s="3">
        <v>720.0</v>
      </c>
      <c r="R3882" s="3">
        <v>0.5</v>
      </c>
      <c r="U3882" s="141"/>
      <c r="X3882" s="172">
        <v>46122.08106645833</v>
      </c>
      <c r="Y3882" s="172">
        <v>46102.47712800926</v>
      </c>
      <c r="Z3882" s="3">
        <v>46102.0</v>
      </c>
      <c r="AA3882" s="2" t="s">
        <v>14032</v>
      </c>
    </row>
    <row r="3883">
      <c r="A3883" s="3">
        <v>6.961322164483E12</v>
      </c>
      <c r="B3883" s="2" t="s">
        <v>15682</v>
      </c>
      <c r="C3883" s="2" t="s">
        <v>15683</v>
      </c>
      <c r="D3883" s="169">
        <v>46102.0</v>
      </c>
      <c r="E3883" s="2">
        <v>3.333030505E9</v>
      </c>
      <c r="F3883" s="2" t="s">
        <v>15684</v>
      </c>
      <c r="G3883" s="2" t="s">
        <v>493</v>
      </c>
      <c r="H3883" s="2">
        <v>249.0</v>
      </c>
      <c r="I3883" s="2">
        <v>2.5120050022912E13</v>
      </c>
      <c r="J3883" s="3">
        <v>0.0</v>
      </c>
      <c r="K3883" s="2" t="s">
        <v>15685</v>
      </c>
      <c r="L3883" s="2"/>
      <c r="M3883" s="170" t="s">
        <v>455</v>
      </c>
      <c r="N3883" s="2" t="s">
        <v>406</v>
      </c>
      <c r="O3883" s="3"/>
      <c r="P3883" s="2" t="s">
        <v>73</v>
      </c>
      <c r="Q3883" s="3">
        <v>0.0</v>
      </c>
      <c r="R3883" s="3">
        <v>0.5</v>
      </c>
      <c r="U3883" s="141"/>
      <c r="W3883" s="3">
        <v>235.70999999999998</v>
      </c>
      <c r="X3883" s="172">
        <v>46119.08104046296</v>
      </c>
      <c r="Y3883" s="172">
        <v>46102.51878377315</v>
      </c>
      <c r="Z3883" s="3">
        <v>46102.0</v>
      </c>
      <c r="AA3883" s="2" t="s">
        <v>14536</v>
      </c>
    </row>
    <row r="3884">
      <c r="A3884" s="3">
        <v>6.961424793859E12</v>
      </c>
      <c r="B3884" s="2" t="s">
        <v>15686</v>
      </c>
      <c r="C3884" s="2" t="s">
        <v>15687</v>
      </c>
      <c r="D3884" s="169">
        <v>46102.0</v>
      </c>
      <c r="E3884" s="173" t="s">
        <v>15688</v>
      </c>
      <c r="F3884" s="2" t="s">
        <v>15689</v>
      </c>
      <c r="G3884" s="2" t="s">
        <v>925</v>
      </c>
      <c r="H3884" s="2">
        <v>4947.0</v>
      </c>
      <c r="I3884" s="2">
        <v>2.0120050023041E13</v>
      </c>
      <c r="J3884" s="3">
        <v>3.0</v>
      </c>
      <c r="K3884" s="2" t="s">
        <v>4462</v>
      </c>
      <c r="L3884" s="2" t="s">
        <v>15690</v>
      </c>
      <c r="M3884" s="2" t="s">
        <v>15124</v>
      </c>
      <c r="N3884" s="2" t="s">
        <v>406</v>
      </c>
      <c r="O3884" s="3"/>
      <c r="P3884" s="2" t="s">
        <v>73</v>
      </c>
      <c r="Q3884" s="3">
        <v>1370.0</v>
      </c>
      <c r="R3884" s="3">
        <v>0.5</v>
      </c>
      <c r="U3884" s="141"/>
      <c r="X3884" s="172">
        <v>46130.08115925926</v>
      </c>
      <c r="Y3884" s="172">
        <v>46102.64378695602</v>
      </c>
      <c r="Z3884" s="3">
        <v>46102.0</v>
      </c>
      <c r="AA3884" s="2" t="s">
        <v>14032</v>
      </c>
    </row>
    <row r="3885">
      <c r="A3885" s="3">
        <v>6.961438589187E12</v>
      </c>
      <c r="B3885" s="2" t="s">
        <v>15691</v>
      </c>
      <c r="C3885" s="2" t="s">
        <v>15692</v>
      </c>
      <c r="D3885" s="169">
        <v>46102.0</v>
      </c>
      <c r="E3885" s="2">
        <v>3.374993367E9</v>
      </c>
      <c r="F3885" s="2" t="s">
        <v>15693</v>
      </c>
      <c r="G3885" s="2" t="s">
        <v>368</v>
      </c>
      <c r="H3885" s="2">
        <v>249.0</v>
      </c>
      <c r="I3885" s="2">
        <v>2.8120050022999E13</v>
      </c>
      <c r="J3885" s="3">
        <v>0.0</v>
      </c>
      <c r="K3885" s="2" t="s">
        <v>14604</v>
      </c>
      <c r="L3885" s="2"/>
      <c r="M3885" s="170" t="s">
        <v>455</v>
      </c>
      <c r="N3885" s="2" t="s">
        <v>406</v>
      </c>
      <c r="O3885" s="3"/>
      <c r="P3885" s="2" t="s">
        <v>73</v>
      </c>
      <c r="Q3885" s="3">
        <v>0.0</v>
      </c>
      <c r="R3885" s="3">
        <v>0.5</v>
      </c>
      <c r="U3885" s="141"/>
      <c r="W3885" s="3">
        <v>117.86</v>
      </c>
      <c r="X3885" s="172">
        <v>46119.08104053241</v>
      </c>
      <c r="Y3885" s="172">
        <v>46102.64378695602</v>
      </c>
      <c r="Z3885" s="3">
        <v>46102.0</v>
      </c>
      <c r="AA3885" s="2" t="s">
        <v>14032</v>
      </c>
    </row>
    <row r="3886">
      <c r="A3886" s="3">
        <v>6.961470243075E12</v>
      </c>
      <c r="B3886" s="2" t="s">
        <v>15694</v>
      </c>
      <c r="C3886" s="2" t="s">
        <v>15695</v>
      </c>
      <c r="D3886" s="169">
        <v>46102.0</v>
      </c>
      <c r="E3886" s="2">
        <v>3.086763297E9</v>
      </c>
      <c r="F3886" s="2" t="s">
        <v>15696</v>
      </c>
      <c r="G3886" s="2" t="s">
        <v>2990</v>
      </c>
      <c r="H3886" s="2">
        <v>0.0</v>
      </c>
      <c r="J3886" s="3">
        <v>0.0</v>
      </c>
      <c r="K3886" s="2" t="s">
        <v>15697</v>
      </c>
      <c r="L3886" s="2"/>
      <c r="M3886" s="2" t="s">
        <v>468</v>
      </c>
      <c r="N3886" s="2" t="s">
        <v>406</v>
      </c>
      <c r="O3886" s="3"/>
      <c r="Q3886" s="3">
        <v>0.0</v>
      </c>
      <c r="R3886" s="3">
        <v>0.5</v>
      </c>
      <c r="U3886" s="141"/>
      <c r="X3886" s="172"/>
      <c r="Y3886" s="172">
        <v>46102.68543201389</v>
      </c>
      <c r="Z3886" s="3">
        <v>46102.0</v>
      </c>
      <c r="AA3886" s="2" t="s">
        <v>14032</v>
      </c>
    </row>
    <row r="3887">
      <c r="A3887" s="3">
        <v>6.961565827331E12</v>
      </c>
      <c r="B3887" s="2" t="s">
        <v>15698</v>
      </c>
      <c r="C3887" s="2" t="s">
        <v>15699</v>
      </c>
      <c r="D3887" s="169">
        <v>46102.0</v>
      </c>
      <c r="E3887" s="2">
        <v>3.31755369E9</v>
      </c>
      <c r="F3887" s="2" t="s">
        <v>15700</v>
      </c>
      <c r="G3887" s="2" t="s">
        <v>945</v>
      </c>
      <c r="H3887" s="2">
        <v>4947.0</v>
      </c>
      <c r="I3887" s="2">
        <v>2.4120050022911E13</v>
      </c>
      <c r="J3887" s="3">
        <v>3.0</v>
      </c>
      <c r="K3887" s="2" t="s">
        <v>15672</v>
      </c>
      <c r="L3887" s="2" t="s">
        <v>15690</v>
      </c>
      <c r="M3887" s="2" t="s">
        <v>409</v>
      </c>
      <c r="N3887" s="2" t="s">
        <v>462</v>
      </c>
      <c r="O3887" s="3"/>
      <c r="P3887" s="2" t="s">
        <v>73</v>
      </c>
      <c r="Q3887" s="3">
        <v>1370.0</v>
      </c>
      <c r="R3887" s="3">
        <v>0.5</v>
      </c>
      <c r="T3887" s="2" t="s">
        <v>14037</v>
      </c>
      <c r="U3887" s="171">
        <v>4947.0</v>
      </c>
      <c r="V3887" s="172">
        <v>46112.0</v>
      </c>
      <c r="W3887" s="3">
        <v>448.0</v>
      </c>
      <c r="X3887" s="172">
        <v>46111.66616408565</v>
      </c>
      <c r="Y3887" s="172">
        <v>46102.7688685301</v>
      </c>
      <c r="Z3887" s="3">
        <v>46102.0</v>
      </c>
      <c r="AA3887" s="2" t="s">
        <v>14032</v>
      </c>
    </row>
    <row r="3888">
      <c r="A3888" s="3">
        <v>6.961584865539E12</v>
      </c>
      <c r="B3888" s="2" t="s">
        <v>15701</v>
      </c>
      <c r="C3888" s="2" t="s">
        <v>12095</v>
      </c>
      <c r="D3888" s="169">
        <v>46102.0</v>
      </c>
      <c r="E3888" s="173" t="s">
        <v>15702</v>
      </c>
      <c r="F3888" s="2" t="s">
        <v>15703</v>
      </c>
      <c r="G3888" s="2" t="s">
        <v>3305</v>
      </c>
      <c r="H3888" s="2">
        <v>2199.0</v>
      </c>
      <c r="I3888" s="2">
        <v>2.1120050022998E13</v>
      </c>
      <c r="J3888" s="3">
        <v>1.0</v>
      </c>
      <c r="K3888" s="2" t="s">
        <v>14520</v>
      </c>
      <c r="L3888" s="2" t="s">
        <v>243</v>
      </c>
      <c r="M3888" s="2" t="s">
        <v>409</v>
      </c>
      <c r="N3888" s="2" t="s">
        <v>462</v>
      </c>
      <c r="O3888" s="3"/>
      <c r="P3888" s="2" t="s">
        <v>73</v>
      </c>
      <c r="Q3888" s="3">
        <v>360.0</v>
      </c>
      <c r="R3888" s="3">
        <v>0.5</v>
      </c>
      <c r="T3888" s="2" t="s">
        <v>12503</v>
      </c>
      <c r="U3888" s="171">
        <v>2199.0</v>
      </c>
      <c r="V3888" s="172">
        <v>46115.0</v>
      </c>
      <c r="W3888" s="3">
        <v>308.94</v>
      </c>
      <c r="X3888" s="172">
        <v>46112.582978101855</v>
      </c>
      <c r="Y3888" s="172">
        <v>46102.7688685301</v>
      </c>
      <c r="Z3888" s="3">
        <v>46102.0</v>
      </c>
      <c r="AA3888" s="2" t="s">
        <v>14032</v>
      </c>
    </row>
    <row r="3889">
      <c r="A3889" s="3">
        <v>6.961624088835E12</v>
      </c>
      <c r="B3889" s="2" t="s">
        <v>15704</v>
      </c>
      <c r="C3889" s="2" t="s">
        <v>15705</v>
      </c>
      <c r="D3889" s="169">
        <v>46102.0</v>
      </c>
      <c r="E3889" s="2">
        <v>3.074442555E9</v>
      </c>
      <c r="F3889" s="2" t="s">
        <v>15706</v>
      </c>
      <c r="G3889" s="2" t="s">
        <v>506</v>
      </c>
      <c r="H3889" s="2">
        <v>249.0</v>
      </c>
      <c r="I3889" s="2">
        <v>2.512005002291E13</v>
      </c>
      <c r="J3889" s="3">
        <v>0.0</v>
      </c>
      <c r="K3889" s="2" t="s">
        <v>15707</v>
      </c>
      <c r="L3889" s="2"/>
      <c r="M3889" s="170" t="s">
        <v>455</v>
      </c>
      <c r="N3889" s="2" t="s">
        <v>406</v>
      </c>
      <c r="O3889" s="3"/>
      <c r="P3889" s="2" t="s">
        <v>73</v>
      </c>
      <c r="Q3889" s="3">
        <v>0.0</v>
      </c>
      <c r="R3889" s="3">
        <v>0.5</v>
      </c>
      <c r="U3889" s="141"/>
      <c r="W3889" s="3">
        <v>220.98</v>
      </c>
      <c r="X3889" s="172">
        <v>46124.08124755787</v>
      </c>
      <c r="Y3889" s="172">
        <v>46102.7688685301</v>
      </c>
      <c r="Z3889" s="3">
        <v>46102.0</v>
      </c>
      <c r="AA3889" s="2" t="s">
        <v>14032</v>
      </c>
    </row>
    <row r="3890">
      <c r="A3890" s="3">
        <v>6.961669079299E12</v>
      </c>
      <c r="B3890" s="2" t="s">
        <v>15708</v>
      </c>
      <c r="C3890" s="2" t="s">
        <v>15709</v>
      </c>
      <c r="D3890" s="169">
        <v>46102.0</v>
      </c>
      <c r="E3890" s="2">
        <v>3.468999139E9</v>
      </c>
      <c r="F3890" s="2" t="s">
        <v>15710</v>
      </c>
      <c r="G3890" s="2" t="s">
        <v>15711</v>
      </c>
      <c r="H3890" s="2">
        <v>249.0</v>
      </c>
      <c r="I3890" s="2">
        <v>2.2120050022997E13</v>
      </c>
      <c r="J3890" s="3">
        <v>0.0</v>
      </c>
      <c r="K3890" s="2" t="s">
        <v>15712</v>
      </c>
      <c r="L3890" s="2"/>
      <c r="M3890" s="170" t="s">
        <v>455</v>
      </c>
      <c r="N3890" s="2" t="s">
        <v>406</v>
      </c>
      <c r="O3890" s="3"/>
      <c r="P3890" s="2" t="s">
        <v>73</v>
      </c>
      <c r="Q3890" s="3">
        <v>0.0</v>
      </c>
      <c r="R3890" s="3">
        <v>0.5</v>
      </c>
      <c r="U3890" s="141"/>
      <c r="W3890" s="3">
        <v>235.70999999999998</v>
      </c>
      <c r="X3890" s="172">
        <v>46121.08099428241</v>
      </c>
      <c r="Y3890" s="172">
        <v>46102.8104169213</v>
      </c>
      <c r="Z3890" s="3">
        <v>46102.0</v>
      </c>
      <c r="AA3890" s="2" t="s">
        <v>14032</v>
      </c>
    </row>
    <row r="3891">
      <c r="A3891" s="3">
        <v>6.961674256643E12</v>
      </c>
      <c r="B3891" s="2" t="s">
        <v>15713</v>
      </c>
      <c r="C3891" s="2" t="s">
        <v>15714</v>
      </c>
      <c r="D3891" s="169">
        <v>46102.0</v>
      </c>
      <c r="E3891" s="2">
        <v>3.351020505E9</v>
      </c>
      <c r="F3891" s="2" t="s">
        <v>15715</v>
      </c>
      <c r="G3891" s="2" t="s">
        <v>368</v>
      </c>
      <c r="H3891" s="2">
        <v>3499.0</v>
      </c>
      <c r="I3891" s="2">
        <v>2.4120050022826E13</v>
      </c>
      <c r="J3891" s="3">
        <v>2.0</v>
      </c>
      <c r="K3891" s="2" t="s">
        <v>15716</v>
      </c>
      <c r="L3891" s="2" t="s">
        <v>40</v>
      </c>
      <c r="M3891" s="2" t="s">
        <v>409</v>
      </c>
      <c r="N3891" s="2" t="s">
        <v>462</v>
      </c>
      <c r="O3891" s="3"/>
      <c r="P3891" s="2" t="s">
        <v>73</v>
      </c>
      <c r="Q3891" s="3">
        <v>720.0</v>
      </c>
      <c r="R3891" s="3">
        <v>0.5</v>
      </c>
      <c r="T3891" s="2" t="s">
        <v>14037</v>
      </c>
      <c r="U3891" s="171">
        <v>3499.0</v>
      </c>
      <c r="V3891" s="172">
        <v>46112.0</v>
      </c>
      <c r="W3891" s="3">
        <v>258.0</v>
      </c>
      <c r="X3891" s="172">
        <v>46108.624544398146</v>
      </c>
      <c r="Y3891" s="172">
        <v>46102.8104169213</v>
      </c>
      <c r="Z3891" s="3">
        <v>46102.0</v>
      </c>
      <c r="AA3891" s="2" t="s">
        <v>14022</v>
      </c>
    </row>
    <row r="3892">
      <c r="A3892" s="3">
        <v>6.961826889987E12</v>
      </c>
      <c r="B3892" s="2" t="s">
        <v>15717</v>
      </c>
      <c r="C3892" s="2" t="s">
        <v>15718</v>
      </c>
      <c r="D3892" s="169">
        <v>46102.0</v>
      </c>
      <c r="E3892" s="173" t="s">
        <v>15719</v>
      </c>
      <c r="F3892" s="2" t="s">
        <v>15720</v>
      </c>
      <c r="G3892" s="2" t="s">
        <v>15721</v>
      </c>
      <c r="H3892" s="2">
        <v>0.0</v>
      </c>
      <c r="J3892" s="3">
        <v>0.0</v>
      </c>
      <c r="K3892" s="2" t="s">
        <v>15722</v>
      </c>
      <c r="L3892" s="2"/>
      <c r="M3892" s="2" t="s">
        <v>468</v>
      </c>
      <c r="N3892" s="2" t="s">
        <v>406</v>
      </c>
      <c r="O3892" s="3"/>
      <c r="Q3892" s="3">
        <v>0.0</v>
      </c>
      <c r="R3892" s="3">
        <v>0.5</v>
      </c>
      <c r="U3892" s="141"/>
      <c r="X3892" s="172"/>
      <c r="Y3892" s="172">
        <v>46102.85212300926</v>
      </c>
      <c r="Z3892" s="3">
        <v>46102.0</v>
      </c>
      <c r="AA3892" s="2" t="s">
        <v>14032</v>
      </c>
    </row>
    <row r="3893">
      <c r="A3893" s="3">
        <v>6.961840095491E12</v>
      </c>
      <c r="B3893" s="2" t="s">
        <v>15723</v>
      </c>
      <c r="C3893" s="2" t="s">
        <v>15724</v>
      </c>
      <c r="D3893" s="169">
        <v>46102.0</v>
      </c>
      <c r="E3893" s="2">
        <v>3.0257432E9</v>
      </c>
      <c r="F3893" s="2" t="s">
        <v>15725</v>
      </c>
      <c r="G3893" s="2" t="s">
        <v>15726</v>
      </c>
      <c r="H3893" s="2">
        <v>249.0</v>
      </c>
      <c r="I3893" s="2">
        <v>2.1120050022996E13</v>
      </c>
      <c r="J3893" s="3">
        <v>0.0</v>
      </c>
      <c r="K3893" s="2" t="s">
        <v>13728</v>
      </c>
      <c r="L3893" s="2"/>
      <c r="M3893" s="170" t="s">
        <v>455</v>
      </c>
      <c r="N3893" s="2" t="s">
        <v>406</v>
      </c>
      <c r="O3893" s="3"/>
      <c r="P3893" s="2" t="s">
        <v>73</v>
      </c>
      <c r="Q3893" s="3">
        <v>0.0</v>
      </c>
      <c r="R3893" s="3">
        <v>0.5</v>
      </c>
      <c r="U3893" s="141"/>
      <c r="W3893" s="3">
        <v>220.98</v>
      </c>
      <c r="X3893" s="172">
        <v>46116.874478784724</v>
      </c>
      <c r="Y3893" s="172">
        <v>46102.85212300926</v>
      </c>
      <c r="Z3893" s="3">
        <v>46102.0</v>
      </c>
      <c r="AA3893" s="2" t="s">
        <v>14041</v>
      </c>
    </row>
    <row r="3894">
      <c r="A3894" s="3">
        <v>6.961878008067E12</v>
      </c>
      <c r="B3894" s="2" t="s">
        <v>15727</v>
      </c>
      <c r="C3894" s="2" t="s">
        <v>15728</v>
      </c>
      <c r="D3894" s="169">
        <v>46102.0</v>
      </c>
      <c r="E3894" s="2">
        <v>3.450145828E9</v>
      </c>
      <c r="F3894" s="2" t="s">
        <v>15729</v>
      </c>
      <c r="G3894" s="2" t="s">
        <v>366</v>
      </c>
      <c r="H3894" s="2">
        <v>3099.0</v>
      </c>
      <c r="I3894" s="2">
        <v>2.1120050022909E13</v>
      </c>
      <c r="J3894" s="3">
        <v>2.0</v>
      </c>
      <c r="K3894" s="2" t="s">
        <v>15443</v>
      </c>
      <c r="L3894" s="2" t="s">
        <v>35</v>
      </c>
      <c r="M3894" s="2" t="s">
        <v>409</v>
      </c>
      <c r="N3894" s="2" t="s">
        <v>462</v>
      </c>
      <c r="O3894" s="3"/>
      <c r="P3894" s="2" t="s">
        <v>73</v>
      </c>
      <c r="Q3894" s="3">
        <v>980.0</v>
      </c>
      <c r="R3894" s="3">
        <v>0.5</v>
      </c>
      <c r="T3894" s="2" t="s">
        <v>14037</v>
      </c>
      <c r="U3894" s="171">
        <v>3099.0</v>
      </c>
      <c r="V3894" s="172">
        <v>46112.0</v>
      </c>
      <c r="W3894" s="3">
        <v>345.0</v>
      </c>
      <c r="X3894" s="172">
        <v>46109.582798194446</v>
      </c>
      <c r="Y3894" s="172">
        <v>46102.89379306713</v>
      </c>
      <c r="Z3894" s="3">
        <v>46102.0</v>
      </c>
      <c r="AA3894" s="2" t="s">
        <v>14022</v>
      </c>
    </row>
    <row r="3895">
      <c r="A3895" s="3">
        <v>6.961936957699E12</v>
      </c>
      <c r="B3895" s="2" t="s">
        <v>15730</v>
      </c>
      <c r="C3895" s="2" t="s">
        <v>15731</v>
      </c>
      <c r="D3895" s="169">
        <v>46102.0</v>
      </c>
      <c r="E3895" s="173" t="s">
        <v>15732</v>
      </c>
      <c r="F3895" s="2" t="s">
        <v>15733</v>
      </c>
      <c r="G3895" s="2" t="s">
        <v>506</v>
      </c>
      <c r="H3895" s="2">
        <v>249.0</v>
      </c>
      <c r="I3895" s="2">
        <v>2.1120050022908E13</v>
      </c>
      <c r="J3895" s="3">
        <v>0.0</v>
      </c>
      <c r="K3895" s="2" t="s">
        <v>15594</v>
      </c>
      <c r="L3895" s="2"/>
      <c r="M3895" s="170" t="s">
        <v>455</v>
      </c>
      <c r="N3895" s="2" t="s">
        <v>406</v>
      </c>
      <c r="O3895" s="3"/>
      <c r="P3895" s="2" t="s">
        <v>73</v>
      </c>
      <c r="Q3895" s="3">
        <v>0.0</v>
      </c>
      <c r="R3895" s="3">
        <v>0.5</v>
      </c>
      <c r="U3895" s="141"/>
      <c r="W3895" s="3">
        <v>220.98</v>
      </c>
      <c r="X3895" s="172">
        <v>46116.87447952546</v>
      </c>
      <c r="Y3895" s="172">
        <v>46102.89379306713</v>
      </c>
      <c r="Z3895" s="3">
        <v>46102.0</v>
      </c>
      <c r="AA3895" s="2" t="s">
        <v>14032</v>
      </c>
    </row>
    <row r="3896">
      <c r="A3896" s="3">
        <v>6.962098733315E12</v>
      </c>
      <c r="B3896" s="2" t="s">
        <v>15734</v>
      </c>
      <c r="C3896" s="2" t="s">
        <v>15735</v>
      </c>
      <c r="D3896" s="169">
        <v>46102.0</v>
      </c>
      <c r="E3896" s="2">
        <v>3.103106202E9</v>
      </c>
      <c r="F3896" s="2" t="s">
        <v>15736</v>
      </c>
      <c r="G3896" s="2" t="s">
        <v>693</v>
      </c>
      <c r="H3896" s="2">
        <v>3549.0</v>
      </c>
      <c r="I3896" s="2">
        <v>2.4120050023628E13</v>
      </c>
      <c r="J3896" s="3">
        <v>2.0</v>
      </c>
      <c r="L3896" s="2" t="s">
        <v>15737</v>
      </c>
      <c r="M3896" s="2" t="s">
        <v>15124</v>
      </c>
      <c r="N3896" s="2" t="s">
        <v>406</v>
      </c>
      <c r="O3896" s="3"/>
      <c r="P3896" s="2" t="s">
        <v>73</v>
      </c>
      <c r="Q3896" s="3">
        <v>1100.0</v>
      </c>
      <c r="R3896" s="3">
        <v>0.5</v>
      </c>
      <c r="U3896" s="141"/>
      <c r="X3896" s="172">
        <v>46131.08096032408</v>
      </c>
      <c r="Y3896" s="172">
        <v>46102.9771021875</v>
      </c>
      <c r="Z3896" s="3">
        <v>46102.0</v>
      </c>
      <c r="AA3896" s="2" t="s">
        <v>14032</v>
      </c>
    </row>
    <row r="3897">
      <c r="A3897" s="3">
        <v>6.962131173635E12</v>
      </c>
      <c r="B3897" s="2" t="s">
        <v>15738</v>
      </c>
      <c r="C3897" s="2" t="s">
        <v>15739</v>
      </c>
      <c r="D3897" s="169">
        <v>46102.0</v>
      </c>
      <c r="E3897" s="2">
        <v>3.139554022E9</v>
      </c>
      <c r="F3897" s="2" t="s">
        <v>15740</v>
      </c>
      <c r="G3897" s="2" t="s">
        <v>13090</v>
      </c>
      <c r="H3897" s="2">
        <v>0.0</v>
      </c>
      <c r="J3897" s="3">
        <v>0.0</v>
      </c>
      <c r="K3897" s="2" t="s">
        <v>7954</v>
      </c>
      <c r="L3897" s="2"/>
      <c r="M3897" s="2" t="s">
        <v>468</v>
      </c>
      <c r="N3897" s="2" t="s">
        <v>406</v>
      </c>
      <c r="O3897" s="3"/>
      <c r="Q3897" s="3">
        <v>0.0</v>
      </c>
      <c r="R3897" s="3">
        <v>0.5</v>
      </c>
      <c r="U3897" s="141"/>
      <c r="X3897" s="172"/>
      <c r="Y3897" s="172">
        <v>46102.9771021875</v>
      </c>
      <c r="Z3897" s="3">
        <v>46102.0</v>
      </c>
      <c r="AA3897" s="2" t="s">
        <v>14032</v>
      </c>
    </row>
    <row r="3898">
      <c r="A3898" s="3">
        <v>6.962173018371E12</v>
      </c>
      <c r="B3898" s="2" t="s">
        <v>15741</v>
      </c>
      <c r="C3898" s="2" t="s">
        <v>15742</v>
      </c>
      <c r="D3898" s="169">
        <v>46102.0</v>
      </c>
      <c r="E3898" s="2">
        <v>3.009640534E9</v>
      </c>
      <c r="F3898" s="2" t="s">
        <v>15743</v>
      </c>
      <c r="G3898" s="2" t="s">
        <v>855</v>
      </c>
      <c r="H3898" s="2">
        <v>1848.0</v>
      </c>
      <c r="I3898" s="2">
        <v>2.1120050022906E13</v>
      </c>
      <c r="J3898" s="3">
        <v>1.0</v>
      </c>
      <c r="K3898" s="2" t="s">
        <v>15744</v>
      </c>
      <c r="L3898" s="2" t="s">
        <v>253</v>
      </c>
      <c r="M3898" s="2" t="s">
        <v>409</v>
      </c>
      <c r="N3898" s="2" t="s">
        <v>462</v>
      </c>
      <c r="O3898" s="3"/>
      <c r="P3898" s="2" t="s">
        <v>73</v>
      </c>
      <c r="Q3898" s="3">
        <v>650.0</v>
      </c>
      <c r="R3898" s="3">
        <v>0.5</v>
      </c>
      <c r="T3898" s="2" t="s">
        <v>14037</v>
      </c>
      <c r="U3898" s="171">
        <v>1848.0</v>
      </c>
      <c r="V3898" s="172">
        <v>46112.0</v>
      </c>
      <c r="W3898" s="3">
        <v>295.0</v>
      </c>
      <c r="X3898" s="172">
        <v>46109.499442581015</v>
      </c>
      <c r="Y3898" s="172">
        <v>46103.01873871528</v>
      </c>
      <c r="Z3898" s="3">
        <v>46102.0</v>
      </c>
      <c r="AA3898" s="2" t="s">
        <v>14053</v>
      </c>
    </row>
    <row r="3899">
      <c r="A3899" s="3">
        <v>6.962182881539E12</v>
      </c>
      <c r="B3899" s="2" t="s">
        <v>15745</v>
      </c>
      <c r="C3899" s="2" t="s">
        <v>15746</v>
      </c>
      <c r="D3899" s="169">
        <v>46102.0</v>
      </c>
      <c r="E3899" s="2">
        <v>3.465404014E9</v>
      </c>
      <c r="F3899" s="2" t="s">
        <v>15747</v>
      </c>
      <c r="G3899" s="2" t="s">
        <v>506</v>
      </c>
      <c r="H3899" s="2">
        <v>0.0</v>
      </c>
      <c r="J3899" s="3">
        <v>0.0</v>
      </c>
      <c r="K3899" s="2" t="s">
        <v>7954</v>
      </c>
      <c r="L3899" s="2"/>
      <c r="M3899" s="2" t="s">
        <v>468</v>
      </c>
      <c r="N3899" s="2" t="s">
        <v>406</v>
      </c>
      <c r="O3899" s="3"/>
      <c r="Q3899" s="3">
        <v>0.0</v>
      </c>
      <c r="R3899" s="3">
        <v>0.5</v>
      </c>
      <c r="U3899" s="141"/>
      <c r="X3899" s="172"/>
      <c r="Y3899" s="172">
        <v>46103.01873871528</v>
      </c>
      <c r="Z3899" s="3">
        <v>46102.0</v>
      </c>
      <c r="AA3899" s="2" t="s">
        <v>14032</v>
      </c>
    </row>
    <row r="3900">
      <c r="A3900" s="3">
        <v>6.962188157187E12</v>
      </c>
      <c r="B3900" s="2" t="s">
        <v>15748</v>
      </c>
      <c r="C3900" s="2" t="s">
        <v>15749</v>
      </c>
      <c r="D3900" s="169">
        <v>46102.0</v>
      </c>
      <c r="E3900" s="173" t="s">
        <v>15750</v>
      </c>
      <c r="F3900" s="2" t="s">
        <v>15751</v>
      </c>
      <c r="G3900" s="2" t="s">
        <v>506</v>
      </c>
      <c r="H3900" s="2">
        <v>249.0</v>
      </c>
      <c r="I3900" s="2">
        <v>2.1120050022995E13</v>
      </c>
      <c r="J3900" s="3">
        <v>0.0</v>
      </c>
      <c r="K3900" s="2" t="s">
        <v>15752</v>
      </c>
      <c r="L3900" s="2"/>
      <c r="M3900" s="170" t="s">
        <v>455</v>
      </c>
      <c r="N3900" s="2" t="s">
        <v>406</v>
      </c>
      <c r="O3900" s="3"/>
      <c r="P3900" s="2" t="s">
        <v>73</v>
      </c>
      <c r="Q3900" s="3">
        <v>0.0</v>
      </c>
      <c r="R3900" s="3">
        <v>0.5</v>
      </c>
      <c r="U3900" s="141"/>
      <c r="W3900" s="3">
        <v>243.08</v>
      </c>
      <c r="X3900" s="172">
        <v>46120.081026064814</v>
      </c>
      <c r="Y3900" s="172">
        <v>46103.01873871528</v>
      </c>
      <c r="Z3900" s="3">
        <v>46102.0</v>
      </c>
      <c r="AA3900" s="2" t="s">
        <v>14032</v>
      </c>
    </row>
    <row r="3901">
      <c r="A3901" s="3">
        <v>6.962270208259E12</v>
      </c>
      <c r="B3901" s="2" t="s">
        <v>15753</v>
      </c>
      <c r="C3901" s="2" t="s">
        <v>15754</v>
      </c>
      <c r="D3901" s="169">
        <v>46103.0</v>
      </c>
      <c r="E3901" s="2">
        <v>3.121211759E9</v>
      </c>
      <c r="F3901" s="2" t="s">
        <v>15755</v>
      </c>
      <c r="G3901" s="2" t="s">
        <v>493</v>
      </c>
      <c r="H3901" s="2">
        <v>3348.0</v>
      </c>
      <c r="I3901" s="2">
        <v>2.9120050022905E13</v>
      </c>
      <c r="J3901" s="3">
        <v>2.0</v>
      </c>
      <c r="K3901" s="2" t="s">
        <v>14497</v>
      </c>
      <c r="L3901" s="2" t="s">
        <v>50</v>
      </c>
      <c r="M3901" s="2" t="s">
        <v>409</v>
      </c>
      <c r="N3901" s="2" t="s">
        <v>462</v>
      </c>
      <c r="O3901" s="3"/>
      <c r="P3901" s="2" t="s">
        <v>73</v>
      </c>
      <c r="Q3901" s="3">
        <v>720.0</v>
      </c>
      <c r="R3901" s="3">
        <v>0.5</v>
      </c>
      <c r="T3901" s="2" t="s">
        <v>14037</v>
      </c>
      <c r="U3901" s="171">
        <v>3348.0</v>
      </c>
      <c r="V3901" s="172">
        <v>46112.0</v>
      </c>
      <c r="W3901" s="3">
        <v>370.0</v>
      </c>
      <c r="X3901" s="172">
        <v>46110.83314069445</v>
      </c>
      <c r="Y3901" s="172">
        <v>46103.06040840277</v>
      </c>
      <c r="Z3901" s="3">
        <v>46103.0</v>
      </c>
      <c r="AA3901" s="2" t="s">
        <v>14103</v>
      </c>
    </row>
    <row r="3902">
      <c r="A3902" s="3">
        <v>6.962391744771E12</v>
      </c>
      <c r="B3902" s="2" t="s">
        <v>15756</v>
      </c>
      <c r="C3902" s="2" t="s">
        <v>15757</v>
      </c>
      <c r="D3902" s="169">
        <v>46103.0</v>
      </c>
      <c r="E3902" s="173" t="s">
        <v>15758</v>
      </c>
      <c r="F3902" s="2" t="s">
        <v>15759</v>
      </c>
      <c r="G3902" s="2" t="s">
        <v>898</v>
      </c>
      <c r="H3902" s="2">
        <v>249.0</v>
      </c>
      <c r="I3902" s="2">
        <v>2.1120050022904E13</v>
      </c>
      <c r="J3902" s="3">
        <v>0.0</v>
      </c>
      <c r="K3902" s="2" t="s">
        <v>15602</v>
      </c>
      <c r="L3902" s="2"/>
      <c r="M3902" s="170" t="s">
        <v>455</v>
      </c>
      <c r="N3902" s="2" t="s">
        <v>406</v>
      </c>
      <c r="O3902" s="3"/>
      <c r="P3902" s="2" t="s">
        <v>73</v>
      </c>
      <c r="Q3902" s="3">
        <v>0.0</v>
      </c>
      <c r="R3902" s="3">
        <v>0.5</v>
      </c>
      <c r="U3902" s="141"/>
      <c r="W3902" s="3">
        <v>220.98</v>
      </c>
      <c r="X3902" s="172">
        <v>46114.87449390047</v>
      </c>
      <c r="Y3902" s="172">
        <v>46103.14374576389</v>
      </c>
      <c r="Z3902" s="3">
        <v>46103.0</v>
      </c>
      <c r="AA3902" s="2" t="s">
        <v>14032</v>
      </c>
    </row>
    <row r="3903">
      <c r="A3903" s="3">
        <v>6.962399838467E12</v>
      </c>
      <c r="B3903" s="2" t="s">
        <v>15760</v>
      </c>
      <c r="C3903" s="2" t="s">
        <v>15761</v>
      </c>
      <c r="D3903" s="169">
        <v>46103.0</v>
      </c>
      <c r="E3903" s="2">
        <v>3.324842035E9</v>
      </c>
      <c r="F3903" s="2" t="s">
        <v>15762</v>
      </c>
      <c r="G3903" s="2" t="s">
        <v>15763</v>
      </c>
      <c r="H3903" s="2">
        <v>249.0</v>
      </c>
      <c r="I3903" s="2">
        <v>2.0120050022994E13</v>
      </c>
      <c r="J3903" s="3">
        <v>0.0</v>
      </c>
      <c r="K3903" s="2" t="s">
        <v>15764</v>
      </c>
      <c r="L3903" s="2"/>
      <c r="M3903" s="170" t="s">
        <v>455</v>
      </c>
      <c r="N3903" s="2" t="s">
        <v>406</v>
      </c>
      <c r="O3903" s="3"/>
      <c r="P3903" s="2" t="s">
        <v>73</v>
      </c>
      <c r="Q3903" s="3">
        <v>0.0</v>
      </c>
      <c r="R3903" s="3">
        <v>0.5</v>
      </c>
      <c r="U3903" s="141"/>
      <c r="W3903" s="3">
        <v>243.08</v>
      </c>
      <c r="X3903" s="172">
        <v>46122.0810665625</v>
      </c>
      <c r="Y3903" s="172">
        <v>46103.14374576389</v>
      </c>
      <c r="Z3903" s="3">
        <v>46103.0</v>
      </c>
      <c r="AA3903" s="2" t="s">
        <v>14032</v>
      </c>
    </row>
    <row r="3904">
      <c r="A3904" s="3">
        <v>6.962403115267E12</v>
      </c>
      <c r="B3904" s="2" t="s">
        <v>15765</v>
      </c>
      <c r="C3904" s="2" t="s">
        <v>15766</v>
      </c>
      <c r="D3904" s="169">
        <v>46103.0</v>
      </c>
      <c r="E3904" s="2">
        <v>3.324842035E9</v>
      </c>
      <c r="F3904" s="2" t="s">
        <v>15767</v>
      </c>
      <c r="G3904" s="2" t="s">
        <v>368</v>
      </c>
      <c r="H3904" s="2">
        <v>0.0</v>
      </c>
      <c r="J3904" s="3">
        <v>0.0</v>
      </c>
      <c r="K3904" s="2" t="s">
        <v>7954</v>
      </c>
      <c r="L3904" s="2"/>
      <c r="M3904" s="2" t="s">
        <v>468</v>
      </c>
      <c r="N3904" s="2" t="s">
        <v>406</v>
      </c>
      <c r="O3904" s="3"/>
      <c r="Q3904" s="3">
        <v>0.0</v>
      </c>
      <c r="R3904" s="3">
        <v>0.5</v>
      </c>
      <c r="U3904" s="141"/>
      <c r="X3904" s="172"/>
      <c r="Y3904" s="172">
        <v>46103.14374576389</v>
      </c>
      <c r="Z3904" s="3">
        <v>46103.0</v>
      </c>
      <c r="AA3904" s="2" t="s">
        <v>14032</v>
      </c>
    </row>
    <row r="3905">
      <c r="A3905" s="3">
        <v>6.962910036227E12</v>
      </c>
      <c r="B3905" s="2" t="s">
        <v>15768</v>
      </c>
      <c r="C3905" s="2" t="s">
        <v>15769</v>
      </c>
      <c r="D3905" s="169">
        <v>46103.0</v>
      </c>
      <c r="E3905" s="2">
        <v>3.46634035E9</v>
      </c>
      <c r="F3905" s="2" t="s">
        <v>15770</v>
      </c>
      <c r="G3905" s="2" t="s">
        <v>15771</v>
      </c>
      <c r="H3905" s="2">
        <v>249.0</v>
      </c>
      <c r="I3905" s="2">
        <v>2.8120050022993E13</v>
      </c>
      <c r="J3905" s="3">
        <v>0.0</v>
      </c>
      <c r="K3905" s="2" t="s">
        <v>15772</v>
      </c>
      <c r="L3905" s="2"/>
      <c r="M3905" s="170" t="s">
        <v>455</v>
      </c>
      <c r="N3905" s="2" t="s">
        <v>406</v>
      </c>
      <c r="O3905" s="3"/>
      <c r="P3905" s="2" t="s">
        <v>73</v>
      </c>
      <c r="Q3905" s="3">
        <v>0.0</v>
      </c>
      <c r="R3905" s="3">
        <v>0.5</v>
      </c>
      <c r="U3905" s="141"/>
      <c r="W3905" s="3">
        <v>220.98</v>
      </c>
      <c r="X3905" s="172">
        <v>46115.83277841435</v>
      </c>
      <c r="Y3905" s="172">
        <v>46103.56042228009</v>
      </c>
      <c r="Z3905" s="3">
        <v>46103.0</v>
      </c>
      <c r="AA3905" s="2" t="s">
        <v>14032</v>
      </c>
    </row>
    <row r="3906">
      <c r="A3906" s="3">
        <v>6.962934546691E12</v>
      </c>
      <c r="B3906" s="2" t="s">
        <v>15773</v>
      </c>
      <c r="C3906" s="2" t="s">
        <v>15774</v>
      </c>
      <c r="D3906" s="169">
        <v>46103.0</v>
      </c>
      <c r="E3906" s="2">
        <v>3.002183687E9</v>
      </c>
      <c r="F3906" s="2" t="s">
        <v>15775</v>
      </c>
      <c r="G3906" s="2" t="s">
        <v>493</v>
      </c>
      <c r="H3906" s="2">
        <v>3348.0</v>
      </c>
      <c r="I3906" s="2">
        <v>2.9120050022903E13</v>
      </c>
      <c r="J3906" s="3">
        <v>2.0</v>
      </c>
      <c r="K3906" s="2" t="s">
        <v>14497</v>
      </c>
      <c r="L3906" s="2" t="s">
        <v>22</v>
      </c>
      <c r="M3906" s="2" t="s">
        <v>409</v>
      </c>
      <c r="N3906" s="2" t="s">
        <v>462</v>
      </c>
      <c r="O3906" s="3"/>
      <c r="P3906" s="2" t="s">
        <v>73</v>
      </c>
      <c r="Q3906" s="3">
        <v>800.0</v>
      </c>
      <c r="R3906" s="3">
        <v>0.5</v>
      </c>
      <c r="T3906" s="2" t="s">
        <v>14037</v>
      </c>
      <c r="U3906" s="171">
        <v>3348.0</v>
      </c>
      <c r="V3906" s="172">
        <v>46112.0</v>
      </c>
      <c r="W3906" s="3">
        <v>370.0</v>
      </c>
      <c r="X3906" s="172">
        <v>46111.66616606481</v>
      </c>
      <c r="Y3906" s="172">
        <v>46103.56042228009</v>
      </c>
      <c r="Z3906" s="3">
        <v>46103.0</v>
      </c>
      <c r="AA3906" s="2" t="s">
        <v>14032</v>
      </c>
    </row>
    <row r="3907">
      <c r="A3907" s="3">
        <v>6.962947096835E12</v>
      </c>
      <c r="B3907" s="2" t="s">
        <v>15776</v>
      </c>
      <c r="C3907" s="2" t="s">
        <v>15777</v>
      </c>
      <c r="D3907" s="169">
        <v>46103.0</v>
      </c>
      <c r="E3907" s="2">
        <v>3.125575577E9</v>
      </c>
      <c r="F3907" s="2" t="s">
        <v>15778</v>
      </c>
      <c r="G3907" s="2" t="s">
        <v>781</v>
      </c>
      <c r="H3907" s="2">
        <v>2199.0</v>
      </c>
      <c r="I3907" s="2">
        <v>2.5120050022902E13</v>
      </c>
      <c r="J3907" s="3">
        <v>1.0</v>
      </c>
      <c r="L3907" s="2" t="s">
        <v>326</v>
      </c>
      <c r="M3907" s="2" t="s">
        <v>409</v>
      </c>
      <c r="N3907" s="2" t="s">
        <v>462</v>
      </c>
      <c r="O3907" s="3"/>
      <c r="P3907" s="2" t="s">
        <v>73</v>
      </c>
      <c r="Q3907" s="3">
        <v>360.0</v>
      </c>
      <c r="R3907" s="3">
        <v>0.5</v>
      </c>
      <c r="T3907" s="2" t="s">
        <v>14037</v>
      </c>
      <c r="U3907" s="171">
        <v>2199.0</v>
      </c>
      <c r="V3907" s="172">
        <v>46112.0</v>
      </c>
      <c r="W3907" s="3">
        <v>324.0</v>
      </c>
      <c r="X3907" s="172">
        <v>46109.582860104165</v>
      </c>
      <c r="Y3907" s="172">
        <v>46103.6020749537</v>
      </c>
      <c r="Z3907" s="3">
        <v>46103.0</v>
      </c>
      <c r="AA3907" s="2" t="s">
        <v>14032</v>
      </c>
    </row>
    <row r="3908">
      <c r="A3908" s="3">
        <v>6.962988548355E12</v>
      </c>
      <c r="B3908" s="2" t="s">
        <v>15779</v>
      </c>
      <c r="C3908" s="2" t="s">
        <v>15780</v>
      </c>
      <c r="D3908" s="169">
        <v>46103.0</v>
      </c>
      <c r="E3908" s="2">
        <v>3.454894022E9</v>
      </c>
      <c r="F3908" s="2" t="s">
        <v>15781</v>
      </c>
      <c r="G3908" s="2" t="s">
        <v>15782</v>
      </c>
      <c r="H3908" s="2">
        <v>1848.0</v>
      </c>
      <c r="I3908" s="2">
        <v>2.2120050022992E13</v>
      </c>
      <c r="J3908" s="3">
        <v>1.0</v>
      </c>
      <c r="K3908" s="2" t="s">
        <v>15783</v>
      </c>
      <c r="L3908" s="2" t="s">
        <v>253</v>
      </c>
      <c r="M3908" s="2" t="s">
        <v>409</v>
      </c>
      <c r="N3908" s="2" t="s">
        <v>462</v>
      </c>
      <c r="O3908" s="3"/>
      <c r="P3908" s="2" t="s">
        <v>73</v>
      </c>
      <c r="Q3908" s="3">
        <v>650.0</v>
      </c>
      <c r="R3908" s="3">
        <v>0.5</v>
      </c>
      <c r="T3908" s="2" t="s">
        <v>12503</v>
      </c>
      <c r="U3908" s="171">
        <v>1848.0</v>
      </c>
      <c r="V3908" s="172">
        <v>46115.0</v>
      </c>
      <c r="W3908" s="3">
        <v>294.9</v>
      </c>
      <c r="X3908" s="172">
        <v>46112.52098800926</v>
      </c>
      <c r="Y3908" s="172">
        <v>46103.643747372684</v>
      </c>
      <c r="Z3908" s="3">
        <v>46103.0</v>
      </c>
      <c r="AA3908" s="2" t="s">
        <v>14032</v>
      </c>
    </row>
    <row r="3909">
      <c r="A3909" s="3">
        <v>6.963053723907E12</v>
      </c>
      <c r="B3909" s="2" t="s">
        <v>15784</v>
      </c>
      <c r="C3909" s="2" t="s">
        <v>15785</v>
      </c>
      <c r="D3909" s="169">
        <v>46103.0</v>
      </c>
      <c r="E3909" s="173" t="s">
        <v>15786</v>
      </c>
      <c r="F3909" s="2" t="s">
        <v>15787</v>
      </c>
      <c r="G3909" s="2" t="s">
        <v>368</v>
      </c>
      <c r="H3909" s="2">
        <v>3299.0</v>
      </c>
      <c r="I3909" s="2">
        <v>2.0120050022901E13</v>
      </c>
      <c r="J3909" s="3">
        <v>1.0</v>
      </c>
      <c r="K3909" s="2" t="s">
        <v>15788</v>
      </c>
      <c r="L3909" s="2" t="s">
        <v>11086</v>
      </c>
      <c r="M3909" s="2" t="s">
        <v>409</v>
      </c>
      <c r="N3909" s="2" t="s">
        <v>462</v>
      </c>
      <c r="O3909" s="3"/>
      <c r="P3909" s="2" t="s">
        <v>73</v>
      </c>
      <c r="Q3909" s="3">
        <v>1400.0</v>
      </c>
      <c r="R3909" s="3">
        <v>0.5</v>
      </c>
      <c r="T3909" s="2" t="s">
        <v>14037</v>
      </c>
      <c r="U3909" s="171">
        <v>3299.0</v>
      </c>
      <c r="V3909" s="172">
        <v>46112.0</v>
      </c>
      <c r="W3909" s="3">
        <v>250.0</v>
      </c>
      <c r="X3909" s="172">
        <v>46108.54142836806</v>
      </c>
      <c r="Y3909" s="172">
        <v>46103.727086875</v>
      </c>
      <c r="Z3909" s="3">
        <v>46103.0</v>
      </c>
      <c r="AA3909" s="2" t="s">
        <v>14032</v>
      </c>
    </row>
    <row r="3910">
      <c r="A3910" s="3">
        <v>6.963266126083E12</v>
      </c>
      <c r="B3910" s="2" t="s">
        <v>15789</v>
      </c>
      <c r="C3910" s="2" t="s">
        <v>9141</v>
      </c>
      <c r="D3910" s="169">
        <v>46103.0</v>
      </c>
      <c r="E3910" s="2">
        <v>3.241136E9</v>
      </c>
      <c r="F3910" s="2" t="s">
        <v>15790</v>
      </c>
      <c r="G3910" s="2" t="s">
        <v>701</v>
      </c>
      <c r="H3910" s="2">
        <v>2099.0</v>
      </c>
      <c r="I3910" s="2">
        <v>2.4120050022991E13</v>
      </c>
      <c r="J3910" s="3">
        <v>1.0</v>
      </c>
      <c r="K3910" s="2" t="s">
        <v>15791</v>
      </c>
      <c r="L3910" s="2" t="s">
        <v>1185</v>
      </c>
      <c r="M3910" s="2" t="s">
        <v>409</v>
      </c>
      <c r="N3910" s="2" t="s">
        <v>462</v>
      </c>
      <c r="O3910" s="3"/>
      <c r="P3910" s="2" t="s">
        <v>73</v>
      </c>
      <c r="Q3910" s="3">
        <v>490.0</v>
      </c>
      <c r="R3910" s="3">
        <v>0.5</v>
      </c>
      <c r="T3910" s="2" t="s">
        <v>14037</v>
      </c>
      <c r="U3910" s="171">
        <v>2099.0</v>
      </c>
      <c r="V3910" s="172">
        <v>46112.0</v>
      </c>
      <c r="W3910" s="3">
        <v>305.0</v>
      </c>
      <c r="X3910" s="172">
        <v>46111.666167222225</v>
      </c>
      <c r="Y3910" s="172">
        <v>46103.89375688657</v>
      </c>
      <c r="Z3910" s="3">
        <v>46103.0</v>
      </c>
      <c r="AA3910" s="2" t="s">
        <v>14041</v>
      </c>
    </row>
    <row r="3911">
      <c r="A3911" s="3">
        <v>6.963283034371E12</v>
      </c>
      <c r="B3911" s="2" t="s">
        <v>15792</v>
      </c>
      <c r="C3911" s="2" t="s">
        <v>15793</v>
      </c>
      <c r="D3911" s="169">
        <v>46103.0</v>
      </c>
      <c r="E3911" s="2">
        <v>3.461631108E9</v>
      </c>
      <c r="F3911" s="2" t="s">
        <v>15794</v>
      </c>
      <c r="G3911" s="2" t="s">
        <v>15795</v>
      </c>
      <c r="H3911" s="2">
        <v>5099.0</v>
      </c>
      <c r="I3911" s="2">
        <v>2.212005002299E13</v>
      </c>
      <c r="J3911" s="3">
        <v>3.0</v>
      </c>
      <c r="K3911" s="2" t="s">
        <v>15796</v>
      </c>
      <c r="L3911" s="2" t="s">
        <v>15797</v>
      </c>
      <c r="M3911" s="2" t="s">
        <v>409</v>
      </c>
      <c r="N3911" s="2" t="s">
        <v>462</v>
      </c>
      <c r="O3911" s="3"/>
      <c r="P3911" s="2" t="s">
        <v>73</v>
      </c>
      <c r="Q3911" s="3">
        <v>1690.0</v>
      </c>
      <c r="R3911" s="3">
        <v>0.5</v>
      </c>
      <c r="T3911" s="2" t="s">
        <v>14037</v>
      </c>
      <c r="U3911" s="171">
        <v>5099.0</v>
      </c>
      <c r="V3911" s="172">
        <v>46112.0</v>
      </c>
      <c r="W3911" s="3">
        <v>454.0</v>
      </c>
      <c r="X3911" s="172">
        <v>46111.6661675463</v>
      </c>
      <c r="Y3911" s="172">
        <v>46103.89375689815</v>
      </c>
      <c r="Z3911" s="3">
        <v>46103.0</v>
      </c>
      <c r="AA3911" s="2" t="s">
        <v>14053</v>
      </c>
    </row>
    <row r="3912">
      <c r="A3912" s="3">
        <v>6.963283591427E12</v>
      </c>
      <c r="B3912" s="2" t="s">
        <v>15798</v>
      </c>
      <c r="C3912" s="2" t="s">
        <v>15799</v>
      </c>
      <c r="D3912" s="169">
        <v>46103.0</v>
      </c>
      <c r="E3912" s="2">
        <v>3.472091013E9</v>
      </c>
      <c r="F3912" s="2" t="s">
        <v>15800</v>
      </c>
      <c r="G3912" s="2" t="s">
        <v>493</v>
      </c>
      <c r="H3912" s="2">
        <v>2199.0</v>
      </c>
      <c r="I3912" s="2">
        <v>2.01200500229E13</v>
      </c>
      <c r="J3912" s="3">
        <v>1.0</v>
      </c>
      <c r="K3912" s="2" t="s">
        <v>15801</v>
      </c>
      <c r="L3912" s="2" t="s">
        <v>220</v>
      </c>
      <c r="M3912" s="2" t="s">
        <v>409</v>
      </c>
      <c r="N3912" s="2" t="s">
        <v>462</v>
      </c>
      <c r="O3912" s="3"/>
      <c r="P3912" s="2" t="s">
        <v>73</v>
      </c>
      <c r="Q3912" s="3">
        <v>360.0</v>
      </c>
      <c r="R3912" s="3">
        <v>0.5</v>
      </c>
      <c r="T3912" s="2" t="s">
        <v>12503</v>
      </c>
      <c r="U3912" s="171">
        <v>2199.0</v>
      </c>
      <c r="V3912" s="172">
        <v>46115.0</v>
      </c>
      <c r="W3912" s="3">
        <v>323.67</v>
      </c>
      <c r="X3912" s="172">
        <v>46112.62460329861</v>
      </c>
      <c r="Y3912" s="172">
        <v>46103.89375689815</v>
      </c>
      <c r="Z3912" s="3">
        <v>46103.0</v>
      </c>
      <c r="AA3912" s="2" t="s">
        <v>14041</v>
      </c>
    </row>
    <row r="3913">
      <c r="A3913" s="3">
        <v>6.963301384451E12</v>
      </c>
      <c r="B3913" s="2" t="s">
        <v>15802</v>
      </c>
      <c r="C3913" s="2" t="s">
        <v>15718</v>
      </c>
      <c r="D3913" s="169">
        <v>46103.0</v>
      </c>
      <c r="E3913" s="173" t="s">
        <v>15803</v>
      </c>
      <c r="F3913" s="2" t="s">
        <v>15720</v>
      </c>
      <c r="G3913" s="2" t="s">
        <v>15721</v>
      </c>
      <c r="H3913" s="2">
        <v>3348.0</v>
      </c>
      <c r="I3913" s="2" t="s">
        <v>15804</v>
      </c>
      <c r="J3913" s="3">
        <v>2.0</v>
      </c>
      <c r="K3913" s="2" t="s">
        <v>204</v>
      </c>
      <c r="L3913" s="2" t="s">
        <v>50</v>
      </c>
      <c r="M3913" s="2" t="s">
        <v>409</v>
      </c>
      <c r="N3913" s="2" t="s">
        <v>406</v>
      </c>
      <c r="O3913" s="3"/>
      <c r="P3913" s="2" t="s">
        <v>640</v>
      </c>
      <c r="Q3913" s="3">
        <v>720.0</v>
      </c>
      <c r="R3913" s="3">
        <v>0.5</v>
      </c>
      <c r="U3913" s="141"/>
      <c r="X3913" s="172">
        <v>46116.83451988426</v>
      </c>
      <c r="Y3913" s="172">
        <v>46103.89375689815</v>
      </c>
      <c r="Z3913" s="3">
        <v>46103.0</v>
      </c>
      <c r="AA3913" s="2" t="s">
        <v>14032</v>
      </c>
    </row>
    <row r="3914">
      <c r="A3914" s="3">
        <v>6.963304759555E12</v>
      </c>
      <c r="B3914" s="2" t="s">
        <v>15805</v>
      </c>
      <c r="C3914" s="2" t="s">
        <v>15806</v>
      </c>
      <c r="D3914" s="169">
        <v>46103.0</v>
      </c>
      <c r="E3914" s="2">
        <v>3.707954157E9</v>
      </c>
      <c r="F3914" s="2" t="s">
        <v>15807</v>
      </c>
      <c r="G3914" s="2" t="s">
        <v>368</v>
      </c>
      <c r="H3914" s="2">
        <v>0.0</v>
      </c>
      <c r="J3914" s="3">
        <v>0.0</v>
      </c>
      <c r="K3914" s="2" t="s">
        <v>7954</v>
      </c>
      <c r="L3914" s="2"/>
      <c r="M3914" s="2" t="s">
        <v>468</v>
      </c>
      <c r="N3914" s="2" t="s">
        <v>406</v>
      </c>
      <c r="O3914" s="3"/>
      <c r="Q3914" s="3">
        <v>0.0</v>
      </c>
      <c r="R3914" s="3">
        <v>0.5</v>
      </c>
      <c r="U3914" s="141"/>
      <c r="X3914" s="172"/>
      <c r="Y3914" s="172">
        <v>46103.89375689815</v>
      </c>
      <c r="Z3914" s="3">
        <v>46103.0</v>
      </c>
      <c r="AA3914" s="2" t="s">
        <v>14032</v>
      </c>
    </row>
    <row r="3915">
      <c r="A3915" s="3">
        <v>6.963349520643E12</v>
      </c>
      <c r="B3915" s="2" t="s">
        <v>15808</v>
      </c>
      <c r="C3915" s="2" t="s">
        <v>15809</v>
      </c>
      <c r="D3915" s="169">
        <v>46103.0</v>
      </c>
      <c r="E3915" s="2">
        <v>9.23368725566E11</v>
      </c>
      <c r="F3915" s="2" t="s">
        <v>15810</v>
      </c>
      <c r="G3915" s="2" t="s">
        <v>15811</v>
      </c>
      <c r="H3915" s="2">
        <v>3348.0</v>
      </c>
      <c r="I3915" s="2">
        <v>2.2120050022899E13</v>
      </c>
      <c r="J3915" s="3">
        <v>2.0</v>
      </c>
      <c r="K3915" s="2" t="s">
        <v>14497</v>
      </c>
      <c r="L3915" s="2" t="s">
        <v>13413</v>
      </c>
      <c r="M3915" s="2" t="s">
        <v>409</v>
      </c>
      <c r="N3915" s="2" t="s">
        <v>462</v>
      </c>
      <c r="O3915" s="3"/>
      <c r="P3915" s="2" t="s">
        <v>73</v>
      </c>
      <c r="Q3915" s="3">
        <v>800.0</v>
      </c>
      <c r="R3915" s="3">
        <v>0.5</v>
      </c>
      <c r="T3915" s="2" t="s">
        <v>14037</v>
      </c>
      <c r="U3915" s="171">
        <v>3348.0</v>
      </c>
      <c r="V3915" s="172">
        <v>46112.0</v>
      </c>
      <c r="W3915" s="3">
        <v>355.0</v>
      </c>
      <c r="X3915" s="172">
        <v>46108.66613216435</v>
      </c>
      <c r="Y3915" s="172">
        <v>46103.935425648146</v>
      </c>
      <c r="Z3915" s="3">
        <v>46103.0</v>
      </c>
      <c r="AA3915" s="2" t="s">
        <v>14041</v>
      </c>
    </row>
    <row r="3916">
      <c r="A3916" s="3">
        <v>6.963435077891E12</v>
      </c>
      <c r="B3916" s="2" t="s">
        <v>15812</v>
      </c>
      <c r="C3916" s="2" t="s">
        <v>15813</v>
      </c>
      <c r="D3916" s="169">
        <v>46103.0</v>
      </c>
      <c r="E3916" s="2">
        <v>9.23000600979E11</v>
      </c>
      <c r="F3916" s="2" t="s">
        <v>15814</v>
      </c>
      <c r="G3916" s="2" t="s">
        <v>3310</v>
      </c>
      <c r="H3916" s="2">
        <v>2049.0</v>
      </c>
      <c r="I3916" s="2">
        <v>2.5120050022985E13</v>
      </c>
      <c r="J3916" s="3">
        <v>1.0</v>
      </c>
      <c r="K3916" s="2" t="s">
        <v>14845</v>
      </c>
      <c r="L3916" s="2" t="s">
        <v>5830</v>
      </c>
      <c r="M3916" s="2" t="s">
        <v>409</v>
      </c>
      <c r="N3916" s="2" t="s">
        <v>462</v>
      </c>
      <c r="O3916" s="3"/>
      <c r="P3916" s="2" t="s">
        <v>73</v>
      </c>
      <c r="Q3916" s="3">
        <v>360.0</v>
      </c>
      <c r="R3916" s="3">
        <v>0.5</v>
      </c>
      <c r="T3916" s="2" t="s">
        <v>14037</v>
      </c>
      <c r="U3916" s="171">
        <v>2049.0</v>
      </c>
      <c r="V3916" s="172">
        <v>46112.0</v>
      </c>
      <c r="W3916" s="3">
        <v>303.0</v>
      </c>
      <c r="X3916" s="172">
        <v>46111.52114540509</v>
      </c>
      <c r="Y3916" s="172">
        <v>46103.97709741898</v>
      </c>
      <c r="Z3916" s="3">
        <v>46103.0</v>
      </c>
      <c r="AA3916" s="2" t="s">
        <v>14032</v>
      </c>
    </row>
    <row r="3917">
      <c r="A3917" s="3">
        <v>6.963435700483E12</v>
      </c>
      <c r="B3917" s="2" t="s">
        <v>15815</v>
      </c>
      <c r="C3917" s="2" t="s">
        <v>8141</v>
      </c>
      <c r="D3917" s="169">
        <v>46103.0</v>
      </c>
      <c r="E3917" s="2">
        <v>3.212437337E9</v>
      </c>
      <c r="F3917" s="2" t="s">
        <v>15816</v>
      </c>
      <c r="G3917" s="2" t="s">
        <v>493</v>
      </c>
      <c r="H3917" s="2">
        <v>3999.0</v>
      </c>
      <c r="I3917" s="2">
        <v>2.0120050022898E13</v>
      </c>
      <c r="J3917" s="3">
        <v>3.0</v>
      </c>
      <c r="K3917" s="2" t="s">
        <v>15817</v>
      </c>
      <c r="L3917" s="2" t="s">
        <v>15818</v>
      </c>
      <c r="M3917" s="2" t="s">
        <v>409</v>
      </c>
      <c r="N3917" s="2" t="s">
        <v>462</v>
      </c>
      <c r="O3917" s="3"/>
      <c r="P3917" s="2" t="s">
        <v>73</v>
      </c>
      <c r="Q3917" s="3">
        <v>2250.0</v>
      </c>
      <c r="R3917" s="3">
        <v>0.5</v>
      </c>
      <c r="T3917" s="2" t="s">
        <v>14037</v>
      </c>
      <c r="U3917" s="171">
        <v>3999.0</v>
      </c>
      <c r="V3917" s="172">
        <v>46112.0</v>
      </c>
      <c r="W3917" s="3">
        <v>396.0</v>
      </c>
      <c r="X3917" s="172">
        <v>46111.771019374995</v>
      </c>
      <c r="Y3917" s="172">
        <v>46103.97709743056</v>
      </c>
      <c r="Z3917" s="3">
        <v>46103.0</v>
      </c>
      <c r="AA3917" s="2" t="s">
        <v>14032</v>
      </c>
    </row>
    <row r="3918">
      <c r="A3918" s="3">
        <v>6.963439304963E12</v>
      </c>
      <c r="B3918" s="2" t="s">
        <v>15819</v>
      </c>
      <c r="C3918" s="2" t="s">
        <v>11508</v>
      </c>
      <c r="D3918" s="169">
        <v>46103.0</v>
      </c>
      <c r="E3918" s="2">
        <v>3.004061425E9</v>
      </c>
      <c r="F3918" s="2" t="s">
        <v>15820</v>
      </c>
      <c r="G3918" s="2" t="s">
        <v>368</v>
      </c>
      <c r="H3918" s="2">
        <v>249.0</v>
      </c>
      <c r="I3918" s="2">
        <v>2.4120050022897E13</v>
      </c>
      <c r="J3918" s="3">
        <v>0.0</v>
      </c>
      <c r="K3918" s="2" t="s">
        <v>15535</v>
      </c>
      <c r="L3918" s="2"/>
      <c r="M3918" s="170" t="s">
        <v>455</v>
      </c>
      <c r="N3918" s="2" t="s">
        <v>406</v>
      </c>
      <c r="O3918" s="3"/>
      <c r="P3918" s="2" t="s">
        <v>73</v>
      </c>
      <c r="Q3918" s="3">
        <v>0.0</v>
      </c>
      <c r="R3918" s="3">
        <v>0.5</v>
      </c>
      <c r="U3918" s="141"/>
      <c r="W3918" s="3">
        <v>117.86</v>
      </c>
      <c r="X3918" s="172">
        <v>46114.874493958334</v>
      </c>
      <c r="Y3918" s="172">
        <v>46103.97709743056</v>
      </c>
      <c r="Z3918" s="3">
        <v>46103.0</v>
      </c>
      <c r="AA3918" s="2" t="s">
        <v>14032</v>
      </c>
    </row>
    <row r="3919">
      <c r="A3919" s="3">
        <v>6.963453296899E12</v>
      </c>
      <c r="B3919" s="2" t="s">
        <v>15821</v>
      </c>
      <c r="C3919" s="2" t="s">
        <v>264</v>
      </c>
      <c r="D3919" s="169">
        <v>46103.0</v>
      </c>
      <c r="E3919" s="2">
        <v>3.040220717E9</v>
      </c>
      <c r="F3919" s="2" t="s">
        <v>15822</v>
      </c>
      <c r="G3919" s="2" t="s">
        <v>368</v>
      </c>
      <c r="H3919" s="2">
        <v>249.0</v>
      </c>
      <c r="I3919" s="2">
        <v>2.4120050022896E13</v>
      </c>
      <c r="J3919" s="3">
        <v>0.0</v>
      </c>
      <c r="K3919" s="2" t="s">
        <v>15535</v>
      </c>
      <c r="L3919" s="2"/>
      <c r="M3919" s="170" t="s">
        <v>455</v>
      </c>
      <c r="N3919" s="2" t="s">
        <v>406</v>
      </c>
      <c r="O3919" s="3"/>
      <c r="P3919" s="2" t="s">
        <v>73</v>
      </c>
      <c r="Q3919" s="3">
        <v>0.0</v>
      </c>
      <c r="R3919" s="3">
        <v>0.5</v>
      </c>
      <c r="U3919" s="141"/>
      <c r="W3919" s="3">
        <v>117.86</v>
      </c>
      <c r="X3919" s="172">
        <v>46114.87449398148</v>
      </c>
      <c r="Y3919" s="172">
        <v>46103.97709743056</v>
      </c>
      <c r="Z3919" s="3">
        <v>46103.0</v>
      </c>
      <c r="AA3919" s="2" t="s">
        <v>14041</v>
      </c>
    </row>
    <row r="3920">
      <c r="A3920" s="3">
        <v>6.963471745283E12</v>
      </c>
      <c r="B3920" s="2" t="s">
        <v>15823</v>
      </c>
      <c r="C3920" s="2" t="s">
        <v>15824</v>
      </c>
      <c r="D3920" s="169">
        <v>46103.0</v>
      </c>
      <c r="E3920" s="2">
        <v>3.002188455E9</v>
      </c>
      <c r="F3920" s="2" t="s">
        <v>15825</v>
      </c>
      <c r="G3920" s="2" t="s">
        <v>493</v>
      </c>
      <c r="H3920" s="2">
        <v>249.0</v>
      </c>
      <c r="I3920" s="2">
        <v>2.7120050022895E13</v>
      </c>
      <c r="J3920" s="3">
        <v>0.0</v>
      </c>
      <c r="K3920" s="2" t="s">
        <v>15685</v>
      </c>
      <c r="L3920" s="2"/>
      <c r="M3920" s="170" t="s">
        <v>455</v>
      </c>
      <c r="N3920" s="2" t="s">
        <v>406</v>
      </c>
      <c r="O3920" s="3"/>
      <c r="P3920" s="2" t="s">
        <v>73</v>
      </c>
      <c r="Q3920" s="3">
        <v>0.0</v>
      </c>
      <c r="R3920" s="3">
        <v>0.5</v>
      </c>
      <c r="U3920" s="141"/>
      <c r="W3920" s="3">
        <v>235.70999999999998</v>
      </c>
      <c r="X3920" s="172">
        <v>46119.081096215275</v>
      </c>
      <c r="Y3920" s="172">
        <v>46104.018772951385</v>
      </c>
      <c r="Z3920" s="3">
        <v>46103.0</v>
      </c>
      <c r="AA3920" s="2" t="s">
        <v>14041</v>
      </c>
    </row>
    <row r="3921">
      <c r="A3921" s="3">
        <v>6.963502383363E12</v>
      </c>
      <c r="B3921" s="2" t="s">
        <v>15826</v>
      </c>
      <c r="C3921" s="2" t="s">
        <v>15827</v>
      </c>
      <c r="D3921" s="169">
        <v>46104.0</v>
      </c>
      <c r="E3921" s="173" t="s">
        <v>15828</v>
      </c>
      <c r="F3921" s="2" t="s">
        <v>15829</v>
      </c>
      <c r="G3921" s="2" t="s">
        <v>527</v>
      </c>
      <c r="H3921" s="2">
        <v>3348.0</v>
      </c>
      <c r="I3921" s="2">
        <v>2.5120050022894E13</v>
      </c>
      <c r="J3921" s="3">
        <v>2.0</v>
      </c>
      <c r="K3921" s="2" t="s">
        <v>14497</v>
      </c>
      <c r="L3921" s="2" t="s">
        <v>22</v>
      </c>
      <c r="M3921" s="2" t="s">
        <v>409</v>
      </c>
      <c r="N3921" s="2" t="s">
        <v>462</v>
      </c>
      <c r="O3921" s="3"/>
      <c r="P3921" s="2" t="s">
        <v>73</v>
      </c>
      <c r="Q3921" s="3">
        <v>800.0</v>
      </c>
      <c r="R3921" s="3">
        <v>0.5</v>
      </c>
      <c r="T3921" s="2" t="s">
        <v>14037</v>
      </c>
      <c r="U3921" s="171">
        <v>3348.0</v>
      </c>
      <c r="V3921" s="172">
        <v>46112.0</v>
      </c>
      <c r="W3921" s="3">
        <v>355.0</v>
      </c>
      <c r="X3921" s="172">
        <v>46109.5828606713</v>
      </c>
      <c r="Y3921" s="172">
        <v>46104.01877296296</v>
      </c>
      <c r="Z3921" s="3">
        <v>46104.0</v>
      </c>
      <c r="AA3921" s="2" t="s">
        <v>14032</v>
      </c>
    </row>
    <row r="3922">
      <c r="A3922" s="3">
        <v>6.963503038723E12</v>
      </c>
      <c r="B3922" s="2" t="s">
        <v>15830</v>
      </c>
      <c r="C3922" s="2" t="s">
        <v>15831</v>
      </c>
      <c r="D3922" s="169">
        <v>46104.0</v>
      </c>
      <c r="E3922" s="2">
        <v>3.302395601E9</v>
      </c>
      <c r="F3922" s="2" t="s">
        <v>15832</v>
      </c>
      <c r="G3922" s="2" t="s">
        <v>15833</v>
      </c>
      <c r="H3922" s="2">
        <v>0.0</v>
      </c>
      <c r="J3922" s="3">
        <v>0.0</v>
      </c>
      <c r="K3922" s="2" t="s">
        <v>15834</v>
      </c>
      <c r="L3922" s="2"/>
      <c r="M3922" s="2" t="s">
        <v>468</v>
      </c>
      <c r="N3922" s="2" t="s">
        <v>406</v>
      </c>
      <c r="O3922" s="3"/>
      <c r="Q3922" s="3">
        <v>0.0</v>
      </c>
      <c r="R3922" s="3">
        <v>0.5</v>
      </c>
      <c r="U3922" s="141"/>
      <c r="X3922" s="172"/>
      <c r="Y3922" s="172">
        <v>46104.01877296296</v>
      </c>
      <c r="Z3922" s="3">
        <v>46104.0</v>
      </c>
      <c r="AA3922" s="2" t="s">
        <v>14053</v>
      </c>
    </row>
    <row r="3923">
      <c r="A3923" s="3">
        <v>6.963623166211E12</v>
      </c>
      <c r="B3923" s="2" t="s">
        <v>15835</v>
      </c>
      <c r="C3923" s="2" t="s">
        <v>15836</v>
      </c>
      <c r="D3923" s="169">
        <v>46104.0</v>
      </c>
      <c r="E3923" s="173" t="s">
        <v>15837</v>
      </c>
      <c r="F3923" s="2" t="s">
        <v>15838</v>
      </c>
      <c r="G3923" s="2" t="s">
        <v>374</v>
      </c>
      <c r="H3923" s="2">
        <v>3499.0</v>
      </c>
      <c r="I3923" s="2">
        <v>2.3120050022893E13</v>
      </c>
      <c r="J3923" s="3">
        <v>2.0</v>
      </c>
      <c r="K3923" s="2" t="s">
        <v>15616</v>
      </c>
      <c r="L3923" s="2" t="s">
        <v>1116</v>
      </c>
      <c r="M3923" s="2" t="s">
        <v>409</v>
      </c>
      <c r="N3923" s="2" t="s">
        <v>462</v>
      </c>
      <c r="O3923" s="3"/>
      <c r="P3923" s="2" t="s">
        <v>73</v>
      </c>
      <c r="Q3923" s="3">
        <v>800.0</v>
      </c>
      <c r="R3923" s="3">
        <v>0.5</v>
      </c>
      <c r="T3923" s="2" t="s">
        <v>14037</v>
      </c>
      <c r="U3923" s="171">
        <v>3499.0</v>
      </c>
      <c r="V3923" s="172">
        <v>46112.0</v>
      </c>
      <c r="W3923" s="3">
        <v>361.0</v>
      </c>
      <c r="X3923" s="172">
        <v>46109.791119699075</v>
      </c>
      <c r="Y3923" s="172">
        <v>46104.10211045139</v>
      </c>
      <c r="Z3923" s="3">
        <v>46104.0</v>
      </c>
      <c r="AA3923" s="2" t="s">
        <v>14032</v>
      </c>
    </row>
    <row r="3924">
      <c r="A3924" s="3">
        <v>6.963638894851E12</v>
      </c>
      <c r="B3924" s="2" t="s">
        <v>15839</v>
      </c>
      <c r="C3924" s="2" t="s">
        <v>3135</v>
      </c>
      <c r="D3924" s="169">
        <v>46104.0</v>
      </c>
      <c r="E3924" s="2">
        <v>3.337111865E9</v>
      </c>
      <c r="F3924" s="2" t="s">
        <v>15840</v>
      </c>
      <c r="G3924" s="2" t="s">
        <v>493</v>
      </c>
      <c r="H3924" s="2">
        <v>2199.0</v>
      </c>
      <c r="I3924" s="2">
        <v>2.9120050022984E13</v>
      </c>
      <c r="J3924" s="3">
        <v>1.0</v>
      </c>
      <c r="K3924" s="2" t="s">
        <v>15841</v>
      </c>
      <c r="L3924" s="2" t="s">
        <v>15842</v>
      </c>
      <c r="M3924" s="2" t="s">
        <v>409</v>
      </c>
      <c r="N3924" s="2" t="s">
        <v>462</v>
      </c>
      <c r="O3924" s="3"/>
      <c r="P3924" s="2" t="s">
        <v>73</v>
      </c>
      <c r="Q3924" s="3">
        <v>360.0</v>
      </c>
      <c r="R3924" s="3">
        <v>0.5</v>
      </c>
      <c r="T3924" s="2" t="s">
        <v>15356</v>
      </c>
      <c r="U3924" s="171">
        <v>2199.0</v>
      </c>
      <c r="V3924" s="172">
        <v>46122.0</v>
      </c>
      <c r="W3924" s="3">
        <v>323.67</v>
      </c>
      <c r="X3924" s="172">
        <v>46121.0809943287</v>
      </c>
      <c r="Y3924" s="172">
        <v>46104.10211045139</v>
      </c>
      <c r="Z3924" s="3">
        <v>46104.0</v>
      </c>
      <c r="AA3924" s="2" t="s">
        <v>14032</v>
      </c>
    </row>
    <row r="3925">
      <c r="A3925" s="3">
        <v>6.963644498179E12</v>
      </c>
      <c r="B3925" s="2" t="s">
        <v>15843</v>
      </c>
      <c r="C3925" s="2" t="s">
        <v>224</v>
      </c>
      <c r="D3925" s="169">
        <v>46104.0</v>
      </c>
      <c r="E3925" s="2">
        <v>3.339891196E9</v>
      </c>
      <c r="F3925" s="2" t="s">
        <v>15844</v>
      </c>
      <c r="G3925" s="2" t="s">
        <v>493</v>
      </c>
      <c r="H3925" s="2">
        <v>3348.0</v>
      </c>
      <c r="I3925" s="2">
        <v>2.512005002304E13</v>
      </c>
      <c r="J3925" s="3">
        <v>2.0</v>
      </c>
      <c r="K3925" s="2" t="s">
        <v>204</v>
      </c>
      <c r="L3925" s="2" t="s">
        <v>27</v>
      </c>
      <c r="M3925" s="2" t="s">
        <v>14076</v>
      </c>
      <c r="N3925" s="2" t="s">
        <v>406</v>
      </c>
      <c r="O3925" s="3"/>
      <c r="P3925" s="2" t="s">
        <v>73</v>
      </c>
      <c r="Q3925" s="3">
        <v>720.0</v>
      </c>
      <c r="R3925" s="3">
        <v>0.5</v>
      </c>
      <c r="U3925" s="141"/>
      <c r="X3925" s="172">
        <v>46122.081066631945</v>
      </c>
      <c r="Y3925" s="172">
        <v>46104.10211045139</v>
      </c>
      <c r="Z3925" s="3">
        <v>46104.0</v>
      </c>
      <c r="AA3925" s="2" t="s">
        <v>14053</v>
      </c>
    </row>
    <row r="3926">
      <c r="A3926" s="3">
        <v>6.963712950531E12</v>
      </c>
      <c r="B3926" s="2" t="s">
        <v>15845</v>
      </c>
      <c r="C3926" s="2" t="s">
        <v>15846</v>
      </c>
      <c r="D3926" s="169">
        <v>46104.0</v>
      </c>
      <c r="E3926" s="2">
        <v>3.377010007E9</v>
      </c>
      <c r="F3926" s="2" t="s">
        <v>15847</v>
      </c>
      <c r="G3926" s="2" t="s">
        <v>15848</v>
      </c>
      <c r="H3926" s="2">
        <v>249.0</v>
      </c>
      <c r="I3926" s="2">
        <v>2.4120050022892E13</v>
      </c>
      <c r="J3926" s="3">
        <v>0.0</v>
      </c>
      <c r="K3926" s="2" t="s">
        <v>15849</v>
      </c>
      <c r="L3926" s="2"/>
      <c r="M3926" s="170" t="s">
        <v>455</v>
      </c>
      <c r="N3926" s="2" t="s">
        <v>406</v>
      </c>
      <c r="O3926" s="3"/>
      <c r="P3926" s="2" t="s">
        <v>73</v>
      </c>
      <c r="Q3926" s="3">
        <v>0.0</v>
      </c>
      <c r="R3926" s="3">
        <v>0.5</v>
      </c>
      <c r="U3926" s="141"/>
      <c r="W3926" s="3">
        <v>243.08</v>
      </c>
      <c r="X3926" s="172">
        <v>46113.91608318287</v>
      </c>
      <c r="Y3926" s="172">
        <v>46104.18544163194</v>
      </c>
      <c r="Z3926" s="3">
        <v>46104.0</v>
      </c>
      <c r="AA3926" s="2" t="s">
        <v>14041</v>
      </c>
    </row>
    <row r="3927">
      <c r="A3927" s="3">
        <v>6.963725304067E12</v>
      </c>
      <c r="B3927" s="2" t="s">
        <v>15850</v>
      </c>
      <c r="C3927" s="2" t="s">
        <v>15851</v>
      </c>
      <c r="D3927" s="169">
        <v>46104.0</v>
      </c>
      <c r="E3927" s="2">
        <v>3.430941325E9</v>
      </c>
      <c r="F3927" s="2" t="s">
        <v>15852</v>
      </c>
      <c r="G3927" s="2" t="s">
        <v>15853</v>
      </c>
      <c r="H3927" s="2">
        <v>249.0</v>
      </c>
      <c r="I3927" s="2">
        <v>1.73012118657E11</v>
      </c>
      <c r="J3927" s="3">
        <v>0.0</v>
      </c>
      <c r="K3927" s="2" t="s">
        <v>15854</v>
      </c>
      <c r="L3927" s="2"/>
      <c r="M3927" s="170" t="s">
        <v>455</v>
      </c>
      <c r="N3927" s="2" t="s">
        <v>406</v>
      </c>
      <c r="O3927" s="3"/>
      <c r="P3927" s="2" t="s">
        <v>501</v>
      </c>
      <c r="Q3927" s="3">
        <v>0.0</v>
      </c>
      <c r="R3927" s="3">
        <v>0.5</v>
      </c>
      <c r="U3927" s="141"/>
      <c r="X3927" s="172">
        <v>46130.08272842593</v>
      </c>
      <c r="Y3927" s="172">
        <v>46104.18544163194</v>
      </c>
      <c r="Z3927" s="3">
        <v>46104.0</v>
      </c>
      <c r="AA3927" s="2" t="s">
        <v>14032</v>
      </c>
    </row>
    <row r="3928">
      <c r="A3928" s="3">
        <v>6.963742081283E12</v>
      </c>
      <c r="B3928" s="2" t="s">
        <v>15855</v>
      </c>
      <c r="C3928" s="2" t="s">
        <v>15856</v>
      </c>
      <c r="D3928" s="169">
        <v>46104.0</v>
      </c>
      <c r="E3928" s="2">
        <v>9.23104503657E11</v>
      </c>
      <c r="F3928" s="2" t="s">
        <v>15857</v>
      </c>
      <c r="G3928" s="2" t="s">
        <v>1257</v>
      </c>
      <c r="H3928" s="2">
        <v>3348.0</v>
      </c>
      <c r="I3928" s="2">
        <v>2.8120050022891E13</v>
      </c>
      <c r="J3928" s="3">
        <v>2.0</v>
      </c>
      <c r="K3928" s="2" t="s">
        <v>14497</v>
      </c>
      <c r="L3928" s="2" t="s">
        <v>50</v>
      </c>
      <c r="M3928" s="2" t="s">
        <v>409</v>
      </c>
      <c r="N3928" s="2" t="s">
        <v>462</v>
      </c>
      <c r="O3928" s="3"/>
      <c r="P3928" s="2" t="s">
        <v>73</v>
      </c>
      <c r="Q3928" s="3">
        <v>720.0</v>
      </c>
      <c r="R3928" s="3">
        <v>0.5</v>
      </c>
      <c r="T3928" s="2" t="s">
        <v>14037</v>
      </c>
      <c r="U3928" s="171">
        <v>3348.0</v>
      </c>
      <c r="V3928" s="172">
        <v>46112.0</v>
      </c>
      <c r="W3928" s="3">
        <v>355.0</v>
      </c>
      <c r="X3928" s="172">
        <v>46108.4994978125</v>
      </c>
      <c r="Y3928" s="172">
        <v>46104.18544163194</v>
      </c>
      <c r="Z3928" s="3">
        <v>46104.0</v>
      </c>
      <c r="AA3928" s="2" t="s">
        <v>14041</v>
      </c>
    </row>
    <row r="3929">
      <c r="A3929" s="3">
        <v>6.963810271491E12</v>
      </c>
      <c r="B3929" s="2" t="s">
        <v>15858</v>
      </c>
      <c r="C3929" s="2" t="s">
        <v>15859</v>
      </c>
      <c r="D3929" s="169">
        <v>46104.0</v>
      </c>
      <c r="E3929" s="2">
        <v>3.312331331E9</v>
      </c>
      <c r="F3929" s="2" t="s">
        <v>15860</v>
      </c>
      <c r="G3929" s="2" t="s">
        <v>506</v>
      </c>
      <c r="H3929" s="2">
        <v>3348.0</v>
      </c>
      <c r="I3929" s="2">
        <v>2.012005002289E13</v>
      </c>
      <c r="J3929" s="3">
        <v>2.0</v>
      </c>
      <c r="K3929" s="2" t="s">
        <v>14497</v>
      </c>
      <c r="L3929" s="2" t="s">
        <v>22</v>
      </c>
      <c r="M3929" s="2" t="s">
        <v>409</v>
      </c>
      <c r="N3929" s="2" t="s">
        <v>462</v>
      </c>
      <c r="O3929" s="3"/>
      <c r="P3929" s="2" t="s">
        <v>73</v>
      </c>
      <c r="Q3929" s="3">
        <v>800.0</v>
      </c>
      <c r="R3929" s="3">
        <v>0.5</v>
      </c>
      <c r="T3929" s="2" t="s">
        <v>14037</v>
      </c>
      <c r="U3929" s="171">
        <v>3348.0</v>
      </c>
      <c r="V3929" s="172">
        <v>46112.0</v>
      </c>
      <c r="W3929" s="3">
        <v>355.0</v>
      </c>
      <c r="X3929" s="172">
        <v>46109.58286164352</v>
      </c>
      <c r="Y3929" s="172">
        <v>46104.26874782407</v>
      </c>
      <c r="Z3929" s="3">
        <v>46104.0</v>
      </c>
      <c r="AA3929" s="2" t="s">
        <v>14103</v>
      </c>
    </row>
    <row r="3930">
      <c r="A3930" s="3">
        <v>6.963874496771E12</v>
      </c>
      <c r="B3930" s="2" t="s">
        <v>15861</v>
      </c>
      <c r="C3930" s="2" t="s">
        <v>15862</v>
      </c>
      <c r="D3930" s="169">
        <v>46104.0</v>
      </c>
      <c r="E3930" s="2">
        <v>3.335518265E9</v>
      </c>
      <c r="F3930" s="2" t="s">
        <v>15863</v>
      </c>
      <c r="G3930" s="2" t="s">
        <v>506</v>
      </c>
      <c r="H3930" s="2">
        <v>6198.0</v>
      </c>
      <c r="I3930" s="2">
        <v>2.1120050022889E13</v>
      </c>
      <c r="J3930" s="3">
        <v>4.0</v>
      </c>
      <c r="K3930" s="2" t="s">
        <v>15864</v>
      </c>
      <c r="L3930" s="2" t="s">
        <v>299</v>
      </c>
      <c r="M3930" s="2" t="s">
        <v>409</v>
      </c>
      <c r="N3930" s="2" t="s">
        <v>462</v>
      </c>
      <c r="O3930" s="3"/>
      <c r="P3930" s="2" t="s">
        <v>73</v>
      </c>
      <c r="Q3930" s="3">
        <v>1600.0</v>
      </c>
      <c r="R3930" s="3">
        <v>0.5</v>
      </c>
      <c r="T3930" s="2" t="s">
        <v>14037</v>
      </c>
      <c r="U3930" s="171">
        <v>6198.0</v>
      </c>
      <c r="V3930" s="172">
        <v>46112.0</v>
      </c>
      <c r="W3930" s="3">
        <v>491.0</v>
      </c>
      <c r="X3930" s="172">
        <v>46111.74950261574</v>
      </c>
      <c r="Y3930" s="172">
        <v>46104.31044773148</v>
      </c>
      <c r="Z3930" s="3">
        <v>46104.0</v>
      </c>
      <c r="AA3930" s="2" t="s">
        <v>14053</v>
      </c>
    </row>
    <row r="3931">
      <c r="A3931" s="3">
        <v>6.963924467971E12</v>
      </c>
      <c r="B3931" s="2" t="s">
        <v>15865</v>
      </c>
      <c r="C3931" s="2" t="s">
        <v>14876</v>
      </c>
      <c r="D3931" s="169">
        <v>46104.0</v>
      </c>
      <c r="E3931" s="2">
        <v>3.216993539E9</v>
      </c>
      <c r="F3931" s="2" t="s">
        <v>15866</v>
      </c>
      <c r="G3931" s="2" t="s">
        <v>14879</v>
      </c>
      <c r="H3931" s="2">
        <v>0.0</v>
      </c>
      <c r="J3931" s="3">
        <v>0.0</v>
      </c>
      <c r="K3931" s="2" t="s">
        <v>7809</v>
      </c>
      <c r="L3931" s="2"/>
      <c r="M3931" s="2" t="s">
        <v>468</v>
      </c>
      <c r="N3931" s="2" t="s">
        <v>406</v>
      </c>
      <c r="O3931" s="3"/>
      <c r="Q3931" s="3">
        <v>0.0</v>
      </c>
      <c r="R3931" s="3">
        <v>0.5</v>
      </c>
      <c r="U3931" s="141"/>
      <c r="X3931" s="172"/>
      <c r="Y3931" s="172">
        <v>46104.35210179398</v>
      </c>
      <c r="Z3931" s="3">
        <v>46104.0</v>
      </c>
      <c r="AA3931" s="2" t="s">
        <v>14053</v>
      </c>
    </row>
    <row r="3932">
      <c r="A3932" s="3">
        <v>6.963969425667E12</v>
      </c>
      <c r="B3932" s="2" t="s">
        <v>15867</v>
      </c>
      <c r="C3932" s="2" t="s">
        <v>15868</v>
      </c>
      <c r="D3932" s="169">
        <v>46104.0</v>
      </c>
      <c r="E3932" s="2">
        <v>3.473371363E9</v>
      </c>
      <c r="F3932" s="2" t="s">
        <v>15869</v>
      </c>
      <c r="G3932" s="2" t="s">
        <v>1395</v>
      </c>
      <c r="H3932" s="2">
        <v>3348.0</v>
      </c>
      <c r="I3932" s="2">
        <v>2.9120050022888E13</v>
      </c>
      <c r="J3932" s="3">
        <v>2.0</v>
      </c>
      <c r="K3932" s="2" t="s">
        <v>14411</v>
      </c>
      <c r="L3932" s="2" t="s">
        <v>27</v>
      </c>
      <c r="M3932" s="2" t="s">
        <v>409</v>
      </c>
      <c r="N3932" s="2" t="s">
        <v>462</v>
      </c>
      <c r="O3932" s="3"/>
      <c r="P3932" s="2" t="s">
        <v>73</v>
      </c>
      <c r="Q3932" s="3">
        <v>720.0</v>
      </c>
      <c r="R3932" s="3">
        <v>0.5</v>
      </c>
      <c r="T3932" s="2" t="s">
        <v>14037</v>
      </c>
      <c r="U3932" s="171">
        <v>3348.0</v>
      </c>
      <c r="V3932" s="172">
        <v>46112.0</v>
      </c>
      <c r="W3932" s="3">
        <v>370.0</v>
      </c>
      <c r="X3932" s="172">
        <v>46109.70783324074</v>
      </c>
      <c r="Y3932" s="172">
        <v>46104.39383465278</v>
      </c>
      <c r="Z3932" s="3">
        <v>46104.0</v>
      </c>
      <c r="AA3932" s="2" t="s">
        <v>14022</v>
      </c>
    </row>
    <row r="3933">
      <c r="A3933" s="3">
        <v>6.964033782019E12</v>
      </c>
      <c r="B3933" s="2" t="s">
        <v>15870</v>
      </c>
      <c r="C3933" s="2" t="s">
        <v>15871</v>
      </c>
      <c r="D3933" s="169">
        <v>46104.0</v>
      </c>
      <c r="E3933" s="173" t="s">
        <v>15872</v>
      </c>
      <c r="F3933" s="2" t="s">
        <v>15873</v>
      </c>
      <c r="G3933" s="2" t="s">
        <v>1425</v>
      </c>
      <c r="H3933" s="2">
        <v>249.0</v>
      </c>
      <c r="I3933" s="2">
        <v>2.2120050022887E13</v>
      </c>
      <c r="J3933" s="3">
        <v>0.0</v>
      </c>
      <c r="K3933" s="2" t="s">
        <v>15685</v>
      </c>
      <c r="L3933" s="2"/>
      <c r="M3933" s="170" t="s">
        <v>455</v>
      </c>
      <c r="N3933" s="2" t="s">
        <v>406</v>
      </c>
      <c r="O3933" s="3"/>
      <c r="P3933" s="2" t="s">
        <v>73</v>
      </c>
      <c r="Q3933" s="3">
        <v>0.0</v>
      </c>
      <c r="R3933" s="3">
        <v>0.5</v>
      </c>
      <c r="U3933" s="141"/>
      <c r="W3933" s="3">
        <v>235.70999999999998</v>
      </c>
      <c r="X3933" s="172">
        <v>46119.08109652778</v>
      </c>
      <c r="Y3933" s="172">
        <v>46104.43544082176</v>
      </c>
      <c r="Z3933" s="3">
        <v>46104.0</v>
      </c>
      <c r="AA3933" s="2" t="s">
        <v>14032</v>
      </c>
    </row>
    <row r="3934">
      <c r="A3934" s="3">
        <v>6.964097581315E12</v>
      </c>
      <c r="B3934" s="2" t="s">
        <v>15874</v>
      </c>
      <c r="C3934" s="2" t="s">
        <v>15875</v>
      </c>
      <c r="D3934" s="169">
        <v>46104.0</v>
      </c>
      <c r="E3934" s="2">
        <v>3.315076488E9</v>
      </c>
      <c r="F3934" s="2" t="s">
        <v>15876</v>
      </c>
      <c r="G3934" s="2" t="s">
        <v>366</v>
      </c>
      <c r="H3934" s="2">
        <v>3348.0</v>
      </c>
      <c r="I3934" s="2">
        <v>2.9120050022938E13</v>
      </c>
      <c r="J3934" s="3">
        <v>2.0</v>
      </c>
      <c r="K3934" s="2" t="s">
        <v>13839</v>
      </c>
      <c r="L3934" s="2" t="s">
        <v>27</v>
      </c>
      <c r="M3934" s="2" t="s">
        <v>409</v>
      </c>
      <c r="N3934" s="2" t="s">
        <v>462</v>
      </c>
      <c r="O3934" s="3"/>
      <c r="P3934" s="2" t="s">
        <v>73</v>
      </c>
      <c r="Q3934" s="3">
        <v>720.0</v>
      </c>
      <c r="R3934" s="3">
        <v>0.5</v>
      </c>
      <c r="T3934" s="2" t="s">
        <v>12503</v>
      </c>
      <c r="U3934" s="171">
        <v>3348.0</v>
      </c>
      <c r="V3934" s="172">
        <v>46115.0</v>
      </c>
      <c r="W3934" s="3">
        <v>354.9</v>
      </c>
      <c r="X3934" s="172">
        <v>46114.54130684028</v>
      </c>
      <c r="Y3934" s="172">
        <v>46104.518787106485</v>
      </c>
      <c r="Z3934" s="3">
        <v>46104.0</v>
      </c>
      <c r="AA3934" s="2" t="s">
        <v>14041</v>
      </c>
    </row>
    <row r="3935">
      <c r="A3935" s="3">
        <v>6.964129038595E12</v>
      </c>
      <c r="B3935" s="2" t="s">
        <v>15877</v>
      </c>
      <c r="C3935" s="2" t="s">
        <v>15878</v>
      </c>
      <c r="D3935" s="169">
        <v>46104.0</v>
      </c>
      <c r="E3935" s="2">
        <v>3.171933945E9</v>
      </c>
      <c r="F3935" s="2" t="s">
        <v>15879</v>
      </c>
      <c r="G3935" s="2" t="s">
        <v>10829</v>
      </c>
      <c r="H3935" s="2">
        <v>0.0</v>
      </c>
      <c r="J3935" s="3">
        <v>0.0</v>
      </c>
      <c r="K3935" s="2" t="s">
        <v>7954</v>
      </c>
      <c r="L3935" s="2"/>
      <c r="M3935" s="2" t="s">
        <v>468</v>
      </c>
      <c r="N3935" s="2" t="s">
        <v>406</v>
      </c>
      <c r="O3935" s="3"/>
      <c r="Q3935" s="3">
        <v>0.0</v>
      </c>
      <c r="R3935" s="3">
        <v>0.5</v>
      </c>
      <c r="U3935" s="141"/>
      <c r="X3935" s="172"/>
      <c r="Y3935" s="172">
        <v>46104.518787106485</v>
      </c>
      <c r="Z3935" s="3">
        <v>46104.0</v>
      </c>
      <c r="AA3935" s="2" t="s">
        <v>14032</v>
      </c>
    </row>
    <row r="3936">
      <c r="A3936" s="3">
        <v>6.964139229443E12</v>
      </c>
      <c r="B3936" s="2" t="s">
        <v>15880</v>
      </c>
      <c r="C3936" s="2" t="s">
        <v>15878</v>
      </c>
      <c r="D3936" s="169">
        <v>46104.0</v>
      </c>
      <c r="E3936" s="2">
        <v>3.171933945E9</v>
      </c>
      <c r="F3936" s="2" t="s">
        <v>15879</v>
      </c>
      <c r="G3936" s="2" t="s">
        <v>10829</v>
      </c>
      <c r="H3936" s="2">
        <v>6549.0</v>
      </c>
      <c r="I3936" s="2">
        <v>2.1120050022983E13</v>
      </c>
      <c r="J3936" s="3">
        <v>3.0</v>
      </c>
      <c r="K3936" s="2" t="s">
        <v>15881</v>
      </c>
      <c r="L3936" s="2" t="s">
        <v>15882</v>
      </c>
      <c r="M3936" s="2" t="s">
        <v>409</v>
      </c>
      <c r="N3936" s="2" t="s">
        <v>462</v>
      </c>
      <c r="O3936" s="3"/>
      <c r="P3936" s="2" t="s">
        <v>73</v>
      </c>
      <c r="Q3936" s="3">
        <v>2120.0</v>
      </c>
      <c r="R3936" s="3">
        <v>0.5</v>
      </c>
      <c r="T3936" s="2" t="s">
        <v>12503</v>
      </c>
      <c r="U3936" s="171">
        <v>6549.0</v>
      </c>
      <c r="V3936" s="172">
        <v>46115.0</v>
      </c>
      <c r="W3936" s="3">
        <v>512.4</v>
      </c>
      <c r="X3936" s="172">
        <v>46112.49946553241</v>
      </c>
      <c r="Y3936" s="172">
        <v>46104.56041554398</v>
      </c>
      <c r="Z3936" s="3">
        <v>46104.0</v>
      </c>
      <c r="AA3936" s="2" t="s">
        <v>14032</v>
      </c>
    </row>
    <row r="3937">
      <c r="A3937" s="3">
        <v>6.964149879043E12</v>
      </c>
      <c r="B3937" s="2" t="s">
        <v>15883</v>
      </c>
      <c r="C3937" s="2" t="s">
        <v>15884</v>
      </c>
      <c r="D3937" s="169">
        <v>46104.0</v>
      </c>
      <c r="E3937" s="2">
        <v>3.216595195E9</v>
      </c>
      <c r="F3937" s="2" t="s">
        <v>15885</v>
      </c>
      <c r="G3937" s="2" t="s">
        <v>9519</v>
      </c>
      <c r="H3937" s="2">
        <v>4998.0</v>
      </c>
      <c r="I3937" s="2">
        <v>2.9120050022853E13</v>
      </c>
      <c r="J3937" s="3">
        <v>3.0</v>
      </c>
      <c r="K3937" s="2" t="s">
        <v>15886</v>
      </c>
      <c r="L3937" s="2" t="s">
        <v>15887</v>
      </c>
      <c r="M3937" s="2" t="s">
        <v>409</v>
      </c>
      <c r="N3937" s="2" t="s">
        <v>462</v>
      </c>
      <c r="O3937" s="3"/>
      <c r="P3937" s="2" t="s">
        <v>73</v>
      </c>
      <c r="Q3937" s="3">
        <v>1710.0</v>
      </c>
      <c r="R3937" s="3">
        <v>0.5</v>
      </c>
      <c r="T3937" s="2" t="s">
        <v>12503</v>
      </c>
      <c r="U3937" s="171">
        <v>4998.0</v>
      </c>
      <c r="V3937" s="172">
        <v>46115.0</v>
      </c>
      <c r="W3937" s="3">
        <v>443.0</v>
      </c>
      <c r="X3937" s="172">
        <v>46113.707798483796</v>
      </c>
      <c r="Y3937" s="172">
        <v>46104.56041554398</v>
      </c>
      <c r="Z3937" s="3">
        <v>46104.0</v>
      </c>
      <c r="AA3937" s="2" t="s">
        <v>14041</v>
      </c>
    </row>
    <row r="3938">
      <c r="A3938" s="3">
        <v>6.964163772675E12</v>
      </c>
      <c r="B3938" s="2" t="s">
        <v>15888</v>
      </c>
      <c r="C3938" s="2" t="s">
        <v>15889</v>
      </c>
      <c r="D3938" s="169">
        <v>46104.0</v>
      </c>
      <c r="E3938" s="2">
        <v>3.248888833E9</v>
      </c>
      <c r="F3938" s="2" t="s">
        <v>15890</v>
      </c>
      <c r="G3938" s="2" t="s">
        <v>368</v>
      </c>
      <c r="H3938" s="2">
        <v>5198.0</v>
      </c>
      <c r="I3938" s="2">
        <v>2.1120050022886E13</v>
      </c>
      <c r="J3938" s="3">
        <v>3.0</v>
      </c>
      <c r="K3938" s="2" t="s">
        <v>15891</v>
      </c>
      <c r="L3938" s="2" t="s">
        <v>15892</v>
      </c>
      <c r="M3938" s="2" t="s">
        <v>409</v>
      </c>
      <c r="N3938" s="2" t="s">
        <v>462</v>
      </c>
      <c r="O3938" s="3"/>
      <c r="P3938" s="2" t="s">
        <v>73</v>
      </c>
      <c r="Q3938" s="3">
        <v>1210.0</v>
      </c>
      <c r="R3938" s="3">
        <v>0.5</v>
      </c>
      <c r="T3938" s="2" t="s">
        <v>14037</v>
      </c>
      <c r="U3938" s="171">
        <v>5198.0</v>
      </c>
      <c r="V3938" s="172">
        <v>46112.0</v>
      </c>
      <c r="W3938" s="3">
        <v>341.0</v>
      </c>
      <c r="X3938" s="172">
        <v>46108.49949787037</v>
      </c>
      <c r="Y3938" s="172">
        <v>46104.56041554398</v>
      </c>
      <c r="Z3938" s="3">
        <v>46104.0</v>
      </c>
      <c r="AA3938" s="2" t="s">
        <v>14053</v>
      </c>
    </row>
    <row r="3939">
      <c r="A3939" s="3">
        <v>6.964183826691E12</v>
      </c>
      <c r="B3939" s="2" t="s">
        <v>15893</v>
      </c>
      <c r="C3939" s="2" t="s">
        <v>15894</v>
      </c>
      <c r="D3939" s="169">
        <v>46104.0</v>
      </c>
      <c r="E3939" s="2">
        <v>3.216352829E9</v>
      </c>
      <c r="F3939" s="2" t="s">
        <v>15895</v>
      </c>
      <c r="G3939" s="2" t="s">
        <v>541</v>
      </c>
      <c r="H3939" s="2">
        <v>3499.0</v>
      </c>
      <c r="I3939" s="2">
        <v>2.2120050022852E13</v>
      </c>
      <c r="J3939" s="3">
        <v>2.0</v>
      </c>
      <c r="K3939" s="2" t="s">
        <v>15616</v>
      </c>
      <c r="L3939" s="2" t="s">
        <v>275</v>
      </c>
      <c r="M3939" s="2" t="s">
        <v>409</v>
      </c>
      <c r="N3939" s="2" t="s">
        <v>462</v>
      </c>
      <c r="O3939" s="3"/>
      <c r="P3939" s="2" t="s">
        <v>73</v>
      </c>
      <c r="Q3939" s="3">
        <v>800.0</v>
      </c>
      <c r="R3939" s="3">
        <v>0.5</v>
      </c>
      <c r="T3939" s="2" t="s">
        <v>14037</v>
      </c>
      <c r="U3939" s="171">
        <v>3499.0</v>
      </c>
      <c r="V3939" s="172">
        <v>46112.0</v>
      </c>
      <c r="W3939" s="3">
        <v>361.0</v>
      </c>
      <c r="X3939" s="172">
        <v>46109.5410662037</v>
      </c>
      <c r="Y3939" s="172">
        <v>46104.602091967594</v>
      </c>
      <c r="Z3939" s="3">
        <v>46104.0</v>
      </c>
      <c r="AA3939" s="2" t="s">
        <v>14041</v>
      </c>
    </row>
    <row r="3940">
      <c r="A3940" s="3">
        <v>6.964195459331E12</v>
      </c>
      <c r="B3940" s="2" t="s">
        <v>15896</v>
      </c>
      <c r="C3940" s="2" t="s">
        <v>15897</v>
      </c>
      <c r="D3940" s="169">
        <v>46104.0</v>
      </c>
      <c r="E3940" s="173" t="s">
        <v>15184</v>
      </c>
      <c r="F3940" s="2" t="s">
        <v>15898</v>
      </c>
      <c r="G3940" s="2" t="s">
        <v>15899</v>
      </c>
      <c r="H3940" s="2">
        <v>0.0</v>
      </c>
      <c r="J3940" s="3">
        <v>0.0</v>
      </c>
      <c r="K3940" s="2" t="s">
        <v>8446</v>
      </c>
      <c r="L3940" s="2"/>
      <c r="M3940" s="2" t="s">
        <v>468</v>
      </c>
      <c r="N3940" s="2" t="s">
        <v>406</v>
      </c>
      <c r="O3940" s="3"/>
      <c r="Q3940" s="3">
        <v>0.0</v>
      </c>
      <c r="R3940" s="3">
        <v>0.5</v>
      </c>
      <c r="U3940" s="141"/>
      <c r="X3940" s="172"/>
      <c r="Y3940" s="172">
        <v>46104.602091967594</v>
      </c>
      <c r="Z3940" s="3">
        <v>46104.0</v>
      </c>
      <c r="AA3940" s="2" t="s">
        <v>14041</v>
      </c>
    </row>
    <row r="3941">
      <c r="A3941" s="3">
        <v>6.964195524867E12</v>
      </c>
      <c r="B3941" s="2" t="s">
        <v>15900</v>
      </c>
      <c r="C3941" s="2" t="s">
        <v>10663</v>
      </c>
      <c r="D3941" s="169">
        <v>46104.0</v>
      </c>
      <c r="E3941" s="2">
        <v>3.094363693E9</v>
      </c>
      <c r="F3941" s="2" t="s">
        <v>15901</v>
      </c>
      <c r="G3941" s="2" t="s">
        <v>368</v>
      </c>
      <c r="H3941" s="2">
        <v>3499.0</v>
      </c>
      <c r="I3941" s="2">
        <v>2.8120050022851E13</v>
      </c>
      <c r="J3941" s="3">
        <v>2.0</v>
      </c>
      <c r="K3941" s="2" t="s">
        <v>15616</v>
      </c>
      <c r="L3941" s="2" t="s">
        <v>1116</v>
      </c>
      <c r="M3941" s="2" t="s">
        <v>409</v>
      </c>
      <c r="N3941" s="2" t="s">
        <v>462</v>
      </c>
      <c r="O3941" s="3"/>
      <c r="P3941" s="2" t="s">
        <v>73</v>
      </c>
      <c r="Q3941" s="3">
        <v>800.0</v>
      </c>
      <c r="R3941" s="3">
        <v>0.5</v>
      </c>
      <c r="T3941" s="2" t="s">
        <v>14037</v>
      </c>
      <c r="U3941" s="171">
        <v>3499.0</v>
      </c>
      <c r="V3941" s="172">
        <v>46112.0</v>
      </c>
      <c r="W3941" s="3">
        <v>258.0</v>
      </c>
      <c r="X3941" s="172">
        <v>46111.999510520836</v>
      </c>
      <c r="Y3941" s="172">
        <v>46104.602091967594</v>
      </c>
      <c r="Z3941" s="3">
        <v>46104.0</v>
      </c>
      <c r="AA3941" s="2" t="s">
        <v>14053</v>
      </c>
    </row>
    <row r="3942">
      <c r="A3942" s="3">
        <v>6.964233535747E12</v>
      </c>
      <c r="B3942" s="2" t="s">
        <v>15902</v>
      </c>
      <c r="C3942" s="2" t="s">
        <v>15903</v>
      </c>
      <c r="D3942" s="169">
        <v>46104.0</v>
      </c>
      <c r="E3942" s="2">
        <v>3.009100536E9</v>
      </c>
      <c r="F3942" s="2" t="s">
        <v>15904</v>
      </c>
      <c r="G3942" s="2" t="s">
        <v>366</v>
      </c>
      <c r="H3942" s="2">
        <v>3499.0</v>
      </c>
      <c r="I3942" s="2">
        <v>2.512005002285E13</v>
      </c>
      <c r="J3942" s="3">
        <v>2.0</v>
      </c>
      <c r="K3942" s="2" t="s">
        <v>15616</v>
      </c>
      <c r="L3942" s="2" t="s">
        <v>228</v>
      </c>
      <c r="M3942" s="2" t="s">
        <v>409</v>
      </c>
      <c r="N3942" s="2" t="s">
        <v>462</v>
      </c>
      <c r="O3942" s="3"/>
      <c r="P3942" s="2" t="s">
        <v>73</v>
      </c>
      <c r="Q3942" s="3">
        <v>720.0</v>
      </c>
      <c r="R3942" s="3">
        <v>0.5</v>
      </c>
      <c r="T3942" s="2" t="s">
        <v>14037</v>
      </c>
      <c r="U3942" s="171">
        <v>3499.0</v>
      </c>
      <c r="V3942" s="172">
        <v>46112.0</v>
      </c>
      <c r="W3942" s="3">
        <v>361.0</v>
      </c>
      <c r="X3942" s="172">
        <v>46109.74954671296</v>
      </c>
      <c r="Y3942" s="172">
        <v>46104.64375461805</v>
      </c>
      <c r="Z3942" s="3">
        <v>46104.0</v>
      </c>
      <c r="AA3942" s="2" t="s">
        <v>14032</v>
      </c>
    </row>
    <row r="3943">
      <c r="A3943" s="3">
        <v>6.964235043075E12</v>
      </c>
      <c r="B3943" s="2" t="s">
        <v>15905</v>
      </c>
      <c r="C3943" s="2" t="s">
        <v>15906</v>
      </c>
      <c r="D3943" s="169">
        <v>46104.0</v>
      </c>
      <c r="E3943" s="2">
        <v>3.040443336E9</v>
      </c>
      <c r="F3943" s="2" t="s">
        <v>15907</v>
      </c>
      <c r="G3943" s="2" t="s">
        <v>368</v>
      </c>
      <c r="H3943" s="2">
        <v>249.0</v>
      </c>
      <c r="I3943" s="2">
        <v>2.4120050022849E13</v>
      </c>
      <c r="J3943" s="3">
        <v>0.0</v>
      </c>
      <c r="K3943" s="2" t="s">
        <v>15535</v>
      </c>
      <c r="L3943" s="2"/>
      <c r="M3943" s="170" t="s">
        <v>455</v>
      </c>
      <c r="N3943" s="2" t="s">
        <v>406</v>
      </c>
      <c r="O3943" s="3"/>
      <c r="P3943" s="2" t="s">
        <v>73</v>
      </c>
      <c r="Q3943" s="3">
        <v>0.0</v>
      </c>
      <c r="R3943" s="3">
        <v>0.5</v>
      </c>
      <c r="U3943" s="141"/>
      <c r="W3943" s="3">
        <v>117.86</v>
      </c>
      <c r="X3943" s="172">
        <v>46114.87449418982</v>
      </c>
      <c r="Y3943" s="172">
        <v>46104.64375461805</v>
      </c>
      <c r="Z3943" s="3">
        <v>46104.0</v>
      </c>
      <c r="AA3943" s="2" t="s">
        <v>14041</v>
      </c>
    </row>
    <row r="3944">
      <c r="A3944" s="3">
        <v>6.964238844163E12</v>
      </c>
      <c r="B3944" s="2" t="s">
        <v>15908</v>
      </c>
      <c r="C3944" s="2" t="s">
        <v>15909</v>
      </c>
      <c r="D3944" s="169">
        <v>46104.0</v>
      </c>
      <c r="E3944" s="2">
        <v>3.486600085E9</v>
      </c>
      <c r="F3944" s="2" t="s">
        <v>15910</v>
      </c>
      <c r="G3944" s="2" t="s">
        <v>15911</v>
      </c>
      <c r="H3944" s="2">
        <v>1499.0</v>
      </c>
      <c r="I3944" s="2" t="s">
        <v>15912</v>
      </c>
      <c r="J3944" s="3">
        <v>1.0</v>
      </c>
      <c r="K3944" s="2" t="s">
        <v>204</v>
      </c>
      <c r="L3944" s="2" t="s">
        <v>15913</v>
      </c>
      <c r="M3944" s="2" t="s">
        <v>409</v>
      </c>
      <c r="N3944" s="2" t="s">
        <v>406</v>
      </c>
      <c r="O3944" s="3"/>
      <c r="P3944" s="2" t="s">
        <v>640</v>
      </c>
      <c r="Q3944" s="3">
        <v>750.0</v>
      </c>
      <c r="R3944" s="3">
        <v>0.5</v>
      </c>
      <c r="U3944" s="141"/>
      <c r="X3944" s="172">
        <v>46112.52252878472</v>
      </c>
      <c r="Y3944" s="172">
        <v>46104.64375461805</v>
      </c>
      <c r="Z3944" s="3">
        <v>46104.0</v>
      </c>
      <c r="AA3944" s="2" t="s">
        <v>14053</v>
      </c>
    </row>
    <row r="3945">
      <c r="A3945" s="3">
        <v>6.964254540035E12</v>
      </c>
      <c r="B3945" s="2" t="s">
        <v>15914</v>
      </c>
      <c r="C3945" s="2" t="s">
        <v>15915</v>
      </c>
      <c r="D3945" s="169">
        <v>46104.0</v>
      </c>
      <c r="E3945" s="2">
        <v>3.330300009E9</v>
      </c>
      <c r="F3945" s="2" t="s">
        <v>12361</v>
      </c>
      <c r="G3945" s="2" t="s">
        <v>493</v>
      </c>
      <c r="H3945" s="2">
        <v>3549.0</v>
      </c>
      <c r="I3945" s="2">
        <v>2.1120050023627E13</v>
      </c>
      <c r="J3945" s="3">
        <v>2.0</v>
      </c>
      <c r="L3945" s="2" t="s">
        <v>15916</v>
      </c>
      <c r="M3945" s="2" t="s">
        <v>15124</v>
      </c>
      <c r="N3945" s="2" t="s">
        <v>406</v>
      </c>
      <c r="O3945" s="3"/>
      <c r="P3945" s="2" t="s">
        <v>73</v>
      </c>
      <c r="Q3945" s="3">
        <v>1100.0</v>
      </c>
      <c r="R3945" s="3">
        <v>0.5</v>
      </c>
      <c r="U3945" s="141"/>
      <c r="X3945" s="172">
        <v>46132.081022592596</v>
      </c>
      <c r="Y3945" s="172">
        <v>46104.68543237269</v>
      </c>
      <c r="Z3945" s="3">
        <v>46104.0</v>
      </c>
      <c r="AA3945" s="2" t="s">
        <v>14032</v>
      </c>
    </row>
    <row r="3946">
      <c r="A3946" s="3">
        <v>6.964275446019E12</v>
      </c>
      <c r="B3946" s="2" t="s">
        <v>15917</v>
      </c>
      <c r="C3946" s="2" t="s">
        <v>15918</v>
      </c>
      <c r="D3946" s="169">
        <v>46104.0</v>
      </c>
      <c r="E3946" s="2">
        <v>3.258340008E9</v>
      </c>
      <c r="F3946" s="2" t="s">
        <v>15919</v>
      </c>
      <c r="G3946" s="2" t="s">
        <v>15920</v>
      </c>
      <c r="H3946" s="2">
        <v>0.0</v>
      </c>
      <c r="J3946" s="3">
        <v>0.0</v>
      </c>
      <c r="K3946" s="2" t="s">
        <v>6199</v>
      </c>
      <c r="L3946" s="2"/>
      <c r="M3946" s="2" t="s">
        <v>468</v>
      </c>
      <c r="N3946" s="2" t="s">
        <v>406</v>
      </c>
      <c r="O3946" s="3"/>
      <c r="Q3946" s="3">
        <v>0.0</v>
      </c>
      <c r="R3946" s="3">
        <v>0.5</v>
      </c>
      <c r="U3946" s="141"/>
      <c r="X3946" s="172"/>
      <c r="Y3946" s="172">
        <v>46104.68543237269</v>
      </c>
      <c r="Z3946" s="3">
        <v>46104.0</v>
      </c>
      <c r="AA3946" s="2" t="s">
        <v>14032</v>
      </c>
    </row>
    <row r="3947">
      <c r="A3947" s="3">
        <v>6.964316406019E12</v>
      </c>
      <c r="B3947" s="2" t="s">
        <v>15921</v>
      </c>
      <c r="C3947" s="2" t="s">
        <v>15922</v>
      </c>
      <c r="D3947" s="169">
        <v>46104.0</v>
      </c>
      <c r="E3947" s="2">
        <v>3.009612334E9</v>
      </c>
      <c r="F3947" s="2" t="s">
        <v>15923</v>
      </c>
      <c r="G3947" s="2" t="s">
        <v>688</v>
      </c>
      <c r="H3947" s="2">
        <v>0.0</v>
      </c>
      <c r="I3947" s="2">
        <v>2.8120050022847E13</v>
      </c>
      <c r="J3947" s="3">
        <v>0.0</v>
      </c>
      <c r="K3947" s="2" t="s">
        <v>8446</v>
      </c>
      <c r="L3947" s="2"/>
      <c r="M3947" s="2" t="s">
        <v>468</v>
      </c>
      <c r="N3947" s="2" t="s">
        <v>406</v>
      </c>
      <c r="O3947" s="3"/>
      <c r="P3947" s="2" t="s">
        <v>73</v>
      </c>
      <c r="Q3947" s="3">
        <v>0.0</v>
      </c>
      <c r="R3947" s="3">
        <v>0.5</v>
      </c>
      <c r="U3947" s="141"/>
      <c r="X3947" s="172">
        <v>46107.79122569444</v>
      </c>
      <c r="Y3947" s="172">
        <v>46104.727095636576</v>
      </c>
      <c r="Z3947" s="3">
        <v>46104.0</v>
      </c>
      <c r="AA3947" s="2" t="s">
        <v>14032</v>
      </c>
    </row>
    <row r="3948">
      <c r="A3948" s="3">
        <v>6.964381581571E12</v>
      </c>
      <c r="B3948" s="2" t="s">
        <v>15924</v>
      </c>
      <c r="C3948" s="2" t="s">
        <v>15925</v>
      </c>
      <c r="D3948" s="169">
        <v>46104.0</v>
      </c>
      <c r="E3948" s="2">
        <v>3.020214422E9</v>
      </c>
      <c r="F3948" s="2" t="s">
        <v>15926</v>
      </c>
      <c r="G3948" s="2" t="s">
        <v>368</v>
      </c>
      <c r="H3948" s="2">
        <v>249.0</v>
      </c>
      <c r="I3948" s="2">
        <v>2.2120050022846E13</v>
      </c>
      <c r="J3948" s="3">
        <v>0.0</v>
      </c>
      <c r="K3948" s="2" t="s">
        <v>15535</v>
      </c>
      <c r="L3948" s="2"/>
      <c r="M3948" s="170" t="s">
        <v>455</v>
      </c>
      <c r="N3948" s="2" t="s">
        <v>406</v>
      </c>
      <c r="O3948" s="3"/>
      <c r="P3948" s="2" t="s">
        <v>73</v>
      </c>
      <c r="Q3948" s="3">
        <v>0.0</v>
      </c>
      <c r="R3948" s="3">
        <v>0.5</v>
      </c>
      <c r="U3948" s="141"/>
      <c r="W3948" s="3">
        <v>117.86</v>
      </c>
      <c r="X3948" s="172">
        <v>46113.91608325232</v>
      </c>
      <c r="Y3948" s="172">
        <v>46104.768804155094</v>
      </c>
      <c r="Z3948" s="3">
        <v>46104.0</v>
      </c>
      <c r="AA3948" s="2" t="s">
        <v>14032</v>
      </c>
    </row>
    <row r="3949">
      <c r="A3949" s="3">
        <v>6.964381909251E12</v>
      </c>
      <c r="B3949" s="2" t="s">
        <v>15927</v>
      </c>
      <c r="C3949" s="2" t="s">
        <v>15928</v>
      </c>
      <c r="D3949" s="169">
        <v>46104.0</v>
      </c>
      <c r="E3949" s="173" t="s">
        <v>15929</v>
      </c>
      <c r="F3949" s="2" t="s">
        <v>15930</v>
      </c>
      <c r="G3949" s="2" t="s">
        <v>15931</v>
      </c>
      <c r="H3949" s="2">
        <v>0.0</v>
      </c>
      <c r="J3949" s="3">
        <v>0.0</v>
      </c>
      <c r="K3949" s="2" t="s">
        <v>15932</v>
      </c>
      <c r="L3949" s="2"/>
      <c r="M3949" s="2" t="s">
        <v>468</v>
      </c>
      <c r="N3949" s="2" t="s">
        <v>406</v>
      </c>
      <c r="O3949" s="3"/>
      <c r="Q3949" s="3">
        <v>0.0</v>
      </c>
      <c r="R3949" s="3">
        <v>0.5</v>
      </c>
      <c r="U3949" s="141"/>
      <c r="X3949" s="172"/>
      <c r="Y3949" s="172">
        <v>46104.768804155094</v>
      </c>
      <c r="Z3949" s="3">
        <v>46104.0</v>
      </c>
      <c r="AA3949" s="2" t="s">
        <v>14032</v>
      </c>
    </row>
    <row r="3950">
      <c r="A3950" s="3">
        <v>6.964399866115E12</v>
      </c>
      <c r="B3950" s="2" t="s">
        <v>15933</v>
      </c>
      <c r="C3950" s="2" t="s">
        <v>15934</v>
      </c>
      <c r="D3950" s="169">
        <v>46104.0</v>
      </c>
      <c r="E3950" s="173" t="s">
        <v>15935</v>
      </c>
      <c r="F3950" s="2" t="s">
        <v>15936</v>
      </c>
      <c r="G3950" s="2" t="s">
        <v>15937</v>
      </c>
      <c r="H3950" s="2">
        <v>3499.0</v>
      </c>
      <c r="I3950" s="2">
        <v>2.9120050022883E13</v>
      </c>
      <c r="J3950" s="3">
        <v>2.0</v>
      </c>
      <c r="K3950" s="2" t="s">
        <v>15616</v>
      </c>
      <c r="L3950" s="2" t="s">
        <v>275</v>
      </c>
      <c r="M3950" s="2" t="s">
        <v>409</v>
      </c>
      <c r="N3950" s="2" t="s">
        <v>462</v>
      </c>
      <c r="O3950" s="3"/>
      <c r="P3950" s="2" t="s">
        <v>73</v>
      </c>
      <c r="Q3950" s="3">
        <v>800.0</v>
      </c>
      <c r="R3950" s="3">
        <v>0.5</v>
      </c>
      <c r="T3950" s="2" t="s">
        <v>14037</v>
      </c>
      <c r="U3950" s="171">
        <v>3499.0</v>
      </c>
      <c r="V3950" s="172">
        <v>46112.0</v>
      </c>
      <c r="W3950" s="3">
        <v>258.0</v>
      </c>
      <c r="X3950" s="172">
        <v>46108.74996489583</v>
      </c>
      <c r="Y3950" s="172">
        <v>46104.8104609375</v>
      </c>
      <c r="Z3950" s="3">
        <v>46104.0</v>
      </c>
      <c r="AA3950" s="2" t="s">
        <v>14032</v>
      </c>
    </row>
    <row r="3951">
      <c r="A3951" s="3">
        <v>6.964433584387E12</v>
      </c>
      <c r="B3951" s="2" t="s">
        <v>15938</v>
      </c>
      <c r="C3951" s="2" t="s">
        <v>15939</v>
      </c>
      <c r="D3951" s="169">
        <v>46104.0</v>
      </c>
      <c r="E3951" s="2">
        <v>3.124515172E9</v>
      </c>
      <c r="F3951" s="2" t="s">
        <v>15940</v>
      </c>
      <c r="G3951" s="2" t="s">
        <v>368</v>
      </c>
      <c r="H3951" s="2">
        <v>249.0</v>
      </c>
      <c r="I3951" s="2">
        <v>2.8120050022934E13</v>
      </c>
      <c r="J3951" s="3">
        <v>0.0</v>
      </c>
      <c r="K3951" s="2" t="s">
        <v>15941</v>
      </c>
      <c r="L3951" s="2"/>
      <c r="M3951" s="170" t="s">
        <v>455</v>
      </c>
      <c r="N3951" s="2" t="s">
        <v>406</v>
      </c>
      <c r="O3951" s="3"/>
      <c r="P3951" s="2" t="s">
        <v>73</v>
      </c>
      <c r="Q3951" s="3">
        <v>0.0</v>
      </c>
      <c r="R3951" s="3">
        <v>0.5</v>
      </c>
      <c r="U3951" s="141"/>
      <c r="W3951" s="3">
        <v>220.98</v>
      </c>
      <c r="X3951" s="172">
        <v>46114.87449495371</v>
      </c>
      <c r="Y3951" s="172">
        <v>46104.8104609375</v>
      </c>
      <c r="Z3951" s="3">
        <v>46104.0</v>
      </c>
      <c r="AA3951" s="2" t="s">
        <v>14032</v>
      </c>
    </row>
    <row r="3952">
      <c r="A3952" s="3">
        <v>6.964438008067E12</v>
      </c>
      <c r="B3952" s="2" t="s">
        <v>15942</v>
      </c>
      <c r="C3952" s="2" t="s">
        <v>15943</v>
      </c>
      <c r="D3952" s="169">
        <v>46104.0</v>
      </c>
      <c r="E3952" s="173" t="s">
        <v>15944</v>
      </c>
      <c r="F3952" s="2" t="s">
        <v>15945</v>
      </c>
      <c r="G3952" s="2" t="s">
        <v>493</v>
      </c>
      <c r="H3952" s="2">
        <v>3499.0</v>
      </c>
      <c r="I3952" s="2">
        <v>2.7120050022845E13</v>
      </c>
      <c r="J3952" s="3">
        <v>2.0</v>
      </c>
      <c r="L3952" s="2" t="s">
        <v>1116</v>
      </c>
      <c r="M3952" s="2" t="s">
        <v>409</v>
      </c>
      <c r="N3952" s="2" t="s">
        <v>462</v>
      </c>
      <c r="O3952" s="3"/>
      <c r="P3952" s="2" t="s">
        <v>73</v>
      </c>
      <c r="Q3952" s="3">
        <v>800.0</v>
      </c>
      <c r="R3952" s="3">
        <v>0.5</v>
      </c>
      <c r="T3952" s="2" t="s">
        <v>14037</v>
      </c>
      <c r="U3952" s="171">
        <v>3499.0</v>
      </c>
      <c r="V3952" s="172">
        <v>46112.0</v>
      </c>
      <c r="W3952" s="3">
        <v>376.0</v>
      </c>
      <c r="X3952" s="172">
        <v>46111.916201458334</v>
      </c>
      <c r="Y3952" s="172">
        <v>46104.8104609375</v>
      </c>
      <c r="Z3952" s="3">
        <v>46104.0</v>
      </c>
      <c r="AA3952" s="2" t="s">
        <v>14032</v>
      </c>
    </row>
    <row r="3953">
      <c r="A3953" s="3">
        <v>6.964499742979E12</v>
      </c>
      <c r="B3953" s="2" t="s">
        <v>15946</v>
      </c>
      <c r="C3953" s="2" t="s">
        <v>15947</v>
      </c>
      <c r="D3953" s="169">
        <v>46104.0</v>
      </c>
      <c r="E3953" s="173" t="s">
        <v>15948</v>
      </c>
      <c r="F3953" s="2" t="s">
        <v>15949</v>
      </c>
      <c r="G3953" s="2" t="s">
        <v>506</v>
      </c>
      <c r="H3953" s="2">
        <v>3348.0</v>
      </c>
      <c r="I3953" s="2">
        <v>2.9120050022844E13</v>
      </c>
      <c r="J3953" s="3">
        <v>2.0</v>
      </c>
      <c r="K3953" s="2" t="s">
        <v>15950</v>
      </c>
      <c r="L3953" s="2" t="s">
        <v>22</v>
      </c>
      <c r="M3953" s="2" t="s">
        <v>409</v>
      </c>
      <c r="N3953" s="2" t="s">
        <v>462</v>
      </c>
      <c r="O3953" s="3"/>
      <c r="P3953" s="2" t="s">
        <v>73</v>
      </c>
      <c r="Q3953" s="3">
        <v>800.0</v>
      </c>
      <c r="R3953" s="3">
        <v>0.5</v>
      </c>
      <c r="T3953" s="2" t="s">
        <v>12503</v>
      </c>
      <c r="U3953" s="171">
        <v>3348.0</v>
      </c>
      <c r="V3953" s="172">
        <v>46115.0</v>
      </c>
      <c r="W3953" s="3">
        <v>354.9</v>
      </c>
      <c r="X3953" s="172">
        <v>46113.521117881945</v>
      </c>
      <c r="Y3953" s="172">
        <v>46104.852110312495</v>
      </c>
      <c r="Z3953" s="3">
        <v>46104.0</v>
      </c>
      <c r="AA3953" s="2" t="s">
        <v>14103</v>
      </c>
    </row>
    <row r="3954">
      <c r="A3954" s="3">
        <v>6.964504363267E12</v>
      </c>
      <c r="B3954" s="2" t="s">
        <v>15951</v>
      </c>
      <c r="C3954" s="2" t="s">
        <v>15952</v>
      </c>
      <c r="D3954" s="169">
        <v>46104.0</v>
      </c>
      <c r="E3954" s="2">
        <v>3.709730542E9</v>
      </c>
      <c r="F3954" s="2" t="s">
        <v>15953</v>
      </c>
      <c r="G3954" s="2" t="s">
        <v>368</v>
      </c>
      <c r="H3954" s="2">
        <v>3348.0</v>
      </c>
      <c r="I3954" s="2">
        <v>2.0120050022843E13</v>
      </c>
      <c r="J3954" s="3">
        <v>2.0</v>
      </c>
      <c r="K3954" s="2" t="s">
        <v>14497</v>
      </c>
      <c r="L3954" s="2" t="s">
        <v>906</v>
      </c>
      <c r="M3954" s="2" t="s">
        <v>409</v>
      </c>
      <c r="N3954" s="2" t="s">
        <v>462</v>
      </c>
      <c r="O3954" s="3"/>
      <c r="P3954" s="2" t="s">
        <v>73</v>
      </c>
      <c r="Q3954" s="3">
        <v>720.0</v>
      </c>
      <c r="R3954" s="3">
        <v>0.5</v>
      </c>
      <c r="T3954" s="2" t="s">
        <v>14037</v>
      </c>
      <c r="U3954" s="171">
        <v>3348.0</v>
      </c>
      <c r="V3954" s="172">
        <v>46112.0</v>
      </c>
      <c r="W3954" s="3">
        <v>252.0</v>
      </c>
      <c r="X3954" s="172">
        <v>46108.49955692129</v>
      </c>
      <c r="Y3954" s="172">
        <v>46104.852110312495</v>
      </c>
      <c r="Z3954" s="3">
        <v>46104.0</v>
      </c>
      <c r="AA3954" s="2" t="s">
        <v>14053</v>
      </c>
    </row>
    <row r="3955">
      <c r="A3955" s="3">
        <v>6.964516487427E12</v>
      </c>
      <c r="B3955" s="2" t="s">
        <v>15954</v>
      </c>
      <c r="C3955" s="2" t="s">
        <v>15955</v>
      </c>
      <c r="D3955" s="169">
        <v>46104.0</v>
      </c>
      <c r="E3955" s="2">
        <v>3.235454513E9</v>
      </c>
      <c r="F3955" s="2" t="s">
        <v>15956</v>
      </c>
      <c r="G3955" s="2" t="s">
        <v>506</v>
      </c>
      <c r="H3955" s="2">
        <v>249.0</v>
      </c>
      <c r="I3955" s="2">
        <v>2.4120050022842E13</v>
      </c>
      <c r="J3955" s="3">
        <v>0.0</v>
      </c>
      <c r="K3955" s="2" t="s">
        <v>15594</v>
      </c>
      <c r="L3955" s="2"/>
      <c r="M3955" s="170" t="s">
        <v>455</v>
      </c>
      <c r="N3955" s="2" t="s">
        <v>406</v>
      </c>
      <c r="O3955" s="3"/>
      <c r="P3955" s="2" t="s">
        <v>73</v>
      </c>
      <c r="Q3955" s="3">
        <v>0.0</v>
      </c>
      <c r="R3955" s="3">
        <v>0.5</v>
      </c>
      <c r="U3955" s="141"/>
      <c r="W3955" s="3">
        <v>220.98</v>
      </c>
      <c r="X3955" s="172">
        <v>46116.87448140046</v>
      </c>
      <c r="Y3955" s="172">
        <v>46104.852110312495</v>
      </c>
      <c r="Z3955" s="3">
        <v>46104.0</v>
      </c>
      <c r="AA3955" s="2" t="s">
        <v>14032</v>
      </c>
    </row>
    <row r="3956">
      <c r="A3956" s="3">
        <v>6.964555809027E12</v>
      </c>
      <c r="B3956" s="2" t="s">
        <v>15957</v>
      </c>
      <c r="C3956" s="2" t="s">
        <v>15958</v>
      </c>
      <c r="D3956" s="169">
        <v>46104.0</v>
      </c>
      <c r="E3956" s="2">
        <v>3.338980405E9</v>
      </c>
      <c r="F3956" s="2" t="s">
        <v>15959</v>
      </c>
      <c r="G3956" s="2" t="s">
        <v>15960</v>
      </c>
      <c r="H3956" s="2">
        <v>1449.0</v>
      </c>
      <c r="I3956" s="2" t="s">
        <v>15961</v>
      </c>
      <c r="J3956" s="3">
        <v>1.0</v>
      </c>
      <c r="K3956" s="2" t="s">
        <v>204</v>
      </c>
      <c r="L3956" s="2" t="s">
        <v>15962</v>
      </c>
      <c r="M3956" s="2" t="s">
        <v>409</v>
      </c>
      <c r="N3956" s="2" t="s">
        <v>406</v>
      </c>
      <c r="O3956" s="3"/>
      <c r="P3956" s="2" t="s">
        <v>640</v>
      </c>
      <c r="Q3956" s="3">
        <v>550.0</v>
      </c>
      <c r="R3956" s="3">
        <v>0.5</v>
      </c>
      <c r="U3956" s="141"/>
      <c r="X3956" s="172">
        <v>46113.710046875</v>
      </c>
      <c r="Y3956" s="172">
        <v>46104.89384246527</v>
      </c>
      <c r="Z3956" s="3">
        <v>46104.0</v>
      </c>
      <c r="AA3956" s="2" t="s">
        <v>14022</v>
      </c>
    </row>
    <row r="3957">
      <c r="A3957" s="3">
        <v>6.964575928579E12</v>
      </c>
      <c r="B3957" s="2" t="s">
        <v>15963</v>
      </c>
      <c r="C3957" s="2" t="s">
        <v>15964</v>
      </c>
      <c r="D3957" s="169">
        <v>46104.0</v>
      </c>
      <c r="E3957" s="2">
        <v>3.156810555E9</v>
      </c>
      <c r="F3957" s="2" t="s">
        <v>15965</v>
      </c>
      <c r="G3957" s="2" t="s">
        <v>993</v>
      </c>
      <c r="H3957" s="2">
        <v>1899.0</v>
      </c>
      <c r="I3957" s="2">
        <v>2.3120050022808E13</v>
      </c>
      <c r="J3957" s="3">
        <v>1.0</v>
      </c>
      <c r="K3957" s="2" t="s">
        <v>15590</v>
      </c>
      <c r="L3957" s="2" t="s">
        <v>10974</v>
      </c>
      <c r="M3957" s="2" t="s">
        <v>409</v>
      </c>
      <c r="N3957" s="2" t="s">
        <v>462</v>
      </c>
      <c r="O3957" s="3"/>
      <c r="P3957" s="2" t="s">
        <v>73</v>
      </c>
      <c r="Q3957" s="3">
        <v>550.0</v>
      </c>
      <c r="R3957" s="3">
        <v>0.5</v>
      </c>
      <c r="T3957" s="2" t="s">
        <v>14037</v>
      </c>
      <c r="U3957" s="171">
        <v>1899.0</v>
      </c>
      <c r="V3957" s="172">
        <v>46112.0</v>
      </c>
      <c r="W3957" s="3">
        <v>276.0</v>
      </c>
      <c r="X3957" s="172">
        <v>46111.666246030094</v>
      </c>
      <c r="Y3957" s="172">
        <v>46104.89384247686</v>
      </c>
      <c r="Z3957" s="3">
        <v>46104.0</v>
      </c>
      <c r="AA3957" s="2" t="s">
        <v>14032</v>
      </c>
    </row>
    <row r="3958">
      <c r="A3958" s="3">
        <v>6.964595065091E12</v>
      </c>
      <c r="B3958" s="2" t="s">
        <v>15966</v>
      </c>
      <c r="C3958" s="2" t="s">
        <v>15967</v>
      </c>
      <c r="D3958" s="169">
        <v>46104.0</v>
      </c>
      <c r="E3958" s="2">
        <v>3.220769522E9</v>
      </c>
      <c r="F3958" s="2" t="s">
        <v>15968</v>
      </c>
      <c r="G3958" s="2" t="s">
        <v>688</v>
      </c>
      <c r="H3958" s="2">
        <v>249.0</v>
      </c>
      <c r="I3958" s="2">
        <v>2.4120050022933E13</v>
      </c>
      <c r="J3958" s="3">
        <v>0.0</v>
      </c>
      <c r="K3958" s="2" t="s">
        <v>13728</v>
      </c>
      <c r="L3958" s="2"/>
      <c r="M3958" s="170" t="s">
        <v>455</v>
      </c>
      <c r="N3958" s="2" t="s">
        <v>406</v>
      </c>
      <c r="O3958" s="3"/>
      <c r="P3958" s="2" t="s">
        <v>73</v>
      </c>
      <c r="Q3958" s="3">
        <v>0.0</v>
      </c>
      <c r="R3958" s="3">
        <v>0.5</v>
      </c>
      <c r="U3958" s="141"/>
      <c r="W3958" s="3">
        <v>220.98</v>
      </c>
      <c r="X3958" s="172">
        <v>46119.08109721065</v>
      </c>
      <c r="Y3958" s="172">
        <v>46104.89384247686</v>
      </c>
      <c r="Z3958" s="3">
        <v>46104.0</v>
      </c>
      <c r="AA3958" s="2" t="s">
        <v>14032</v>
      </c>
    </row>
    <row r="3959">
      <c r="A3959" s="3">
        <v>6.964614398211E12</v>
      </c>
      <c r="B3959" s="2" t="s">
        <v>15969</v>
      </c>
      <c r="C3959" s="2" t="s">
        <v>8688</v>
      </c>
      <c r="D3959" s="169">
        <v>46104.0</v>
      </c>
      <c r="E3959" s="2">
        <v>3.005654777E9</v>
      </c>
      <c r="F3959" s="2" t="s">
        <v>15970</v>
      </c>
      <c r="G3959" s="2" t="s">
        <v>781</v>
      </c>
      <c r="H3959" s="2">
        <v>3499.0</v>
      </c>
      <c r="I3959" s="2">
        <v>2.6120050022882E13</v>
      </c>
      <c r="J3959" s="3">
        <v>2.0</v>
      </c>
      <c r="K3959" s="2" t="s">
        <v>15616</v>
      </c>
      <c r="L3959" s="2" t="s">
        <v>275</v>
      </c>
      <c r="M3959" s="2" t="s">
        <v>409</v>
      </c>
      <c r="N3959" s="2" t="s">
        <v>462</v>
      </c>
      <c r="O3959" s="3"/>
      <c r="P3959" s="2" t="s">
        <v>73</v>
      </c>
      <c r="Q3959" s="3">
        <v>800.0</v>
      </c>
      <c r="R3959" s="3">
        <v>0.5</v>
      </c>
      <c r="T3959" s="2" t="s">
        <v>14037</v>
      </c>
      <c r="U3959" s="171">
        <v>3499.0</v>
      </c>
      <c r="V3959" s="172">
        <v>46112.0</v>
      </c>
      <c r="W3959" s="3">
        <v>376.0</v>
      </c>
      <c r="X3959" s="172">
        <v>46109.457732442126</v>
      </c>
      <c r="Y3959" s="172">
        <v>46104.89384247686</v>
      </c>
      <c r="Z3959" s="3">
        <v>46104.0</v>
      </c>
      <c r="AA3959" s="2" t="s">
        <v>14103</v>
      </c>
    </row>
    <row r="3960">
      <c r="A3960" s="3">
        <v>6.964618658051E12</v>
      </c>
      <c r="B3960" s="2" t="s">
        <v>15971</v>
      </c>
      <c r="C3960" s="2" t="s">
        <v>1317</v>
      </c>
      <c r="D3960" s="169">
        <v>46104.0</v>
      </c>
      <c r="E3960" s="2">
        <v>3.447736068E9</v>
      </c>
      <c r="F3960" s="2" t="s">
        <v>15972</v>
      </c>
      <c r="G3960" s="2" t="s">
        <v>506</v>
      </c>
      <c r="H3960" s="2">
        <v>6099.0</v>
      </c>
      <c r="I3960" s="2">
        <v>2.0120050022807E13</v>
      </c>
      <c r="J3960" s="3">
        <v>3.0</v>
      </c>
      <c r="K3960" s="2" t="s">
        <v>15973</v>
      </c>
      <c r="L3960" s="2" t="s">
        <v>15974</v>
      </c>
      <c r="M3960" s="2" t="s">
        <v>409</v>
      </c>
      <c r="N3960" s="2" t="s">
        <v>462</v>
      </c>
      <c r="O3960" s="3"/>
      <c r="P3960" s="2" t="s">
        <v>73</v>
      </c>
      <c r="Q3960" s="3">
        <v>2130.0</v>
      </c>
      <c r="R3960" s="3">
        <v>0.5</v>
      </c>
      <c r="T3960" s="2" t="s">
        <v>14037</v>
      </c>
      <c r="U3960" s="171">
        <v>6099.0</v>
      </c>
      <c r="V3960" s="172">
        <v>46112.0</v>
      </c>
      <c r="W3960" s="3">
        <v>557.0</v>
      </c>
      <c r="X3960" s="172">
        <v>46108.70789810186</v>
      </c>
      <c r="Y3960" s="172">
        <v>46104.89384247686</v>
      </c>
      <c r="Z3960" s="3">
        <v>46104.0</v>
      </c>
      <c r="AA3960" s="2" t="s">
        <v>14103</v>
      </c>
    </row>
    <row r="3961">
      <c r="A3961" s="3">
        <v>6.964629111043E12</v>
      </c>
      <c r="B3961" s="2" t="s">
        <v>15975</v>
      </c>
      <c r="C3961" s="2" t="s">
        <v>15976</v>
      </c>
      <c r="D3961" s="169">
        <v>46104.0</v>
      </c>
      <c r="E3961" s="173" t="s">
        <v>15977</v>
      </c>
      <c r="F3961" s="2" t="s">
        <v>15978</v>
      </c>
      <c r="G3961" s="2" t="s">
        <v>366</v>
      </c>
      <c r="H3961" s="2">
        <v>3348.0</v>
      </c>
      <c r="I3961" s="2">
        <v>2.1120050022932E13</v>
      </c>
      <c r="J3961" s="3">
        <v>2.0</v>
      </c>
      <c r="K3961" s="2" t="s">
        <v>14036</v>
      </c>
      <c r="L3961" s="2" t="s">
        <v>906</v>
      </c>
      <c r="M3961" s="2" t="s">
        <v>409</v>
      </c>
      <c r="N3961" s="2" t="s">
        <v>462</v>
      </c>
      <c r="O3961" s="3"/>
      <c r="P3961" s="2" t="s">
        <v>73</v>
      </c>
      <c r="Q3961" s="3">
        <v>720.0</v>
      </c>
      <c r="R3961" s="3">
        <v>0.5</v>
      </c>
      <c r="T3961" s="2" t="s">
        <v>14037</v>
      </c>
      <c r="U3961" s="171">
        <v>3348.0</v>
      </c>
      <c r="V3961" s="172">
        <v>46112.0</v>
      </c>
      <c r="W3961" s="3">
        <v>355.0</v>
      </c>
      <c r="X3961" s="172">
        <v>46111.74957655092</v>
      </c>
      <c r="Y3961" s="172">
        <v>46104.89384247686</v>
      </c>
      <c r="Z3961" s="3">
        <v>46104.0</v>
      </c>
      <c r="AA3961" s="2" t="s">
        <v>14032</v>
      </c>
    </row>
    <row r="3962">
      <c r="A3962" s="3">
        <v>6.964702806275E12</v>
      </c>
      <c r="B3962" s="2" t="s">
        <v>15979</v>
      </c>
      <c r="C3962" s="2" t="s">
        <v>15980</v>
      </c>
      <c r="D3962" s="169">
        <v>46104.0</v>
      </c>
      <c r="E3962" s="2">
        <v>3.457799888E9</v>
      </c>
      <c r="F3962" s="2" t="s">
        <v>15981</v>
      </c>
      <c r="G3962" s="2" t="s">
        <v>15982</v>
      </c>
      <c r="H3962" s="2">
        <v>2599.0</v>
      </c>
      <c r="I3962" s="2">
        <v>2.9120050022841E13</v>
      </c>
      <c r="J3962" s="3">
        <v>1.0</v>
      </c>
      <c r="K3962" s="2" t="s">
        <v>15983</v>
      </c>
      <c r="L3962" s="2" t="s">
        <v>15984</v>
      </c>
      <c r="M3962" s="2" t="s">
        <v>409</v>
      </c>
      <c r="N3962" s="2" t="s">
        <v>462</v>
      </c>
      <c r="O3962" s="3"/>
      <c r="P3962" s="2" t="s">
        <v>73</v>
      </c>
      <c r="Q3962" s="3">
        <v>1100.0</v>
      </c>
      <c r="R3962" s="3">
        <v>0.5</v>
      </c>
      <c r="T3962" s="2" t="s">
        <v>14037</v>
      </c>
      <c r="U3962" s="171">
        <v>2599.0</v>
      </c>
      <c r="V3962" s="172">
        <v>46112.0</v>
      </c>
      <c r="W3962" s="3">
        <v>340.0</v>
      </c>
      <c r="X3962" s="172">
        <v>46109.499444375004</v>
      </c>
      <c r="Y3962" s="172">
        <v>46104.977119930554</v>
      </c>
      <c r="Z3962" s="3">
        <v>46104.0</v>
      </c>
      <c r="AA3962" s="2" t="s">
        <v>14041</v>
      </c>
    </row>
    <row r="3963">
      <c r="A3963" s="3">
        <v>6.964843282691E12</v>
      </c>
      <c r="B3963" s="2" t="s">
        <v>15985</v>
      </c>
      <c r="C3963" s="2" t="s">
        <v>4686</v>
      </c>
      <c r="D3963" s="169">
        <v>46104.0</v>
      </c>
      <c r="E3963" s="2">
        <v>3.444482538E9</v>
      </c>
      <c r="F3963" s="2" t="s">
        <v>15986</v>
      </c>
      <c r="G3963" s="2" t="s">
        <v>626</v>
      </c>
      <c r="H3963" s="2">
        <v>3348.0</v>
      </c>
      <c r="I3963" s="2">
        <v>2.3120050022931E13</v>
      </c>
      <c r="J3963" s="3">
        <v>2.0</v>
      </c>
      <c r="K3963" s="2" t="s">
        <v>14036</v>
      </c>
      <c r="L3963" s="2" t="s">
        <v>2906</v>
      </c>
      <c r="M3963" s="2" t="s">
        <v>409</v>
      </c>
      <c r="N3963" s="2" t="s">
        <v>462</v>
      </c>
      <c r="O3963" s="3"/>
      <c r="P3963" s="2" t="s">
        <v>73</v>
      </c>
      <c r="Q3963" s="3">
        <v>800.0</v>
      </c>
      <c r="R3963" s="3">
        <v>0.5</v>
      </c>
      <c r="T3963" s="2" t="s">
        <v>14037</v>
      </c>
      <c r="U3963" s="171">
        <v>3348.0</v>
      </c>
      <c r="V3963" s="172">
        <v>46112.0</v>
      </c>
      <c r="W3963" s="3">
        <v>355.0</v>
      </c>
      <c r="X3963" s="172">
        <v>46111.58289394676</v>
      </c>
      <c r="Y3963" s="172">
        <v>46105.01878916667</v>
      </c>
      <c r="Z3963" s="3">
        <v>46104.0</v>
      </c>
      <c r="AA3963" s="2" t="s">
        <v>14278</v>
      </c>
    </row>
    <row r="3964">
      <c r="A3964" s="3">
        <v>6.964868972803E12</v>
      </c>
      <c r="B3964" s="2" t="s">
        <v>15987</v>
      </c>
      <c r="C3964" s="2" t="s">
        <v>15988</v>
      </c>
      <c r="D3964" s="169">
        <v>46105.0</v>
      </c>
      <c r="E3964" s="173" t="s">
        <v>15989</v>
      </c>
      <c r="F3964" s="2" t="s">
        <v>15990</v>
      </c>
      <c r="G3964" s="2" t="s">
        <v>1395</v>
      </c>
      <c r="H3964" s="2">
        <v>0.0</v>
      </c>
      <c r="J3964" s="3">
        <v>0.0</v>
      </c>
      <c r="K3964" s="2" t="s">
        <v>15991</v>
      </c>
      <c r="L3964" s="2"/>
      <c r="M3964" s="2" t="s">
        <v>468</v>
      </c>
      <c r="N3964" s="2" t="s">
        <v>406</v>
      </c>
      <c r="O3964" s="3"/>
      <c r="Q3964" s="3">
        <v>0.0</v>
      </c>
      <c r="R3964" s="3">
        <v>0.5</v>
      </c>
      <c r="U3964" s="141"/>
      <c r="X3964" s="172"/>
      <c r="Y3964" s="172">
        <v>46105.01878916667</v>
      </c>
      <c r="Z3964" s="3">
        <v>46105.0</v>
      </c>
      <c r="AA3964" s="2" t="s">
        <v>14032</v>
      </c>
    </row>
    <row r="3965">
      <c r="A3965" s="3">
        <v>6.964898365699E12</v>
      </c>
      <c r="B3965" s="2" t="s">
        <v>15992</v>
      </c>
      <c r="C3965" s="2" t="s">
        <v>12444</v>
      </c>
      <c r="D3965" s="169">
        <v>46105.0</v>
      </c>
      <c r="E3965" s="2">
        <v>3.222226966E9</v>
      </c>
      <c r="F3965" s="2" t="s">
        <v>12445</v>
      </c>
      <c r="G3965" s="2" t="s">
        <v>368</v>
      </c>
      <c r="H3965" s="2">
        <v>2199.0</v>
      </c>
      <c r="I3965" s="2">
        <v>2.8120050022806E13</v>
      </c>
      <c r="J3965" s="3">
        <v>1.0</v>
      </c>
      <c r="K3965" s="2" t="s">
        <v>14457</v>
      </c>
      <c r="L3965" s="2" t="s">
        <v>15087</v>
      </c>
      <c r="M3965" s="2" t="s">
        <v>409</v>
      </c>
      <c r="N3965" s="2" t="s">
        <v>462</v>
      </c>
      <c r="O3965" s="3"/>
      <c r="P3965" s="2" t="s">
        <v>73</v>
      </c>
      <c r="Q3965" s="3">
        <v>525.0</v>
      </c>
      <c r="R3965" s="3">
        <v>0.5</v>
      </c>
      <c r="T3965" s="2" t="s">
        <v>13421</v>
      </c>
      <c r="U3965" s="171">
        <v>2199.0</v>
      </c>
      <c r="V3965" s="172">
        <v>46108.0</v>
      </c>
      <c r="W3965" s="3">
        <v>194.68</v>
      </c>
      <c r="X3965" s="172">
        <v>46107.666282673614</v>
      </c>
      <c r="Y3965" s="172">
        <v>46105.01878916667</v>
      </c>
      <c r="Z3965" s="3">
        <v>46105.0</v>
      </c>
      <c r="AA3965" s="2" t="s">
        <v>14053</v>
      </c>
    </row>
    <row r="3966">
      <c r="A3966" s="3">
        <v>6.964996669699E12</v>
      </c>
      <c r="B3966" s="2" t="s">
        <v>15993</v>
      </c>
      <c r="C3966" s="2" t="s">
        <v>15994</v>
      </c>
      <c r="D3966" s="169">
        <v>46105.0</v>
      </c>
      <c r="E3966" s="2">
        <v>3.00264168E9</v>
      </c>
      <c r="F3966" s="2" t="s">
        <v>15995</v>
      </c>
      <c r="G3966" s="2" t="s">
        <v>1180</v>
      </c>
      <c r="H3966" s="2">
        <v>3499.0</v>
      </c>
      <c r="I3966" s="2" t="s">
        <v>15996</v>
      </c>
      <c r="J3966" s="3">
        <v>2.0</v>
      </c>
      <c r="K3966" s="2" t="s">
        <v>204</v>
      </c>
      <c r="L3966" s="2" t="s">
        <v>1116</v>
      </c>
      <c r="M3966" s="2" t="s">
        <v>409</v>
      </c>
      <c r="N3966" s="2" t="s">
        <v>406</v>
      </c>
      <c r="O3966" s="3"/>
      <c r="P3966" s="2" t="s">
        <v>640</v>
      </c>
      <c r="Q3966" s="3">
        <v>800.0</v>
      </c>
      <c r="R3966" s="3">
        <v>0.5</v>
      </c>
      <c r="U3966" s="141"/>
      <c r="X3966" s="172">
        <v>46112.793665324076</v>
      </c>
      <c r="Y3966" s="172">
        <v>46105.10210793982</v>
      </c>
      <c r="Z3966" s="3">
        <v>46105.0</v>
      </c>
      <c r="AA3966" s="2" t="s">
        <v>14103</v>
      </c>
    </row>
    <row r="3967">
      <c r="A3967" s="3">
        <v>6.965004828931E12</v>
      </c>
      <c r="B3967" s="2" t="s">
        <v>15997</v>
      </c>
      <c r="C3967" s="2" t="s">
        <v>15918</v>
      </c>
      <c r="D3967" s="169">
        <v>46105.0</v>
      </c>
      <c r="E3967" s="2">
        <v>3.258340008E9</v>
      </c>
      <c r="F3967" s="2" t="s">
        <v>15919</v>
      </c>
      <c r="G3967" s="2" t="s">
        <v>15920</v>
      </c>
      <c r="H3967" s="2">
        <v>6198.0</v>
      </c>
      <c r="I3967" s="2">
        <v>2.0120050022885E13</v>
      </c>
      <c r="J3967" s="3">
        <v>4.0</v>
      </c>
      <c r="K3967" s="2" t="s">
        <v>15998</v>
      </c>
      <c r="L3967" s="2" t="s">
        <v>15999</v>
      </c>
      <c r="M3967" s="2" t="s">
        <v>409</v>
      </c>
      <c r="N3967" s="2" t="s">
        <v>462</v>
      </c>
      <c r="O3967" s="3"/>
      <c r="P3967" s="2" t="s">
        <v>73</v>
      </c>
      <c r="Q3967" s="3">
        <v>1700.0</v>
      </c>
      <c r="R3967" s="3">
        <v>0.5</v>
      </c>
      <c r="T3967" s="2" t="s">
        <v>14037</v>
      </c>
      <c r="U3967" s="171">
        <v>6198.0</v>
      </c>
      <c r="V3967" s="172">
        <v>46112.0</v>
      </c>
      <c r="W3967" s="3">
        <v>491.0</v>
      </c>
      <c r="X3967" s="172">
        <v>46111.66624936342</v>
      </c>
      <c r="Y3967" s="172">
        <v>46105.10210793982</v>
      </c>
      <c r="Z3967" s="3">
        <v>46105.0</v>
      </c>
      <c r="AA3967" s="2" t="s">
        <v>14032</v>
      </c>
    </row>
    <row r="3968">
      <c r="A3968" s="3">
        <v>6.965021475075E12</v>
      </c>
      <c r="B3968" s="2" t="s">
        <v>16000</v>
      </c>
      <c r="C3968" s="2" t="s">
        <v>16001</v>
      </c>
      <c r="D3968" s="169">
        <v>46105.0</v>
      </c>
      <c r="E3968" s="2">
        <v>3.400043056E9</v>
      </c>
      <c r="F3968" s="2" t="s">
        <v>16002</v>
      </c>
      <c r="G3968" s="2" t="s">
        <v>898</v>
      </c>
      <c r="H3968" s="2">
        <v>3099.0</v>
      </c>
      <c r="I3968" s="2">
        <v>2.1120050022805E13</v>
      </c>
      <c r="J3968" s="3">
        <v>2.0</v>
      </c>
      <c r="K3968" s="2" t="s">
        <v>16003</v>
      </c>
      <c r="L3968" s="2" t="s">
        <v>35</v>
      </c>
      <c r="M3968" s="2" t="s">
        <v>409</v>
      </c>
      <c r="N3968" s="2" t="s">
        <v>462</v>
      </c>
      <c r="O3968" s="3"/>
      <c r="P3968" s="2" t="s">
        <v>73</v>
      </c>
      <c r="Q3968" s="3">
        <v>980.0</v>
      </c>
      <c r="R3968" s="3">
        <v>0.5</v>
      </c>
      <c r="T3968" s="2" t="s">
        <v>13421</v>
      </c>
      <c r="U3968" s="171">
        <v>3099.0</v>
      </c>
      <c r="V3968" s="172">
        <v>46108.0</v>
      </c>
      <c r="W3968" s="3">
        <v>324.06</v>
      </c>
      <c r="X3968" s="172">
        <v>46107.62444305555</v>
      </c>
      <c r="Y3968" s="172">
        <v>46105.10210793982</v>
      </c>
      <c r="Z3968" s="3">
        <v>46105.0</v>
      </c>
      <c r="AA3968" s="2" t="s">
        <v>14053</v>
      </c>
    </row>
    <row r="3969">
      <c r="A3969" s="3">
        <v>6.965091107075E12</v>
      </c>
      <c r="B3969" s="2" t="s">
        <v>16004</v>
      </c>
      <c r="C3969" s="2" t="s">
        <v>16005</v>
      </c>
      <c r="D3969" s="169">
        <v>46105.0</v>
      </c>
      <c r="E3969" s="2">
        <v>3.002184936E9</v>
      </c>
      <c r="F3969" s="2" t="s">
        <v>16006</v>
      </c>
      <c r="G3969" s="2" t="s">
        <v>493</v>
      </c>
      <c r="H3969" s="2">
        <v>3099.0</v>
      </c>
      <c r="I3969" s="2">
        <v>2.9120050022804E13</v>
      </c>
      <c r="J3969" s="3">
        <v>2.0</v>
      </c>
      <c r="K3969" s="2" t="s">
        <v>15443</v>
      </c>
      <c r="L3969" s="2" t="s">
        <v>35</v>
      </c>
      <c r="M3969" s="2" t="s">
        <v>409</v>
      </c>
      <c r="N3969" s="2" t="s">
        <v>462</v>
      </c>
      <c r="O3969" s="3"/>
      <c r="P3969" s="2" t="s">
        <v>73</v>
      </c>
      <c r="Q3969" s="3">
        <v>980.0</v>
      </c>
      <c r="R3969" s="3">
        <v>0.5</v>
      </c>
      <c r="T3969" s="2" t="s">
        <v>14037</v>
      </c>
      <c r="U3969" s="171">
        <v>3099.0</v>
      </c>
      <c r="V3969" s="172">
        <v>46112.0</v>
      </c>
      <c r="W3969" s="3">
        <v>337.0</v>
      </c>
      <c r="X3969" s="172">
        <v>46109.62441981482</v>
      </c>
      <c r="Y3969" s="172">
        <v>46105.1438075926</v>
      </c>
      <c r="Z3969" s="3">
        <v>46105.0</v>
      </c>
      <c r="AA3969" s="2" t="s">
        <v>14032</v>
      </c>
    </row>
    <row r="3970">
      <c r="A3970" s="3">
        <v>6.965114044675E12</v>
      </c>
      <c r="B3970" s="2" t="s">
        <v>16007</v>
      </c>
      <c r="C3970" s="2" t="s">
        <v>16008</v>
      </c>
      <c r="D3970" s="169">
        <v>46105.0</v>
      </c>
      <c r="E3970" s="173" t="s">
        <v>16009</v>
      </c>
      <c r="F3970" s="2" t="s">
        <v>16010</v>
      </c>
      <c r="G3970" s="2" t="s">
        <v>368</v>
      </c>
      <c r="H3970" s="2">
        <v>249.0</v>
      </c>
      <c r="I3970" s="2">
        <v>2.5120050022803E13</v>
      </c>
      <c r="J3970" s="3">
        <v>0.0</v>
      </c>
      <c r="K3970" s="2" t="s">
        <v>16011</v>
      </c>
      <c r="L3970" s="2"/>
      <c r="M3970" s="170" t="s">
        <v>455</v>
      </c>
      <c r="N3970" s="2" t="s">
        <v>406</v>
      </c>
      <c r="O3970" s="3"/>
      <c r="P3970" s="2" t="s">
        <v>73</v>
      </c>
      <c r="Q3970" s="3">
        <v>0.0</v>
      </c>
      <c r="R3970" s="3">
        <v>0.5</v>
      </c>
      <c r="U3970" s="141"/>
      <c r="W3970" s="3">
        <v>106.72</v>
      </c>
      <c r="X3970" s="172">
        <v>46112.91616645834</v>
      </c>
      <c r="Y3970" s="172">
        <v>46105.1438075926</v>
      </c>
      <c r="Z3970" s="3">
        <v>46105.0</v>
      </c>
      <c r="AA3970" s="2" t="s">
        <v>14032</v>
      </c>
    </row>
    <row r="3971">
      <c r="A3971" s="3">
        <v>6.965246394627E12</v>
      </c>
      <c r="B3971" s="2" t="s">
        <v>16012</v>
      </c>
      <c r="C3971" s="2" t="s">
        <v>16013</v>
      </c>
      <c r="D3971" s="169">
        <v>46105.0</v>
      </c>
      <c r="E3971" s="2">
        <v>3.008545676E9</v>
      </c>
      <c r="F3971" s="2" t="s">
        <v>16014</v>
      </c>
      <c r="G3971" s="2" t="s">
        <v>3739</v>
      </c>
      <c r="H3971" s="2">
        <v>3348.0</v>
      </c>
      <c r="I3971" s="2">
        <v>2.3120050022802E13</v>
      </c>
      <c r="J3971" s="3">
        <v>2.0</v>
      </c>
      <c r="K3971" s="2" t="s">
        <v>16015</v>
      </c>
      <c r="L3971" s="2" t="s">
        <v>27</v>
      </c>
      <c r="M3971" s="2" t="s">
        <v>409</v>
      </c>
      <c r="N3971" s="2" t="s">
        <v>462</v>
      </c>
      <c r="O3971" s="3"/>
      <c r="P3971" s="2" t="s">
        <v>73</v>
      </c>
      <c r="Q3971" s="3">
        <v>720.0</v>
      </c>
      <c r="R3971" s="3">
        <v>0.5</v>
      </c>
      <c r="T3971" s="2" t="s">
        <v>13421</v>
      </c>
      <c r="U3971" s="171">
        <v>3348.0</v>
      </c>
      <c r="V3971" s="172">
        <v>46108.0</v>
      </c>
      <c r="W3971" s="3">
        <v>334.02</v>
      </c>
      <c r="X3971" s="172">
        <v>46108.49955740741</v>
      </c>
      <c r="Y3971" s="172">
        <v>46105.22710260417</v>
      </c>
      <c r="Z3971" s="3">
        <v>46105.0</v>
      </c>
      <c r="AA3971" s="2" t="s">
        <v>14022</v>
      </c>
    </row>
    <row r="3972">
      <c r="A3972" s="3">
        <v>6.965314257155E12</v>
      </c>
      <c r="B3972" s="2" t="s">
        <v>16016</v>
      </c>
      <c r="C3972" s="2" t="s">
        <v>16017</v>
      </c>
      <c r="D3972" s="169">
        <v>46105.0</v>
      </c>
      <c r="E3972" s="2">
        <v>3.008223476E9</v>
      </c>
      <c r="F3972" s="2" t="s">
        <v>16018</v>
      </c>
      <c r="G3972" s="2" t="s">
        <v>493</v>
      </c>
      <c r="H3972" s="2">
        <v>3499.0</v>
      </c>
      <c r="I3972" s="2">
        <v>2.5120050022801E13</v>
      </c>
      <c r="J3972" s="3">
        <v>2.0</v>
      </c>
      <c r="K3972" s="2" t="s">
        <v>15616</v>
      </c>
      <c r="L3972" s="2" t="s">
        <v>296</v>
      </c>
      <c r="M3972" s="2" t="s">
        <v>409</v>
      </c>
      <c r="N3972" s="2" t="s">
        <v>462</v>
      </c>
      <c r="O3972" s="3"/>
      <c r="P3972" s="2" t="s">
        <v>73</v>
      </c>
      <c r="Q3972" s="3">
        <v>720.0</v>
      </c>
      <c r="R3972" s="3">
        <v>0.5</v>
      </c>
      <c r="T3972" s="2" t="s">
        <v>14037</v>
      </c>
      <c r="U3972" s="171">
        <v>3499.0</v>
      </c>
      <c r="V3972" s="172">
        <v>46112.0</v>
      </c>
      <c r="W3972" s="3">
        <v>353.0</v>
      </c>
      <c r="X3972" s="172">
        <v>46110.771387581015</v>
      </c>
      <c r="Y3972" s="172">
        <v>46105.26877003472</v>
      </c>
      <c r="Z3972" s="3">
        <v>46105.0</v>
      </c>
      <c r="AA3972" s="2" t="s">
        <v>14032</v>
      </c>
    </row>
    <row r="3973">
      <c r="A3973" s="3">
        <v>6.965328150787E12</v>
      </c>
      <c r="B3973" s="2" t="s">
        <v>16019</v>
      </c>
      <c r="C3973" s="2" t="s">
        <v>16020</v>
      </c>
      <c r="D3973" s="169">
        <v>46105.0</v>
      </c>
      <c r="E3973" s="2">
        <v>3.343903978E9</v>
      </c>
      <c r="F3973" s="2" t="s">
        <v>16021</v>
      </c>
      <c r="G3973" s="2" t="s">
        <v>493</v>
      </c>
      <c r="H3973" s="2">
        <v>3348.0</v>
      </c>
      <c r="I3973" s="2">
        <v>2.81200500228E13</v>
      </c>
      <c r="J3973" s="3">
        <v>2.0</v>
      </c>
      <c r="K3973" s="2" t="s">
        <v>14497</v>
      </c>
      <c r="L3973" s="2" t="s">
        <v>13413</v>
      </c>
      <c r="M3973" s="2" t="s">
        <v>409</v>
      </c>
      <c r="N3973" s="2" t="s">
        <v>462</v>
      </c>
      <c r="O3973" s="3"/>
      <c r="P3973" s="2" t="s">
        <v>73</v>
      </c>
      <c r="Q3973" s="3">
        <v>800.0</v>
      </c>
      <c r="R3973" s="3">
        <v>0.5</v>
      </c>
      <c r="T3973" s="2" t="s">
        <v>14037</v>
      </c>
      <c r="U3973" s="171">
        <v>3348.0</v>
      </c>
      <c r="V3973" s="172">
        <v>46112.0</v>
      </c>
      <c r="W3973" s="3">
        <v>347.0</v>
      </c>
      <c r="X3973" s="172">
        <v>46110.749716770835</v>
      </c>
      <c r="Y3973" s="172">
        <v>46105.31042140046</v>
      </c>
      <c r="Z3973" s="3">
        <v>46105.0</v>
      </c>
      <c r="AA3973" s="2" t="s">
        <v>14053</v>
      </c>
    </row>
    <row r="3974">
      <c r="A3974" s="3">
        <v>6.965328314627E12</v>
      </c>
      <c r="B3974" s="2" t="s">
        <v>16022</v>
      </c>
      <c r="C3974" s="2" t="s">
        <v>1680</v>
      </c>
      <c r="D3974" s="169">
        <v>46105.0</v>
      </c>
      <c r="E3974" s="2">
        <v>3.457522172E9</v>
      </c>
      <c r="F3974" s="2" t="s">
        <v>1681</v>
      </c>
      <c r="G3974" s="2" t="s">
        <v>1682</v>
      </c>
      <c r="H3974" s="2">
        <v>0.0</v>
      </c>
      <c r="J3974" s="3">
        <v>0.0</v>
      </c>
      <c r="K3974" s="2" t="s">
        <v>16023</v>
      </c>
      <c r="L3974" s="2"/>
      <c r="M3974" s="2" t="s">
        <v>468</v>
      </c>
      <c r="N3974" s="2" t="s">
        <v>406</v>
      </c>
      <c r="O3974" s="3"/>
      <c r="Q3974" s="3">
        <v>0.0</v>
      </c>
      <c r="R3974" s="3">
        <v>0.5</v>
      </c>
      <c r="U3974" s="141"/>
      <c r="X3974" s="172"/>
      <c r="Y3974" s="172">
        <v>46105.31042140046</v>
      </c>
      <c r="Z3974" s="3">
        <v>46105.0</v>
      </c>
      <c r="AA3974" s="2" t="s">
        <v>14032</v>
      </c>
    </row>
    <row r="3975">
      <c r="A3975" s="3">
        <v>6.965331493123E12</v>
      </c>
      <c r="B3975" s="2" t="s">
        <v>16024</v>
      </c>
      <c r="C3975" s="2" t="s">
        <v>16025</v>
      </c>
      <c r="D3975" s="169">
        <v>46105.0</v>
      </c>
      <c r="E3975" s="2">
        <v>3.457522172E9</v>
      </c>
      <c r="F3975" s="2" t="s">
        <v>16026</v>
      </c>
      <c r="G3975" s="2" t="s">
        <v>11871</v>
      </c>
      <c r="H3975" s="2">
        <v>0.0</v>
      </c>
      <c r="J3975" s="3">
        <v>0.0</v>
      </c>
      <c r="K3975" s="2" t="s">
        <v>7954</v>
      </c>
      <c r="L3975" s="2"/>
      <c r="M3975" s="2" t="s">
        <v>468</v>
      </c>
      <c r="N3975" s="2" t="s">
        <v>406</v>
      </c>
      <c r="O3975" s="3"/>
      <c r="Q3975" s="3">
        <v>0.0</v>
      </c>
      <c r="R3975" s="3">
        <v>0.5</v>
      </c>
      <c r="U3975" s="141"/>
      <c r="X3975" s="172"/>
      <c r="Y3975" s="172">
        <v>46105.31042140046</v>
      </c>
      <c r="Z3975" s="3">
        <v>46105.0</v>
      </c>
      <c r="AA3975" s="2" t="s">
        <v>14032</v>
      </c>
    </row>
    <row r="3976">
      <c r="A3976" s="3">
        <v>6.965333426435E12</v>
      </c>
      <c r="B3976" s="2" t="s">
        <v>16027</v>
      </c>
      <c r="C3976" s="2" t="s">
        <v>16025</v>
      </c>
      <c r="D3976" s="169">
        <v>46105.0</v>
      </c>
      <c r="E3976" s="2">
        <v>3.457522172E9</v>
      </c>
      <c r="F3976" s="2" t="s">
        <v>16028</v>
      </c>
      <c r="G3976" s="2" t="s">
        <v>1682</v>
      </c>
      <c r="H3976" s="2">
        <v>0.0</v>
      </c>
      <c r="J3976" s="3">
        <v>0.0</v>
      </c>
      <c r="K3976" s="2" t="s">
        <v>7954</v>
      </c>
      <c r="L3976" s="2"/>
      <c r="M3976" s="2" t="s">
        <v>468</v>
      </c>
      <c r="N3976" s="2" t="s">
        <v>406</v>
      </c>
      <c r="O3976" s="3"/>
      <c r="Q3976" s="3">
        <v>0.0</v>
      </c>
      <c r="R3976" s="3">
        <v>0.5</v>
      </c>
      <c r="U3976" s="141"/>
      <c r="X3976" s="172"/>
      <c r="Y3976" s="172">
        <v>46105.31042140046</v>
      </c>
      <c r="Z3976" s="3">
        <v>46105.0</v>
      </c>
      <c r="AA3976" s="2" t="s">
        <v>14032</v>
      </c>
    </row>
    <row r="3977">
      <c r="A3977" s="3">
        <v>6.965334999299E12</v>
      </c>
      <c r="B3977" s="2" t="s">
        <v>16029</v>
      </c>
      <c r="C3977" s="2" t="s">
        <v>1680</v>
      </c>
      <c r="D3977" s="169">
        <v>46105.0</v>
      </c>
      <c r="E3977" s="2">
        <v>3.457522172E9</v>
      </c>
      <c r="F3977" s="2" t="s">
        <v>16028</v>
      </c>
      <c r="G3977" s="2" t="s">
        <v>1682</v>
      </c>
      <c r="H3977" s="2">
        <v>0.0</v>
      </c>
      <c r="J3977" s="3">
        <v>0.0</v>
      </c>
      <c r="K3977" s="2" t="s">
        <v>7954</v>
      </c>
      <c r="L3977" s="2"/>
      <c r="M3977" s="2" t="s">
        <v>468</v>
      </c>
      <c r="N3977" s="2" t="s">
        <v>406</v>
      </c>
      <c r="O3977" s="3"/>
      <c r="Q3977" s="3">
        <v>0.0</v>
      </c>
      <c r="R3977" s="3">
        <v>0.5</v>
      </c>
      <c r="U3977" s="141"/>
      <c r="X3977" s="172"/>
      <c r="Y3977" s="172">
        <v>46105.31042140046</v>
      </c>
      <c r="Z3977" s="3">
        <v>46105.0</v>
      </c>
      <c r="AA3977" s="2" t="s">
        <v>14032</v>
      </c>
    </row>
    <row r="3978">
      <c r="A3978" s="3">
        <v>6.965592326403E12</v>
      </c>
      <c r="B3978" s="2" t="s">
        <v>16030</v>
      </c>
      <c r="C3978" s="2" t="s">
        <v>15806</v>
      </c>
      <c r="D3978" s="169">
        <v>46105.0</v>
      </c>
      <c r="E3978" s="2">
        <v>3.707954157E9</v>
      </c>
      <c r="F3978" s="2" t="s">
        <v>15807</v>
      </c>
      <c r="G3978" s="2" t="s">
        <v>368</v>
      </c>
      <c r="H3978" s="2">
        <v>3099.0</v>
      </c>
      <c r="I3978" s="2">
        <v>2.7120050022799E13</v>
      </c>
      <c r="J3978" s="3">
        <v>2.0</v>
      </c>
      <c r="K3978" s="2" t="s">
        <v>16031</v>
      </c>
      <c r="L3978" s="2" t="s">
        <v>926</v>
      </c>
      <c r="M3978" s="2" t="s">
        <v>409</v>
      </c>
      <c r="N3978" s="2" t="s">
        <v>462</v>
      </c>
      <c r="O3978" s="3"/>
      <c r="P3978" s="2" t="s">
        <v>73</v>
      </c>
      <c r="Q3978" s="3">
        <v>980.0</v>
      </c>
      <c r="R3978" s="3">
        <v>0.5</v>
      </c>
      <c r="T3978" s="2" t="s">
        <v>12503</v>
      </c>
      <c r="U3978" s="171">
        <v>3099.0</v>
      </c>
      <c r="V3978" s="172">
        <v>46115.0</v>
      </c>
      <c r="W3978" s="3">
        <v>244.02</v>
      </c>
      <c r="X3978" s="172">
        <v>46112.54116177083</v>
      </c>
      <c r="Y3978" s="172">
        <v>46105.51881903935</v>
      </c>
      <c r="Z3978" s="3">
        <v>46105.0</v>
      </c>
      <c r="AA3978" s="2" t="s">
        <v>14041</v>
      </c>
    </row>
    <row r="3979">
      <c r="A3979" s="3">
        <v>6.965626929411E12</v>
      </c>
      <c r="B3979" s="2" t="s">
        <v>16032</v>
      </c>
      <c r="C3979" s="2" t="s">
        <v>2537</v>
      </c>
      <c r="D3979" s="169">
        <v>46105.0</v>
      </c>
      <c r="E3979" s="173" t="s">
        <v>16033</v>
      </c>
      <c r="F3979" s="2" t="s">
        <v>16034</v>
      </c>
      <c r="G3979" s="2" t="s">
        <v>541</v>
      </c>
      <c r="H3979" s="2">
        <v>3499.0</v>
      </c>
      <c r="I3979" s="2">
        <v>2.0120050022798E13</v>
      </c>
      <c r="J3979" s="3">
        <v>2.0</v>
      </c>
      <c r="K3979" s="2" t="s">
        <v>15616</v>
      </c>
      <c r="L3979" s="2" t="s">
        <v>40</v>
      </c>
      <c r="M3979" s="2" t="s">
        <v>409</v>
      </c>
      <c r="N3979" s="2" t="s">
        <v>462</v>
      </c>
      <c r="O3979" s="3"/>
      <c r="P3979" s="2" t="s">
        <v>73</v>
      </c>
      <c r="Q3979" s="3">
        <v>720.0</v>
      </c>
      <c r="R3979" s="3">
        <v>0.5</v>
      </c>
      <c r="T3979" s="2" t="s">
        <v>14037</v>
      </c>
      <c r="U3979" s="171">
        <v>3499.0</v>
      </c>
      <c r="V3979" s="172">
        <v>46112.0</v>
      </c>
      <c r="W3979" s="3">
        <v>340.0</v>
      </c>
      <c r="X3979" s="172">
        <v>46111.58289421296</v>
      </c>
      <c r="Y3979" s="172">
        <v>46105.560444409726</v>
      </c>
      <c r="Z3979" s="3">
        <v>46105.0</v>
      </c>
      <c r="AA3979" s="2" t="s">
        <v>14032</v>
      </c>
    </row>
    <row r="3980">
      <c r="A3980" s="3">
        <v>6.965629878531E12</v>
      </c>
      <c r="B3980" s="2" t="s">
        <v>16035</v>
      </c>
      <c r="C3980" s="2" t="s">
        <v>6869</v>
      </c>
      <c r="D3980" s="169">
        <v>46105.0</v>
      </c>
      <c r="E3980" s="2">
        <v>3.244928935E9</v>
      </c>
      <c r="F3980" s="2" t="s">
        <v>16036</v>
      </c>
      <c r="G3980" s="2" t="s">
        <v>368</v>
      </c>
      <c r="H3980" s="2">
        <v>3348.0</v>
      </c>
      <c r="I3980" s="2">
        <v>2.6120050022797E13</v>
      </c>
      <c r="J3980" s="3">
        <v>2.0</v>
      </c>
      <c r="K3980" s="2" t="s">
        <v>14057</v>
      </c>
      <c r="L3980" s="2" t="s">
        <v>50</v>
      </c>
      <c r="M3980" s="2" t="s">
        <v>409</v>
      </c>
      <c r="N3980" s="2" t="s">
        <v>462</v>
      </c>
      <c r="O3980" s="3"/>
      <c r="P3980" s="2" t="s">
        <v>73</v>
      </c>
      <c r="Q3980" s="3">
        <v>720.0</v>
      </c>
      <c r="R3980" s="3">
        <v>0.5</v>
      </c>
      <c r="T3980" s="2" t="s">
        <v>13421</v>
      </c>
      <c r="U3980" s="171">
        <v>3348.0</v>
      </c>
      <c r="V3980" s="172">
        <v>46108.0</v>
      </c>
      <c r="W3980" s="3">
        <v>240.64</v>
      </c>
      <c r="X3980" s="172">
        <v>46107.58278456019</v>
      </c>
      <c r="Y3980" s="172">
        <v>46105.560444409726</v>
      </c>
      <c r="Z3980" s="3">
        <v>46105.0</v>
      </c>
      <c r="AA3980" s="2" t="s">
        <v>14053</v>
      </c>
    </row>
    <row r="3981">
      <c r="A3981" s="3">
        <v>6.965644919043E12</v>
      </c>
      <c r="B3981" s="2" t="s">
        <v>16037</v>
      </c>
      <c r="C3981" s="2" t="s">
        <v>16038</v>
      </c>
      <c r="D3981" s="169">
        <v>46105.0</v>
      </c>
      <c r="E3981" s="2">
        <v>3.008613638E9</v>
      </c>
      <c r="F3981" s="2" t="s">
        <v>16039</v>
      </c>
      <c r="G3981" s="2" t="s">
        <v>688</v>
      </c>
      <c r="H3981" s="2">
        <v>3099.0</v>
      </c>
      <c r="I3981" s="2">
        <v>2.4120050022825E13</v>
      </c>
      <c r="J3981" s="3">
        <v>2.0</v>
      </c>
      <c r="K3981" s="2" t="s">
        <v>16040</v>
      </c>
      <c r="L3981" s="2" t="s">
        <v>16</v>
      </c>
      <c r="M3981" s="2" t="s">
        <v>409</v>
      </c>
      <c r="N3981" s="2" t="s">
        <v>462</v>
      </c>
      <c r="O3981" s="3"/>
      <c r="P3981" s="2" t="s">
        <v>73</v>
      </c>
      <c r="Q3981" s="3">
        <v>980.0</v>
      </c>
      <c r="R3981" s="3">
        <v>0.5</v>
      </c>
      <c r="T3981" s="2" t="s">
        <v>14037</v>
      </c>
      <c r="U3981" s="171">
        <v>3099.0</v>
      </c>
      <c r="V3981" s="172">
        <v>46112.0</v>
      </c>
      <c r="W3981" s="3">
        <v>345.0</v>
      </c>
      <c r="X3981" s="172">
        <v>46109.582865185184</v>
      </c>
      <c r="Y3981" s="172">
        <v>46105.560444409726</v>
      </c>
      <c r="Z3981" s="3">
        <v>46105.0</v>
      </c>
      <c r="AA3981" s="2" t="s">
        <v>14032</v>
      </c>
    </row>
    <row r="3982">
      <c r="A3982" s="3">
        <v>6.965679161603E12</v>
      </c>
      <c r="B3982" s="2" t="s">
        <v>16041</v>
      </c>
      <c r="C3982" s="2" t="s">
        <v>16042</v>
      </c>
      <c r="D3982" s="169">
        <v>46105.0</v>
      </c>
      <c r="E3982" s="2">
        <v>9.23210049494E11</v>
      </c>
      <c r="F3982" s="2" t="s">
        <v>16043</v>
      </c>
      <c r="G3982" s="2" t="s">
        <v>16044</v>
      </c>
      <c r="H3982" s="2">
        <v>3348.0</v>
      </c>
      <c r="I3982" s="2">
        <v>2.7120050022824E13</v>
      </c>
      <c r="J3982" s="3">
        <v>2.0</v>
      </c>
      <c r="K3982" s="2" t="s">
        <v>14036</v>
      </c>
      <c r="L3982" s="2" t="s">
        <v>27</v>
      </c>
      <c r="M3982" s="2" t="s">
        <v>409</v>
      </c>
      <c r="N3982" s="2" t="s">
        <v>462</v>
      </c>
      <c r="O3982" s="3"/>
      <c r="P3982" s="2" t="s">
        <v>73</v>
      </c>
      <c r="Q3982" s="3">
        <v>720.0</v>
      </c>
      <c r="R3982" s="3">
        <v>0.5</v>
      </c>
      <c r="T3982" s="2" t="s">
        <v>14037</v>
      </c>
      <c r="U3982" s="171">
        <v>3348.0</v>
      </c>
      <c r="V3982" s="172">
        <v>46112.0</v>
      </c>
      <c r="W3982" s="3">
        <v>355.0</v>
      </c>
      <c r="X3982" s="172">
        <v>46109.66609322917</v>
      </c>
      <c r="Y3982" s="172">
        <v>46105.602098703705</v>
      </c>
      <c r="Z3982" s="3">
        <v>46105.0</v>
      </c>
      <c r="AA3982" s="2" t="s">
        <v>14041</v>
      </c>
    </row>
    <row r="3983">
      <c r="A3983" s="3">
        <v>6.965695611139E12</v>
      </c>
      <c r="B3983" s="2" t="s">
        <v>16045</v>
      </c>
      <c r="C3983" s="2" t="s">
        <v>16046</v>
      </c>
      <c r="D3983" s="169">
        <v>46105.0</v>
      </c>
      <c r="E3983" s="2">
        <v>3.046996609E9</v>
      </c>
      <c r="F3983" s="2" t="s">
        <v>16047</v>
      </c>
      <c r="G3983" s="2" t="s">
        <v>16048</v>
      </c>
      <c r="H3983" s="2">
        <v>249.0</v>
      </c>
      <c r="I3983" s="2">
        <v>2.2120050022796E13</v>
      </c>
      <c r="J3983" s="3">
        <v>0.0</v>
      </c>
      <c r="K3983" s="2" t="s">
        <v>16049</v>
      </c>
      <c r="L3983" s="2"/>
      <c r="M3983" s="2" t="s">
        <v>409</v>
      </c>
      <c r="N3983" s="2" t="s">
        <v>462</v>
      </c>
      <c r="O3983" s="3"/>
      <c r="P3983" s="2" t="s">
        <v>73</v>
      </c>
      <c r="Q3983" s="3">
        <v>0.0</v>
      </c>
      <c r="R3983" s="3">
        <v>0.5</v>
      </c>
      <c r="T3983" s="2" t="s">
        <v>14037</v>
      </c>
      <c r="U3983" s="171">
        <v>249.0</v>
      </c>
      <c r="V3983" s="172">
        <v>46112.0</v>
      </c>
      <c r="W3983" s="3">
        <v>344.0</v>
      </c>
      <c r="X3983" s="172">
        <v>46108.66618695602</v>
      </c>
      <c r="Y3983" s="172">
        <v>46105.64375047454</v>
      </c>
      <c r="Z3983" s="3">
        <v>46105.0</v>
      </c>
      <c r="AA3983" s="2" t="s">
        <v>14032</v>
      </c>
    </row>
    <row r="3984">
      <c r="A3984" s="3">
        <v>6.965736538371E12</v>
      </c>
      <c r="B3984" s="2" t="s">
        <v>16050</v>
      </c>
      <c r="C3984" s="2" t="s">
        <v>16051</v>
      </c>
      <c r="D3984" s="169">
        <v>46105.0</v>
      </c>
      <c r="E3984" s="2">
        <v>3.05978708E9</v>
      </c>
      <c r="F3984" s="2" t="s">
        <v>16052</v>
      </c>
      <c r="G3984" s="2" t="s">
        <v>855</v>
      </c>
      <c r="H3984" s="2">
        <v>249.0</v>
      </c>
      <c r="I3984" s="2">
        <v>2.9120050022795E13</v>
      </c>
      <c r="J3984" s="3">
        <v>0.0</v>
      </c>
      <c r="K3984" s="2" t="s">
        <v>16053</v>
      </c>
      <c r="L3984" s="2"/>
      <c r="M3984" s="170" t="s">
        <v>455</v>
      </c>
      <c r="N3984" s="2" t="s">
        <v>406</v>
      </c>
      <c r="O3984" s="3"/>
      <c r="P3984" s="2" t="s">
        <v>73</v>
      </c>
      <c r="Q3984" s="3">
        <v>0.0</v>
      </c>
      <c r="R3984" s="3">
        <v>0.5</v>
      </c>
      <c r="U3984" s="141"/>
      <c r="W3984" s="3">
        <v>200.1</v>
      </c>
      <c r="X3984" s="172">
        <v>46112.916166469906</v>
      </c>
      <c r="Y3984" s="172">
        <v>46105.685496226855</v>
      </c>
      <c r="Z3984" s="3">
        <v>46105.0</v>
      </c>
      <c r="AA3984" s="2" t="s">
        <v>14053</v>
      </c>
    </row>
    <row r="3985">
      <c r="A3985" s="3">
        <v>6.965737455875E12</v>
      </c>
      <c r="B3985" s="2" t="s">
        <v>16054</v>
      </c>
      <c r="C3985" s="2" t="s">
        <v>16055</v>
      </c>
      <c r="D3985" s="169">
        <v>46105.0</v>
      </c>
      <c r="E3985" s="2">
        <v>3.001600573E9</v>
      </c>
      <c r="F3985" s="2" t="s">
        <v>16056</v>
      </c>
      <c r="G3985" s="2" t="s">
        <v>2543</v>
      </c>
      <c r="H3985" s="2">
        <v>3348.0</v>
      </c>
      <c r="I3985" s="2">
        <v>2.6120050022794E13</v>
      </c>
      <c r="J3985" s="3">
        <v>2.0</v>
      </c>
      <c r="K3985" s="2" t="s">
        <v>16015</v>
      </c>
      <c r="L3985" s="2" t="s">
        <v>50</v>
      </c>
      <c r="M3985" s="2" t="s">
        <v>409</v>
      </c>
      <c r="N3985" s="2" t="s">
        <v>462</v>
      </c>
      <c r="O3985" s="3"/>
      <c r="P3985" s="2" t="s">
        <v>73</v>
      </c>
      <c r="Q3985" s="3">
        <v>720.0</v>
      </c>
      <c r="R3985" s="3">
        <v>0.5</v>
      </c>
      <c r="T3985" s="2" t="s">
        <v>13421</v>
      </c>
      <c r="U3985" s="171">
        <v>3348.0</v>
      </c>
      <c r="V3985" s="172">
        <v>46108.0</v>
      </c>
      <c r="W3985" s="3">
        <v>334.02</v>
      </c>
      <c r="X3985" s="172">
        <v>46107.54106578704</v>
      </c>
      <c r="Y3985" s="172">
        <v>46105.685496238424</v>
      </c>
      <c r="Z3985" s="3">
        <v>46105.0</v>
      </c>
      <c r="AA3985" s="2" t="s">
        <v>14041</v>
      </c>
    </row>
    <row r="3986">
      <c r="A3986" s="3">
        <v>6.965743485187E12</v>
      </c>
      <c r="B3986" s="2" t="s">
        <v>16057</v>
      </c>
      <c r="C3986" s="2" t="s">
        <v>13604</v>
      </c>
      <c r="D3986" s="169">
        <v>46105.0</v>
      </c>
      <c r="E3986" s="2">
        <v>3.008753402E9</v>
      </c>
      <c r="F3986" s="2" t="s">
        <v>13605</v>
      </c>
      <c r="G3986" s="2" t="s">
        <v>2905</v>
      </c>
      <c r="H3986" s="2">
        <v>1449.0</v>
      </c>
      <c r="I3986" s="2">
        <v>2.7120050022823E13</v>
      </c>
      <c r="J3986" s="3">
        <v>1.0</v>
      </c>
      <c r="K3986" s="2" t="s">
        <v>14796</v>
      </c>
      <c r="L3986" s="2" t="s">
        <v>16058</v>
      </c>
      <c r="M3986" s="2" t="s">
        <v>409</v>
      </c>
      <c r="N3986" s="2" t="s">
        <v>462</v>
      </c>
      <c r="O3986" s="3"/>
      <c r="P3986" s="2" t="s">
        <v>73</v>
      </c>
      <c r="Q3986" s="3">
        <v>550.0</v>
      </c>
      <c r="R3986" s="3">
        <v>0.5</v>
      </c>
      <c r="T3986" s="2" t="s">
        <v>14037</v>
      </c>
      <c r="U3986" s="171">
        <v>1449.0</v>
      </c>
      <c r="V3986" s="172">
        <v>46112.0</v>
      </c>
      <c r="W3986" s="3">
        <v>279.0</v>
      </c>
      <c r="X3986" s="172">
        <v>46111.49953731481</v>
      </c>
      <c r="Y3986" s="172">
        <v>46105.685496238424</v>
      </c>
      <c r="Z3986" s="3">
        <v>46105.0</v>
      </c>
      <c r="AA3986" s="2" t="s">
        <v>14032</v>
      </c>
    </row>
    <row r="3987">
      <c r="A3987" s="3">
        <v>6.965873737987E12</v>
      </c>
      <c r="B3987" s="2" t="s">
        <v>16059</v>
      </c>
      <c r="C3987" s="2" t="s">
        <v>16060</v>
      </c>
      <c r="D3987" s="169">
        <v>46105.0</v>
      </c>
      <c r="E3987" s="2">
        <v>3.117140572E9</v>
      </c>
      <c r="F3987" s="2" t="s">
        <v>16061</v>
      </c>
      <c r="G3987" s="2" t="s">
        <v>16062</v>
      </c>
      <c r="H3987" s="2">
        <v>249.0</v>
      </c>
      <c r="I3987" s="2">
        <v>2.1120050022793E13</v>
      </c>
      <c r="J3987" s="3">
        <v>0.0</v>
      </c>
      <c r="K3987" s="2" t="s">
        <v>13870</v>
      </c>
      <c r="L3987" s="2"/>
      <c r="M3987" s="170" t="s">
        <v>455</v>
      </c>
      <c r="N3987" s="2" t="s">
        <v>406</v>
      </c>
      <c r="O3987" s="3"/>
      <c r="P3987" s="2" t="s">
        <v>73</v>
      </c>
      <c r="Q3987" s="3">
        <v>0.0</v>
      </c>
      <c r="R3987" s="3">
        <v>0.5</v>
      </c>
      <c r="U3987" s="141"/>
      <c r="W3987" s="3">
        <v>200.1</v>
      </c>
      <c r="X3987" s="172">
        <v>46113.916083344906</v>
      </c>
      <c r="Y3987" s="172">
        <v>46105.768753807875</v>
      </c>
      <c r="Z3987" s="3">
        <v>46105.0</v>
      </c>
      <c r="AA3987" s="2" t="s">
        <v>14041</v>
      </c>
    </row>
    <row r="3988">
      <c r="A3988" s="3">
        <v>6.966133555459E12</v>
      </c>
      <c r="B3988" s="2" t="s">
        <v>16063</v>
      </c>
      <c r="C3988" s="2" t="s">
        <v>16064</v>
      </c>
      <c r="D3988" s="169">
        <v>46105.0</v>
      </c>
      <c r="E3988" s="2">
        <v>3.007738938E9</v>
      </c>
      <c r="F3988" s="2" t="s">
        <v>16065</v>
      </c>
      <c r="G3988" s="2" t="s">
        <v>371</v>
      </c>
      <c r="H3988" s="2">
        <v>249.0</v>
      </c>
      <c r="I3988" s="2">
        <v>2.0120050022822E13</v>
      </c>
      <c r="J3988" s="3">
        <v>0.0</v>
      </c>
      <c r="K3988" s="2" t="s">
        <v>16066</v>
      </c>
      <c r="L3988" s="2"/>
      <c r="M3988" s="170" t="s">
        <v>455</v>
      </c>
      <c r="N3988" s="2" t="s">
        <v>406</v>
      </c>
      <c r="O3988" s="3"/>
      <c r="P3988" s="2" t="s">
        <v>73</v>
      </c>
      <c r="Q3988" s="3">
        <v>0.0</v>
      </c>
      <c r="R3988" s="3">
        <v>0.5</v>
      </c>
      <c r="U3988" s="141"/>
      <c r="W3988" s="3">
        <v>220.98</v>
      </c>
      <c r="X3988" s="172">
        <v>46115.832779386576</v>
      </c>
      <c r="Y3988" s="172">
        <v>46105.89376009259</v>
      </c>
      <c r="Z3988" s="3">
        <v>46105.0</v>
      </c>
      <c r="AA3988" s="2" t="s">
        <v>14032</v>
      </c>
    </row>
    <row r="3989">
      <c r="A3989" s="3">
        <v>6.966171861251E12</v>
      </c>
      <c r="B3989" s="2" t="s">
        <v>16067</v>
      </c>
      <c r="C3989" s="2" t="s">
        <v>16068</v>
      </c>
      <c r="D3989" s="169">
        <v>46105.0</v>
      </c>
      <c r="E3989" s="2">
        <v>3.339645075E9</v>
      </c>
      <c r="F3989" s="2" t="s">
        <v>16069</v>
      </c>
      <c r="G3989" s="2" t="s">
        <v>1439</v>
      </c>
      <c r="H3989" s="2">
        <v>3099.0</v>
      </c>
      <c r="I3989" s="2">
        <v>2.7120050022792E13</v>
      </c>
      <c r="J3989" s="3">
        <v>2.0</v>
      </c>
      <c r="K3989" s="2" t="s">
        <v>16003</v>
      </c>
      <c r="L3989" s="2" t="s">
        <v>926</v>
      </c>
      <c r="M3989" s="2" t="s">
        <v>409</v>
      </c>
      <c r="N3989" s="2" t="s">
        <v>462</v>
      </c>
      <c r="O3989" s="3"/>
      <c r="P3989" s="2" t="s">
        <v>73</v>
      </c>
      <c r="Q3989" s="3">
        <v>980.0</v>
      </c>
      <c r="R3989" s="3">
        <v>0.5</v>
      </c>
      <c r="T3989" s="2" t="s">
        <v>13421</v>
      </c>
      <c r="U3989" s="171">
        <v>3099.0</v>
      </c>
      <c r="V3989" s="172">
        <v>46108.0</v>
      </c>
      <c r="W3989" s="3">
        <v>350.74</v>
      </c>
      <c r="X3989" s="172">
        <v>46108.458056469906</v>
      </c>
      <c r="Y3989" s="172">
        <v>46105.89376011574</v>
      </c>
      <c r="Z3989" s="3">
        <v>46105.0</v>
      </c>
      <c r="AA3989" s="2" t="s">
        <v>14032</v>
      </c>
    </row>
    <row r="3990">
      <c r="A3990" s="3">
        <v>6.966370926851E12</v>
      </c>
      <c r="B3990" s="2" t="s">
        <v>16070</v>
      </c>
      <c r="C3990" s="2" t="s">
        <v>16071</v>
      </c>
      <c r="D3990" s="169">
        <v>46105.0</v>
      </c>
      <c r="E3990" s="2">
        <v>3.00646889E9</v>
      </c>
      <c r="F3990" s="2" t="s">
        <v>16072</v>
      </c>
      <c r="G3990" s="2" t="s">
        <v>855</v>
      </c>
      <c r="H3990" s="2">
        <v>3348.0</v>
      </c>
      <c r="I3990" s="2">
        <v>2.3120050022791E13</v>
      </c>
      <c r="J3990" s="3">
        <v>2.0</v>
      </c>
      <c r="K3990" s="2" t="s">
        <v>14036</v>
      </c>
      <c r="L3990" s="2" t="s">
        <v>50</v>
      </c>
      <c r="M3990" s="2" t="s">
        <v>409</v>
      </c>
      <c r="N3990" s="2" t="s">
        <v>462</v>
      </c>
      <c r="O3990" s="3"/>
      <c r="P3990" s="2" t="s">
        <v>73</v>
      </c>
      <c r="Q3990" s="3">
        <v>720.0</v>
      </c>
      <c r="R3990" s="3">
        <v>0.5</v>
      </c>
      <c r="T3990" s="2" t="s">
        <v>14037</v>
      </c>
      <c r="U3990" s="171">
        <v>3348.0</v>
      </c>
      <c r="V3990" s="172">
        <v>46112.0</v>
      </c>
      <c r="W3990" s="3">
        <v>334.0</v>
      </c>
      <c r="X3990" s="172">
        <v>46111.66625054398</v>
      </c>
      <c r="Y3990" s="172">
        <v>46105.977093865746</v>
      </c>
      <c r="Z3990" s="3">
        <v>46105.0</v>
      </c>
      <c r="AA3990" s="2" t="s">
        <v>14053</v>
      </c>
    </row>
    <row r="3991">
      <c r="A3991" s="3">
        <v>6.966403760387E12</v>
      </c>
      <c r="B3991" s="2" t="s">
        <v>16073</v>
      </c>
      <c r="C3991" s="2" t="s">
        <v>16074</v>
      </c>
      <c r="D3991" s="169">
        <v>46105.0</v>
      </c>
      <c r="E3991" s="2">
        <v>3.082229998E9</v>
      </c>
      <c r="F3991" s="2" t="s">
        <v>16075</v>
      </c>
      <c r="G3991" s="2" t="s">
        <v>688</v>
      </c>
      <c r="H3991" s="2">
        <v>249.0</v>
      </c>
      <c r="I3991" s="2">
        <v>2.912005002279E13</v>
      </c>
      <c r="J3991" s="3">
        <v>0.0</v>
      </c>
      <c r="K3991" s="2" t="s">
        <v>16076</v>
      </c>
      <c r="L3991" s="2"/>
      <c r="M3991" s="170" t="s">
        <v>455</v>
      </c>
      <c r="N3991" s="2" t="s">
        <v>406</v>
      </c>
      <c r="O3991" s="3"/>
      <c r="P3991" s="2" t="s">
        <v>73</v>
      </c>
      <c r="Q3991" s="3">
        <v>0.0</v>
      </c>
      <c r="R3991" s="3">
        <v>0.5</v>
      </c>
      <c r="U3991" s="141"/>
      <c r="W3991" s="3">
        <v>200.1</v>
      </c>
      <c r="X3991" s="172">
        <v>46114.87449553241</v>
      </c>
      <c r="Y3991" s="172">
        <v>46105.977093865746</v>
      </c>
      <c r="Z3991" s="3">
        <v>46105.0</v>
      </c>
      <c r="AA3991" s="2" t="s">
        <v>14032</v>
      </c>
    </row>
    <row r="3992">
      <c r="A3992" s="3">
        <v>6.966569238787E12</v>
      </c>
      <c r="B3992" s="2" t="s">
        <v>16077</v>
      </c>
      <c r="C3992" s="2" t="s">
        <v>2450</v>
      </c>
      <c r="D3992" s="169">
        <v>46106.0</v>
      </c>
      <c r="E3992" s="2">
        <v>3.20600282E9</v>
      </c>
      <c r="F3992" s="2" t="s">
        <v>16078</v>
      </c>
      <c r="G3992" s="2" t="s">
        <v>855</v>
      </c>
      <c r="H3992" s="2">
        <v>249.0</v>
      </c>
      <c r="I3992" s="2">
        <v>2.1120050022881E13</v>
      </c>
      <c r="J3992" s="3">
        <v>0.0</v>
      </c>
      <c r="K3992" s="2" t="s">
        <v>16079</v>
      </c>
      <c r="L3992" s="2"/>
      <c r="M3992" s="170" t="s">
        <v>455</v>
      </c>
      <c r="N3992" s="2" t="s">
        <v>406</v>
      </c>
      <c r="O3992" s="3"/>
      <c r="P3992" s="2" t="s">
        <v>73</v>
      </c>
      <c r="Q3992" s="3">
        <v>0.0</v>
      </c>
      <c r="R3992" s="3">
        <v>0.5</v>
      </c>
      <c r="U3992" s="141"/>
      <c r="W3992" s="3">
        <v>220.98</v>
      </c>
      <c r="X3992" s="172">
        <v>46114.8744956713</v>
      </c>
      <c r="Y3992" s="172">
        <v>46106.06040836805</v>
      </c>
      <c r="Z3992" s="3">
        <v>46106.0</v>
      </c>
      <c r="AA3992" s="2" t="s">
        <v>14032</v>
      </c>
    </row>
    <row r="3993">
      <c r="A3993" s="3">
        <v>6.966867329283E12</v>
      </c>
      <c r="B3993" s="2" t="s">
        <v>16080</v>
      </c>
      <c r="C3993" s="2" t="s">
        <v>16081</v>
      </c>
      <c r="D3993" s="169">
        <v>46106.0</v>
      </c>
      <c r="E3993" s="2">
        <v>3.00043309E9</v>
      </c>
      <c r="F3993" s="2" t="s">
        <v>16082</v>
      </c>
      <c r="G3993" s="2" t="s">
        <v>368</v>
      </c>
      <c r="H3993" s="2">
        <v>3348.0</v>
      </c>
      <c r="I3993" s="2">
        <v>2.5120050022789E13</v>
      </c>
      <c r="J3993" s="3">
        <v>2.0</v>
      </c>
      <c r="K3993" s="2" t="s">
        <v>16015</v>
      </c>
      <c r="L3993" s="2" t="s">
        <v>27</v>
      </c>
      <c r="M3993" s="2" t="s">
        <v>409</v>
      </c>
      <c r="N3993" s="2" t="s">
        <v>462</v>
      </c>
      <c r="O3993" s="3"/>
      <c r="P3993" s="2" t="s">
        <v>73</v>
      </c>
      <c r="Q3993" s="3">
        <v>720.0</v>
      </c>
      <c r="R3993" s="3">
        <v>0.5</v>
      </c>
      <c r="T3993" s="2" t="s">
        <v>13421</v>
      </c>
      <c r="U3993" s="171">
        <v>3348.0</v>
      </c>
      <c r="V3993" s="172">
        <v>46108.0</v>
      </c>
      <c r="W3993" s="3">
        <v>240.64</v>
      </c>
      <c r="X3993" s="172">
        <v>46107.5827846412</v>
      </c>
      <c r="Y3993" s="172">
        <v>46106.268781192135</v>
      </c>
      <c r="Z3993" s="3">
        <v>46106.0</v>
      </c>
      <c r="AA3993" s="2" t="s">
        <v>14032</v>
      </c>
    </row>
    <row r="3994">
      <c r="A3994" s="3">
        <v>6.966983393539E12</v>
      </c>
      <c r="B3994" s="2" t="s">
        <v>16083</v>
      </c>
      <c r="C3994" s="2" t="s">
        <v>16084</v>
      </c>
      <c r="D3994" s="169">
        <v>46106.0</v>
      </c>
      <c r="E3994" s="2">
        <v>3.020389969E9</v>
      </c>
      <c r="F3994" s="2" t="s">
        <v>16085</v>
      </c>
      <c r="G3994" s="2" t="s">
        <v>493</v>
      </c>
      <c r="H3994" s="2">
        <v>6297.0</v>
      </c>
      <c r="I3994" s="2">
        <v>2.4120050022821E13</v>
      </c>
      <c r="J3994" s="3">
        <v>4.0</v>
      </c>
      <c r="K3994" s="2" t="s">
        <v>16086</v>
      </c>
      <c r="L3994" s="2" t="s">
        <v>16087</v>
      </c>
      <c r="M3994" s="2" t="s">
        <v>409</v>
      </c>
      <c r="N3994" s="2" t="s">
        <v>462</v>
      </c>
      <c r="O3994" s="3"/>
      <c r="P3994" s="2" t="s">
        <v>73</v>
      </c>
      <c r="Q3994" s="3">
        <v>2020.0</v>
      </c>
      <c r="R3994" s="3">
        <v>0.5</v>
      </c>
      <c r="T3994" s="2" t="s">
        <v>14037</v>
      </c>
      <c r="U3994" s="171">
        <v>6297.0</v>
      </c>
      <c r="V3994" s="172">
        <v>46112.0</v>
      </c>
      <c r="W3994" s="3">
        <v>605.0</v>
      </c>
      <c r="X3994" s="172">
        <v>46111.77101997685</v>
      </c>
      <c r="Y3994" s="172">
        <v>46106.31043883102</v>
      </c>
      <c r="Z3994" s="3">
        <v>46106.0</v>
      </c>
      <c r="AA3994" s="2" t="s">
        <v>14103</v>
      </c>
    </row>
    <row r="3995">
      <c r="A3995" s="3">
        <v>6.967676535043E12</v>
      </c>
      <c r="B3995" s="2" t="s">
        <v>16088</v>
      </c>
      <c r="C3995" s="2" t="s">
        <v>16089</v>
      </c>
      <c r="D3995" s="169">
        <v>46106.0</v>
      </c>
      <c r="E3995" s="173" t="s">
        <v>16090</v>
      </c>
      <c r="F3995" s="2" t="s">
        <v>16091</v>
      </c>
      <c r="G3995" s="2" t="s">
        <v>566</v>
      </c>
      <c r="H3995" s="2">
        <v>3348.0</v>
      </c>
      <c r="I3995" s="2">
        <v>2.4120050022788E13</v>
      </c>
      <c r="J3995" s="3">
        <v>2.0</v>
      </c>
      <c r="K3995" s="2" t="s">
        <v>14057</v>
      </c>
      <c r="L3995" s="2" t="s">
        <v>1116</v>
      </c>
      <c r="M3995" s="2" t="s">
        <v>409</v>
      </c>
      <c r="N3995" s="2" t="s">
        <v>462</v>
      </c>
      <c r="O3995" s="3"/>
      <c r="P3995" s="2" t="s">
        <v>73</v>
      </c>
      <c r="Q3995" s="3">
        <v>800.0</v>
      </c>
      <c r="R3995" s="3">
        <v>0.5</v>
      </c>
      <c r="T3995" s="2" t="s">
        <v>13421</v>
      </c>
      <c r="U3995" s="171">
        <v>3348.0</v>
      </c>
      <c r="V3995" s="172">
        <v>46108.0</v>
      </c>
      <c r="W3995" s="3">
        <v>334.02</v>
      </c>
      <c r="X3995" s="172">
        <v>46107.707852210646</v>
      </c>
      <c r="Y3995" s="172">
        <v>46106.47708037037</v>
      </c>
      <c r="Z3995" s="3">
        <v>46106.0</v>
      </c>
      <c r="AA3995" s="2" t="s">
        <v>14032</v>
      </c>
    </row>
    <row r="3996">
      <c r="A3996" s="3">
        <v>6.967739973891E12</v>
      </c>
      <c r="B3996" s="2" t="s">
        <v>16092</v>
      </c>
      <c r="C3996" s="2" t="s">
        <v>16093</v>
      </c>
      <c r="D3996" s="169">
        <v>46106.0</v>
      </c>
      <c r="E3996" s="173" t="s">
        <v>16094</v>
      </c>
      <c r="F3996" s="2" t="s">
        <v>16095</v>
      </c>
      <c r="G3996" s="2" t="s">
        <v>4997</v>
      </c>
      <c r="H3996" s="2">
        <v>3348.0</v>
      </c>
      <c r="I3996" s="2">
        <v>2.8120050022787E13</v>
      </c>
      <c r="J3996" s="3">
        <v>2.0</v>
      </c>
      <c r="K3996" s="2" t="s">
        <v>14497</v>
      </c>
      <c r="L3996" s="2" t="s">
        <v>50</v>
      </c>
      <c r="M3996" s="2" t="s">
        <v>409</v>
      </c>
      <c r="N3996" s="2" t="s">
        <v>462</v>
      </c>
      <c r="O3996" s="3"/>
      <c r="P3996" s="2" t="s">
        <v>73</v>
      </c>
      <c r="Q3996" s="3">
        <v>720.0</v>
      </c>
      <c r="R3996" s="3">
        <v>0.5</v>
      </c>
      <c r="T3996" s="2" t="s">
        <v>14037</v>
      </c>
      <c r="U3996" s="171">
        <v>3348.0</v>
      </c>
      <c r="V3996" s="172">
        <v>46112.0</v>
      </c>
      <c r="W3996" s="3">
        <v>334.0</v>
      </c>
      <c r="X3996" s="172">
        <v>46108.62462672454</v>
      </c>
      <c r="Y3996" s="172">
        <v>46106.518769999995</v>
      </c>
      <c r="Z3996" s="3">
        <v>46106.0</v>
      </c>
      <c r="AA3996" s="2" t="s">
        <v>14032</v>
      </c>
    </row>
    <row r="3997">
      <c r="A3997" s="3">
        <v>6.967808393475E12</v>
      </c>
      <c r="B3997" s="2" t="s">
        <v>16096</v>
      </c>
      <c r="C3997" s="2" t="s">
        <v>16097</v>
      </c>
      <c r="D3997" s="169">
        <v>46106.0</v>
      </c>
      <c r="E3997" s="2">
        <v>3.329979932E9</v>
      </c>
      <c r="F3997" s="2" t="s">
        <v>16098</v>
      </c>
      <c r="G3997" s="2" t="s">
        <v>781</v>
      </c>
      <c r="H3997" s="2">
        <v>249.0</v>
      </c>
      <c r="I3997" s="2">
        <v>2.6120050022786E13</v>
      </c>
      <c r="J3997" s="3">
        <v>0.0</v>
      </c>
      <c r="K3997" s="2" t="s">
        <v>16049</v>
      </c>
      <c r="L3997" s="2"/>
      <c r="M3997" s="2" t="s">
        <v>409</v>
      </c>
      <c r="N3997" s="2" t="s">
        <v>462</v>
      </c>
      <c r="O3997" s="3"/>
      <c r="P3997" s="2" t="s">
        <v>73</v>
      </c>
      <c r="Q3997" s="3">
        <v>0.0</v>
      </c>
      <c r="R3997" s="3">
        <v>0.5</v>
      </c>
      <c r="T3997" s="2" t="s">
        <v>14037</v>
      </c>
      <c r="U3997" s="171">
        <v>249.0</v>
      </c>
      <c r="V3997" s="172">
        <v>46112.0</v>
      </c>
      <c r="W3997" s="3">
        <v>347.0</v>
      </c>
      <c r="X3997" s="172">
        <v>46109.58293300926</v>
      </c>
      <c r="Y3997" s="172">
        <v>46106.602102488425</v>
      </c>
      <c r="Z3997" s="3">
        <v>46106.0</v>
      </c>
      <c r="AA3997" s="2" t="s">
        <v>14053</v>
      </c>
    </row>
    <row r="3998">
      <c r="A3998" s="3">
        <v>6.967834378499E12</v>
      </c>
      <c r="B3998" s="2" t="s">
        <v>16099</v>
      </c>
      <c r="C3998" s="2" t="s">
        <v>16100</v>
      </c>
      <c r="D3998" s="169">
        <v>46106.0</v>
      </c>
      <c r="E3998" s="2">
        <v>3.335118107E9</v>
      </c>
      <c r="F3998" s="2" t="s">
        <v>16101</v>
      </c>
      <c r="G3998" s="2" t="s">
        <v>16102</v>
      </c>
      <c r="H3998" s="2">
        <v>1449.0</v>
      </c>
      <c r="I3998" s="2">
        <v>2.712005002288E13</v>
      </c>
      <c r="J3998" s="3">
        <v>1.0</v>
      </c>
      <c r="K3998" s="2" t="s">
        <v>16103</v>
      </c>
      <c r="L3998" s="2" t="s">
        <v>16104</v>
      </c>
      <c r="M3998" s="2" t="s">
        <v>409</v>
      </c>
      <c r="N3998" s="2" t="s">
        <v>462</v>
      </c>
      <c r="O3998" s="3"/>
      <c r="P3998" s="2" t="s">
        <v>73</v>
      </c>
      <c r="Q3998" s="3">
        <v>550.0</v>
      </c>
      <c r="R3998" s="3">
        <v>0.5</v>
      </c>
      <c r="T3998" s="2" t="s">
        <v>14037</v>
      </c>
      <c r="U3998" s="171">
        <v>1449.0</v>
      </c>
      <c r="V3998" s="172">
        <v>46112.0</v>
      </c>
      <c r="W3998" s="3">
        <v>294.0</v>
      </c>
      <c r="X3998" s="172">
        <v>46109.624464803244</v>
      </c>
      <c r="Y3998" s="172">
        <v>46106.602102488425</v>
      </c>
      <c r="Z3998" s="3">
        <v>46106.0</v>
      </c>
      <c r="AA3998" s="2" t="s">
        <v>14032</v>
      </c>
    </row>
    <row r="3999">
      <c r="A3999" s="3">
        <v>6.967838834947E12</v>
      </c>
      <c r="B3999" s="2" t="s">
        <v>16105</v>
      </c>
      <c r="C3999" s="2" t="s">
        <v>16106</v>
      </c>
      <c r="D3999" s="169">
        <v>46106.0</v>
      </c>
      <c r="E3999" s="2">
        <v>3.228443345E9</v>
      </c>
      <c r="F3999" s="2" t="s">
        <v>16107</v>
      </c>
      <c r="G3999" s="2" t="s">
        <v>368</v>
      </c>
      <c r="H3999" s="2">
        <v>3348.0</v>
      </c>
      <c r="I3999" s="2">
        <v>2.2120050022785E13</v>
      </c>
      <c r="J3999" s="3">
        <v>2.0</v>
      </c>
      <c r="K3999" s="2" t="s">
        <v>14057</v>
      </c>
      <c r="L3999" s="2" t="s">
        <v>50</v>
      </c>
      <c r="M3999" s="2" t="s">
        <v>409</v>
      </c>
      <c r="N3999" s="2" t="s">
        <v>462</v>
      </c>
      <c r="O3999" s="3"/>
      <c r="P3999" s="2" t="s">
        <v>73</v>
      </c>
      <c r="Q3999" s="3">
        <v>720.0</v>
      </c>
      <c r="R3999" s="3">
        <v>0.5</v>
      </c>
      <c r="T3999" s="2" t="s">
        <v>13421</v>
      </c>
      <c r="U3999" s="171">
        <v>3348.0</v>
      </c>
      <c r="V3999" s="172">
        <v>46108.0</v>
      </c>
      <c r="W3999" s="3">
        <v>240.64</v>
      </c>
      <c r="X3999" s="172">
        <v>46107.6662840625</v>
      </c>
      <c r="Y3999" s="172">
        <v>46106.602102488425</v>
      </c>
      <c r="Z3999" s="3">
        <v>46106.0</v>
      </c>
      <c r="AA3999" s="2" t="s">
        <v>14032</v>
      </c>
    </row>
    <row r="4000">
      <c r="A4000" s="3">
        <v>6.967843979523E12</v>
      </c>
      <c r="B4000" s="2" t="s">
        <v>16108</v>
      </c>
      <c r="C4000" s="2" t="s">
        <v>16109</v>
      </c>
      <c r="D4000" s="169">
        <v>46106.0</v>
      </c>
      <c r="E4000" s="2">
        <v>3.054639973E9</v>
      </c>
      <c r="F4000" s="2" t="s">
        <v>16110</v>
      </c>
      <c r="G4000" s="2" t="s">
        <v>16111</v>
      </c>
      <c r="H4000" s="2">
        <v>0.0</v>
      </c>
      <c r="J4000" s="3">
        <v>0.0</v>
      </c>
      <c r="K4000" s="2" t="s">
        <v>16112</v>
      </c>
      <c r="L4000" s="2"/>
      <c r="M4000" s="2" t="s">
        <v>468</v>
      </c>
      <c r="N4000" s="2" t="s">
        <v>406</v>
      </c>
      <c r="O4000" s="3"/>
      <c r="Q4000" s="3">
        <v>0.0</v>
      </c>
      <c r="R4000" s="3">
        <v>0.5</v>
      </c>
      <c r="U4000" s="141"/>
      <c r="X4000" s="172"/>
      <c r="Y4000" s="172">
        <v>46106.602102488425</v>
      </c>
      <c r="Z4000" s="3">
        <v>46106.0</v>
      </c>
      <c r="AA4000" s="2" t="s">
        <v>14041</v>
      </c>
    </row>
    <row r="4001">
      <c r="A4001" s="3">
        <v>6.967860920579E12</v>
      </c>
      <c r="B4001" s="2" t="s">
        <v>16113</v>
      </c>
      <c r="C4001" s="2" t="s">
        <v>16114</v>
      </c>
      <c r="D4001" s="169">
        <v>46106.0</v>
      </c>
      <c r="E4001" s="2">
        <v>3.479666177E9</v>
      </c>
      <c r="F4001" s="2" t="s">
        <v>16115</v>
      </c>
      <c r="G4001" s="2" t="s">
        <v>822</v>
      </c>
      <c r="H4001" s="2">
        <v>3348.0</v>
      </c>
      <c r="I4001" s="2">
        <v>2.112005002282E13</v>
      </c>
      <c r="J4001" s="3">
        <v>2.0</v>
      </c>
      <c r="K4001" s="2" t="s">
        <v>15373</v>
      </c>
      <c r="L4001" s="2" t="s">
        <v>50</v>
      </c>
      <c r="M4001" s="2" t="s">
        <v>409</v>
      </c>
      <c r="N4001" s="2" t="s">
        <v>462</v>
      </c>
      <c r="O4001" s="3"/>
      <c r="P4001" s="2" t="s">
        <v>73</v>
      </c>
      <c r="Q4001" s="3">
        <v>720.0</v>
      </c>
      <c r="R4001" s="3">
        <v>0.5</v>
      </c>
      <c r="T4001" s="2" t="s">
        <v>14037</v>
      </c>
      <c r="U4001" s="171">
        <v>3348.0</v>
      </c>
      <c r="V4001" s="172">
        <v>46112.0</v>
      </c>
      <c r="W4001" s="3">
        <v>355.0</v>
      </c>
      <c r="X4001" s="172">
        <v>46109.521094282405</v>
      </c>
      <c r="Y4001" s="172">
        <v>46106.643749490744</v>
      </c>
      <c r="Z4001" s="3">
        <v>46106.0</v>
      </c>
      <c r="AA4001" s="2" t="s">
        <v>14032</v>
      </c>
    </row>
    <row r="4002">
      <c r="A4002" s="3">
        <v>6.967862788355E12</v>
      </c>
      <c r="B4002" s="2" t="s">
        <v>16116</v>
      </c>
      <c r="C4002" s="2" t="s">
        <v>16117</v>
      </c>
      <c r="D4002" s="169">
        <v>46106.0</v>
      </c>
      <c r="E4002" s="2">
        <v>3.339714908E9</v>
      </c>
      <c r="F4002" s="2" t="s">
        <v>16118</v>
      </c>
      <c r="G4002" s="2" t="s">
        <v>506</v>
      </c>
      <c r="H4002" s="2">
        <v>249.0</v>
      </c>
      <c r="I4002" s="2">
        <v>2.7120050022819E13</v>
      </c>
      <c r="J4002" s="3">
        <v>0.0</v>
      </c>
      <c r="K4002" s="2" t="s">
        <v>16119</v>
      </c>
      <c r="L4002" s="2"/>
      <c r="M4002" s="170" t="s">
        <v>455</v>
      </c>
      <c r="N4002" s="2" t="s">
        <v>406</v>
      </c>
      <c r="O4002" s="3"/>
      <c r="P4002" s="2" t="s">
        <v>73</v>
      </c>
      <c r="Q4002" s="3">
        <v>0.0</v>
      </c>
      <c r="R4002" s="3">
        <v>0.5</v>
      </c>
      <c r="U4002" s="141"/>
      <c r="W4002" s="3">
        <v>243.08</v>
      </c>
      <c r="X4002" s="172">
        <v>46119.08109723379</v>
      </c>
      <c r="Y4002" s="172">
        <v>46106.643749490744</v>
      </c>
      <c r="Z4002" s="3">
        <v>46106.0</v>
      </c>
      <c r="AA4002" s="2" t="s">
        <v>14032</v>
      </c>
    </row>
    <row r="4003">
      <c r="A4003" s="3">
        <v>6.967889428739E12</v>
      </c>
      <c r="B4003" s="2" t="s">
        <v>16120</v>
      </c>
      <c r="C4003" s="2" t="s">
        <v>16121</v>
      </c>
      <c r="D4003" s="169">
        <v>46106.0</v>
      </c>
      <c r="E4003" s="2">
        <v>3.360107461E9</v>
      </c>
      <c r="F4003" s="2" t="s">
        <v>16122</v>
      </c>
      <c r="G4003" s="2" t="s">
        <v>9174</v>
      </c>
      <c r="H4003" s="2">
        <v>3348.0</v>
      </c>
      <c r="I4003" s="2">
        <v>2.2120050022818E13</v>
      </c>
      <c r="J4003" s="3">
        <v>2.0</v>
      </c>
      <c r="K4003" s="2" t="s">
        <v>14036</v>
      </c>
      <c r="L4003" s="2" t="s">
        <v>50</v>
      </c>
      <c r="M4003" s="2" t="s">
        <v>409</v>
      </c>
      <c r="N4003" s="2" t="s">
        <v>462</v>
      </c>
      <c r="O4003" s="3"/>
      <c r="P4003" s="2" t="s">
        <v>73</v>
      </c>
      <c r="Q4003" s="3">
        <v>720.0</v>
      </c>
      <c r="R4003" s="3">
        <v>0.5</v>
      </c>
      <c r="T4003" s="2" t="s">
        <v>14037</v>
      </c>
      <c r="U4003" s="171">
        <v>3348.0</v>
      </c>
      <c r="V4003" s="172">
        <v>46112.0</v>
      </c>
      <c r="W4003" s="3">
        <v>355.0</v>
      </c>
      <c r="X4003" s="172">
        <v>46108.49955799768</v>
      </c>
      <c r="Y4003" s="172">
        <v>46106.685417500004</v>
      </c>
      <c r="Z4003" s="3">
        <v>46106.0</v>
      </c>
      <c r="AA4003" s="2" t="s">
        <v>14053</v>
      </c>
    </row>
    <row r="4004">
      <c r="A4004" s="3">
        <v>6.967893033219E12</v>
      </c>
      <c r="B4004" s="2" t="s">
        <v>16123</v>
      </c>
      <c r="C4004" s="2" t="s">
        <v>16124</v>
      </c>
      <c r="D4004" s="169">
        <v>46106.0</v>
      </c>
      <c r="E4004" s="173" t="s">
        <v>16125</v>
      </c>
      <c r="F4004" s="2" t="s">
        <v>16126</v>
      </c>
      <c r="G4004" s="2" t="s">
        <v>1830</v>
      </c>
      <c r="H4004" s="2">
        <v>0.0</v>
      </c>
      <c r="I4004" s="2">
        <v>2.2120050022879E13</v>
      </c>
      <c r="J4004" s="3">
        <v>0.0</v>
      </c>
      <c r="K4004" s="2" t="s">
        <v>16127</v>
      </c>
      <c r="L4004" s="2"/>
      <c r="M4004" s="2" t="s">
        <v>409</v>
      </c>
      <c r="N4004" s="2" t="s">
        <v>406</v>
      </c>
      <c r="O4004" s="3"/>
      <c r="P4004" s="2" t="s">
        <v>73</v>
      </c>
      <c r="Q4004" s="3">
        <v>0.0</v>
      </c>
      <c r="R4004" s="3">
        <v>0.5</v>
      </c>
      <c r="T4004" s="2" t="s">
        <v>14037</v>
      </c>
      <c r="U4004" s="171">
        <v>3000.0</v>
      </c>
      <c r="V4004" s="172">
        <v>46112.0</v>
      </c>
      <c r="W4004" s="3">
        <v>341.0</v>
      </c>
      <c r="X4004" s="172">
        <v>46111.666252800926</v>
      </c>
      <c r="Y4004" s="172">
        <v>46106.685417500004</v>
      </c>
      <c r="Z4004" s="3">
        <v>46106.0</v>
      </c>
      <c r="AA4004" s="2" t="s">
        <v>14026</v>
      </c>
    </row>
    <row r="4005">
      <c r="A4005" s="3">
        <v>6.967907778819E12</v>
      </c>
      <c r="B4005" s="2" t="s">
        <v>16128</v>
      </c>
      <c r="C4005" s="2" t="s">
        <v>16129</v>
      </c>
      <c r="D4005" s="169">
        <v>46106.0</v>
      </c>
      <c r="E4005" s="2">
        <v>3.078878774E9</v>
      </c>
      <c r="F4005" s="2" t="s">
        <v>16130</v>
      </c>
      <c r="G4005" s="2" t="s">
        <v>374</v>
      </c>
      <c r="H4005" s="2">
        <v>3348.0</v>
      </c>
      <c r="I4005" s="2">
        <v>2.1120050022878E13</v>
      </c>
      <c r="J4005" s="3">
        <v>2.0</v>
      </c>
      <c r="K4005" s="2" t="s">
        <v>14497</v>
      </c>
      <c r="L4005" s="2" t="s">
        <v>27</v>
      </c>
      <c r="M4005" s="2" t="s">
        <v>409</v>
      </c>
      <c r="N4005" s="2" t="s">
        <v>462</v>
      </c>
      <c r="O4005" s="3"/>
      <c r="P4005" s="2" t="s">
        <v>73</v>
      </c>
      <c r="Q4005" s="3">
        <v>720.0</v>
      </c>
      <c r="R4005" s="3">
        <v>0.5</v>
      </c>
      <c r="T4005" s="2" t="s">
        <v>14037</v>
      </c>
      <c r="U4005" s="171">
        <v>3348.0</v>
      </c>
      <c r="V4005" s="172">
        <v>46112.0</v>
      </c>
      <c r="W4005" s="3">
        <v>355.0</v>
      </c>
      <c r="X4005" s="172">
        <v>46108.582812939814</v>
      </c>
      <c r="Y4005" s="172">
        <v>46106.685417500004</v>
      </c>
      <c r="Z4005" s="3">
        <v>46106.0</v>
      </c>
      <c r="AA4005" s="2" t="s">
        <v>14032</v>
      </c>
    </row>
    <row r="4006">
      <c r="A4006" s="3">
        <v>6.968012800259E12</v>
      </c>
      <c r="B4006" s="2" t="s">
        <v>16131</v>
      </c>
      <c r="C4006" s="2" t="s">
        <v>14588</v>
      </c>
      <c r="D4006" s="169">
        <v>46106.0</v>
      </c>
      <c r="E4006" s="2">
        <v>3.22912599E9</v>
      </c>
      <c r="F4006" s="2" t="s">
        <v>14589</v>
      </c>
      <c r="G4006" s="2" t="s">
        <v>506</v>
      </c>
      <c r="H4006" s="2">
        <v>3348.0</v>
      </c>
      <c r="I4006" s="2">
        <v>2.8120050022884E13</v>
      </c>
      <c r="J4006" s="3">
        <v>2.0</v>
      </c>
      <c r="K4006" s="2" t="s">
        <v>14036</v>
      </c>
      <c r="L4006" s="2" t="s">
        <v>296</v>
      </c>
      <c r="M4006" s="2" t="s">
        <v>409</v>
      </c>
      <c r="N4006" s="2" t="s">
        <v>462</v>
      </c>
      <c r="O4006" s="3"/>
      <c r="P4006" s="2" t="s">
        <v>73</v>
      </c>
      <c r="Q4006" s="3">
        <v>720.0</v>
      </c>
      <c r="R4006" s="3">
        <v>0.5</v>
      </c>
      <c r="T4006" s="2" t="s">
        <v>14037</v>
      </c>
      <c r="U4006" s="171">
        <v>3348.0</v>
      </c>
      <c r="V4006" s="172">
        <v>46112.0</v>
      </c>
      <c r="W4006" s="3">
        <v>355.0</v>
      </c>
      <c r="X4006" s="172">
        <v>46111.66625282407</v>
      </c>
      <c r="Y4006" s="172">
        <v>46106.76880089121</v>
      </c>
      <c r="Z4006" s="3">
        <v>46106.0</v>
      </c>
      <c r="AA4006" s="2" t="s">
        <v>14032</v>
      </c>
    </row>
    <row r="4007">
      <c r="A4007" s="3">
        <v>6.968090362115E12</v>
      </c>
      <c r="B4007" s="2" t="s">
        <v>16132</v>
      </c>
      <c r="C4007" s="2" t="s">
        <v>15189</v>
      </c>
      <c r="D4007" s="169">
        <v>46106.0</v>
      </c>
      <c r="E4007" s="173" t="s">
        <v>16133</v>
      </c>
      <c r="F4007" s="2" t="s">
        <v>15190</v>
      </c>
      <c r="G4007" s="2" t="s">
        <v>4472</v>
      </c>
      <c r="H4007" s="2">
        <v>2199.0</v>
      </c>
      <c r="I4007" s="2">
        <v>2.0120050022877E13</v>
      </c>
      <c r="J4007" s="3">
        <v>1.0</v>
      </c>
      <c r="K4007" s="2" t="s">
        <v>16134</v>
      </c>
      <c r="L4007" s="2" t="s">
        <v>16135</v>
      </c>
      <c r="M4007" s="2" t="s">
        <v>409</v>
      </c>
      <c r="N4007" s="2" t="s">
        <v>462</v>
      </c>
      <c r="O4007" s="3"/>
      <c r="P4007" s="2" t="s">
        <v>73</v>
      </c>
      <c r="Q4007" s="3">
        <v>360.0</v>
      </c>
      <c r="R4007" s="3">
        <v>0.5</v>
      </c>
      <c r="T4007" s="2" t="s">
        <v>14037</v>
      </c>
      <c r="U4007" s="171">
        <v>2199.0</v>
      </c>
      <c r="V4007" s="172">
        <v>46112.0</v>
      </c>
      <c r="W4007" s="3">
        <v>309.0</v>
      </c>
      <c r="X4007" s="172">
        <v>46109.49949480324</v>
      </c>
      <c r="Y4007" s="172">
        <v>46106.81042563658</v>
      </c>
      <c r="Z4007" s="3">
        <v>46106.0</v>
      </c>
      <c r="AA4007" s="2" t="s">
        <v>14032</v>
      </c>
    </row>
    <row r="4008">
      <c r="A4008" s="3">
        <v>6.968102748419E12</v>
      </c>
      <c r="B4008" s="2" t="s">
        <v>16136</v>
      </c>
      <c r="C4008" s="2" t="s">
        <v>12406</v>
      </c>
      <c r="D4008" s="169">
        <v>46106.0</v>
      </c>
      <c r="E4008" s="2">
        <v>3.212008898E9</v>
      </c>
      <c r="F4008" s="2" t="s">
        <v>12407</v>
      </c>
      <c r="G4008" s="2" t="s">
        <v>506</v>
      </c>
      <c r="H4008" s="2">
        <v>1798.0</v>
      </c>
      <c r="I4008" s="2">
        <v>2.0120050022876E13</v>
      </c>
      <c r="J4008" s="3">
        <v>1.0</v>
      </c>
      <c r="K4008" s="2" t="s">
        <v>16137</v>
      </c>
      <c r="L4008" s="2" t="s">
        <v>14458</v>
      </c>
      <c r="M4008" s="2" t="s">
        <v>409</v>
      </c>
      <c r="N4008" s="2" t="s">
        <v>462</v>
      </c>
      <c r="O4008" s="3"/>
      <c r="P4008" s="2" t="s">
        <v>73</v>
      </c>
      <c r="Q4008" s="3">
        <v>400.0</v>
      </c>
      <c r="R4008" s="3">
        <v>0.5</v>
      </c>
      <c r="T4008" s="2" t="s">
        <v>14037</v>
      </c>
      <c r="U4008" s="171">
        <v>1798.0</v>
      </c>
      <c r="V4008" s="172">
        <v>46112.0</v>
      </c>
      <c r="W4008" s="3">
        <v>231.0</v>
      </c>
      <c r="X4008" s="172">
        <v>46109.66613412037</v>
      </c>
      <c r="Y4008" s="172">
        <v>46106.81042563658</v>
      </c>
      <c r="Z4008" s="3">
        <v>46106.0</v>
      </c>
      <c r="AA4008" s="2" t="s">
        <v>14026</v>
      </c>
    </row>
    <row r="4009">
      <c r="A4009" s="3">
        <v>6.968268816643E12</v>
      </c>
      <c r="B4009" s="2" t="s">
        <v>16138</v>
      </c>
      <c r="C4009" s="2" t="s">
        <v>16139</v>
      </c>
      <c r="D4009" s="169">
        <v>46106.0</v>
      </c>
      <c r="E4009" s="2">
        <v>3.028502644E9</v>
      </c>
      <c r="F4009" s="2" t="s">
        <v>16140</v>
      </c>
      <c r="G4009" s="2" t="s">
        <v>368</v>
      </c>
      <c r="H4009" s="2">
        <v>3348.0</v>
      </c>
      <c r="I4009" s="2">
        <v>2.8120050022875E13</v>
      </c>
      <c r="J4009" s="3">
        <v>2.0</v>
      </c>
      <c r="K4009" s="2" t="s">
        <v>14497</v>
      </c>
      <c r="L4009" s="2" t="s">
        <v>13413</v>
      </c>
      <c r="M4009" s="2" t="s">
        <v>409</v>
      </c>
      <c r="N4009" s="2" t="s">
        <v>462</v>
      </c>
      <c r="O4009" s="3"/>
      <c r="P4009" s="2" t="s">
        <v>73</v>
      </c>
      <c r="Q4009" s="3">
        <v>800.0</v>
      </c>
      <c r="R4009" s="3">
        <v>0.5</v>
      </c>
      <c r="T4009" s="2" t="s">
        <v>14037</v>
      </c>
      <c r="U4009" s="171">
        <v>3348.0</v>
      </c>
      <c r="V4009" s="172">
        <v>46112.0</v>
      </c>
      <c r="W4009" s="3">
        <v>252.0</v>
      </c>
      <c r="X4009" s="172">
        <v>46111.58289438658</v>
      </c>
      <c r="Y4009" s="172">
        <v>46106.85211710648</v>
      </c>
      <c r="Z4009" s="3">
        <v>46106.0</v>
      </c>
      <c r="AA4009" s="2" t="s">
        <v>14032</v>
      </c>
    </row>
    <row r="4010">
      <c r="A4010" s="3">
        <v>6.968376688899E12</v>
      </c>
      <c r="B4010" s="2" t="s">
        <v>16141</v>
      </c>
      <c r="C4010" s="2" t="s">
        <v>16142</v>
      </c>
      <c r="D4010" s="169">
        <v>46106.0</v>
      </c>
      <c r="E4010" s="2">
        <v>3.205635092E9</v>
      </c>
      <c r="F4010" s="2" t="s">
        <v>16143</v>
      </c>
      <c r="G4010" s="2" t="s">
        <v>16144</v>
      </c>
      <c r="H4010" s="2">
        <v>3849.0</v>
      </c>
      <c r="I4010" s="2">
        <v>2.4120050022874E13</v>
      </c>
      <c r="J4010" s="3">
        <v>2.0</v>
      </c>
      <c r="K4010" s="2" t="s">
        <v>16145</v>
      </c>
      <c r="L4010" s="2" t="s">
        <v>16146</v>
      </c>
      <c r="M4010" s="2" t="s">
        <v>409</v>
      </c>
      <c r="N4010" s="2" t="s">
        <v>462</v>
      </c>
      <c r="O4010" s="3"/>
      <c r="P4010" s="2" t="s">
        <v>73</v>
      </c>
      <c r="Q4010" s="3">
        <v>720.0</v>
      </c>
      <c r="R4010" s="3">
        <v>0.5</v>
      </c>
      <c r="T4010" s="2" t="s">
        <v>14037</v>
      </c>
      <c r="U4010" s="171">
        <v>3849.0</v>
      </c>
      <c r="V4010" s="172">
        <v>46112.0</v>
      </c>
      <c r="W4010" s="3">
        <v>390.0</v>
      </c>
      <c r="X4010" s="172">
        <v>46109.6244650463</v>
      </c>
      <c r="Y4010" s="172">
        <v>46106.89380200232</v>
      </c>
      <c r="Z4010" s="3">
        <v>46106.0</v>
      </c>
      <c r="AA4010" s="2" t="s">
        <v>14022</v>
      </c>
    </row>
    <row r="4011">
      <c r="A4011" s="3">
        <v>6.968499732739E12</v>
      </c>
      <c r="B4011" s="2" t="s">
        <v>16147</v>
      </c>
      <c r="C4011" s="2" t="s">
        <v>16148</v>
      </c>
      <c r="D4011" s="169">
        <v>46106.0</v>
      </c>
      <c r="E4011" s="173" t="s">
        <v>16149</v>
      </c>
      <c r="F4011" s="2" t="s">
        <v>16150</v>
      </c>
      <c r="G4011" s="2" t="s">
        <v>1180</v>
      </c>
      <c r="H4011" s="2">
        <v>1999.0</v>
      </c>
      <c r="I4011" s="2" t="s">
        <v>16151</v>
      </c>
      <c r="J4011" s="3">
        <v>1.0</v>
      </c>
      <c r="K4011" s="2" t="s">
        <v>204</v>
      </c>
      <c r="L4011" s="2" t="s">
        <v>11690</v>
      </c>
      <c r="M4011" s="2" t="s">
        <v>409</v>
      </c>
      <c r="N4011" s="2" t="s">
        <v>406</v>
      </c>
      <c r="O4011" s="3"/>
      <c r="P4011" s="2" t="s">
        <v>640</v>
      </c>
      <c r="Q4011" s="3">
        <v>1095.0</v>
      </c>
      <c r="R4011" s="3">
        <v>0.5</v>
      </c>
      <c r="U4011" s="141"/>
      <c r="X4011" s="172">
        <v>46114.751397534725</v>
      </c>
      <c r="Y4011" s="172">
        <v>46106.89380200232</v>
      </c>
      <c r="Z4011" s="3">
        <v>46106.0</v>
      </c>
      <c r="AA4011" s="2" t="s">
        <v>14032</v>
      </c>
    </row>
    <row r="4012">
      <c r="A4012" s="3">
        <v>6.968606294275E12</v>
      </c>
      <c r="B4012" s="2" t="s">
        <v>16152</v>
      </c>
      <c r="C4012" s="2" t="s">
        <v>14885</v>
      </c>
      <c r="D4012" s="169">
        <v>46106.0</v>
      </c>
      <c r="E4012" s="2">
        <v>3.175133231E9</v>
      </c>
      <c r="F4012" s="2" t="s">
        <v>16153</v>
      </c>
      <c r="G4012" s="2" t="s">
        <v>4788</v>
      </c>
      <c r="H4012" s="2">
        <v>0.0</v>
      </c>
      <c r="J4012" s="3">
        <v>0.0</v>
      </c>
      <c r="K4012" s="2" t="s">
        <v>7954</v>
      </c>
      <c r="L4012" s="2"/>
      <c r="M4012" s="2" t="s">
        <v>468</v>
      </c>
      <c r="N4012" s="2" t="s">
        <v>406</v>
      </c>
      <c r="O4012" s="3"/>
      <c r="Q4012" s="3">
        <v>0.0</v>
      </c>
      <c r="R4012" s="3">
        <v>0.5</v>
      </c>
      <c r="U4012" s="141"/>
      <c r="X4012" s="172"/>
      <c r="Y4012" s="172">
        <v>46106.93544144676</v>
      </c>
      <c r="Z4012" s="3">
        <v>46106.0</v>
      </c>
      <c r="AA4012" s="2" t="s">
        <v>14032</v>
      </c>
    </row>
    <row r="4013">
      <c r="A4013" s="3">
        <v>6.968703320323E12</v>
      </c>
      <c r="B4013" s="2" t="s">
        <v>16154</v>
      </c>
      <c r="C4013" s="2" t="s">
        <v>16155</v>
      </c>
      <c r="D4013" s="169">
        <v>46106.0</v>
      </c>
      <c r="E4013" s="2">
        <v>3.028547888E9</v>
      </c>
      <c r="F4013" s="2" t="s">
        <v>16156</v>
      </c>
      <c r="G4013" s="2" t="s">
        <v>506</v>
      </c>
      <c r="H4013" s="2">
        <v>3348.0</v>
      </c>
      <c r="I4013" s="2">
        <v>2.7120050022873E13</v>
      </c>
      <c r="J4013" s="3">
        <v>2.0</v>
      </c>
      <c r="K4013" s="2" t="s">
        <v>14036</v>
      </c>
      <c r="L4013" s="2" t="s">
        <v>228</v>
      </c>
      <c r="M4013" s="2" t="s">
        <v>409</v>
      </c>
      <c r="N4013" s="2" t="s">
        <v>462</v>
      </c>
      <c r="O4013" s="3"/>
      <c r="P4013" s="2" t="s">
        <v>73</v>
      </c>
      <c r="Q4013" s="3">
        <v>720.0</v>
      </c>
      <c r="R4013" s="3">
        <v>0.5</v>
      </c>
      <c r="T4013" s="2" t="s">
        <v>14037</v>
      </c>
      <c r="U4013" s="171">
        <v>3348.0</v>
      </c>
      <c r="V4013" s="172">
        <v>46112.0</v>
      </c>
      <c r="W4013" s="3">
        <v>355.0</v>
      </c>
      <c r="X4013" s="172">
        <v>46109.58293417824</v>
      </c>
      <c r="Y4013" s="172">
        <v>46106.97730315972</v>
      </c>
      <c r="Z4013" s="3">
        <v>46106.0</v>
      </c>
      <c r="AA4013" s="2" t="s">
        <v>14536</v>
      </c>
    </row>
    <row r="4014">
      <c r="A4014" s="3">
        <v>6.968860410115E12</v>
      </c>
      <c r="B4014" s="2" t="s">
        <v>16157</v>
      </c>
      <c r="C4014" s="2" t="s">
        <v>13848</v>
      </c>
      <c r="D4014" s="169">
        <v>46106.0</v>
      </c>
      <c r="E4014" s="2">
        <v>3.3087397E9</v>
      </c>
      <c r="F4014" s="2" t="s">
        <v>16158</v>
      </c>
      <c r="G4014" s="2" t="s">
        <v>4472</v>
      </c>
      <c r="H4014" s="2">
        <v>2565.0</v>
      </c>
      <c r="I4014" s="2">
        <v>2.8120050022989E13</v>
      </c>
      <c r="J4014" s="3">
        <v>2.0</v>
      </c>
      <c r="K4014" s="2" t="s">
        <v>16159</v>
      </c>
      <c r="L4014" s="2" t="s">
        <v>926</v>
      </c>
      <c r="M4014" s="2" t="s">
        <v>409</v>
      </c>
      <c r="N4014" s="2" t="s">
        <v>462</v>
      </c>
      <c r="O4014" s="3"/>
      <c r="P4014" s="2" t="s">
        <v>73</v>
      </c>
      <c r="Q4014" s="3">
        <v>980.0</v>
      </c>
      <c r="R4014" s="3">
        <v>0.5</v>
      </c>
      <c r="T4014" s="2" t="s">
        <v>12503</v>
      </c>
      <c r="U4014" s="171">
        <v>2565.0</v>
      </c>
      <c r="V4014" s="172">
        <v>46115.0</v>
      </c>
      <c r="W4014" s="3">
        <v>323.58</v>
      </c>
      <c r="X4014" s="172">
        <v>46112.707877106484</v>
      </c>
      <c r="Y4014" s="172">
        <v>46107.018803680556</v>
      </c>
      <c r="Z4014" s="3">
        <v>46106.0</v>
      </c>
      <c r="AA4014" s="2" t="s">
        <v>14032</v>
      </c>
    </row>
    <row r="4015">
      <c r="A4015" s="3">
        <v>6.968925978883E12</v>
      </c>
      <c r="B4015" s="2" t="s">
        <v>16160</v>
      </c>
      <c r="C4015" s="2" t="s">
        <v>16161</v>
      </c>
      <c r="D4015" s="169">
        <v>46107.0</v>
      </c>
      <c r="E4015" s="2">
        <v>3.007645339E9</v>
      </c>
      <c r="F4015" s="2" t="s">
        <v>16162</v>
      </c>
      <c r="G4015" s="2" t="s">
        <v>1376</v>
      </c>
      <c r="H4015" s="2">
        <v>0.0</v>
      </c>
      <c r="I4015" s="2">
        <v>2.2120050022872E13</v>
      </c>
      <c r="J4015" s="3">
        <v>0.0</v>
      </c>
      <c r="K4015" s="2" t="s">
        <v>16163</v>
      </c>
      <c r="L4015" s="2"/>
      <c r="M4015" s="2" t="s">
        <v>468</v>
      </c>
      <c r="N4015" s="2" t="s">
        <v>406</v>
      </c>
      <c r="O4015" s="3"/>
      <c r="P4015" s="2" t="s">
        <v>73</v>
      </c>
      <c r="Q4015" s="3">
        <v>0.0</v>
      </c>
      <c r="R4015" s="3">
        <v>0.5</v>
      </c>
      <c r="U4015" s="141"/>
      <c r="X4015" s="172">
        <v>46107.707852418986</v>
      </c>
      <c r="Y4015" s="172">
        <v>46107.060425856485</v>
      </c>
      <c r="Z4015" s="3">
        <v>46107.0</v>
      </c>
      <c r="AA4015" s="2" t="s">
        <v>14032</v>
      </c>
    </row>
    <row r="4016">
      <c r="A4016" s="3">
        <v>6.968945017091E12</v>
      </c>
      <c r="B4016" s="2" t="s">
        <v>16164</v>
      </c>
      <c r="C4016" s="2" t="s">
        <v>16165</v>
      </c>
      <c r="D4016" s="169">
        <v>46107.0</v>
      </c>
      <c r="E4016" s="2">
        <v>3.445001725E9</v>
      </c>
      <c r="F4016" s="2" t="s">
        <v>16166</v>
      </c>
      <c r="G4016" s="2" t="s">
        <v>366</v>
      </c>
      <c r="H4016" s="2">
        <v>249.0</v>
      </c>
      <c r="I4016" s="2">
        <v>2.9120050022871E13</v>
      </c>
      <c r="J4016" s="3">
        <v>0.0</v>
      </c>
      <c r="K4016" s="2" t="s">
        <v>13728</v>
      </c>
      <c r="L4016" s="2"/>
      <c r="M4016" s="170" t="s">
        <v>455</v>
      </c>
      <c r="N4016" s="2" t="s">
        <v>406</v>
      </c>
      <c r="O4016" s="3"/>
      <c r="P4016" s="2" t="s">
        <v>73</v>
      </c>
      <c r="Q4016" s="3">
        <v>0.0</v>
      </c>
      <c r="R4016" s="3">
        <v>0.5</v>
      </c>
      <c r="U4016" s="141"/>
      <c r="W4016" s="3">
        <v>220.98</v>
      </c>
      <c r="X4016" s="172">
        <v>46119.081097256945</v>
      </c>
      <c r="Y4016" s="172">
        <v>46107.060425856485</v>
      </c>
      <c r="Z4016" s="3">
        <v>46107.0</v>
      </c>
      <c r="AA4016" s="2" t="s">
        <v>14053</v>
      </c>
    </row>
    <row r="4017">
      <c r="A4017" s="3">
        <v>6.968997544195E12</v>
      </c>
      <c r="B4017" s="2" t="s">
        <v>16167</v>
      </c>
      <c r="C4017" s="2" t="s">
        <v>16168</v>
      </c>
      <c r="D4017" s="169">
        <v>46107.0</v>
      </c>
      <c r="E4017" s="2">
        <v>3.214936182E9</v>
      </c>
      <c r="F4017" s="2" t="s">
        <v>16169</v>
      </c>
      <c r="G4017" s="2" t="s">
        <v>368</v>
      </c>
      <c r="H4017" s="2">
        <v>3348.0</v>
      </c>
      <c r="I4017" s="2">
        <v>2.912005002287E13</v>
      </c>
      <c r="J4017" s="3">
        <v>2.0</v>
      </c>
      <c r="K4017" s="2" t="s">
        <v>16170</v>
      </c>
      <c r="L4017" s="2" t="s">
        <v>40</v>
      </c>
      <c r="M4017" s="2" t="s">
        <v>409</v>
      </c>
      <c r="N4017" s="2" t="s">
        <v>462</v>
      </c>
      <c r="O4017" s="3"/>
      <c r="P4017" s="2" t="s">
        <v>73</v>
      </c>
      <c r="Q4017" s="3">
        <v>720.0</v>
      </c>
      <c r="R4017" s="3">
        <v>0.5</v>
      </c>
      <c r="T4017" s="2" t="s">
        <v>14037</v>
      </c>
      <c r="U4017" s="171">
        <v>3348.0</v>
      </c>
      <c r="V4017" s="172">
        <v>46112.0</v>
      </c>
      <c r="W4017" s="3">
        <v>252.0</v>
      </c>
      <c r="X4017" s="172">
        <v>46108.707901354166</v>
      </c>
      <c r="Y4017" s="172">
        <v>46107.1021118287</v>
      </c>
      <c r="Z4017" s="3">
        <v>46107.0</v>
      </c>
      <c r="AA4017" s="2" t="s">
        <v>14103</v>
      </c>
    </row>
    <row r="4018">
      <c r="A4018" s="3">
        <v>6.969106956547E12</v>
      </c>
      <c r="B4018" s="2" t="s">
        <v>16171</v>
      </c>
      <c r="C4018" s="2" t="s">
        <v>15922</v>
      </c>
      <c r="D4018" s="169">
        <v>46107.0</v>
      </c>
      <c r="E4018" s="173" t="s">
        <v>16172</v>
      </c>
      <c r="F4018" s="2" t="s">
        <v>15923</v>
      </c>
      <c r="G4018" s="2" t="s">
        <v>688</v>
      </c>
      <c r="H4018" s="2">
        <v>3348.0</v>
      </c>
      <c r="I4018" s="2">
        <v>2.0120050022869E13</v>
      </c>
      <c r="J4018" s="3">
        <v>2.0</v>
      </c>
      <c r="K4018" s="2" t="s">
        <v>14036</v>
      </c>
      <c r="L4018" s="2" t="s">
        <v>1258</v>
      </c>
      <c r="M4018" s="2" t="s">
        <v>409</v>
      </c>
      <c r="N4018" s="2" t="s">
        <v>462</v>
      </c>
      <c r="O4018" s="3"/>
      <c r="P4018" s="2" t="s">
        <v>73</v>
      </c>
      <c r="Q4018" s="3">
        <v>800.0</v>
      </c>
      <c r="R4018" s="3">
        <v>0.5</v>
      </c>
      <c r="T4018" s="2" t="s">
        <v>14037</v>
      </c>
      <c r="U4018" s="171">
        <v>3348.0</v>
      </c>
      <c r="V4018" s="172">
        <v>46112.0</v>
      </c>
      <c r="W4018" s="3">
        <v>355.0</v>
      </c>
      <c r="X4018" s="172">
        <v>46109.832784074075</v>
      </c>
      <c r="Y4018" s="172">
        <v>46107.14375697917</v>
      </c>
      <c r="Z4018" s="3">
        <v>46107.0</v>
      </c>
      <c r="AA4018" s="2" t="s">
        <v>14032</v>
      </c>
    </row>
    <row r="4019">
      <c r="A4019" s="3">
        <v>6.969170723075E12</v>
      </c>
      <c r="B4019" s="2" t="s">
        <v>16173</v>
      </c>
      <c r="C4019" s="2" t="s">
        <v>16174</v>
      </c>
      <c r="D4019" s="169">
        <v>46107.0</v>
      </c>
      <c r="E4019" s="2">
        <v>3.218666669E9</v>
      </c>
      <c r="F4019" s="2" t="s">
        <v>16175</v>
      </c>
      <c r="G4019" s="2" t="s">
        <v>16176</v>
      </c>
      <c r="H4019" s="2">
        <v>2099.0</v>
      </c>
      <c r="I4019" s="2">
        <v>2.4120050022868E13</v>
      </c>
      <c r="J4019" s="3">
        <v>1.0</v>
      </c>
      <c r="K4019" s="2" t="s">
        <v>16177</v>
      </c>
      <c r="L4019" s="2" t="s">
        <v>4482</v>
      </c>
      <c r="M4019" s="2" t="s">
        <v>409</v>
      </c>
      <c r="N4019" s="2" t="s">
        <v>462</v>
      </c>
      <c r="O4019" s="3"/>
      <c r="P4019" s="2" t="s">
        <v>73</v>
      </c>
      <c r="Q4019" s="3">
        <v>490.0</v>
      </c>
      <c r="R4019" s="3">
        <v>0.5</v>
      </c>
      <c r="T4019" s="2" t="s">
        <v>14037</v>
      </c>
      <c r="U4019" s="171">
        <v>2099.0</v>
      </c>
      <c r="V4019" s="172">
        <v>46112.0</v>
      </c>
      <c r="W4019" s="3">
        <v>305.0</v>
      </c>
      <c r="X4019" s="172">
        <v>46108.7079015162</v>
      </c>
      <c r="Y4019" s="172">
        <v>46107.18546767361</v>
      </c>
      <c r="Z4019" s="3">
        <v>46107.0</v>
      </c>
      <c r="AA4019" s="2" t="s">
        <v>14053</v>
      </c>
    </row>
    <row r="4020">
      <c r="A4020" s="3">
        <v>6.969204736259E12</v>
      </c>
      <c r="B4020" s="2" t="s">
        <v>16178</v>
      </c>
      <c r="C4020" s="2" t="s">
        <v>3096</v>
      </c>
      <c r="D4020" s="169">
        <v>46107.0</v>
      </c>
      <c r="E4020" s="173" t="s">
        <v>8891</v>
      </c>
      <c r="F4020" s="2" t="s">
        <v>8892</v>
      </c>
      <c r="G4020" s="2" t="s">
        <v>3098</v>
      </c>
      <c r="H4020" s="2">
        <v>249.0</v>
      </c>
      <c r="I4020" s="2">
        <v>2.2120050022867E13</v>
      </c>
      <c r="J4020" s="3">
        <v>0.0</v>
      </c>
      <c r="K4020" s="2" t="s">
        <v>16179</v>
      </c>
      <c r="L4020" s="2"/>
      <c r="M4020" s="170" t="s">
        <v>455</v>
      </c>
      <c r="N4020" s="2" t="s">
        <v>406</v>
      </c>
      <c r="O4020" s="3"/>
      <c r="P4020" s="2" t="s">
        <v>73</v>
      </c>
      <c r="Q4020" s="3">
        <v>0.0</v>
      </c>
      <c r="R4020" s="3">
        <v>0.5</v>
      </c>
      <c r="U4020" s="141"/>
      <c r="W4020" s="3">
        <v>220.98</v>
      </c>
      <c r="X4020" s="172">
        <v>46114.87449618056</v>
      </c>
      <c r="Y4020" s="172">
        <v>46107.227128240746</v>
      </c>
      <c r="Z4020" s="3">
        <v>46107.0</v>
      </c>
      <c r="AA4020" s="2" t="s">
        <v>14032</v>
      </c>
    </row>
    <row r="4021">
      <c r="A4021" s="3">
        <v>6.969218236675E12</v>
      </c>
      <c r="B4021" s="2" t="s">
        <v>16180</v>
      </c>
      <c r="C4021" s="2" t="s">
        <v>16181</v>
      </c>
      <c r="D4021" s="169">
        <v>46107.0</v>
      </c>
      <c r="E4021" s="2">
        <v>3.009462218E9</v>
      </c>
      <c r="F4021" s="2" t="s">
        <v>16182</v>
      </c>
      <c r="G4021" s="2" t="s">
        <v>1342</v>
      </c>
      <c r="H4021" s="2">
        <v>0.0</v>
      </c>
      <c r="J4021" s="3">
        <v>0.0</v>
      </c>
      <c r="K4021" s="2" t="s">
        <v>8402</v>
      </c>
      <c r="L4021" s="2"/>
      <c r="M4021" s="2" t="s">
        <v>468</v>
      </c>
      <c r="N4021" s="2" t="s">
        <v>406</v>
      </c>
      <c r="O4021" s="3"/>
      <c r="Q4021" s="3">
        <v>0.0</v>
      </c>
      <c r="R4021" s="3">
        <v>0.5</v>
      </c>
      <c r="U4021" s="141"/>
      <c r="X4021" s="172"/>
      <c r="Y4021" s="172">
        <v>46107.227128252314</v>
      </c>
      <c r="Z4021" s="3">
        <v>46107.0</v>
      </c>
      <c r="AA4021" s="2" t="s">
        <v>14032</v>
      </c>
    </row>
    <row r="4022">
      <c r="A4022" s="3">
        <v>6.969264898307E12</v>
      </c>
      <c r="B4022" s="2" t="s">
        <v>16183</v>
      </c>
      <c r="C4022" s="2" t="s">
        <v>16184</v>
      </c>
      <c r="D4022" s="169">
        <v>46107.0</v>
      </c>
      <c r="E4022" s="2">
        <v>3.007995019E9</v>
      </c>
      <c r="F4022" s="2" t="s">
        <v>16185</v>
      </c>
      <c r="G4022" s="2" t="s">
        <v>9700</v>
      </c>
      <c r="H4022" s="2">
        <v>3348.0</v>
      </c>
      <c r="I4022" s="2">
        <v>2.6120050022866E13</v>
      </c>
      <c r="J4022" s="3">
        <v>2.0</v>
      </c>
      <c r="K4022" s="2" t="s">
        <v>16186</v>
      </c>
      <c r="L4022" s="2" t="s">
        <v>50</v>
      </c>
      <c r="M4022" s="2" t="s">
        <v>409</v>
      </c>
      <c r="N4022" s="2" t="s">
        <v>462</v>
      </c>
      <c r="O4022" s="3"/>
      <c r="P4022" s="2" t="s">
        <v>73</v>
      </c>
      <c r="Q4022" s="3">
        <v>720.0</v>
      </c>
      <c r="R4022" s="3">
        <v>0.5</v>
      </c>
      <c r="T4022" s="2" t="s">
        <v>14037</v>
      </c>
      <c r="U4022" s="171">
        <v>3348.0</v>
      </c>
      <c r="V4022" s="172">
        <v>46112.0</v>
      </c>
      <c r="W4022" s="3">
        <v>355.0</v>
      </c>
      <c r="X4022" s="172">
        <v>46109.582934375</v>
      </c>
      <c r="Y4022" s="172">
        <v>46107.26875833333</v>
      </c>
      <c r="Z4022" s="3">
        <v>46107.0</v>
      </c>
      <c r="AA4022" s="2" t="s">
        <v>14032</v>
      </c>
    </row>
    <row r="4023">
      <c r="A4023" s="3">
        <v>6.969318998275E12</v>
      </c>
      <c r="B4023" s="2" t="s">
        <v>16187</v>
      </c>
      <c r="C4023" s="2" t="s">
        <v>16188</v>
      </c>
      <c r="D4023" s="169">
        <v>46107.0</v>
      </c>
      <c r="E4023" s="2">
        <v>3.038433999E9</v>
      </c>
      <c r="F4023" s="2" t="s">
        <v>16189</v>
      </c>
      <c r="G4023" s="2" t="s">
        <v>368</v>
      </c>
      <c r="H4023" s="2">
        <v>1499.0</v>
      </c>
      <c r="I4023" s="2">
        <v>2.8120050022865E13</v>
      </c>
      <c r="J4023" s="3">
        <v>1.0</v>
      </c>
      <c r="K4023" s="2" t="s">
        <v>16190</v>
      </c>
      <c r="L4023" s="2" t="s">
        <v>16191</v>
      </c>
      <c r="M4023" s="2" t="s">
        <v>409</v>
      </c>
      <c r="N4023" s="2" t="s">
        <v>462</v>
      </c>
      <c r="O4023" s="3"/>
      <c r="P4023" s="2" t="s">
        <v>73</v>
      </c>
      <c r="Q4023" s="3">
        <v>750.0</v>
      </c>
      <c r="R4023" s="3">
        <v>0.5</v>
      </c>
      <c r="T4023" s="2" t="s">
        <v>14037</v>
      </c>
      <c r="U4023" s="171">
        <v>1499.0</v>
      </c>
      <c r="V4023" s="172">
        <v>46112.0</v>
      </c>
      <c r="W4023" s="3">
        <v>178.0</v>
      </c>
      <c r="X4023" s="172">
        <v>46108.70790228009</v>
      </c>
      <c r="Y4023" s="172">
        <v>46107.31060806713</v>
      </c>
      <c r="Z4023" s="3">
        <v>46107.0</v>
      </c>
      <c r="AA4023" s="2" t="s">
        <v>14536</v>
      </c>
    </row>
    <row r="4024">
      <c r="A4024" s="3">
        <v>6.969323913475E12</v>
      </c>
      <c r="B4024" s="2" t="s">
        <v>16192</v>
      </c>
      <c r="C4024" s="2" t="s">
        <v>4739</v>
      </c>
      <c r="D4024" s="169">
        <v>46107.0</v>
      </c>
      <c r="E4024" s="173" t="s">
        <v>16193</v>
      </c>
      <c r="F4024" s="2" t="s">
        <v>16194</v>
      </c>
      <c r="G4024" s="2" t="s">
        <v>16195</v>
      </c>
      <c r="H4024" s="2">
        <v>8247.0</v>
      </c>
      <c r="I4024" s="2">
        <v>2.6120050022864E13</v>
      </c>
      <c r="J4024" s="3">
        <v>5.0</v>
      </c>
      <c r="K4024" s="2" t="s">
        <v>16196</v>
      </c>
      <c r="L4024" s="2" t="s">
        <v>16197</v>
      </c>
      <c r="M4024" s="2" t="s">
        <v>409</v>
      </c>
      <c r="N4024" s="2" t="s">
        <v>462</v>
      </c>
      <c r="O4024" s="3"/>
      <c r="P4024" s="2" t="s">
        <v>73</v>
      </c>
      <c r="Q4024" s="3">
        <v>2500.0</v>
      </c>
      <c r="R4024" s="3">
        <v>0.5</v>
      </c>
      <c r="T4024" s="2" t="s">
        <v>14037</v>
      </c>
      <c r="U4024" s="171">
        <v>8247.0</v>
      </c>
      <c r="V4024" s="172">
        <v>46112.0</v>
      </c>
      <c r="W4024" s="3">
        <v>683.0</v>
      </c>
      <c r="X4024" s="172">
        <v>46109.54110605324</v>
      </c>
      <c r="Y4024" s="172">
        <v>46107.31060806713</v>
      </c>
      <c r="Z4024" s="3">
        <v>46107.0</v>
      </c>
      <c r="AA4024" s="2" t="s">
        <v>14032</v>
      </c>
    </row>
    <row r="4025">
      <c r="A4025" s="3">
        <v>6.969480773891E12</v>
      </c>
      <c r="B4025" s="2" t="s">
        <v>16198</v>
      </c>
      <c r="C4025" s="2" t="s">
        <v>16199</v>
      </c>
      <c r="D4025" s="169">
        <v>46107.0</v>
      </c>
      <c r="E4025" s="2">
        <v>3.3494208E9</v>
      </c>
      <c r="F4025" s="2" t="s">
        <v>16200</v>
      </c>
      <c r="G4025" s="2" t="s">
        <v>368</v>
      </c>
      <c r="H4025" s="2">
        <v>1899.0</v>
      </c>
      <c r="I4025" s="2">
        <v>2.9120050022863E13</v>
      </c>
      <c r="J4025" s="3">
        <v>1.0</v>
      </c>
      <c r="K4025" s="2" t="s">
        <v>16201</v>
      </c>
      <c r="L4025" s="2" t="s">
        <v>16202</v>
      </c>
      <c r="M4025" s="2" t="s">
        <v>409</v>
      </c>
      <c r="N4025" s="2" t="s">
        <v>462</v>
      </c>
      <c r="O4025" s="3"/>
      <c r="P4025" s="2" t="s">
        <v>73</v>
      </c>
      <c r="Q4025" s="3">
        <v>550.0</v>
      </c>
      <c r="R4025" s="3">
        <v>0.5</v>
      </c>
      <c r="T4025" s="2" t="s">
        <v>14037</v>
      </c>
      <c r="U4025" s="171">
        <v>1899.0</v>
      </c>
      <c r="V4025" s="172">
        <v>46112.0</v>
      </c>
      <c r="W4025" s="3">
        <v>194.0</v>
      </c>
      <c r="X4025" s="172">
        <v>46108.62466858796</v>
      </c>
      <c r="Y4025" s="172">
        <v>46107.477268206014</v>
      </c>
      <c r="Z4025" s="3">
        <v>46107.0</v>
      </c>
      <c r="AA4025" s="2" t="s">
        <v>14032</v>
      </c>
    </row>
    <row r="4026">
      <c r="A4026" s="3">
        <v>6.969487229187E12</v>
      </c>
      <c r="B4026" s="2" t="s">
        <v>16203</v>
      </c>
      <c r="C4026" s="2" t="s">
        <v>16204</v>
      </c>
      <c r="D4026" s="169">
        <v>46107.0</v>
      </c>
      <c r="E4026" s="2">
        <v>3.008370722E9</v>
      </c>
      <c r="F4026" s="2" t="s">
        <v>16205</v>
      </c>
      <c r="G4026" s="2" t="s">
        <v>493</v>
      </c>
      <c r="H4026" s="2">
        <v>2199.0</v>
      </c>
      <c r="I4026" s="2">
        <v>2.1120050022862E13</v>
      </c>
      <c r="J4026" s="3">
        <v>1.0</v>
      </c>
      <c r="K4026" s="2" t="s">
        <v>16206</v>
      </c>
      <c r="L4026" s="2" t="s">
        <v>16207</v>
      </c>
      <c r="M4026" s="2" t="s">
        <v>409</v>
      </c>
      <c r="N4026" s="2" t="s">
        <v>462</v>
      </c>
      <c r="O4026" s="3"/>
      <c r="P4026" s="2" t="s">
        <v>73</v>
      </c>
      <c r="Q4026" s="3">
        <v>400.0</v>
      </c>
      <c r="R4026" s="3">
        <v>0.5</v>
      </c>
      <c r="T4026" s="2" t="s">
        <v>14037</v>
      </c>
      <c r="U4026" s="171">
        <v>2199.0</v>
      </c>
      <c r="V4026" s="172">
        <v>46112.0</v>
      </c>
      <c r="W4026" s="3">
        <v>324.0</v>
      </c>
      <c r="X4026" s="172">
        <v>46110.749772650466</v>
      </c>
      <c r="Y4026" s="172">
        <v>46107.477268206014</v>
      </c>
      <c r="Z4026" s="3">
        <v>46107.0</v>
      </c>
      <c r="AA4026" s="2" t="s">
        <v>14032</v>
      </c>
    </row>
    <row r="4027">
      <c r="A4027" s="3">
        <v>6.969526354179E12</v>
      </c>
      <c r="B4027" s="2" t="s">
        <v>16208</v>
      </c>
      <c r="C4027" s="2" t="s">
        <v>16209</v>
      </c>
      <c r="D4027" s="169">
        <v>46107.0</v>
      </c>
      <c r="E4027" s="2">
        <v>3.341234511E9</v>
      </c>
      <c r="F4027" s="2" t="s">
        <v>16210</v>
      </c>
      <c r="G4027" s="2" t="s">
        <v>781</v>
      </c>
      <c r="H4027" s="2">
        <v>3348.0</v>
      </c>
      <c r="I4027" s="2">
        <v>2.6120050022861E13</v>
      </c>
      <c r="J4027" s="3">
        <v>2.0</v>
      </c>
      <c r="K4027" s="2" t="s">
        <v>14036</v>
      </c>
      <c r="L4027" s="2" t="s">
        <v>13413</v>
      </c>
      <c r="M4027" s="2" t="s">
        <v>409</v>
      </c>
      <c r="N4027" s="2" t="s">
        <v>462</v>
      </c>
      <c r="O4027" s="3"/>
      <c r="P4027" s="2" t="s">
        <v>73</v>
      </c>
      <c r="Q4027" s="3">
        <v>800.0</v>
      </c>
      <c r="R4027" s="3">
        <v>0.5</v>
      </c>
      <c r="T4027" s="2" t="s">
        <v>14037</v>
      </c>
      <c r="U4027" s="171">
        <v>3348.0</v>
      </c>
      <c r="V4027" s="172">
        <v>46112.0</v>
      </c>
      <c r="W4027" s="3">
        <v>370.0</v>
      </c>
      <c r="X4027" s="172">
        <v>46109.49949516203</v>
      </c>
      <c r="Y4027" s="172">
        <v>46107.51875712963</v>
      </c>
      <c r="Z4027" s="3">
        <v>46107.0</v>
      </c>
      <c r="AA4027" s="2" t="s">
        <v>14032</v>
      </c>
    </row>
    <row r="4028">
      <c r="A4028" s="3">
        <v>6.969552240899E12</v>
      </c>
      <c r="B4028" s="2" t="s">
        <v>16211</v>
      </c>
      <c r="C4028" s="2" t="s">
        <v>16212</v>
      </c>
      <c r="D4028" s="169">
        <v>46107.0</v>
      </c>
      <c r="E4028" s="2">
        <v>3.128014696E9</v>
      </c>
      <c r="F4028" s="2" t="s">
        <v>16213</v>
      </c>
      <c r="G4028" s="2" t="s">
        <v>850</v>
      </c>
      <c r="H4028" s="2">
        <v>249.0</v>
      </c>
      <c r="I4028" s="2">
        <v>2.812005002286E13</v>
      </c>
      <c r="J4028" s="3">
        <v>0.0</v>
      </c>
      <c r="K4028" s="2" t="s">
        <v>15941</v>
      </c>
      <c r="L4028" s="2"/>
      <c r="M4028" s="170" t="s">
        <v>455</v>
      </c>
      <c r="N4028" s="2" t="s">
        <v>406</v>
      </c>
      <c r="O4028" s="3"/>
      <c r="P4028" s="2" t="s">
        <v>73</v>
      </c>
      <c r="Q4028" s="3">
        <v>0.0</v>
      </c>
      <c r="R4028" s="3">
        <v>0.5</v>
      </c>
      <c r="U4028" s="141"/>
      <c r="W4028" s="3">
        <v>220.98</v>
      </c>
      <c r="X4028" s="172">
        <v>46114.8744962037</v>
      </c>
      <c r="Y4028" s="172">
        <v>46107.51875712963</v>
      </c>
      <c r="Z4028" s="3">
        <v>46107.0</v>
      </c>
      <c r="AA4028" s="2" t="s">
        <v>14536</v>
      </c>
    </row>
    <row r="4029">
      <c r="A4029" s="3">
        <v>6.969553191171E12</v>
      </c>
      <c r="B4029" s="2" t="s">
        <v>16214</v>
      </c>
      <c r="C4029" s="2" t="s">
        <v>16215</v>
      </c>
      <c r="D4029" s="169">
        <v>46107.0</v>
      </c>
      <c r="E4029" s="173" t="s">
        <v>16216</v>
      </c>
      <c r="F4029" s="2" t="s">
        <v>16217</v>
      </c>
      <c r="G4029" s="2" t="s">
        <v>16218</v>
      </c>
      <c r="H4029" s="2">
        <v>3348.0</v>
      </c>
      <c r="I4029" s="2">
        <v>2.4120050022859E13</v>
      </c>
      <c r="J4029" s="3">
        <v>2.0</v>
      </c>
      <c r="K4029" s="2" t="s">
        <v>16219</v>
      </c>
      <c r="L4029" s="2" t="s">
        <v>27</v>
      </c>
      <c r="M4029" s="2" t="s">
        <v>409</v>
      </c>
      <c r="N4029" s="2" t="s">
        <v>462</v>
      </c>
      <c r="O4029" s="3"/>
      <c r="P4029" s="2" t="s">
        <v>73</v>
      </c>
      <c r="Q4029" s="3">
        <v>720.0</v>
      </c>
      <c r="R4029" s="3">
        <v>0.5</v>
      </c>
      <c r="T4029" s="2" t="s">
        <v>14037</v>
      </c>
      <c r="U4029" s="171">
        <v>3348.0</v>
      </c>
      <c r="V4029" s="172">
        <v>46112.0</v>
      </c>
      <c r="W4029" s="3">
        <v>355.0</v>
      </c>
      <c r="X4029" s="172">
        <v>46108.5828378125</v>
      </c>
      <c r="Y4029" s="172">
        <v>46107.51875712963</v>
      </c>
      <c r="Z4029" s="3">
        <v>46107.0</v>
      </c>
      <c r="AA4029" s="2" t="s">
        <v>14032</v>
      </c>
    </row>
    <row r="4030">
      <c r="A4030" s="3">
        <v>6.969599131907E12</v>
      </c>
      <c r="B4030" s="2" t="s">
        <v>16220</v>
      </c>
      <c r="C4030" s="2" t="s">
        <v>16221</v>
      </c>
      <c r="D4030" s="169">
        <v>46107.0</v>
      </c>
      <c r="E4030" s="2">
        <v>3.008102209E9</v>
      </c>
      <c r="F4030" s="2" t="s">
        <v>16222</v>
      </c>
      <c r="G4030" s="2" t="s">
        <v>368</v>
      </c>
      <c r="H4030" s="2">
        <v>3038.1</v>
      </c>
      <c r="I4030" s="2">
        <v>2.5120050022858E13</v>
      </c>
      <c r="J4030" s="3">
        <v>2.0</v>
      </c>
      <c r="K4030" s="2" t="s">
        <v>16223</v>
      </c>
      <c r="L4030" s="2" t="s">
        <v>234</v>
      </c>
      <c r="M4030" s="2" t="s">
        <v>409</v>
      </c>
      <c r="N4030" s="2" t="s">
        <v>462</v>
      </c>
      <c r="O4030" s="3"/>
      <c r="P4030" s="2" t="s">
        <v>73</v>
      </c>
      <c r="Q4030" s="3">
        <v>800.0</v>
      </c>
      <c r="R4030" s="3">
        <v>0.5</v>
      </c>
      <c r="T4030" s="2" t="s">
        <v>14037</v>
      </c>
      <c r="U4030" s="171">
        <v>3038.1</v>
      </c>
      <c r="V4030" s="172">
        <v>46112.0</v>
      </c>
      <c r="W4030" s="3">
        <v>239.0</v>
      </c>
      <c r="X4030" s="172">
        <v>46108.521162743054</v>
      </c>
      <c r="Y4030" s="172">
        <v>46107.60210178241</v>
      </c>
      <c r="Z4030" s="3">
        <v>46107.0</v>
      </c>
      <c r="AA4030" s="2" t="s">
        <v>14032</v>
      </c>
    </row>
    <row r="4031">
      <c r="A4031" s="3">
        <v>6.969603588355E12</v>
      </c>
      <c r="B4031" s="2" t="s">
        <v>16224</v>
      </c>
      <c r="C4031" s="2" t="s">
        <v>4162</v>
      </c>
      <c r="D4031" s="169">
        <v>46107.0</v>
      </c>
      <c r="E4031" s="2">
        <v>3.217708181E9</v>
      </c>
      <c r="F4031" s="2" t="s">
        <v>16225</v>
      </c>
      <c r="G4031" s="2" t="s">
        <v>1055</v>
      </c>
      <c r="H4031" s="2">
        <v>3348.0</v>
      </c>
      <c r="I4031" s="2">
        <v>2.9120050022817E13</v>
      </c>
      <c r="J4031" s="3">
        <v>2.0</v>
      </c>
      <c r="K4031" s="2" t="s">
        <v>14036</v>
      </c>
      <c r="L4031" s="2" t="s">
        <v>22</v>
      </c>
      <c r="M4031" s="2" t="s">
        <v>409</v>
      </c>
      <c r="N4031" s="2" t="s">
        <v>462</v>
      </c>
      <c r="O4031" s="3"/>
      <c r="P4031" s="2" t="s">
        <v>73</v>
      </c>
      <c r="Q4031" s="3">
        <v>800.0</v>
      </c>
      <c r="R4031" s="3">
        <v>0.5</v>
      </c>
      <c r="T4031" s="2" t="s">
        <v>14037</v>
      </c>
      <c r="U4031" s="171">
        <v>3348.0</v>
      </c>
      <c r="V4031" s="172">
        <v>46112.0</v>
      </c>
      <c r="W4031" s="3">
        <v>355.0</v>
      </c>
      <c r="X4031" s="172">
        <v>46109.58293445602</v>
      </c>
      <c r="Y4031" s="172">
        <v>46107.60210179398</v>
      </c>
      <c r="Z4031" s="3">
        <v>46107.0</v>
      </c>
      <c r="AA4031" s="2" t="s">
        <v>14022</v>
      </c>
    </row>
    <row r="4032">
      <c r="A4032" s="3">
        <v>6.969608241411E12</v>
      </c>
      <c r="B4032" s="2" t="s">
        <v>16226</v>
      </c>
      <c r="C4032" s="2" t="s">
        <v>16227</v>
      </c>
      <c r="D4032" s="169">
        <v>46107.0</v>
      </c>
      <c r="E4032" s="173" t="s">
        <v>16228</v>
      </c>
      <c r="F4032" s="2" t="s">
        <v>16229</v>
      </c>
      <c r="G4032" s="2" t="s">
        <v>16230</v>
      </c>
      <c r="H4032" s="2">
        <v>2850.0</v>
      </c>
      <c r="I4032" s="2">
        <v>2.3120050022857E13</v>
      </c>
      <c r="J4032" s="3">
        <v>2.0</v>
      </c>
      <c r="K4032" s="2" t="s">
        <v>16231</v>
      </c>
      <c r="L4032" s="2" t="s">
        <v>296</v>
      </c>
      <c r="M4032" s="2" t="s">
        <v>409</v>
      </c>
      <c r="N4032" s="2" t="s">
        <v>462</v>
      </c>
      <c r="O4032" s="3"/>
      <c r="P4032" s="2" t="s">
        <v>73</v>
      </c>
      <c r="Q4032" s="3">
        <v>720.0</v>
      </c>
      <c r="R4032" s="3">
        <v>0.5</v>
      </c>
      <c r="T4032" s="2" t="s">
        <v>14037</v>
      </c>
      <c r="U4032" s="171">
        <v>2850.0</v>
      </c>
      <c r="V4032" s="172">
        <v>46112.0</v>
      </c>
      <c r="W4032" s="3">
        <v>350.0</v>
      </c>
      <c r="X4032" s="172">
        <v>46109.58293458333</v>
      </c>
      <c r="Y4032" s="172">
        <v>46107.60210179398</v>
      </c>
      <c r="Z4032" s="3">
        <v>46107.0</v>
      </c>
      <c r="AA4032" s="2" t="s">
        <v>14026</v>
      </c>
    </row>
    <row r="4033">
      <c r="A4033" s="3">
        <v>6.969611026691E12</v>
      </c>
      <c r="B4033" s="2" t="s">
        <v>16232</v>
      </c>
      <c r="C4033" s="2" t="s">
        <v>16233</v>
      </c>
      <c r="D4033" s="169">
        <v>46107.0</v>
      </c>
      <c r="E4033" s="2">
        <v>3.120712723E9</v>
      </c>
      <c r="F4033" s="175" t="s">
        <v>16234</v>
      </c>
      <c r="G4033" s="175" t="s">
        <v>16235</v>
      </c>
      <c r="H4033" s="2">
        <v>3348.0</v>
      </c>
      <c r="I4033" s="2">
        <v>2.4120050022957E13</v>
      </c>
      <c r="J4033" s="3">
        <v>2.0</v>
      </c>
      <c r="K4033" s="2" t="s">
        <v>14036</v>
      </c>
      <c r="L4033" s="2" t="s">
        <v>50</v>
      </c>
      <c r="M4033" s="2" t="s">
        <v>409</v>
      </c>
      <c r="N4033" s="2" t="s">
        <v>462</v>
      </c>
      <c r="O4033" s="3"/>
      <c r="P4033" s="2" t="s">
        <v>73</v>
      </c>
      <c r="Q4033" s="3">
        <v>720.0</v>
      </c>
      <c r="R4033" s="3">
        <v>0.5</v>
      </c>
      <c r="T4033" s="2" t="s">
        <v>14037</v>
      </c>
      <c r="U4033" s="171">
        <v>3348.0</v>
      </c>
      <c r="V4033" s="172">
        <v>46112.0</v>
      </c>
      <c r="W4033" s="3">
        <v>355.0</v>
      </c>
      <c r="X4033" s="172">
        <v>46111.49959262731</v>
      </c>
      <c r="Y4033" s="172">
        <v>46107.60210179398</v>
      </c>
      <c r="Z4033" s="3">
        <v>46107.0</v>
      </c>
      <c r="AA4033" s="2" t="s">
        <v>14032</v>
      </c>
    </row>
    <row r="4034">
      <c r="A4034" s="3">
        <v>6.969612501251E12</v>
      </c>
      <c r="B4034" s="2" t="s">
        <v>16236</v>
      </c>
      <c r="C4034" s="2" t="s">
        <v>16237</v>
      </c>
      <c r="D4034" s="169">
        <v>46107.0</v>
      </c>
      <c r="E4034" s="173" t="s">
        <v>16238</v>
      </c>
      <c r="F4034" s="2" t="s">
        <v>16239</v>
      </c>
      <c r="G4034" s="2" t="s">
        <v>493</v>
      </c>
      <c r="H4034" s="2">
        <v>250.0</v>
      </c>
      <c r="I4034" s="2">
        <v>2.6120050022816E13</v>
      </c>
      <c r="J4034" s="3">
        <v>0.0</v>
      </c>
      <c r="K4034" s="2" t="s">
        <v>16240</v>
      </c>
      <c r="L4034" s="2"/>
      <c r="M4034" s="2" t="s">
        <v>409</v>
      </c>
      <c r="N4034" s="2" t="s">
        <v>406</v>
      </c>
      <c r="O4034" s="3"/>
      <c r="P4034" s="2" t="s">
        <v>73</v>
      </c>
      <c r="Q4034" s="3">
        <v>0.0</v>
      </c>
      <c r="R4034" s="3">
        <v>0.5</v>
      </c>
      <c r="T4034" s="2" t="s">
        <v>14037</v>
      </c>
      <c r="U4034" s="171">
        <v>3200.0</v>
      </c>
      <c r="V4034" s="172">
        <v>46112.0</v>
      </c>
      <c r="W4034" s="3">
        <v>364.0</v>
      </c>
      <c r="X4034" s="172">
        <v>46110.9578037037</v>
      </c>
      <c r="Y4034" s="172">
        <v>46107.60210179398</v>
      </c>
      <c r="Z4034" s="3">
        <v>46107.0</v>
      </c>
      <c r="AA4034" s="2" t="s">
        <v>14026</v>
      </c>
    </row>
    <row r="4035">
      <c r="A4035" s="3">
        <v>6.969614500099E12</v>
      </c>
      <c r="B4035" s="2" t="s">
        <v>16241</v>
      </c>
      <c r="C4035" s="2" t="s">
        <v>16242</v>
      </c>
      <c r="D4035" s="169">
        <v>46107.0</v>
      </c>
      <c r="E4035" s="173" t="s">
        <v>16243</v>
      </c>
      <c r="F4035" s="2" t="s">
        <v>16244</v>
      </c>
      <c r="G4035" s="2" t="s">
        <v>12486</v>
      </c>
      <c r="H4035" s="2">
        <v>1499.0</v>
      </c>
      <c r="I4035" s="2">
        <v>2.5120050022815E13</v>
      </c>
      <c r="J4035" s="3">
        <v>1.0</v>
      </c>
      <c r="K4035" s="2" t="s">
        <v>16245</v>
      </c>
      <c r="L4035" s="2" t="s">
        <v>16246</v>
      </c>
      <c r="M4035" s="2" t="s">
        <v>409</v>
      </c>
      <c r="N4035" s="2" t="s">
        <v>462</v>
      </c>
      <c r="O4035" s="3"/>
      <c r="P4035" s="2" t="s">
        <v>73</v>
      </c>
      <c r="Q4035" s="3">
        <v>750.0</v>
      </c>
      <c r="R4035" s="3">
        <v>0.5</v>
      </c>
      <c r="T4035" s="2" t="s">
        <v>14037</v>
      </c>
      <c r="U4035" s="171">
        <v>1499.0</v>
      </c>
      <c r="V4035" s="172">
        <v>46112.0</v>
      </c>
      <c r="W4035" s="3">
        <v>296.0</v>
      </c>
      <c r="X4035" s="172">
        <v>46109.87443899305</v>
      </c>
      <c r="Y4035" s="172">
        <v>46107.60210179398</v>
      </c>
      <c r="Z4035" s="3">
        <v>46107.0</v>
      </c>
      <c r="AA4035" s="2" t="s">
        <v>14026</v>
      </c>
    </row>
    <row r="4036">
      <c r="A4036" s="3">
        <v>6.969618071811E12</v>
      </c>
      <c r="B4036" s="2" t="s">
        <v>16247</v>
      </c>
      <c r="C4036" s="2" t="s">
        <v>13447</v>
      </c>
      <c r="D4036" s="169">
        <v>46107.0</v>
      </c>
      <c r="E4036" s="2">
        <v>3.465981332E9</v>
      </c>
      <c r="F4036" s="2" t="s">
        <v>13448</v>
      </c>
      <c r="G4036" s="2" t="s">
        <v>13090</v>
      </c>
      <c r="H4036" s="2">
        <v>2850.0</v>
      </c>
      <c r="I4036" s="2">
        <v>2.4120050022856E13</v>
      </c>
      <c r="J4036" s="3">
        <v>2.0</v>
      </c>
      <c r="K4036" s="2" t="s">
        <v>16248</v>
      </c>
      <c r="L4036" s="2" t="s">
        <v>2324</v>
      </c>
      <c r="M4036" s="2" t="s">
        <v>409</v>
      </c>
      <c r="N4036" s="2" t="s">
        <v>462</v>
      </c>
      <c r="O4036" s="3"/>
      <c r="P4036" s="2" t="s">
        <v>73</v>
      </c>
      <c r="Q4036" s="3">
        <v>720.0</v>
      </c>
      <c r="R4036" s="3">
        <v>0.5</v>
      </c>
      <c r="T4036" s="2" t="s">
        <v>14037</v>
      </c>
      <c r="U4036" s="171">
        <v>2850.0</v>
      </c>
      <c r="V4036" s="172">
        <v>46112.0</v>
      </c>
      <c r="W4036" s="3">
        <v>246.0</v>
      </c>
      <c r="X4036" s="172">
        <v>46109.62446615741</v>
      </c>
      <c r="Y4036" s="172">
        <v>46107.60210179398</v>
      </c>
      <c r="Z4036" s="3">
        <v>46107.0</v>
      </c>
      <c r="AA4036" s="2" t="s">
        <v>14026</v>
      </c>
    </row>
    <row r="4037">
      <c r="A4037" s="3">
        <v>6.969618891011E12</v>
      </c>
      <c r="B4037" s="2" t="s">
        <v>16249</v>
      </c>
      <c r="C4037" s="2" t="s">
        <v>16250</v>
      </c>
      <c r="D4037" s="169">
        <v>46107.0</v>
      </c>
      <c r="E4037" s="173" t="s">
        <v>16251</v>
      </c>
      <c r="F4037" s="2" t="s">
        <v>16252</v>
      </c>
      <c r="G4037" s="2" t="s">
        <v>16253</v>
      </c>
      <c r="H4037" s="2">
        <v>3199.0</v>
      </c>
      <c r="I4037" s="2" t="s">
        <v>16254</v>
      </c>
      <c r="J4037" s="3">
        <v>2.0</v>
      </c>
      <c r="K4037" s="2" t="s">
        <v>369</v>
      </c>
      <c r="L4037" s="2" t="s">
        <v>16255</v>
      </c>
      <c r="M4037" s="2" t="s">
        <v>409</v>
      </c>
      <c r="N4037" s="2" t="s">
        <v>406</v>
      </c>
      <c r="O4037" s="3"/>
      <c r="P4037" s="2" t="s">
        <v>640</v>
      </c>
      <c r="Q4037" s="3">
        <v>840.0</v>
      </c>
      <c r="R4037" s="3">
        <v>0.5</v>
      </c>
      <c r="U4037" s="141"/>
      <c r="X4037" s="172">
        <v>46114.75139818287</v>
      </c>
      <c r="Y4037" s="172">
        <v>46107.60210179398</v>
      </c>
      <c r="Z4037" s="3">
        <v>46107.0</v>
      </c>
      <c r="AA4037" s="2" t="s">
        <v>14026</v>
      </c>
    </row>
    <row r="4038">
      <c r="A4038" s="3">
        <v>6.969641697539E12</v>
      </c>
      <c r="B4038" s="2" t="s">
        <v>16256</v>
      </c>
      <c r="C4038" s="2" t="s">
        <v>16257</v>
      </c>
      <c r="D4038" s="169">
        <v>46107.0</v>
      </c>
      <c r="E4038" s="173" t="s">
        <v>16258</v>
      </c>
      <c r="F4038" s="2" t="s">
        <v>16259</v>
      </c>
      <c r="G4038" s="2" t="s">
        <v>368</v>
      </c>
      <c r="H4038" s="2">
        <v>0.0</v>
      </c>
      <c r="J4038" s="3">
        <v>0.0</v>
      </c>
      <c r="K4038" s="2" t="s">
        <v>7954</v>
      </c>
      <c r="L4038" s="2"/>
      <c r="M4038" s="2" t="s">
        <v>468</v>
      </c>
      <c r="N4038" s="2" t="s">
        <v>406</v>
      </c>
      <c r="O4038" s="3"/>
      <c r="Q4038" s="3">
        <v>0.0</v>
      </c>
      <c r="R4038" s="3">
        <v>0.5</v>
      </c>
      <c r="U4038" s="141"/>
      <c r="X4038" s="172"/>
      <c r="Y4038" s="172">
        <v>46107.64380875</v>
      </c>
      <c r="Z4038" s="3">
        <v>46107.0</v>
      </c>
      <c r="AA4038" s="2" t="s">
        <v>14032</v>
      </c>
    </row>
    <row r="4039">
      <c r="A4039" s="3">
        <v>6.969643958531E12</v>
      </c>
      <c r="B4039" s="2" t="s">
        <v>16260</v>
      </c>
      <c r="C4039" s="2" t="s">
        <v>16257</v>
      </c>
      <c r="D4039" s="169">
        <v>46107.0</v>
      </c>
      <c r="E4039" s="173" t="s">
        <v>16258</v>
      </c>
      <c r="F4039" s="2" t="s">
        <v>16259</v>
      </c>
      <c r="G4039" s="2" t="s">
        <v>368</v>
      </c>
      <c r="H4039" s="2">
        <v>6446.0</v>
      </c>
      <c r="I4039" s="2">
        <v>2.9120050022982E13</v>
      </c>
      <c r="J4039" s="3">
        <v>4.0</v>
      </c>
      <c r="K4039" s="2" t="s">
        <v>16261</v>
      </c>
      <c r="L4039" s="2" t="s">
        <v>16262</v>
      </c>
      <c r="M4039" s="2" t="s">
        <v>409</v>
      </c>
      <c r="N4039" s="2" t="s">
        <v>462</v>
      </c>
      <c r="O4039" s="3"/>
      <c r="P4039" s="2" t="s">
        <v>73</v>
      </c>
      <c r="Q4039" s="3">
        <v>1440.0</v>
      </c>
      <c r="R4039" s="3">
        <v>0.5</v>
      </c>
      <c r="T4039" s="2" t="s">
        <v>14037</v>
      </c>
      <c r="U4039" s="171">
        <v>6446.0</v>
      </c>
      <c r="V4039" s="172">
        <v>46112.0</v>
      </c>
      <c r="W4039" s="3">
        <v>390.0</v>
      </c>
      <c r="X4039" s="172">
        <v>46111.58289513889</v>
      </c>
      <c r="Y4039" s="172">
        <v>46107.64380875</v>
      </c>
      <c r="Z4039" s="3">
        <v>46107.0</v>
      </c>
      <c r="AA4039" s="2" t="s">
        <v>14032</v>
      </c>
    </row>
    <row r="4040">
      <c r="A4040" s="3">
        <v>6.969677709571E12</v>
      </c>
      <c r="B4040" s="2" t="s">
        <v>16263</v>
      </c>
      <c r="C4040" s="2" t="s">
        <v>16264</v>
      </c>
      <c r="D4040" s="169">
        <v>46107.0</v>
      </c>
      <c r="E4040" s="2">
        <v>3.492262723E9</v>
      </c>
      <c r="F4040" s="2" t="s">
        <v>16265</v>
      </c>
      <c r="G4040" s="2" t="s">
        <v>1425</v>
      </c>
      <c r="H4040" s="2">
        <v>3798.0</v>
      </c>
      <c r="I4040" s="2">
        <v>2.4120050022981E13</v>
      </c>
      <c r="J4040" s="3">
        <v>2.0</v>
      </c>
      <c r="K4040" s="2" t="s">
        <v>16266</v>
      </c>
      <c r="L4040" s="2" t="s">
        <v>16267</v>
      </c>
      <c r="M4040" s="2" t="s">
        <v>409</v>
      </c>
      <c r="N4040" s="2" t="s">
        <v>462</v>
      </c>
      <c r="O4040" s="3"/>
      <c r="P4040" s="2" t="s">
        <v>73</v>
      </c>
      <c r="Q4040" s="3">
        <v>1010.0</v>
      </c>
      <c r="R4040" s="3">
        <v>0.5</v>
      </c>
      <c r="T4040" s="2" t="s">
        <v>12503</v>
      </c>
      <c r="U4040" s="171">
        <v>3798.0</v>
      </c>
      <c r="V4040" s="172">
        <v>46115.0</v>
      </c>
      <c r="W4040" s="3">
        <v>402.36</v>
      </c>
      <c r="X4040" s="172">
        <v>46114.70783060185</v>
      </c>
      <c r="Y4040" s="172">
        <v>46107.68549106481</v>
      </c>
      <c r="Z4040" s="3">
        <v>46107.0</v>
      </c>
      <c r="AA4040" s="2" t="s">
        <v>14022</v>
      </c>
    </row>
    <row r="4041">
      <c r="A4041" s="3">
        <v>6.969689178371E12</v>
      </c>
      <c r="B4041" s="2" t="s">
        <v>16268</v>
      </c>
      <c r="C4041" s="2" t="s">
        <v>16269</v>
      </c>
      <c r="D4041" s="169">
        <v>46107.0</v>
      </c>
      <c r="E4041" s="2">
        <v>3.147500611E9</v>
      </c>
      <c r="F4041" s="2" t="s">
        <v>16270</v>
      </c>
      <c r="G4041" s="2" t="s">
        <v>1425</v>
      </c>
      <c r="H4041" s="2">
        <v>249.0</v>
      </c>
      <c r="I4041" s="2">
        <v>2.412005002298E13</v>
      </c>
      <c r="J4041" s="3">
        <v>0.0</v>
      </c>
      <c r="K4041" s="2" t="s">
        <v>14483</v>
      </c>
      <c r="L4041" s="2"/>
      <c r="M4041" s="170" t="s">
        <v>455</v>
      </c>
      <c r="N4041" s="2" t="s">
        <v>406</v>
      </c>
      <c r="O4041" s="3"/>
      <c r="P4041" s="2" t="s">
        <v>73</v>
      </c>
      <c r="Q4041" s="3">
        <v>0.0</v>
      </c>
      <c r="R4041" s="3">
        <v>0.5</v>
      </c>
      <c r="U4041" s="141"/>
      <c r="W4041" s="3">
        <v>235.70999999999998</v>
      </c>
      <c r="X4041" s="172">
        <v>46121.080994398144</v>
      </c>
      <c r="Y4041" s="172">
        <v>46107.68549106481</v>
      </c>
      <c r="Z4041" s="3">
        <v>46107.0</v>
      </c>
      <c r="AA4041" s="2" t="s">
        <v>14032</v>
      </c>
    </row>
    <row r="4042">
      <c r="A4042" s="3">
        <v>6.969706021123E12</v>
      </c>
      <c r="B4042" s="2" t="s">
        <v>16271</v>
      </c>
      <c r="C4042" s="2" t="s">
        <v>15739</v>
      </c>
      <c r="D4042" s="169">
        <v>46107.0</v>
      </c>
      <c r="E4042" s="173" t="s">
        <v>16272</v>
      </c>
      <c r="F4042" s="2" t="s">
        <v>16273</v>
      </c>
      <c r="G4042" s="2" t="s">
        <v>16274</v>
      </c>
      <c r="H4042" s="2">
        <v>4548.0</v>
      </c>
      <c r="I4042" s="2">
        <v>2.7120050022979E13</v>
      </c>
      <c r="J4042" s="3">
        <v>3.0</v>
      </c>
      <c r="K4042" s="2" t="s">
        <v>16275</v>
      </c>
      <c r="L4042" s="2" t="s">
        <v>16276</v>
      </c>
      <c r="M4042" s="2" t="s">
        <v>409</v>
      </c>
      <c r="N4042" s="2" t="s">
        <v>462</v>
      </c>
      <c r="O4042" s="3"/>
      <c r="P4042" s="2" t="s">
        <v>73</v>
      </c>
      <c r="Q4042" s="3">
        <v>1270.0</v>
      </c>
      <c r="R4042" s="3">
        <v>0.5</v>
      </c>
      <c r="T4042" s="2" t="s">
        <v>12503</v>
      </c>
      <c r="U4042" s="171">
        <v>4548.0</v>
      </c>
      <c r="V4042" s="172">
        <v>46115.0</v>
      </c>
      <c r="W4042" s="3">
        <v>432.36</v>
      </c>
      <c r="X4042" s="172">
        <v>46112.499525520834</v>
      </c>
      <c r="Y4042" s="172">
        <v>46107.68549106481</v>
      </c>
      <c r="Z4042" s="3">
        <v>46107.0</v>
      </c>
      <c r="AA4042" s="2" t="s">
        <v>14032</v>
      </c>
    </row>
    <row r="4043">
      <c r="A4043" s="3">
        <v>6.969725092099E12</v>
      </c>
      <c r="B4043" s="2" t="s">
        <v>16277</v>
      </c>
      <c r="C4043" s="2" t="s">
        <v>16278</v>
      </c>
      <c r="D4043" s="169">
        <v>46107.0</v>
      </c>
      <c r="E4043" s="2">
        <v>3.334296116E9</v>
      </c>
      <c r="F4043" s="2" t="s">
        <v>16279</v>
      </c>
      <c r="G4043" s="2" t="s">
        <v>368</v>
      </c>
      <c r="H4043" s="2">
        <v>0.0</v>
      </c>
      <c r="J4043" s="3">
        <v>0.0</v>
      </c>
      <c r="K4043" s="2" t="s">
        <v>16280</v>
      </c>
      <c r="L4043" s="2"/>
      <c r="M4043" s="2" t="s">
        <v>468</v>
      </c>
      <c r="N4043" s="2" t="s">
        <v>406</v>
      </c>
      <c r="O4043" s="3"/>
      <c r="Q4043" s="3">
        <v>0.0</v>
      </c>
      <c r="R4043" s="3">
        <v>0.5</v>
      </c>
      <c r="U4043" s="141"/>
      <c r="X4043" s="172"/>
      <c r="Y4043" s="172">
        <v>46107.72713920139</v>
      </c>
      <c r="Z4043" s="3">
        <v>46107.0</v>
      </c>
      <c r="AA4043" s="2" t="s">
        <v>14103</v>
      </c>
    </row>
    <row r="4044">
      <c r="A4044" s="3">
        <v>6.969743638787E12</v>
      </c>
      <c r="B4044" s="2" t="s">
        <v>16281</v>
      </c>
      <c r="C4044" s="2" t="s">
        <v>15988</v>
      </c>
      <c r="D4044" s="169">
        <v>46107.0</v>
      </c>
      <c r="E4044" s="173" t="s">
        <v>15989</v>
      </c>
      <c r="F4044" s="2" t="s">
        <v>15990</v>
      </c>
      <c r="G4044" s="2" t="s">
        <v>1395</v>
      </c>
      <c r="H4044" s="2">
        <v>249.0</v>
      </c>
      <c r="I4044" s="2">
        <v>2.7120050022937E13</v>
      </c>
      <c r="J4044" s="3">
        <v>0.0</v>
      </c>
      <c r="K4044" s="2" t="s">
        <v>16282</v>
      </c>
      <c r="L4044" s="2"/>
      <c r="M4044" s="170" t="s">
        <v>455</v>
      </c>
      <c r="N4044" s="2" t="s">
        <v>406</v>
      </c>
      <c r="O4044" s="3"/>
      <c r="P4044" s="2" t="s">
        <v>73</v>
      </c>
      <c r="Q4044" s="3">
        <v>0.0</v>
      </c>
      <c r="R4044" s="3">
        <v>0.5</v>
      </c>
      <c r="U4044" s="141"/>
      <c r="W4044" s="3">
        <v>235.70999999999998</v>
      </c>
      <c r="X4044" s="172">
        <v>46116.87448302083</v>
      </c>
      <c r="Y4044" s="172">
        <v>46107.727139270835</v>
      </c>
      <c r="Z4044" s="3">
        <v>46107.0</v>
      </c>
      <c r="AA4044" s="2" t="s">
        <v>14026</v>
      </c>
    </row>
    <row r="4045">
      <c r="A4045" s="3">
        <v>6.969749209347E12</v>
      </c>
      <c r="B4045" s="2" t="s">
        <v>16283</v>
      </c>
      <c r="C4045" s="2" t="s">
        <v>11441</v>
      </c>
      <c r="D4045" s="169">
        <v>46107.0</v>
      </c>
      <c r="E4045" s="2">
        <v>3.226455251E9</v>
      </c>
      <c r="F4045" s="2" t="s">
        <v>16284</v>
      </c>
      <c r="G4045" s="2" t="s">
        <v>368</v>
      </c>
      <c r="H4045" s="2">
        <v>3348.0</v>
      </c>
      <c r="I4045" s="2">
        <v>2.0120050022978E13</v>
      </c>
      <c r="J4045" s="3">
        <v>2.0</v>
      </c>
      <c r="K4045" s="2" t="s">
        <v>14036</v>
      </c>
      <c r="L4045" s="2" t="s">
        <v>1258</v>
      </c>
      <c r="M4045" s="2" t="s">
        <v>409</v>
      </c>
      <c r="N4045" s="2" t="s">
        <v>462</v>
      </c>
      <c r="O4045" s="3"/>
      <c r="P4045" s="2" t="s">
        <v>73</v>
      </c>
      <c r="Q4045" s="3">
        <v>800.0</v>
      </c>
      <c r="R4045" s="3">
        <v>0.5</v>
      </c>
      <c r="T4045" s="2" t="s">
        <v>14037</v>
      </c>
      <c r="U4045" s="171">
        <v>3348.0</v>
      </c>
      <c r="V4045" s="172">
        <v>46112.0</v>
      </c>
      <c r="W4045" s="3">
        <v>252.0</v>
      </c>
      <c r="X4045" s="172">
        <v>46109.62446733796</v>
      </c>
      <c r="Y4045" s="172">
        <v>46107.727139270835</v>
      </c>
      <c r="Z4045" s="3">
        <v>46107.0</v>
      </c>
      <c r="AA4045" s="2" t="s">
        <v>14536</v>
      </c>
    </row>
    <row r="4046">
      <c r="A4046" s="3">
        <v>6.969863012611E12</v>
      </c>
      <c r="B4046" s="2" t="s">
        <v>16285</v>
      </c>
      <c r="C4046" s="2" t="s">
        <v>16286</v>
      </c>
      <c r="D4046" s="169">
        <v>46107.0</v>
      </c>
      <c r="E4046" s="2">
        <v>3.282540001E9</v>
      </c>
      <c r="F4046" s="2" t="s">
        <v>16287</v>
      </c>
      <c r="G4046" s="2" t="s">
        <v>374</v>
      </c>
      <c r="H4046" s="2">
        <v>249.0</v>
      </c>
      <c r="I4046" s="2">
        <v>2.1120050022977E13</v>
      </c>
      <c r="J4046" s="3">
        <v>0.0</v>
      </c>
      <c r="K4046" s="2" t="s">
        <v>16288</v>
      </c>
      <c r="L4046" s="2"/>
      <c r="M4046" s="170" t="s">
        <v>455</v>
      </c>
      <c r="N4046" s="2" t="s">
        <v>406</v>
      </c>
      <c r="O4046" s="3"/>
      <c r="P4046" s="2" t="s">
        <v>73</v>
      </c>
      <c r="Q4046" s="3">
        <v>0.0</v>
      </c>
      <c r="R4046" s="3">
        <v>0.5</v>
      </c>
      <c r="U4046" s="141"/>
      <c r="W4046" s="3">
        <v>220.98</v>
      </c>
      <c r="X4046" s="172">
        <v>46116.87448305555</v>
      </c>
      <c r="Y4046" s="172">
        <v>46107.81047297454</v>
      </c>
      <c r="Z4046" s="3">
        <v>46107.0</v>
      </c>
      <c r="AA4046" s="2" t="s">
        <v>14032</v>
      </c>
    </row>
    <row r="4047">
      <c r="A4047" s="3">
        <v>6.969965510915E12</v>
      </c>
      <c r="B4047" s="2" t="s">
        <v>16289</v>
      </c>
      <c r="C4047" s="2" t="s">
        <v>14718</v>
      </c>
      <c r="D4047" s="169">
        <v>46107.0</v>
      </c>
      <c r="E4047" s="2">
        <v>3.204309796E9</v>
      </c>
      <c r="F4047" s="2" t="s">
        <v>14719</v>
      </c>
      <c r="G4047" s="2" t="s">
        <v>368</v>
      </c>
      <c r="H4047" s="2">
        <v>3347.0</v>
      </c>
      <c r="I4047" s="2" t="s">
        <v>16290</v>
      </c>
      <c r="J4047" s="3">
        <v>2.0</v>
      </c>
      <c r="K4047" s="2" t="s">
        <v>16291</v>
      </c>
      <c r="L4047" s="2" t="s">
        <v>50</v>
      </c>
      <c r="M4047" s="2" t="s">
        <v>409</v>
      </c>
      <c r="N4047" s="2" t="s">
        <v>406</v>
      </c>
      <c r="O4047" s="3"/>
      <c r="Q4047" s="3">
        <v>720.0</v>
      </c>
      <c r="R4047" s="3">
        <v>0.5</v>
      </c>
      <c r="U4047" s="141"/>
      <c r="X4047" s="172"/>
      <c r="Y4047" s="172">
        <v>46107.85214011574</v>
      </c>
      <c r="Z4047" s="3">
        <v>46107.0</v>
      </c>
      <c r="AA4047" s="2" t="s">
        <v>14026</v>
      </c>
    </row>
    <row r="4048">
      <c r="A4048" s="3">
        <v>6.969975374083E12</v>
      </c>
      <c r="B4048" s="2" t="s">
        <v>16292</v>
      </c>
      <c r="C4048" s="2" t="s">
        <v>16293</v>
      </c>
      <c r="D4048" s="169">
        <v>46107.0</v>
      </c>
      <c r="E4048" s="2">
        <v>3.085991213E9</v>
      </c>
      <c r="F4048" s="2" t="s">
        <v>16294</v>
      </c>
      <c r="G4048" s="2" t="s">
        <v>368</v>
      </c>
      <c r="H4048" s="2">
        <v>3348.0</v>
      </c>
      <c r="I4048" s="2">
        <v>2.4120050022976E13</v>
      </c>
      <c r="J4048" s="3">
        <v>2.0</v>
      </c>
      <c r="K4048" s="2" t="s">
        <v>14036</v>
      </c>
      <c r="L4048" s="2" t="s">
        <v>50</v>
      </c>
      <c r="M4048" s="2" t="s">
        <v>409</v>
      </c>
      <c r="N4048" s="2" t="s">
        <v>462</v>
      </c>
      <c r="O4048" s="3"/>
      <c r="P4048" s="2" t="s">
        <v>73</v>
      </c>
      <c r="Q4048" s="3">
        <v>720.0</v>
      </c>
      <c r="R4048" s="3">
        <v>0.5</v>
      </c>
      <c r="T4048" s="2" t="s">
        <v>14037</v>
      </c>
      <c r="U4048" s="171">
        <v>3348.0</v>
      </c>
      <c r="V4048" s="172">
        <v>46112.0</v>
      </c>
      <c r="W4048" s="3">
        <v>252.0</v>
      </c>
      <c r="X4048" s="172">
        <v>46109.749600752315</v>
      </c>
      <c r="Y4048" s="172">
        <v>46107.85214011574</v>
      </c>
      <c r="Z4048" s="3">
        <v>46107.0</v>
      </c>
      <c r="AA4048" s="2" t="s">
        <v>14053</v>
      </c>
    </row>
    <row r="4049">
      <c r="A4049" s="3">
        <v>6.969976946947E12</v>
      </c>
      <c r="B4049" s="2" t="s">
        <v>16295</v>
      </c>
      <c r="C4049" s="2" t="s">
        <v>15761</v>
      </c>
      <c r="D4049" s="169">
        <v>46107.0</v>
      </c>
      <c r="E4049" s="173" t="s">
        <v>16296</v>
      </c>
      <c r="F4049" s="2" t="s">
        <v>16297</v>
      </c>
      <c r="G4049" s="2" t="s">
        <v>541</v>
      </c>
      <c r="H4049" s="2">
        <v>249.0</v>
      </c>
      <c r="I4049" s="2">
        <v>2.9120050022975E13</v>
      </c>
      <c r="J4049" s="3">
        <v>0.0</v>
      </c>
      <c r="K4049" s="2" t="s">
        <v>14449</v>
      </c>
      <c r="L4049" s="2"/>
      <c r="M4049" s="170" t="s">
        <v>455</v>
      </c>
      <c r="N4049" s="2" t="s">
        <v>406</v>
      </c>
      <c r="O4049" s="3"/>
      <c r="P4049" s="2" t="s">
        <v>73</v>
      </c>
      <c r="Q4049" s="3">
        <v>0.0</v>
      </c>
      <c r="R4049" s="3">
        <v>0.5</v>
      </c>
      <c r="U4049" s="141"/>
      <c r="W4049" s="3">
        <v>220.98</v>
      </c>
      <c r="X4049" s="172">
        <v>46126.08106460648</v>
      </c>
      <c r="Y4049" s="172">
        <v>46107.85214011574</v>
      </c>
      <c r="Z4049" s="3">
        <v>46107.0</v>
      </c>
      <c r="AA4049" s="2" t="s">
        <v>14032</v>
      </c>
    </row>
    <row r="4050">
      <c r="A4050" s="3">
        <v>6.970068893955E12</v>
      </c>
      <c r="B4050" s="2" t="s">
        <v>16298</v>
      </c>
      <c r="C4050" s="2" t="s">
        <v>16299</v>
      </c>
      <c r="D4050" s="169">
        <v>46107.0</v>
      </c>
      <c r="E4050" s="2">
        <v>3.018648447E9</v>
      </c>
      <c r="F4050" s="2" t="s">
        <v>16300</v>
      </c>
      <c r="G4050" s="2" t="s">
        <v>855</v>
      </c>
      <c r="H4050" s="2">
        <v>3348.0</v>
      </c>
      <c r="I4050" s="2">
        <v>2.6120050022974E13</v>
      </c>
      <c r="J4050" s="3">
        <v>2.0</v>
      </c>
      <c r="K4050" s="2" t="s">
        <v>16301</v>
      </c>
      <c r="L4050" s="2" t="s">
        <v>22</v>
      </c>
      <c r="M4050" s="2" t="s">
        <v>409</v>
      </c>
      <c r="N4050" s="2" t="s">
        <v>462</v>
      </c>
      <c r="O4050" s="3"/>
      <c r="P4050" s="2" t="s">
        <v>73</v>
      </c>
      <c r="Q4050" s="3">
        <v>800.0</v>
      </c>
      <c r="R4050" s="3">
        <v>0.5</v>
      </c>
      <c r="T4050" s="2" t="s">
        <v>14037</v>
      </c>
      <c r="U4050" s="171">
        <v>3348.0</v>
      </c>
      <c r="V4050" s="172">
        <v>46112.0</v>
      </c>
      <c r="W4050" s="3">
        <v>355.0</v>
      </c>
      <c r="X4050" s="172">
        <v>46111.66625840278</v>
      </c>
      <c r="Y4050" s="172">
        <v>46107.8938096875</v>
      </c>
      <c r="Z4050" s="3">
        <v>46107.0</v>
      </c>
      <c r="AA4050" s="2" t="s">
        <v>14032</v>
      </c>
    </row>
    <row r="4051">
      <c r="A4051" s="3">
        <v>6.970089275651E12</v>
      </c>
      <c r="B4051" s="2" t="s">
        <v>16302</v>
      </c>
      <c r="C4051" s="2" t="s">
        <v>225</v>
      </c>
      <c r="D4051" s="169">
        <v>46107.0</v>
      </c>
      <c r="E4051" s="2">
        <v>3.703524409E9</v>
      </c>
      <c r="F4051" s="2" t="s">
        <v>16303</v>
      </c>
      <c r="G4051" s="2" t="s">
        <v>672</v>
      </c>
      <c r="H4051" s="2">
        <v>3348.0</v>
      </c>
      <c r="I4051" s="2">
        <v>2.2120050023206E13</v>
      </c>
      <c r="J4051" s="3">
        <v>2.0</v>
      </c>
      <c r="K4051" s="2" t="s">
        <v>227</v>
      </c>
      <c r="L4051" s="2" t="s">
        <v>228</v>
      </c>
      <c r="M4051" s="2" t="s">
        <v>15124</v>
      </c>
      <c r="N4051" s="2" t="s">
        <v>406</v>
      </c>
      <c r="O4051" s="3"/>
      <c r="P4051" s="2" t="s">
        <v>73</v>
      </c>
      <c r="Q4051" s="3">
        <v>720.0</v>
      </c>
      <c r="R4051" s="3">
        <v>0.5</v>
      </c>
      <c r="U4051" s="141"/>
      <c r="X4051" s="172">
        <v>46128.08098525463</v>
      </c>
      <c r="Y4051" s="172">
        <v>46107.935438437504</v>
      </c>
      <c r="Z4051" s="3">
        <v>46107.0</v>
      </c>
      <c r="AA4051" s="2" t="s">
        <v>14053</v>
      </c>
    </row>
    <row r="4052">
      <c r="A4052" s="3">
        <v>6.970170540291E12</v>
      </c>
      <c r="B4052" s="2" t="s">
        <v>16304</v>
      </c>
      <c r="C4052" s="2" t="s">
        <v>13067</v>
      </c>
      <c r="D4052" s="169">
        <v>46107.0</v>
      </c>
      <c r="E4052" s="2">
        <v>3.415155112E9</v>
      </c>
      <c r="F4052" s="2" t="s">
        <v>16305</v>
      </c>
      <c r="G4052" s="2" t="s">
        <v>16306</v>
      </c>
      <c r="H4052" s="2">
        <v>3348.0</v>
      </c>
      <c r="I4052" s="2">
        <v>2.6120050022973E13</v>
      </c>
      <c r="J4052" s="3">
        <v>2.0</v>
      </c>
      <c r="K4052" s="2" t="s">
        <v>13839</v>
      </c>
      <c r="L4052" s="2" t="s">
        <v>40</v>
      </c>
      <c r="M4052" s="2" t="s">
        <v>409</v>
      </c>
      <c r="N4052" s="2" t="s">
        <v>462</v>
      </c>
      <c r="O4052" s="3"/>
      <c r="P4052" s="2" t="s">
        <v>73</v>
      </c>
      <c r="Q4052" s="3">
        <v>720.0</v>
      </c>
      <c r="R4052" s="3">
        <v>0.5</v>
      </c>
      <c r="T4052" s="2" t="s">
        <v>12503</v>
      </c>
      <c r="U4052" s="171">
        <v>3348.0</v>
      </c>
      <c r="V4052" s="172">
        <v>46115.0</v>
      </c>
      <c r="W4052" s="3">
        <v>369.63</v>
      </c>
      <c r="X4052" s="172">
        <v>46113.541195196754</v>
      </c>
      <c r="Y4052" s="172">
        <v>46107.935438437504</v>
      </c>
      <c r="Z4052" s="3">
        <v>46107.0</v>
      </c>
      <c r="AA4052" s="2" t="s">
        <v>14022</v>
      </c>
    </row>
    <row r="4053">
      <c r="A4053" s="3">
        <v>6.970283524355E12</v>
      </c>
      <c r="B4053" s="2" t="s">
        <v>16307</v>
      </c>
      <c r="C4053" s="2" t="s">
        <v>264</v>
      </c>
      <c r="D4053" s="169">
        <v>46107.0</v>
      </c>
      <c r="E4053" s="2">
        <v>3.1570342E9</v>
      </c>
      <c r="F4053" s="2" t="s">
        <v>16308</v>
      </c>
      <c r="G4053" s="2" t="s">
        <v>3305</v>
      </c>
      <c r="H4053" s="2">
        <v>3347.0</v>
      </c>
      <c r="I4053" s="2">
        <v>2.1120050022972E13</v>
      </c>
      <c r="J4053" s="3">
        <v>2.0</v>
      </c>
      <c r="K4053" s="2" t="s">
        <v>16309</v>
      </c>
      <c r="L4053" s="2" t="s">
        <v>16310</v>
      </c>
      <c r="M4053" s="2" t="s">
        <v>409</v>
      </c>
      <c r="N4053" s="2" t="s">
        <v>462</v>
      </c>
      <c r="O4053" s="3"/>
      <c r="P4053" s="2" t="s">
        <v>73</v>
      </c>
      <c r="Q4053" s="3">
        <v>800.0</v>
      </c>
      <c r="R4053" s="3">
        <v>0.5</v>
      </c>
      <c r="T4053" s="2" t="s">
        <v>12503</v>
      </c>
      <c r="U4053" s="171">
        <v>3347.0</v>
      </c>
      <c r="V4053" s="172">
        <v>46115.0</v>
      </c>
      <c r="W4053" s="3">
        <v>354.86</v>
      </c>
      <c r="X4053" s="172">
        <v>46113.83360939815</v>
      </c>
      <c r="Y4053" s="172">
        <v>46108.01877383102</v>
      </c>
      <c r="Z4053" s="3">
        <v>46107.0</v>
      </c>
      <c r="AA4053" s="2" t="s">
        <v>14032</v>
      </c>
    </row>
    <row r="4054">
      <c r="A4054" s="3">
        <v>6.970419642627E12</v>
      </c>
      <c r="B4054" s="2" t="s">
        <v>16311</v>
      </c>
      <c r="C4054" s="2" t="s">
        <v>16312</v>
      </c>
      <c r="D4054" s="169">
        <v>46108.0</v>
      </c>
      <c r="E4054" s="2">
        <v>3.357867766E9</v>
      </c>
      <c r="F4054" s="2" t="s">
        <v>16313</v>
      </c>
      <c r="G4054" s="2" t="s">
        <v>506</v>
      </c>
      <c r="H4054" s="2">
        <v>3348.0</v>
      </c>
      <c r="I4054" s="2">
        <v>2.7120050023469E13</v>
      </c>
      <c r="J4054" s="3">
        <v>2.0</v>
      </c>
      <c r="K4054" s="2" t="s">
        <v>15277</v>
      </c>
      <c r="L4054" s="2" t="s">
        <v>40</v>
      </c>
      <c r="M4054" s="2" t="s">
        <v>409</v>
      </c>
      <c r="N4054" s="2" t="s">
        <v>462</v>
      </c>
      <c r="O4054" s="3"/>
      <c r="P4054" s="2" t="s">
        <v>73</v>
      </c>
      <c r="Q4054" s="3">
        <v>720.0</v>
      </c>
      <c r="R4054" s="3">
        <v>0.5</v>
      </c>
      <c r="T4054" s="2" t="s">
        <v>15278</v>
      </c>
      <c r="U4054" s="171">
        <v>3348.0</v>
      </c>
      <c r="V4054" s="172">
        <v>46126.0</v>
      </c>
      <c r="W4054" s="3">
        <v>375.78</v>
      </c>
      <c r="X4054" s="172">
        <v>46125.08097106482</v>
      </c>
      <c r="Y4054" s="172">
        <v>46108.10210488426</v>
      </c>
      <c r="Z4054" s="3">
        <v>46108.0</v>
      </c>
      <c r="AA4054" s="2" t="s">
        <v>14053</v>
      </c>
    </row>
    <row r="4055">
      <c r="A4055" s="3">
        <v>6.970448969987E12</v>
      </c>
      <c r="B4055" s="2" t="s">
        <v>16314</v>
      </c>
      <c r="C4055" s="2" t="s">
        <v>16315</v>
      </c>
      <c r="D4055" s="169">
        <v>46108.0</v>
      </c>
      <c r="E4055" s="2">
        <v>3.117995655E9</v>
      </c>
      <c r="F4055" s="2" t="s">
        <v>16316</v>
      </c>
      <c r="G4055" s="2" t="s">
        <v>688</v>
      </c>
      <c r="H4055" s="2">
        <v>0.0</v>
      </c>
      <c r="J4055" s="3">
        <v>0.0</v>
      </c>
      <c r="K4055" s="2" t="s">
        <v>7954</v>
      </c>
      <c r="L4055" s="2"/>
      <c r="M4055" s="2" t="s">
        <v>468</v>
      </c>
      <c r="N4055" s="2" t="s">
        <v>406</v>
      </c>
      <c r="O4055" s="3"/>
      <c r="Q4055" s="3">
        <v>0.0</v>
      </c>
      <c r="R4055" s="3">
        <v>0.5</v>
      </c>
      <c r="U4055" s="141"/>
      <c r="X4055" s="172"/>
      <c r="Y4055" s="172">
        <v>46108.102104895836</v>
      </c>
      <c r="Z4055" s="3">
        <v>46108.0</v>
      </c>
      <c r="AA4055" s="2" t="s">
        <v>14053</v>
      </c>
    </row>
    <row r="4056">
      <c r="A4056" s="3">
        <v>6.970452246787E12</v>
      </c>
      <c r="B4056" s="2" t="s">
        <v>16317</v>
      </c>
      <c r="C4056" s="2" t="s">
        <v>16315</v>
      </c>
      <c r="D4056" s="169">
        <v>46108.0</v>
      </c>
      <c r="E4056" s="173" t="s">
        <v>16318</v>
      </c>
      <c r="F4056" s="2" t="s">
        <v>16316</v>
      </c>
      <c r="G4056" s="2" t="s">
        <v>688</v>
      </c>
      <c r="H4056" s="2">
        <v>4947.0</v>
      </c>
      <c r="I4056" s="2">
        <v>2.7120050022966E13</v>
      </c>
      <c r="J4056" s="3">
        <v>3.0</v>
      </c>
      <c r="K4056" s="2" t="s">
        <v>16319</v>
      </c>
      <c r="L4056" s="2" t="s">
        <v>16320</v>
      </c>
      <c r="M4056" s="2" t="s">
        <v>409</v>
      </c>
      <c r="N4056" s="2" t="s">
        <v>462</v>
      </c>
      <c r="O4056" s="3"/>
      <c r="P4056" s="2" t="s">
        <v>73</v>
      </c>
      <c r="Q4056" s="3">
        <v>1370.0</v>
      </c>
      <c r="R4056" s="3">
        <v>0.5</v>
      </c>
      <c r="T4056" s="2" t="s">
        <v>15010</v>
      </c>
      <c r="U4056" s="171">
        <v>4947.0</v>
      </c>
      <c r="V4056" s="172">
        <v>46119.0</v>
      </c>
      <c r="W4056" s="3">
        <v>440.96</v>
      </c>
      <c r="X4056" s="172">
        <v>46115.77097033565</v>
      </c>
      <c r="Y4056" s="172">
        <v>46108.102104895836</v>
      </c>
      <c r="Z4056" s="3">
        <v>46108.0</v>
      </c>
      <c r="AA4056" s="2" t="s">
        <v>14053</v>
      </c>
    </row>
    <row r="4057">
      <c r="A4057" s="3">
        <v>6.970493927683E12</v>
      </c>
      <c r="B4057" s="2" t="s">
        <v>16321</v>
      </c>
      <c r="C4057" s="2" t="s">
        <v>16322</v>
      </c>
      <c r="D4057" s="169">
        <v>46108.0</v>
      </c>
      <c r="E4057" s="2">
        <v>3.219434747E9</v>
      </c>
      <c r="F4057" s="2" t="s">
        <v>16323</v>
      </c>
      <c r="G4057" s="2" t="s">
        <v>368</v>
      </c>
      <c r="H4057" s="2">
        <v>249.0</v>
      </c>
      <c r="I4057" s="2">
        <v>2.9120050022965E13</v>
      </c>
      <c r="J4057" s="3">
        <v>0.0</v>
      </c>
      <c r="K4057" s="2" t="s">
        <v>14604</v>
      </c>
      <c r="L4057" s="2"/>
      <c r="M4057" s="170" t="s">
        <v>455</v>
      </c>
      <c r="N4057" s="2" t="s">
        <v>406</v>
      </c>
      <c r="O4057" s="3"/>
      <c r="P4057" s="2" t="s">
        <v>73</v>
      </c>
      <c r="Q4057" s="3">
        <v>0.0</v>
      </c>
      <c r="R4057" s="3">
        <v>0.5</v>
      </c>
      <c r="U4057" s="141"/>
      <c r="W4057" s="3">
        <v>117.86</v>
      </c>
      <c r="X4057" s="172">
        <v>46119.08109744213</v>
      </c>
      <c r="Y4057" s="172">
        <v>46108.14375011574</v>
      </c>
      <c r="Z4057" s="3">
        <v>46108.0</v>
      </c>
      <c r="AA4057" s="2" t="s">
        <v>14103</v>
      </c>
    </row>
    <row r="4058">
      <c r="A4058" s="3">
        <v>6.970516111619E12</v>
      </c>
      <c r="B4058" s="2" t="s">
        <v>16324</v>
      </c>
      <c r="C4058" s="2" t="s">
        <v>3690</v>
      </c>
      <c r="D4058" s="169">
        <v>46108.0</v>
      </c>
      <c r="E4058" s="2">
        <v>3.014659841E9</v>
      </c>
      <c r="F4058" s="2" t="s">
        <v>16325</v>
      </c>
      <c r="G4058" s="2" t="s">
        <v>368</v>
      </c>
      <c r="H4058" s="2">
        <v>249.0</v>
      </c>
      <c r="I4058" s="2">
        <v>2.7120050022964E13</v>
      </c>
      <c r="J4058" s="3">
        <v>0.0</v>
      </c>
      <c r="K4058" s="2" t="s">
        <v>16326</v>
      </c>
      <c r="L4058" s="2"/>
      <c r="M4058" s="170" t="s">
        <v>455</v>
      </c>
      <c r="N4058" s="2" t="s">
        <v>406</v>
      </c>
      <c r="O4058" s="3"/>
      <c r="P4058" s="2" t="s">
        <v>73</v>
      </c>
      <c r="Q4058" s="3">
        <v>0.0</v>
      </c>
      <c r="R4058" s="3">
        <v>0.5</v>
      </c>
      <c r="U4058" s="141"/>
      <c r="W4058" s="3">
        <v>117.86</v>
      </c>
      <c r="X4058" s="172">
        <v>46116.874484201384</v>
      </c>
      <c r="Y4058" s="172">
        <v>46108.18542978009</v>
      </c>
      <c r="Z4058" s="3">
        <v>46108.0</v>
      </c>
      <c r="AA4058" s="2" t="s">
        <v>14053</v>
      </c>
    </row>
    <row r="4059">
      <c r="A4059" s="3">
        <v>6.970536820995E12</v>
      </c>
      <c r="B4059" s="2" t="s">
        <v>16327</v>
      </c>
      <c r="C4059" s="2" t="s">
        <v>15659</v>
      </c>
      <c r="D4059" s="169">
        <v>46108.0</v>
      </c>
      <c r="E4059" s="2">
        <v>3.218655216E9</v>
      </c>
      <c r="F4059" s="2" t="s">
        <v>15660</v>
      </c>
      <c r="G4059" s="2" t="s">
        <v>374</v>
      </c>
      <c r="H4059" s="2">
        <v>3099.0</v>
      </c>
      <c r="I4059" s="2">
        <v>2.9120050023039E13</v>
      </c>
      <c r="J4059" s="3">
        <v>2.0</v>
      </c>
      <c r="K4059" s="2" t="s">
        <v>16040</v>
      </c>
      <c r="L4059" s="2" t="s">
        <v>35</v>
      </c>
      <c r="M4059" s="2" t="s">
        <v>409</v>
      </c>
      <c r="N4059" s="2" t="s">
        <v>462</v>
      </c>
      <c r="O4059" s="3"/>
      <c r="P4059" s="2" t="s">
        <v>73</v>
      </c>
      <c r="Q4059" s="3">
        <v>980.0</v>
      </c>
      <c r="R4059" s="3">
        <v>0.5</v>
      </c>
      <c r="T4059" s="2" t="s">
        <v>14037</v>
      </c>
      <c r="U4059" s="171">
        <v>3099.0</v>
      </c>
      <c r="V4059" s="172">
        <v>46112.0</v>
      </c>
      <c r="W4059" s="3">
        <v>345.0</v>
      </c>
      <c r="X4059" s="172">
        <v>46111.771067905094</v>
      </c>
      <c r="Y4059" s="172">
        <v>46108.18542978009</v>
      </c>
      <c r="Z4059" s="3">
        <v>46108.0</v>
      </c>
      <c r="AA4059" s="2" t="s">
        <v>14032</v>
      </c>
    </row>
    <row r="4060">
      <c r="A4060" s="3">
        <v>6.970615070979E12</v>
      </c>
      <c r="B4060" s="2" t="s">
        <v>16328</v>
      </c>
      <c r="C4060" s="2" t="s">
        <v>16329</v>
      </c>
      <c r="D4060" s="169">
        <v>46108.0</v>
      </c>
      <c r="E4060" s="2">
        <v>3.000615221E9</v>
      </c>
      <c r="F4060" s="2" t="s">
        <v>16330</v>
      </c>
      <c r="G4060" s="2" t="s">
        <v>16331</v>
      </c>
      <c r="H4060" s="2">
        <v>3348.0</v>
      </c>
      <c r="I4060" s="2">
        <v>2.2120050022971E13</v>
      </c>
      <c r="J4060" s="3">
        <v>2.0</v>
      </c>
      <c r="K4060" s="2" t="s">
        <v>14036</v>
      </c>
      <c r="L4060" s="2" t="s">
        <v>296</v>
      </c>
      <c r="M4060" s="2" t="s">
        <v>409</v>
      </c>
      <c r="N4060" s="2" t="s">
        <v>462</v>
      </c>
      <c r="O4060" s="3"/>
      <c r="P4060" s="2" t="s">
        <v>73</v>
      </c>
      <c r="Q4060" s="3">
        <v>720.0</v>
      </c>
      <c r="R4060" s="3">
        <v>0.5</v>
      </c>
      <c r="T4060" s="2" t="s">
        <v>14037</v>
      </c>
      <c r="U4060" s="171">
        <v>3348.0</v>
      </c>
      <c r="V4060" s="172">
        <v>46112.0</v>
      </c>
      <c r="W4060" s="3">
        <v>355.0</v>
      </c>
      <c r="X4060" s="172">
        <v>46111.666304872684</v>
      </c>
      <c r="Y4060" s="172">
        <v>46108.22710502315</v>
      </c>
      <c r="Z4060" s="3">
        <v>46108.0</v>
      </c>
      <c r="AA4060" s="2" t="s">
        <v>14032</v>
      </c>
    </row>
    <row r="4061">
      <c r="A4061" s="3">
        <v>6.970637123843E12</v>
      </c>
      <c r="B4061" s="2" t="s">
        <v>16332</v>
      </c>
      <c r="C4061" s="2" t="s">
        <v>13921</v>
      </c>
      <c r="D4061" s="169">
        <v>46108.0</v>
      </c>
      <c r="E4061" s="173" t="s">
        <v>13922</v>
      </c>
      <c r="F4061" s="2" t="s">
        <v>16333</v>
      </c>
      <c r="G4061" s="2" t="s">
        <v>368</v>
      </c>
      <c r="H4061" s="2">
        <v>3348.0</v>
      </c>
      <c r="I4061" s="2">
        <v>2.9120050022988E13</v>
      </c>
      <c r="J4061" s="3">
        <v>2.0</v>
      </c>
      <c r="K4061" s="2" t="s">
        <v>14411</v>
      </c>
      <c r="L4061" s="2" t="s">
        <v>13413</v>
      </c>
      <c r="M4061" s="2" t="s">
        <v>409</v>
      </c>
      <c r="N4061" s="2" t="s">
        <v>462</v>
      </c>
      <c r="O4061" s="3"/>
      <c r="P4061" s="2" t="s">
        <v>73</v>
      </c>
      <c r="Q4061" s="3">
        <v>800.0</v>
      </c>
      <c r="R4061" s="3">
        <v>0.5</v>
      </c>
      <c r="T4061" s="2" t="s">
        <v>14037</v>
      </c>
      <c r="U4061" s="171">
        <v>3348.0</v>
      </c>
      <c r="V4061" s="172">
        <v>46112.0</v>
      </c>
      <c r="W4061" s="3">
        <v>252.0</v>
      </c>
      <c r="X4061" s="172">
        <v>46111.77106791666</v>
      </c>
      <c r="Y4061" s="172">
        <v>46108.26875275463</v>
      </c>
      <c r="Z4061" s="3">
        <v>46108.0</v>
      </c>
      <c r="AA4061" s="2" t="s">
        <v>14053</v>
      </c>
    </row>
    <row r="4062">
      <c r="A4062" s="3">
        <v>6.970658128131E12</v>
      </c>
      <c r="B4062" s="2" t="s">
        <v>16334</v>
      </c>
      <c r="C4062" s="2" t="s">
        <v>14564</v>
      </c>
      <c r="D4062" s="169">
        <v>46108.0</v>
      </c>
      <c r="E4062" s="173" t="s">
        <v>16335</v>
      </c>
      <c r="F4062" s="2" t="s">
        <v>16336</v>
      </c>
      <c r="G4062" s="2" t="s">
        <v>2675</v>
      </c>
      <c r="H4062" s="2">
        <v>249.0</v>
      </c>
      <c r="I4062" s="2">
        <v>2.1120050022963E13</v>
      </c>
      <c r="J4062" s="3">
        <v>0.0</v>
      </c>
      <c r="K4062" s="2" t="s">
        <v>14036</v>
      </c>
      <c r="L4062" s="2"/>
      <c r="M4062" s="2" t="s">
        <v>409</v>
      </c>
      <c r="N4062" s="2" t="s">
        <v>406</v>
      </c>
      <c r="O4062" s="3"/>
      <c r="P4062" s="2" t="s">
        <v>73</v>
      </c>
      <c r="Q4062" s="3">
        <v>0.0</v>
      </c>
      <c r="R4062" s="3">
        <v>0.5</v>
      </c>
      <c r="T4062" s="2" t="s">
        <v>14037</v>
      </c>
      <c r="U4062" s="171">
        <v>249.0</v>
      </c>
      <c r="V4062" s="172">
        <v>46112.0</v>
      </c>
      <c r="W4062" s="3">
        <v>355.0</v>
      </c>
      <c r="X4062" s="172">
        <v>46109.6244687037</v>
      </c>
      <c r="Y4062" s="172">
        <v>46108.26875275463</v>
      </c>
      <c r="Z4062" s="3">
        <v>46108.0</v>
      </c>
      <c r="AA4062" s="2" t="s">
        <v>14032</v>
      </c>
    </row>
    <row r="4063">
      <c r="A4063" s="3">
        <v>6.970948813059E12</v>
      </c>
      <c r="B4063" s="2" t="s">
        <v>16337</v>
      </c>
      <c r="C4063" s="2" t="s">
        <v>16338</v>
      </c>
      <c r="D4063" s="169">
        <v>46108.0</v>
      </c>
      <c r="E4063" s="173" t="s">
        <v>16339</v>
      </c>
      <c r="F4063" s="2" t="s">
        <v>16340</v>
      </c>
      <c r="G4063" s="2" t="s">
        <v>1498</v>
      </c>
      <c r="H4063" s="2">
        <v>249.0</v>
      </c>
      <c r="I4063" s="2">
        <v>2.4120050022962E13</v>
      </c>
      <c r="J4063" s="3">
        <v>0.0</v>
      </c>
      <c r="K4063" s="2" t="s">
        <v>14582</v>
      </c>
      <c r="L4063" s="2"/>
      <c r="M4063" s="170" t="s">
        <v>455</v>
      </c>
      <c r="N4063" s="2" t="s">
        <v>406</v>
      </c>
      <c r="O4063" s="3"/>
      <c r="P4063" s="2" t="s">
        <v>73</v>
      </c>
      <c r="Q4063" s="3">
        <v>0.0</v>
      </c>
      <c r="R4063" s="3">
        <v>0.5</v>
      </c>
      <c r="U4063" s="141"/>
      <c r="W4063" s="3">
        <v>235.70999999999998</v>
      </c>
      <c r="X4063" s="172">
        <v>46120.081071469904</v>
      </c>
      <c r="Y4063" s="172">
        <v>46108.51876559028</v>
      </c>
      <c r="Z4063" s="3">
        <v>46108.0</v>
      </c>
      <c r="AA4063" s="2" t="s">
        <v>14032</v>
      </c>
    </row>
    <row r="4064">
      <c r="A4064" s="3">
        <v>6.970974273795E12</v>
      </c>
      <c r="B4064" s="2" t="s">
        <v>16341</v>
      </c>
      <c r="C4064" s="2" t="s">
        <v>14280</v>
      </c>
      <c r="D4064" s="169">
        <v>46108.0</v>
      </c>
      <c r="E4064" s="173" t="s">
        <v>14281</v>
      </c>
      <c r="F4064" s="2" t="s">
        <v>14282</v>
      </c>
      <c r="G4064" s="2" t="s">
        <v>368</v>
      </c>
      <c r="H4064" s="2">
        <v>3100.0</v>
      </c>
      <c r="I4064" s="2" t="s">
        <v>16342</v>
      </c>
      <c r="J4064" s="3">
        <v>2.0</v>
      </c>
      <c r="K4064" s="2" t="s">
        <v>16343</v>
      </c>
      <c r="L4064" s="2" t="s">
        <v>16344</v>
      </c>
      <c r="M4064" s="2" t="s">
        <v>409</v>
      </c>
      <c r="N4064" s="2" t="s">
        <v>406</v>
      </c>
      <c r="O4064" s="3"/>
      <c r="P4064" s="2"/>
      <c r="Q4064" s="3">
        <v>800.0</v>
      </c>
      <c r="R4064" s="3">
        <v>0.5</v>
      </c>
      <c r="U4064" s="141"/>
      <c r="X4064" s="172"/>
      <c r="Y4064" s="172">
        <v>46108.56043247685</v>
      </c>
      <c r="Z4064" s="3">
        <v>46108.0</v>
      </c>
      <c r="AA4064" s="2" t="s">
        <v>14026</v>
      </c>
    </row>
    <row r="4065">
      <c r="A4065" s="3">
        <v>6.970982990083E12</v>
      </c>
      <c r="B4065" s="2" t="s">
        <v>16345</v>
      </c>
      <c r="C4065" s="2" t="s">
        <v>16346</v>
      </c>
      <c r="D4065" s="169">
        <v>46108.0</v>
      </c>
      <c r="E4065" s="2">
        <v>3.011232323E9</v>
      </c>
      <c r="F4065" s="2" t="s">
        <v>16347</v>
      </c>
      <c r="G4065" s="2" t="s">
        <v>368</v>
      </c>
      <c r="H4065" s="2">
        <v>0.0</v>
      </c>
      <c r="J4065" s="3">
        <v>0.0</v>
      </c>
      <c r="K4065" s="2" t="s">
        <v>7954</v>
      </c>
      <c r="L4065" s="2"/>
      <c r="M4065" s="2" t="s">
        <v>468</v>
      </c>
      <c r="N4065" s="2" t="s">
        <v>406</v>
      </c>
      <c r="O4065" s="3"/>
      <c r="Q4065" s="3">
        <v>0.0</v>
      </c>
      <c r="R4065" s="3">
        <v>0.5</v>
      </c>
      <c r="U4065" s="141"/>
      <c r="X4065" s="172"/>
      <c r="Y4065" s="172">
        <v>46108.56043247685</v>
      </c>
      <c r="Z4065" s="3">
        <v>46108.0</v>
      </c>
      <c r="AA4065" s="2" t="s">
        <v>14103</v>
      </c>
    </row>
    <row r="4066">
      <c r="A4066" s="3">
        <v>6.970995015939E12</v>
      </c>
      <c r="B4066" s="2" t="s">
        <v>16348</v>
      </c>
      <c r="C4066" s="2" t="s">
        <v>16349</v>
      </c>
      <c r="D4066" s="169">
        <v>46108.0</v>
      </c>
      <c r="E4066" s="173" t="s">
        <v>16350</v>
      </c>
      <c r="F4066" s="2" t="s">
        <v>16351</v>
      </c>
      <c r="G4066" s="2" t="s">
        <v>16352</v>
      </c>
      <c r="H4066" s="2">
        <v>2199.0</v>
      </c>
      <c r="I4066" s="2">
        <v>2.6120050022961E13</v>
      </c>
      <c r="J4066" s="3">
        <v>1.0</v>
      </c>
      <c r="K4066" s="2" t="s">
        <v>16353</v>
      </c>
      <c r="L4066" s="2" t="s">
        <v>16207</v>
      </c>
      <c r="M4066" s="2" t="s">
        <v>409</v>
      </c>
      <c r="N4066" s="2" t="s">
        <v>462</v>
      </c>
      <c r="O4066" s="3"/>
      <c r="P4066" s="2" t="s">
        <v>73</v>
      </c>
      <c r="Q4066" s="3">
        <v>400.0</v>
      </c>
      <c r="R4066" s="3">
        <v>0.5</v>
      </c>
      <c r="T4066" s="2" t="s">
        <v>14037</v>
      </c>
      <c r="U4066" s="171">
        <v>2199.0</v>
      </c>
      <c r="V4066" s="172">
        <v>46112.0</v>
      </c>
      <c r="W4066" s="3">
        <v>309.0</v>
      </c>
      <c r="X4066" s="172">
        <v>46111.666307210646</v>
      </c>
      <c r="Y4066" s="172">
        <v>46108.56043247685</v>
      </c>
      <c r="Z4066" s="3">
        <v>46108.0</v>
      </c>
      <c r="AA4066" s="2" t="s">
        <v>14026</v>
      </c>
    </row>
    <row r="4067">
      <c r="A4067" s="3">
        <v>6.970999046403E12</v>
      </c>
      <c r="B4067" s="2" t="s">
        <v>16354</v>
      </c>
      <c r="C4067" s="2" t="s">
        <v>16355</v>
      </c>
      <c r="D4067" s="169">
        <v>46108.0</v>
      </c>
      <c r="E4067" s="173" t="s">
        <v>16356</v>
      </c>
      <c r="F4067" s="2" t="s">
        <v>16357</v>
      </c>
      <c r="G4067" s="2" t="s">
        <v>374</v>
      </c>
      <c r="H4067" s="2">
        <v>0.0</v>
      </c>
      <c r="J4067" s="3">
        <v>0.0</v>
      </c>
      <c r="K4067" s="2" t="s">
        <v>16358</v>
      </c>
      <c r="L4067" s="2"/>
      <c r="M4067" s="2" t="s">
        <v>468</v>
      </c>
      <c r="N4067" s="2" t="s">
        <v>406</v>
      </c>
      <c r="O4067" s="3"/>
      <c r="Q4067" s="3">
        <v>0.0</v>
      </c>
      <c r="R4067" s="3">
        <v>0.5</v>
      </c>
      <c r="U4067" s="141"/>
      <c r="X4067" s="172"/>
      <c r="Y4067" s="172">
        <v>46108.56043247685</v>
      </c>
      <c r="Z4067" s="3">
        <v>46108.0</v>
      </c>
      <c r="AA4067" s="2" t="s">
        <v>14026</v>
      </c>
    </row>
    <row r="4068">
      <c r="A4068" s="3">
        <v>6.971000488195E12</v>
      </c>
      <c r="B4068" s="2" t="s">
        <v>16359</v>
      </c>
      <c r="C4068" s="2" t="s">
        <v>16360</v>
      </c>
      <c r="D4068" s="169">
        <v>46108.0</v>
      </c>
      <c r="E4068" s="2">
        <v>3.011232323E9</v>
      </c>
      <c r="F4068" s="2" t="s">
        <v>16361</v>
      </c>
      <c r="G4068" s="2" t="s">
        <v>16362</v>
      </c>
      <c r="H4068" s="2">
        <v>249.0</v>
      </c>
      <c r="I4068" s="2">
        <v>2.712005002296E13</v>
      </c>
      <c r="J4068" s="3">
        <v>0.0</v>
      </c>
      <c r="K4068" s="2" t="s">
        <v>16363</v>
      </c>
      <c r="L4068" s="2"/>
      <c r="M4068" s="170" t="s">
        <v>455</v>
      </c>
      <c r="N4068" s="2" t="s">
        <v>406</v>
      </c>
      <c r="O4068" s="3"/>
      <c r="P4068" s="2" t="s">
        <v>73</v>
      </c>
      <c r="Q4068" s="3">
        <v>0.0</v>
      </c>
      <c r="R4068" s="3">
        <v>0.5</v>
      </c>
      <c r="U4068" s="141"/>
      <c r="W4068" s="3">
        <v>132.59</v>
      </c>
      <c r="X4068" s="172">
        <v>46114.87457155093</v>
      </c>
      <c r="Y4068" s="172">
        <v>46108.56043247685</v>
      </c>
      <c r="Z4068" s="3">
        <v>46108.0</v>
      </c>
      <c r="AA4068" s="2" t="s">
        <v>14103</v>
      </c>
    </row>
    <row r="4069">
      <c r="A4069" s="3">
        <v>6.971011268867E12</v>
      </c>
      <c r="B4069" s="2" t="s">
        <v>16364</v>
      </c>
      <c r="C4069" s="2" t="s">
        <v>16365</v>
      </c>
      <c r="D4069" s="169">
        <v>46108.0</v>
      </c>
      <c r="E4069" s="173" t="s">
        <v>16366</v>
      </c>
      <c r="F4069" s="2" t="s">
        <v>16367</v>
      </c>
      <c r="G4069" s="2" t="s">
        <v>566</v>
      </c>
      <c r="H4069" s="2">
        <v>0.0</v>
      </c>
      <c r="I4069" s="2">
        <v>2.2120050023333E13</v>
      </c>
      <c r="J4069" s="3">
        <v>0.0</v>
      </c>
      <c r="K4069" s="2" t="s">
        <v>16368</v>
      </c>
      <c r="L4069" s="2"/>
      <c r="M4069" s="2" t="s">
        <v>468</v>
      </c>
      <c r="N4069" s="2" t="s">
        <v>406</v>
      </c>
      <c r="O4069" s="3"/>
      <c r="P4069" s="2" t="s">
        <v>73</v>
      </c>
      <c r="Q4069" s="3">
        <v>0.0</v>
      </c>
      <c r="R4069" s="3">
        <v>0.5</v>
      </c>
      <c r="U4069" s="141"/>
      <c r="X4069" s="172">
        <v>46122.081067418985</v>
      </c>
      <c r="Y4069" s="172">
        <v>46108.60211535879</v>
      </c>
      <c r="Z4069" s="3">
        <v>46108.0</v>
      </c>
      <c r="AA4069" s="2" t="s">
        <v>14103</v>
      </c>
    </row>
    <row r="4070">
      <c r="A4070" s="3">
        <v>6.971013464323E12</v>
      </c>
      <c r="B4070" s="2" t="s">
        <v>16369</v>
      </c>
      <c r="C4070" s="2" t="s">
        <v>16370</v>
      </c>
      <c r="D4070" s="169">
        <v>46108.0</v>
      </c>
      <c r="E4070" s="2">
        <v>3.00480922E9</v>
      </c>
      <c r="F4070" s="2" t="s">
        <v>16371</v>
      </c>
      <c r="G4070" s="2" t="s">
        <v>368</v>
      </c>
      <c r="H4070" s="2">
        <v>249.0</v>
      </c>
      <c r="I4070" s="2">
        <v>2.1120050023038E13</v>
      </c>
      <c r="J4070" s="3">
        <v>0.0</v>
      </c>
      <c r="K4070" s="2" t="s">
        <v>16372</v>
      </c>
      <c r="L4070" s="2"/>
      <c r="M4070" s="170" t="s">
        <v>455</v>
      </c>
      <c r="N4070" s="2" t="s">
        <v>406</v>
      </c>
      <c r="O4070" s="3"/>
      <c r="P4070" s="2" t="s">
        <v>73</v>
      </c>
      <c r="Q4070" s="3">
        <v>0.0</v>
      </c>
      <c r="R4070" s="3">
        <v>0.5</v>
      </c>
      <c r="U4070" s="141"/>
      <c r="W4070" s="3">
        <v>117.86</v>
      </c>
      <c r="X4070" s="172">
        <v>46121.08099462963</v>
      </c>
      <c r="Y4070" s="172">
        <v>46108.60211535879</v>
      </c>
      <c r="Z4070" s="3">
        <v>46108.0</v>
      </c>
      <c r="AA4070" s="2" t="s">
        <v>14032</v>
      </c>
    </row>
    <row r="4071">
      <c r="A4071" s="3">
        <v>6.971057996035E12</v>
      </c>
      <c r="B4071" s="2" t="s">
        <v>16373</v>
      </c>
      <c r="C4071" s="2" t="s">
        <v>16374</v>
      </c>
      <c r="D4071" s="169">
        <v>46108.0</v>
      </c>
      <c r="E4071" s="2">
        <v>3.28483342E9</v>
      </c>
      <c r="F4071" s="2" t="s">
        <v>16375</v>
      </c>
      <c r="G4071" s="2" t="s">
        <v>368</v>
      </c>
      <c r="H4071" s="2">
        <v>249.0</v>
      </c>
      <c r="I4071" s="2">
        <v>2.4120050023205E13</v>
      </c>
      <c r="J4071" s="3">
        <v>0.0</v>
      </c>
      <c r="K4071" s="2" t="s">
        <v>16376</v>
      </c>
      <c r="L4071" s="2"/>
      <c r="M4071" s="170" t="s">
        <v>455</v>
      </c>
      <c r="N4071" s="2" t="s">
        <v>406</v>
      </c>
      <c r="O4071" s="3"/>
      <c r="P4071" s="2" t="s">
        <v>73</v>
      </c>
      <c r="Q4071" s="3">
        <v>0.0</v>
      </c>
      <c r="R4071" s="3">
        <v>0.5</v>
      </c>
      <c r="U4071" s="141"/>
      <c r="W4071" s="3">
        <v>117.86</v>
      </c>
      <c r="X4071" s="172">
        <v>46121.080994710646</v>
      </c>
      <c r="Y4071" s="172">
        <v>46108.64376878472</v>
      </c>
      <c r="Z4071" s="3">
        <v>46108.0</v>
      </c>
      <c r="AA4071" s="2" t="s">
        <v>14041</v>
      </c>
    </row>
    <row r="4072">
      <c r="A4072" s="3">
        <v>6.971065139459E12</v>
      </c>
      <c r="B4072" s="2" t="s">
        <v>16377</v>
      </c>
      <c r="C4072" s="2" t="s">
        <v>14071</v>
      </c>
      <c r="D4072" s="169">
        <v>46108.0</v>
      </c>
      <c r="E4072" s="2">
        <v>3.004120227E9</v>
      </c>
      <c r="F4072" s="2" t="s">
        <v>16378</v>
      </c>
      <c r="G4072" s="2" t="s">
        <v>16379</v>
      </c>
      <c r="H4072" s="2">
        <v>3099.0</v>
      </c>
      <c r="I4072" s="2">
        <v>2.312005002297E13</v>
      </c>
      <c r="J4072" s="3">
        <v>2.0</v>
      </c>
      <c r="K4072" s="2" t="s">
        <v>16040</v>
      </c>
      <c r="L4072" s="2" t="s">
        <v>35</v>
      </c>
      <c r="M4072" s="2" t="s">
        <v>409</v>
      </c>
      <c r="N4072" s="2" t="s">
        <v>462</v>
      </c>
      <c r="O4072" s="3"/>
      <c r="P4072" s="2" t="s">
        <v>73</v>
      </c>
      <c r="Q4072" s="3">
        <v>980.0</v>
      </c>
      <c r="R4072" s="3">
        <v>0.5</v>
      </c>
      <c r="T4072" s="2" t="s">
        <v>14037</v>
      </c>
      <c r="U4072" s="171">
        <v>3099.0</v>
      </c>
      <c r="V4072" s="172">
        <v>46112.0</v>
      </c>
      <c r="W4072" s="3">
        <v>345.0</v>
      </c>
      <c r="X4072" s="172">
        <v>46109.91617586806</v>
      </c>
      <c r="Y4072" s="172">
        <v>46108.64376878472</v>
      </c>
      <c r="Z4072" s="3">
        <v>46108.0</v>
      </c>
      <c r="AA4072" s="2" t="s">
        <v>14053</v>
      </c>
    </row>
    <row r="4073">
      <c r="A4073" s="3">
        <v>6.971070677251E12</v>
      </c>
      <c r="B4073" s="2" t="s">
        <v>16380</v>
      </c>
      <c r="C4073" s="2" t="s">
        <v>16381</v>
      </c>
      <c r="D4073" s="169">
        <v>46108.0</v>
      </c>
      <c r="E4073" s="2">
        <v>3.457555138E9</v>
      </c>
      <c r="F4073" s="2" t="s">
        <v>16382</v>
      </c>
      <c r="G4073" s="2" t="s">
        <v>3016</v>
      </c>
      <c r="H4073" s="2">
        <v>0.0</v>
      </c>
      <c r="J4073" s="3">
        <v>0.0</v>
      </c>
      <c r="K4073" s="2" t="s">
        <v>16383</v>
      </c>
      <c r="L4073" s="2"/>
      <c r="M4073" s="2" t="s">
        <v>468</v>
      </c>
      <c r="N4073" s="2" t="s">
        <v>406</v>
      </c>
      <c r="O4073" s="3"/>
      <c r="Q4073" s="3">
        <v>0.0</v>
      </c>
      <c r="R4073" s="3">
        <v>0.5</v>
      </c>
      <c r="U4073" s="141"/>
      <c r="X4073" s="172"/>
      <c r="Y4073" s="172">
        <v>46108.64376878472</v>
      </c>
      <c r="Z4073" s="3">
        <v>46108.0</v>
      </c>
      <c r="AA4073" s="2" t="s">
        <v>14032</v>
      </c>
    </row>
    <row r="4074">
      <c r="A4074" s="3">
        <v>6.971076149507E12</v>
      </c>
      <c r="B4074" s="2" t="s">
        <v>16384</v>
      </c>
      <c r="C4074" s="2" t="s">
        <v>229</v>
      </c>
      <c r="D4074" s="169">
        <v>46108.0</v>
      </c>
      <c r="E4074" s="173" t="s">
        <v>16385</v>
      </c>
      <c r="F4074" s="2" t="s">
        <v>16386</v>
      </c>
      <c r="G4074" s="2" t="s">
        <v>3148</v>
      </c>
      <c r="H4074" s="2">
        <v>3348.0</v>
      </c>
      <c r="I4074" s="2">
        <v>2.0120050023204E13</v>
      </c>
      <c r="J4074" s="3">
        <v>2.0</v>
      </c>
      <c r="K4074" s="2" t="s">
        <v>204</v>
      </c>
      <c r="L4074" s="2" t="s">
        <v>27</v>
      </c>
      <c r="M4074" s="2" t="s">
        <v>14076</v>
      </c>
      <c r="N4074" s="2" t="s">
        <v>406</v>
      </c>
      <c r="O4074" s="3"/>
      <c r="P4074" s="2" t="s">
        <v>73</v>
      </c>
      <c r="Q4074" s="3">
        <v>720.0</v>
      </c>
      <c r="R4074" s="3">
        <v>0.5</v>
      </c>
      <c r="U4074" s="141"/>
      <c r="X4074" s="172">
        <v>46122.08106744213</v>
      </c>
      <c r="Y4074" s="172">
        <v>46108.68542945602</v>
      </c>
      <c r="Z4074" s="3">
        <v>46108.0</v>
      </c>
      <c r="AA4074" s="2" t="s">
        <v>14536</v>
      </c>
    </row>
    <row r="4075">
      <c r="A4075" s="3">
        <v>6.971108163843E12</v>
      </c>
      <c r="B4075" s="2" t="s">
        <v>16387</v>
      </c>
      <c r="C4075" s="2" t="s">
        <v>16388</v>
      </c>
      <c r="D4075" s="169">
        <v>46108.0</v>
      </c>
      <c r="E4075" s="2">
        <v>3.367974343E9</v>
      </c>
      <c r="F4075" s="2" t="s">
        <v>16389</v>
      </c>
      <c r="G4075" s="2" t="s">
        <v>506</v>
      </c>
      <c r="H4075" s="2">
        <v>3099.0</v>
      </c>
      <c r="I4075" s="2">
        <v>2.1120050023037E13</v>
      </c>
      <c r="J4075" s="3">
        <v>2.0</v>
      </c>
      <c r="K4075" s="2" t="s">
        <v>16390</v>
      </c>
      <c r="L4075" s="2" t="s">
        <v>35</v>
      </c>
      <c r="M4075" s="2" t="s">
        <v>409</v>
      </c>
      <c r="N4075" s="2" t="s">
        <v>462</v>
      </c>
      <c r="O4075" s="3"/>
      <c r="P4075" s="2" t="s">
        <v>73</v>
      </c>
      <c r="Q4075" s="3">
        <v>980.0</v>
      </c>
      <c r="R4075" s="3">
        <v>0.5</v>
      </c>
      <c r="T4075" s="2" t="s">
        <v>12503</v>
      </c>
      <c r="U4075" s="171">
        <v>3099.0</v>
      </c>
      <c r="V4075" s="172">
        <v>46115.0</v>
      </c>
      <c r="W4075" s="3">
        <v>344.94</v>
      </c>
      <c r="X4075" s="172">
        <v>46112.58308099537</v>
      </c>
      <c r="Y4075" s="172">
        <v>46108.68542945602</v>
      </c>
      <c r="Z4075" s="3">
        <v>46108.0</v>
      </c>
      <c r="AA4075" s="2" t="s">
        <v>14032</v>
      </c>
    </row>
    <row r="4076">
      <c r="A4076" s="3">
        <v>6.971116519683E12</v>
      </c>
      <c r="B4076" s="2" t="s">
        <v>16391</v>
      </c>
      <c r="C4076" s="2" t="s">
        <v>6228</v>
      </c>
      <c r="D4076" s="169">
        <v>46108.0</v>
      </c>
      <c r="E4076" s="2">
        <v>3.460319786E9</v>
      </c>
      <c r="F4076" s="2" t="s">
        <v>16392</v>
      </c>
      <c r="G4076" s="2" t="s">
        <v>368</v>
      </c>
      <c r="H4076" s="2">
        <v>249.0</v>
      </c>
      <c r="I4076" s="2">
        <v>2.2120050022969E13</v>
      </c>
      <c r="J4076" s="3">
        <v>0.0</v>
      </c>
      <c r="K4076" s="2" t="s">
        <v>16393</v>
      </c>
      <c r="L4076" s="2"/>
      <c r="M4076" s="170" t="s">
        <v>455</v>
      </c>
      <c r="N4076" s="2" t="s">
        <v>406</v>
      </c>
      <c r="O4076" s="3"/>
      <c r="P4076" s="2" t="s">
        <v>73</v>
      </c>
      <c r="Q4076" s="3">
        <v>0.0</v>
      </c>
      <c r="R4076" s="3">
        <v>0.5</v>
      </c>
      <c r="U4076" s="141"/>
      <c r="W4076" s="3">
        <v>117.86</v>
      </c>
      <c r="X4076" s="172">
        <v>46114.874572430555</v>
      </c>
      <c r="Y4076" s="172">
        <v>46108.72709777778</v>
      </c>
      <c r="Z4076" s="3">
        <v>46108.0</v>
      </c>
      <c r="AA4076" s="2" t="s">
        <v>14032</v>
      </c>
    </row>
    <row r="4077">
      <c r="A4077" s="3">
        <v>6.971128119555E12</v>
      </c>
      <c r="B4077" s="2" t="s">
        <v>16394</v>
      </c>
      <c r="C4077" s="2" t="s">
        <v>16395</v>
      </c>
      <c r="D4077" s="169">
        <v>46108.0</v>
      </c>
      <c r="E4077" s="2">
        <v>3.040252353E9</v>
      </c>
      <c r="F4077" s="2" t="s">
        <v>16396</v>
      </c>
      <c r="G4077" s="2" t="s">
        <v>506</v>
      </c>
      <c r="H4077" s="2">
        <v>0.0</v>
      </c>
      <c r="J4077" s="3">
        <v>0.0</v>
      </c>
      <c r="K4077" s="2" t="s">
        <v>16397</v>
      </c>
      <c r="L4077" s="2"/>
      <c r="M4077" s="2" t="s">
        <v>468</v>
      </c>
      <c r="N4077" s="2" t="s">
        <v>406</v>
      </c>
      <c r="O4077" s="3"/>
      <c r="Q4077" s="3">
        <v>0.0</v>
      </c>
      <c r="R4077" s="3">
        <v>0.5</v>
      </c>
      <c r="U4077" s="141"/>
      <c r="X4077" s="172"/>
      <c r="Y4077" s="172">
        <v>46108.72709777778</v>
      </c>
      <c r="Z4077" s="3">
        <v>46108.0</v>
      </c>
      <c r="AA4077" s="2" t="s">
        <v>14041</v>
      </c>
    </row>
    <row r="4078">
      <c r="A4078" s="3">
        <v>6.971129856259E12</v>
      </c>
      <c r="B4078" s="2" t="s">
        <v>16398</v>
      </c>
      <c r="C4078" s="2" t="s">
        <v>10250</v>
      </c>
      <c r="D4078" s="169">
        <v>46108.0</v>
      </c>
      <c r="E4078" s="2">
        <v>3.31816675E9</v>
      </c>
      <c r="F4078" s="2" t="s">
        <v>16399</v>
      </c>
      <c r="G4078" s="2" t="s">
        <v>5313</v>
      </c>
      <c r="H4078" s="2">
        <v>3699.0</v>
      </c>
      <c r="I4078" s="2">
        <v>2.5120050022968E13</v>
      </c>
      <c r="J4078" s="3">
        <v>4.0</v>
      </c>
      <c r="K4078" s="2" t="s">
        <v>16400</v>
      </c>
      <c r="L4078" s="2" t="s">
        <v>16401</v>
      </c>
      <c r="M4078" s="2" t="s">
        <v>409</v>
      </c>
      <c r="N4078" s="2" t="s">
        <v>462</v>
      </c>
      <c r="O4078" s="3"/>
      <c r="P4078" s="2" t="s">
        <v>73</v>
      </c>
      <c r="Q4078" s="3">
        <v>1890.0</v>
      </c>
      <c r="R4078" s="3">
        <v>0.5</v>
      </c>
      <c r="T4078" s="2" t="s">
        <v>14037</v>
      </c>
      <c r="U4078" s="171">
        <v>3699.0</v>
      </c>
      <c r="V4078" s="172">
        <v>46112.0</v>
      </c>
      <c r="W4078" s="3">
        <v>391.0</v>
      </c>
      <c r="X4078" s="172">
        <v>46110.8332797801</v>
      </c>
      <c r="Y4078" s="172">
        <v>46108.72709777778</v>
      </c>
      <c r="Z4078" s="3">
        <v>46108.0</v>
      </c>
      <c r="AA4078" s="2" t="s">
        <v>14026</v>
      </c>
    </row>
    <row r="4079">
      <c r="A4079" s="3">
        <v>6.971134673155E12</v>
      </c>
      <c r="B4079" s="2" t="s">
        <v>16402</v>
      </c>
      <c r="C4079" s="2" t="s">
        <v>13610</v>
      </c>
      <c r="D4079" s="169">
        <v>46108.0</v>
      </c>
      <c r="E4079" s="2">
        <v>3.402038146E9</v>
      </c>
      <c r="F4079" s="2" t="s">
        <v>13611</v>
      </c>
      <c r="G4079" s="2" t="s">
        <v>13612</v>
      </c>
      <c r="H4079" s="2">
        <v>5948.0</v>
      </c>
      <c r="I4079" s="2">
        <v>2.6120050022987E13</v>
      </c>
      <c r="J4079" s="3">
        <v>3.0</v>
      </c>
      <c r="K4079" s="2" t="s">
        <v>16403</v>
      </c>
      <c r="L4079" s="2" t="s">
        <v>16404</v>
      </c>
      <c r="M4079" s="2" t="s">
        <v>409</v>
      </c>
      <c r="N4079" s="2" t="s">
        <v>406</v>
      </c>
      <c r="O4079" s="3"/>
      <c r="P4079" s="2" t="s">
        <v>73</v>
      </c>
      <c r="Q4079" s="3">
        <v>2020.0</v>
      </c>
      <c r="R4079" s="3">
        <v>0.5</v>
      </c>
      <c r="T4079" s="2" t="s">
        <v>12503</v>
      </c>
      <c r="U4079" s="171">
        <v>5948.0</v>
      </c>
      <c r="V4079" s="172">
        <v>46115.0</v>
      </c>
      <c r="W4079" s="3">
        <v>480.36</v>
      </c>
      <c r="X4079" s="172">
        <v>46112.58308105324</v>
      </c>
      <c r="Y4079" s="172">
        <v>46108.72709777778</v>
      </c>
      <c r="Z4079" s="3">
        <v>46108.0</v>
      </c>
      <c r="AA4079" s="2" t="s">
        <v>14026</v>
      </c>
    </row>
    <row r="4080">
      <c r="A4080" s="3">
        <v>6.971134836995E12</v>
      </c>
      <c r="B4080" s="2" t="s">
        <v>16405</v>
      </c>
      <c r="C4080" s="2" t="s">
        <v>16406</v>
      </c>
      <c r="D4080" s="169">
        <v>46108.0</v>
      </c>
      <c r="E4080" s="2">
        <v>3.312809141E9</v>
      </c>
      <c r="F4080" s="2" t="s">
        <v>16407</v>
      </c>
      <c r="G4080" s="2" t="s">
        <v>493</v>
      </c>
      <c r="H4080" s="2">
        <v>4947.0</v>
      </c>
      <c r="I4080" s="2">
        <v>2.7120050023036E13</v>
      </c>
      <c r="J4080" s="3">
        <v>3.0</v>
      </c>
      <c r="K4080" s="2" t="s">
        <v>16408</v>
      </c>
      <c r="L4080" s="2" t="s">
        <v>16409</v>
      </c>
      <c r="M4080" s="2" t="s">
        <v>409</v>
      </c>
      <c r="N4080" s="2" t="s">
        <v>462</v>
      </c>
      <c r="O4080" s="3"/>
      <c r="P4080" s="2" t="s">
        <v>73</v>
      </c>
      <c r="Q4080" s="3">
        <v>1370.0</v>
      </c>
      <c r="R4080" s="3">
        <v>0.5</v>
      </c>
      <c r="T4080" s="2" t="s">
        <v>15356</v>
      </c>
      <c r="U4080" s="171">
        <v>4947.0</v>
      </c>
      <c r="V4080" s="172">
        <v>46122.0</v>
      </c>
      <c r="W4080" s="3">
        <v>448.32</v>
      </c>
      <c r="X4080" s="172">
        <v>46122.081067453706</v>
      </c>
      <c r="Y4080" s="172">
        <v>46108.72709777778</v>
      </c>
      <c r="Z4080" s="3">
        <v>46108.0</v>
      </c>
      <c r="AA4080" s="2" t="s">
        <v>14053</v>
      </c>
    </row>
    <row r="4081">
      <c r="A4081" s="3">
        <v>6.971173175555E12</v>
      </c>
      <c r="B4081" s="2" t="s">
        <v>16410</v>
      </c>
      <c r="C4081" s="2" t="s">
        <v>14857</v>
      </c>
      <c r="D4081" s="169">
        <v>46108.0</v>
      </c>
      <c r="E4081" s="173" t="s">
        <v>14858</v>
      </c>
      <c r="F4081" s="2" t="s">
        <v>14859</v>
      </c>
      <c r="G4081" s="2" t="s">
        <v>688</v>
      </c>
      <c r="H4081" s="2">
        <v>1899.0</v>
      </c>
      <c r="I4081" s="2">
        <v>2.6120050022986E13</v>
      </c>
      <c r="J4081" s="3">
        <v>1.0</v>
      </c>
      <c r="K4081" s="2" t="s">
        <v>16411</v>
      </c>
      <c r="L4081" s="2" t="s">
        <v>1185</v>
      </c>
      <c r="M4081" s="2" t="s">
        <v>409</v>
      </c>
      <c r="N4081" s="2" t="s">
        <v>462</v>
      </c>
      <c r="O4081" s="3"/>
      <c r="P4081" s="2" t="s">
        <v>73</v>
      </c>
      <c r="Q4081" s="3">
        <v>490.0</v>
      </c>
      <c r="R4081" s="3">
        <v>0.5</v>
      </c>
      <c r="T4081" s="2" t="s">
        <v>14037</v>
      </c>
      <c r="U4081" s="171">
        <v>1899.0</v>
      </c>
      <c r="V4081" s="172">
        <v>46112.0</v>
      </c>
      <c r="W4081" s="3">
        <v>297.0</v>
      </c>
      <c r="X4081" s="172">
        <v>46111.74966318287</v>
      </c>
      <c r="Y4081" s="172">
        <v>46108.76879444445</v>
      </c>
      <c r="Z4081" s="3">
        <v>46108.0</v>
      </c>
      <c r="AA4081" s="2" t="s">
        <v>14026</v>
      </c>
    </row>
    <row r="4082">
      <c r="A4082" s="3">
        <v>6.971240841475E12</v>
      </c>
      <c r="B4082" s="2" t="s">
        <v>16412</v>
      </c>
      <c r="C4082" s="2" t="s">
        <v>15029</v>
      </c>
      <c r="D4082" s="169">
        <v>46108.0</v>
      </c>
      <c r="E4082" s="173" t="s">
        <v>16413</v>
      </c>
      <c r="F4082" s="2" t="s">
        <v>15030</v>
      </c>
      <c r="G4082" s="2" t="s">
        <v>541</v>
      </c>
      <c r="H4082" s="2">
        <v>249.0</v>
      </c>
      <c r="I4082" s="2">
        <v>2.9120050023203E13</v>
      </c>
      <c r="J4082" s="3">
        <v>0.0</v>
      </c>
      <c r="K4082" s="2" t="s">
        <v>15031</v>
      </c>
      <c r="L4082" s="2"/>
      <c r="M4082" s="170" t="s">
        <v>455</v>
      </c>
      <c r="N4082" s="2" t="s">
        <v>406</v>
      </c>
      <c r="O4082" s="3"/>
      <c r="P4082" s="2" t="s">
        <v>73</v>
      </c>
      <c r="Q4082" s="3">
        <v>0.0</v>
      </c>
      <c r="R4082" s="3">
        <v>0.5</v>
      </c>
      <c r="U4082" s="141"/>
      <c r="W4082" s="3">
        <v>220.98</v>
      </c>
      <c r="X4082" s="172">
        <v>46122.081067465275</v>
      </c>
      <c r="Y4082" s="172">
        <v>46108.81050057871</v>
      </c>
      <c r="Z4082" s="3">
        <v>46108.0</v>
      </c>
      <c r="AA4082" s="2" t="s">
        <v>14041</v>
      </c>
    </row>
    <row r="4083">
      <c r="A4083" s="3">
        <v>6.971315847427E12</v>
      </c>
      <c r="B4083" s="2" t="s">
        <v>16414</v>
      </c>
      <c r="C4083" s="2" t="s">
        <v>16415</v>
      </c>
      <c r="D4083" s="169">
        <v>46108.0</v>
      </c>
      <c r="E4083" s="2">
        <v>3.035056151E9</v>
      </c>
      <c r="F4083" s="2" t="s">
        <v>16416</v>
      </c>
      <c r="G4083" s="2" t="s">
        <v>16417</v>
      </c>
      <c r="H4083" s="2">
        <v>3038.1</v>
      </c>
      <c r="I4083" s="2" t="s">
        <v>16418</v>
      </c>
      <c r="J4083" s="3">
        <v>2.0</v>
      </c>
      <c r="K4083" s="2" t="s">
        <v>16419</v>
      </c>
      <c r="L4083" s="2" t="s">
        <v>296</v>
      </c>
      <c r="M4083" s="2" t="s">
        <v>409</v>
      </c>
      <c r="N4083" s="2" t="s">
        <v>406</v>
      </c>
      <c r="O4083" s="3"/>
      <c r="P4083" s="2" t="s">
        <v>640</v>
      </c>
      <c r="Q4083" s="3">
        <v>720.0</v>
      </c>
      <c r="R4083" s="3">
        <v>0.5</v>
      </c>
      <c r="U4083" s="141"/>
      <c r="X4083" s="172">
        <v>46127.083326990745</v>
      </c>
      <c r="Y4083" s="172">
        <v>46108.8521146875</v>
      </c>
      <c r="Z4083" s="3">
        <v>46108.0</v>
      </c>
      <c r="AA4083" s="2" t="s">
        <v>14032</v>
      </c>
    </row>
    <row r="4084">
      <c r="A4084" s="3">
        <v>6.971326988547E12</v>
      </c>
      <c r="B4084" s="2" t="s">
        <v>16420</v>
      </c>
      <c r="C4084" s="2" t="s">
        <v>14360</v>
      </c>
      <c r="D4084" s="169">
        <v>46108.0</v>
      </c>
      <c r="E4084" s="173" t="s">
        <v>16421</v>
      </c>
      <c r="F4084" s="2" t="s">
        <v>16422</v>
      </c>
      <c r="G4084" s="2" t="s">
        <v>688</v>
      </c>
      <c r="H4084" s="2">
        <v>0.0</v>
      </c>
      <c r="I4084" s="2">
        <v>2.3120050023035E13</v>
      </c>
      <c r="J4084" s="3">
        <v>0.0</v>
      </c>
      <c r="K4084" s="2" t="s">
        <v>16423</v>
      </c>
      <c r="L4084" s="2"/>
      <c r="M4084" s="170" t="s">
        <v>455</v>
      </c>
      <c r="N4084" s="2" t="s">
        <v>406</v>
      </c>
      <c r="O4084" s="3"/>
      <c r="P4084" s="2" t="s">
        <v>73</v>
      </c>
      <c r="Q4084" s="3">
        <v>0.0</v>
      </c>
      <c r="R4084" s="3">
        <v>0.5</v>
      </c>
      <c r="U4084" s="141"/>
      <c r="W4084" s="3">
        <v>243.08</v>
      </c>
      <c r="X4084" s="172">
        <v>46121.0810315625</v>
      </c>
      <c r="Y4084" s="172">
        <v>46108.85211471065</v>
      </c>
      <c r="Z4084" s="3">
        <v>46108.0</v>
      </c>
      <c r="AA4084" s="2" t="s">
        <v>14026</v>
      </c>
    </row>
    <row r="4085">
      <c r="A4085" s="3">
        <v>6.971343274243E12</v>
      </c>
      <c r="B4085" s="2" t="s">
        <v>16424</v>
      </c>
      <c r="C4085" s="2" t="s">
        <v>16425</v>
      </c>
      <c r="D4085" s="169">
        <v>46108.0</v>
      </c>
      <c r="E4085" s="2">
        <v>3.125334445E9</v>
      </c>
      <c r="F4085" s="2" t="s">
        <v>16426</v>
      </c>
      <c r="G4085" s="2" t="s">
        <v>506</v>
      </c>
      <c r="H4085" s="2">
        <v>249.0</v>
      </c>
      <c r="I4085" s="2">
        <v>2.5120050023034E13</v>
      </c>
      <c r="J4085" s="3">
        <v>0.0</v>
      </c>
      <c r="K4085" s="2" t="s">
        <v>16427</v>
      </c>
      <c r="L4085" s="2"/>
      <c r="M4085" s="170" t="s">
        <v>455</v>
      </c>
      <c r="N4085" s="2" t="s">
        <v>406</v>
      </c>
      <c r="O4085" s="3"/>
      <c r="P4085" s="2" t="s">
        <v>73</v>
      </c>
      <c r="Q4085" s="3">
        <v>0.0</v>
      </c>
      <c r="R4085" s="3">
        <v>0.5</v>
      </c>
      <c r="U4085" s="141"/>
      <c r="W4085" s="3">
        <v>220.98</v>
      </c>
      <c r="X4085" s="172">
        <v>46121.081031574075</v>
      </c>
      <c r="Y4085" s="172">
        <v>46108.85211471065</v>
      </c>
      <c r="Z4085" s="3">
        <v>46108.0</v>
      </c>
      <c r="AA4085" s="2" t="s">
        <v>14053</v>
      </c>
    </row>
    <row r="4086">
      <c r="A4086" s="3">
        <v>6.971356807427E12</v>
      </c>
      <c r="B4086" s="2" t="s">
        <v>16428</v>
      </c>
      <c r="C4086" s="2" t="s">
        <v>16429</v>
      </c>
      <c r="D4086" s="169">
        <v>46108.0</v>
      </c>
      <c r="E4086" s="173" t="s">
        <v>16430</v>
      </c>
      <c r="F4086" s="2" t="s">
        <v>16431</v>
      </c>
      <c r="G4086" s="2" t="s">
        <v>16432</v>
      </c>
      <c r="H4086" s="2">
        <v>3000.0</v>
      </c>
      <c r="I4086" s="2" t="s">
        <v>16433</v>
      </c>
      <c r="J4086" s="3">
        <v>2.0</v>
      </c>
      <c r="K4086" s="2" t="s">
        <v>16434</v>
      </c>
      <c r="L4086" s="2" t="s">
        <v>2324</v>
      </c>
      <c r="M4086" s="2" t="s">
        <v>409</v>
      </c>
      <c r="N4086" s="2" t="s">
        <v>462</v>
      </c>
      <c r="O4086" s="3"/>
      <c r="P4086" s="2" t="s">
        <v>640</v>
      </c>
      <c r="Q4086" s="3">
        <v>720.0</v>
      </c>
      <c r="R4086" s="3">
        <v>0.5</v>
      </c>
      <c r="U4086" s="141"/>
      <c r="X4086" s="172">
        <v>46116.75071876157</v>
      </c>
      <c r="Y4086" s="172">
        <v>46108.85211471065</v>
      </c>
      <c r="Z4086" s="3">
        <v>46108.0</v>
      </c>
      <c r="AA4086" s="2" t="s">
        <v>14026</v>
      </c>
    </row>
    <row r="4087">
      <c r="A4087" s="3">
        <v>6.971375812867E12</v>
      </c>
      <c r="B4087" s="2" t="s">
        <v>16435</v>
      </c>
      <c r="C4087" s="2" t="s">
        <v>16436</v>
      </c>
      <c r="D4087" s="169">
        <v>46108.0</v>
      </c>
      <c r="E4087" s="173" t="s">
        <v>16437</v>
      </c>
      <c r="F4087" s="2" t="s">
        <v>16438</v>
      </c>
      <c r="G4087" s="2" t="s">
        <v>1619</v>
      </c>
      <c r="H4087" s="2">
        <v>3100.0</v>
      </c>
      <c r="I4087" s="2">
        <v>2.0120050023033E13</v>
      </c>
      <c r="J4087" s="3">
        <v>2.0</v>
      </c>
      <c r="K4087" s="2" t="s">
        <v>16439</v>
      </c>
      <c r="L4087" s="2" t="s">
        <v>16440</v>
      </c>
      <c r="M4087" s="2" t="s">
        <v>409</v>
      </c>
      <c r="N4087" s="2" t="s">
        <v>462</v>
      </c>
      <c r="O4087" s="3"/>
      <c r="P4087" s="2" t="s">
        <v>73</v>
      </c>
      <c r="Q4087" s="3">
        <v>720.0</v>
      </c>
      <c r="R4087" s="3">
        <v>0.5</v>
      </c>
      <c r="T4087" s="2" t="s">
        <v>15010</v>
      </c>
      <c r="U4087" s="171">
        <v>3100.0</v>
      </c>
      <c r="V4087" s="172">
        <v>46119.0</v>
      </c>
      <c r="W4087" s="3">
        <v>241.86</v>
      </c>
      <c r="X4087" s="172">
        <v>46115.582879525464</v>
      </c>
      <c r="Y4087" s="172">
        <v>46108.85211471065</v>
      </c>
      <c r="Z4087" s="3">
        <v>46108.0</v>
      </c>
      <c r="AA4087" s="2" t="s">
        <v>14026</v>
      </c>
    </row>
    <row r="4088">
      <c r="A4088" s="3">
        <v>6.971382432003E12</v>
      </c>
      <c r="B4088" s="2" t="s">
        <v>16441</v>
      </c>
      <c r="C4088" s="2" t="s">
        <v>16442</v>
      </c>
      <c r="D4088" s="169">
        <v>46108.0</v>
      </c>
      <c r="E4088" s="2">
        <v>3.247919818E9</v>
      </c>
      <c r="F4088" s="2" t="s">
        <v>16443</v>
      </c>
      <c r="G4088" s="2" t="s">
        <v>14668</v>
      </c>
      <c r="H4088" s="2">
        <v>0.0</v>
      </c>
      <c r="J4088" s="3">
        <v>0.0</v>
      </c>
      <c r="K4088" s="2" t="s">
        <v>8402</v>
      </c>
      <c r="L4088" s="2"/>
      <c r="M4088" s="2" t="s">
        <v>468</v>
      </c>
      <c r="N4088" s="2" t="s">
        <v>406</v>
      </c>
      <c r="O4088" s="3"/>
      <c r="Q4088" s="3">
        <v>0.0</v>
      </c>
      <c r="R4088" s="3">
        <v>0.5</v>
      </c>
      <c r="U4088" s="141"/>
      <c r="X4088" s="172"/>
      <c r="Y4088" s="172">
        <v>46108.85211471065</v>
      </c>
      <c r="Z4088" s="3">
        <v>46108.0</v>
      </c>
      <c r="AA4088" s="2" t="s">
        <v>14041</v>
      </c>
    </row>
    <row r="4089">
      <c r="A4089" s="3">
        <v>6.971423719683E12</v>
      </c>
      <c r="B4089" s="2" t="s">
        <v>16444</v>
      </c>
      <c r="C4089" s="2" t="s">
        <v>16445</v>
      </c>
      <c r="D4089" s="169">
        <v>46108.0</v>
      </c>
      <c r="E4089" s="2">
        <v>3.315056981E9</v>
      </c>
      <c r="F4089" s="2" t="s">
        <v>16446</v>
      </c>
      <c r="G4089" s="2" t="s">
        <v>366</v>
      </c>
      <c r="H4089" s="2">
        <v>2199.0</v>
      </c>
      <c r="I4089" s="2">
        <v>2.9120050023129E13</v>
      </c>
      <c r="J4089" s="3">
        <v>1.0</v>
      </c>
      <c r="K4089" s="2" t="s">
        <v>14520</v>
      </c>
      <c r="L4089" s="2" t="s">
        <v>16207</v>
      </c>
      <c r="M4089" s="2" t="s">
        <v>409</v>
      </c>
      <c r="N4089" s="2" t="s">
        <v>462</v>
      </c>
      <c r="O4089" s="3"/>
      <c r="P4089" s="2" t="s">
        <v>73</v>
      </c>
      <c r="Q4089" s="3">
        <v>400.0</v>
      </c>
      <c r="R4089" s="3">
        <v>0.5</v>
      </c>
      <c r="T4089" s="2" t="s">
        <v>12503</v>
      </c>
      <c r="U4089" s="171">
        <v>2199.0</v>
      </c>
      <c r="V4089" s="172">
        <v>46115.0</v>
      </c>
      <c r="W4089" s="3">
        <v>308.94</v>
      </c>
      <c r="X4089" s="172">
        <v>46114.58279508102</v>
      </c>
      <c r="Y4089" s="172">
        <v>46108.89387516204</v>
      </c>
      <c r="Z4089" s="3">
        <v>46108.0</v>
      </c>
      <c r="AA4089" s="2" t="s">
        <v>14041</v>
      </c>
    </row>
    <row r="4090">
      <c r="A4090" s="3">
        <v>6.971778433283E12</v>
      </c>
      <c r="B4090" s="2" t="s">
        <v>16447</v>
      </c>
      <c r="C4090" s="2" t="s">
        <v>231</v>
      </c>
      <c r="D4090" s="169">
        <v>46108.0</v>
      </c>
      <c r="E4090" s="2">
        <v>3.554595222E9</v>
      </c>
      <c r="F4090" s="2" t="s">
        <v>16448</v>
      </c>
      <c r="G4090" s="2" t="s">
        <v>9060</v>
      </c>
      <c r="H4090" s="2">
        <v>3348.0</v>
      </c>
      <c r="I4090" s="2" t="s">
        <v>230</v>
      </c>
      <c r="J4090" s="3">
        <v>2.0</v>
      </c>
      <c r="K4090" s="2" t="s">
        <v>233</v>
      </c>
      <c r="L4090" s="2" t="s">
        <v>234</v>
      </c>
      <c r="M4090" s="2" t="s">
        <v>16449</v>
      </c>
      <c r="N4090" s="2" t="s">
        <v>406</v>
      </c>
      <c r="O4090" s="3"/>
      <c r="P4090" s="2" t="s">
        <v>640</v>
      </c>
      <c r="Q4090" s="3">
        <v>800.0</v>
      </c>
      <c r="R4090" s="3">
        <v>0.5</v>
      </c>
      <c r="U4090" s="141"/>
      <c r="X4090" s="172">
        <v>46126.08308755787</v>
      </c>
      <c r="Y4090" s="172">
        <v>46108.89387516204</v>
      </c>
      <c r="Z4090" s="3">
        <v>46108.0</v>
      </c>
      <c r="AA4090" s="2" t="s">
        <v>14103</v>
      </c>
    </row>
    <row r="4091">
      <c r="A4091" s="3">
        <v>6.971834728707E12</v>
      </c>
      <c r="B4091" s="2" t="s">
        <v>16450</v>
      </c>
      <c r="C4091" s="2" t="s">
        <v>16451</v>
      </c>
      <c r="D4091" s="169">
        <v>46108.0</v>
      </c>
      <c r="E4091" s="2">
        <v>3.034734727E9</v>
      </c>
      <c r="F4091" s="2" t="s">
        <v>16452</v>
      </c>
      <c r="G4091" s="2" t="s">
        <v>850</v>
      </c>
      <c r="H4091" s="2">
        <v>3348.0</v>
      </c>
      <c r="I4091" s="2">
        <v>2.1120050023202E13</v>
      </c>
      <c r="J4091" s="3">
        <v>2.0</v>
      </c>
      <c r="K4091" s="2" t="s">
        <v>16453</v>
      </c>
      <c r="L4091" s="2" t="s">
        <v>1116</v>
      </c>
      <c r="M4091" s="2" t="s">
        <v>409</v>
      </c>
      <c r="N4091" s="2" t="s">
        <v>462</v>
      </c>
      <c r="O4091" s="3"/>
      <c r="P4091" s="2" t="s">
        <v>73</v>
      </c>
      <c r="Q4091" s="3">
        <v>800.0</v>
      </c>
      <c r="R4091" s="3">
        <v>0.5</v>
      </c>
      <c r="T4091" s="2" t="s">
        <v>12503</v>
      </c>
      <c r="U4091" s="171">
        <v>3348.0</v>
      </c>
      <c r="V4091" s="172">
        <v>46115.0</v>
      </c>
      <c r="W4091" s="3">
        <v>354.9</v>
      </c>
      <c r="X4091" s="172">
        <v>46114.70783090278</v>
      </c>
      <c r="Y4091" s="172">
        <v>46108.89387516204</v>
      </c>
      <c r="Z4091" s="3">
        <v>46108.0</v>
      </c>
      <c r="AA4091" s="2" t="s">
        <v>14103</v>
      </c>
    </row>
    <row r="4092">
      <c r="A4092" s="3">
        <v>6.971931951363E12</v>
      </c>
      <c r="B4092" s="2" t="s">
        <v>16454</v>
      </c>
      <c r="C4092" s="2" t="s">
        <v>16455</v>
      </c>
      <c r="D4092" s="169">
        <v>46108.0</v>
      </c>
      <c r="E4092" s="173" t="s">
        <v>16456</v>
      </c>
      <c r="F4092" s="2" t="s">
        <v>16457</v>
      </c>
      <c r="G4092" s="2" t="s">
        <v>3305</v>
      </c>
      <c r="H4092" s="2">
        <v>6798.0</v>
      </c>
      <c r="I4092" s="2">
        <v>2.9120050023201E13</v>
      </c>
      <c r="J4092" s="3">
        <v>4.0</v>
      </c>
      <c r="K4092" s="2" t="s">
        <v>16458</v>
      </c>
      <c r="L4092" s="2" t="s">
        <v>16459</v>
      </c>
      <c r="M4092" s="2" t="s">
        <v>409</v>
      </c>
      <c r="N4092" s="2" t="s">
        <v>462</v>
      </c>
      <c r="O4092" s="3"/>
      <c r="P4092" s="2" t="s">
        <v>73</v>
      </c>
      <c r="Q4092" s="3">
        <v>1930.0</v>
      </c>
      <c r="R4092" s="3">
        <v>0.5</v>
      </c>
      <c r="T4092" s="2" t="s">
        <v>15010</v>
      </c>
      <c r="U4092" s="171">
        <v>6798.0</v>
      </c>
      <c r="V4092" s="172">
        <v>46119.0</v>
      </c>
      <c r="W4092" s="3">
        <v>515.0</v>
      </c>
      <c r="X4092" s="172">
        <v>46115.77103041667</v>
      </c>
      <c r="Y4092" s="172">
        <v>46108.93541630787</v>
      </c>
      <c r="Z4092" s="3">
        <v>46108.0</v>
      </c>
      <c r="AA4092" s="2" t="s">
        <v>14103</v>
      </c>
    </row>
    <row r="4093">
      <c r="A4093" s="3">
        <v>6.972048507139E12</v>
      </c>
      <c r="B4093" s="2" t="s">
        <v>16460</v>
      </c>
      <c r="C4093" s="2" t="s">
        <v>235</v>
      </c>
      <c r="D4093" s="169">
        <v>46108.0</v>
      </c>
      <c r="E4093" s="2">
        <v>3.352360116E9</v>
      </c>
      <c r="F4093" s="2" t="s">
        <v>16461</v>
      </c>
      <c r="G4093" s="2" t="s">
        <v>366</v>
      </c>
      <c r="H4093" s="2">
        <v>11447.0</v>
      </c>
      <c r="I4093" s="2">
        <v>2.7120050023032E13</v>
      </c>
      <c r="J4093" s="3">
        <v>5.0</v>
      </c>
      <c r="K4093" s="2" t="s">
        <v>237</v>
      </c>
      <c r="L4093" s="2" t="s">
        <v>238</v>
      </c>
      <c r="M4093" s="2" t="s">
        <v>362</v>
      </c>
      <c r="N4093" s="2" t="s">
        <v>406</v>
      </c>
      <c r="O4093" s="3"/>
      <c r="P4093" s="2" t="s">
        <v>73</v>
      </c>
      <c r="Q4093" s="3">
        <v>3900.0</v>
      </c>
      <c r="R4093" s="3">
        <v>0.5</v>
      </c>
      <c r="U4093" s="141"/>
      <c r="W4093" s="3">
        <v>552.45</v>
      </c>
      <c r="X4093" s="172">
        <v>46121.08103159722</v>
      </c>
      <c r="Y4093" s="172">
        <v>46108.97709543981</v>
      </c>
      <c r="Z4093" s="3">
        <v>46108.0</v>
      </c>
      <c r="AA4093" s="2" t="s">
        <v>14053</v>
      </c>
    </row>
    <row r="4094">
      <c r="A4094" s="3">
        <v>6.972103098627E12</v>
      </c>
      <c r="B4094" s="2" t="s">
        <v>16462</v>
      </c>
      <c r="C4094" s="2" t="s">
        <v>1542</v>
      </c>
      <c r="D4094" s="169">
        <v>46108.0</v>
      </c>
      <c r="E4094" s="2">
        <v>3.084013946E9</v>
      </c>
      <c r="F4094" s="2" t="s">
        <v>16463</v>
      </c>
      <c r="G4094" s="2" t="s">
        <v>16464</v>
      </c>
      <c r="H4094" s="2">
        <v>3348.0</v>
      </c>
      <c r="I4094" s="2">
        <v>2.5120050023031E13</v>
      </c>
      <c r="J4094" s="3">
        <v>2.0</v>
      </c>
      <c r="K4094" s="2" t="s">
        <v>15950</v>
      </c>
      <c r="L4094" s="2" t="s">
        <v>228</v>
      </c>
      <c r="M4094" s="2" t="s">
        <v>409</v>
      </c>
      <c r="N4094" s="2" t="s">
        <v>462</v>
      </c>
      <c r="O4094" s="3"/>
      <c r="P4094" s="2" t="s">
        <v>73</v>
      </c>
      <c r="Q4094" s="3">
        <v>720.0</v>
      </c>
      <c r="R4094" s="3">
        <v>0.5</v>
      </c>
      <c r="T4094" s="2" t="s">
        <v>12503</v>
      </c>
      <c r="U4094" s="171">
        <v>3348.0</v>
      </c>
      <c r="V4094" s="172">
        <v>46115.0</v>
      </c>
      <c r="W4094" s="3">
        <v>354.9</v>
      </c>
      <c r="X4094" s="172">
        <v>46112.74983261574</v>
      </c>
      <c r="Y4094" s="172">
        <v>46109.01875001157</v>
      </c>
      <c r="Z4094" s="3">
        <v>46108.0</v>
      </c>
      <c r="AA4094" s="2" t="s">
        <v>14103</v>
      </c>
    </row>
    <row r="4095">
      <c r="A4095" s="3">
        <v>6.972119023875E12</v>
      </c>
      <c r="B4095" s="2" t="s">
        <v>16465</v>
      </c>
      <c r="C4095" s="2" t="s">
        <v>12792</v>
      </c>
      <c r="D4095" s="169">
        <v>46108.0</v>
      </c>
      <c r="E4095" s="2">
        <v>3.140270279E9</v>
      </c>
      <c r="F4095" s="2" t="s">
        <v>16466</v>
      </c>
      <c r="G4095" s="2" t="s">
        <v>493</v>
      </c>
      <c r="H4095" s="2">
        <v>249.0</v>
      </c>
      <c r="I4095" s="2">
        <v>2.21200500232E13</v>
      </c>
      <c r="J4095" s="3">
        <v>0.0</v>
      </c>
      <c r="K4095" s="2" t="s">
        <v>15287</v>
      </c>
      <c r="L4095" s="2"/>
      <c r="M4095" s="170" t="s">
        <v>455</v>
      </c>
      <c r="N4095" s="2" t="s">
        <v>406</v>
      </c>
      <c r="O4095" s="3"/>
      <c r="P4095" s="2" t="s">
        <v>73</v>
      </c>
      <c r="Q4095" s="3">
        <v>0.0</v>
      </c>
      <c r="R4095" s="3">
        <v>0.5</v>
      </c>
      <c r="U4095" s="141"/>
      <c r="W4095" s="3">
        <v>235.70999999999998</v>
      </c>
      <c r="X4095" s="172">
        <v>46126.081146620374</v>
      </c>
      <c r="Y4095" s="172">
        <v>46109.01875001157</v>
      </c>
      <c r="Z4095" s="3">
        <v>46108.0</v>
      </c>
      <c r="AA4095" s="2" t="s">
        <v>14032</v>
      </c>
    </row>
    <row r="4096">
      <c r="A4096" s="3">
        <v>6.972139045123E12</v>
      </c>
      <c r="B4096" s="2" t="s">
        <v>16467</v>
      </c>
      <c r="C4096" s="2" t="s">
        <v>7927</v>
      </c>
      <c r="D4096" s="169">
        <v>46109.0</v>
      </c>
      <c r="E4096" s="2">
        <v>3.432266476E9</v>
      </c>
      <c r="F4096" s="2" t="s">
        <v>16468</v>
      </c>
      <c r="G4096" s="2" t="s">
        <v>493</v>
      </c>
      <c r="H4096" s="2">
        <v>3299.0</v>
      </c>
      <c r="I4096" s="2">
        <v>2.212005002303E13</v>
      </c>
      <c r="J4096" s="3">
        <v>1.0</v>
      </c>
      <c r="K4096" s="2" t="s">
        <v>16469</v>
      </c>
      <c r="L4096" s="2" t="s">
        <v>13294</v>
      </c>
      <c r="M4096" s="2" t="s">
        <v>409</v>
      </c>
      <c r="N4096" s="2" t="s">
        <v>462</v>
      </c>
      <c r="O4096" s="3"/>
      <c r="P4096" s="2" t="s">
        <v>73</v>
      </c>
      <c r="Q4096" s="3">
        <v>1400.0</v>
      </c>
      <c r="R4096" s="3">
        <v>0.5</v>
      </c>
      <c r="T4096" s="2" t="s">
        <v>12503</v>
      </c>
      <c r="U4096" s="171">
        <v>3299.0</v>
      </c>
      <c r="V4096" s="172">
        <v>46115.0</v>
      </c>
      <c r="W4096" s="3">
        <v>367.67</v>
      </c>
      <c r="X4096" s="172">
        <v>46112.7078774074</v>
      </c>
      <c r="Y4096" s="172">
        <v>46109.01875002315</v>
      </c>
      <c r="Z4096" s="3">
        <v>46109.0</v>
      </c>
      <c r="AA4096" s="2" t="s">
        <v>14103</v>
      </c>
    </row>
    <row r="4097">
      <c r="A4097" s="3">
        <v>6.972181217539E12</v>
      </c>
      <c r="B4097" s="2" t="s">
        <v>16470</v>
      </c>
      <c r="C4097" s="2" t="s">
        <v>16471</v>
      </c>
      <c r="D4097" s="169">
        <v>46109.0</v>
      </c>
      <c r="E4097" s="2">
        <v>3.214280959E9</v>
      </c>
      <c r="F4097" s="2" t="s">
        <v>16472</v>
      </c>
      <c r="G4097" s="2" t="s">
        <v>368</v>
      </c>
      <c r="H4097" s="2">
        <v>3348.0</v>
      </c>
      <c r="I4097" s="2">
        <v>2.8120050023029E13</v>
      </c>
      <c r="J4097" s="3">
        <v>2.0</v>
      </c>
      <c r="K4097" s="2" t="s">
        <v>14497</v>
      </c>
      <c r="L4097" s="2" t="s">
        <v>50</v>
      </c>
      <c r="M4097" s="2" t="s">
        <v>409</v>
      </c>
      <c r="N4097" s="2" t="s">
        <v>462</v>
      </c>
      <c r="O4097" s="3"/>
      <c r="P4097" s="2" t="s">
        <v>73</v>
      </c>
      <c r="Q4097" s="3">
        <v>720.0</v>
      </c>
      <c r="R4097" s="3">
        <v>0.5</v>
      </c>
      <c r="T4097" s="2" t="s">
        <v>14037</v>
      </c>
      <c r="U4097" s="171">
        <v>3348.0</v>
      </c>
      <c r="V4097" s="172">
        <v>46112.0</v>
      </c>
      <c r="W4097" s="3">
        <v>252.0</v>
      </c>
      <c r="X4097" s="172">
        <v>46111.77106890046</v>
      </c>
      <c r="Y4097" s="172">
        <v>46109.06081966435</v>
      </c>
      <c r="Z4097" s="3">
        <v>46109.0</v>
      </c>
      <c r="AA4097" s="2" t="s">
        <v>14053</v>
      </c>
    </row>
    <row r="4098">
      <c r="A4098" s="3">
        <v>6.972249735427E12</v>
      </c>
      <c r="B4098" s="2" t="s">
        <v>149</v>
      </c>
      <c r="C4098" s="2" t="s">
        <v>16473</v>
      </c>
      <c r="D4098" s="169">
        <v>46109.0</v>
      </c>
      <c r="E4098" s="2">
        <v>3.008464067E9</v>
      </c>
      <c r="F4098" s="2" t="s">
        <v>16474</v>
      </c>
      <c r="G4098" s="2" t="s">
        <v>368</v>
      </c>
      <c r="H4098" s="2">
        <v>3348.0</v>
      </c>
      <c r="I4098" s="2">
        <v>2.3120050023531E13</v>
      </c>
      <c r="J4098" s="3">
        <v>2.0</v>
      </c>
      <c r="K4098" s="2" t="s">
        <v>16475</v>
      </c>
      <c r="L4098" s="2" t="s">
        <v>40</v>
      </c>
      <c r="M4098" s="2" t="s">
        <v>409</v>
      </c>
      <c r="N4098" s="2" t="s">
        <v>462</v>
      </c>
      <c r="O4098" s="3"/>
      <c r="P4098" s="2" t="s">
        <v>73</v>
      </c>
      <c r="Q4098" s="3">
        <v>720.0</v>
      </c>
      <c r="R4098" s="3">
        <v>0.5</v>
      </c>
      <c r="T4098" s="2" t="s">
        <v>72</v>
      </c>
      <c r="U4098" s="171">
        <v>3348.0</v>
      </c>
      <c r="V4098" s="172">
        <v>46129.0</v>
      </c>
      <c r="W4098" s="3">
        <v>262.90999999999997</v>
      </c>
      <c r="X4098" s="172">
        <v>46127.08096731482</v>
      </c>
      <c r="Y4098" s="172">
        <v>46109.06081966435</v>
      </c>
      <c r="Z4098" s="3">
        <v>46109.0</v>
      </c>
      <c r="AA4098" s="2" t="s">
        <v>14103</v>
      </c>
    </row>
    <row r="4099">
      <c r="A4099" s="3">
        <v>6.972377334019E12</v>
      </c>
      <c r="B4099" s="2" t="s">
        <v>16476</v>
      </c>
      <c r="C4099" s="2" t="s">
        <v>5625</v>
      </c>
      <c r="D4099" s="169">
        <v>46109.0</v>
      </c>
      <c r="E4099" s="173" t="s">
        <v>15095</v>
      </c>
      <c r="F4099" s="2" t="s">
        <v>15096</v>
      </c>
      <c r="G4099" s="2" t="s">
        <v>2725</v>
      </c>
      <c r="H4099" s="2">
        <v>0.0</v>
      </c>
      <c r="J4099" s="3">
        <v>0.0</v>
      </c>
      <c r="K4099" s="2" t="s">
        <v>7954</v>
      </c>
      <c r="L4099" s="2"/>
      <c r="M4099" s="2" t="s">
        <v>468</v>
      </c>
      <c r="N4099" s="2" t="s">
        <v>406</v>
      </c>
      <c r="O4099" s="3"/>
      <c r="Q4099" s="3">
        <v>0.0</v>
      </c>
      <c r="R4099" s="3">
        <v>0.5</v>
      </c>
      <c r="U4099" s="141"/>
      <c r="X4099" s="172"/>
      <c r="Y4099" s="172">
        <v>46109.14376155093</v>
      </c>
      <c r="Z4099" s="3">
        <v>46109.0</v>
      </c>
      <c r="AA4099" s="2" t="s">
        <v>14032</v>
      </c>
    </row>
    <row r="4100">
      <c r="A4100" s="3">
        <v>6.972384346371E12</v>
      </c>
      <c r="B4100" s="2" t="s">
        <v>16477</v>
      </c>
      <c r="C4100" s="2" t="s">
        <v>16478</v>
      </c>
      <c r="D4100" s="169">
        <v>46109.0</v>
      </c>
      <c r="E4100" s="173" t="s">
        <v>16479</v>
      </c>
      <c r="F4100" s="2" t="s">
        <v>16480</v>
      </c>
      <c r="G4100" s="2" t="s">
        <v>688</v>
      </c>
      <c r="H4100" s="2">
        <v>3348.0</v>
      </c>
      <c r="I4100" s="2">
        <v>2.7120050023027E13</v>
      </c>
      <c r="J4100" s="3">
        <v>2.0</v>
      </c>
      <c r="K4100" s="2" t="s">
        <v>14497</v>
      </c>
      <c r="L4100" s="2" t="s">
        <v>234</v>
      </c>
      <c r="M4100" s="2" t="s">
        <v>409</v>
      </c>
      <c r="N4100" s="2" t="s">
        <v>462</v>
      </c>
      <c r="O4100" s="3"/>
      <c r="P4100" s="2" t="s">
        <v>73</v>
      </c>
      <c r="Q4100" s="3">
        <v>800.0</v>
      </c>
      <c r="R4100" s="3">
        <v>0.5</v>
      </c>
      <c r="T4100" s="2" t="s">
        <v>14037</v>
      </c>
      <c r="U4100" s="171">
        <v>3348.0</v>
      </c>
      <c r="V4100" s="172">
        <v>46112.0</v>
      </c>
      <c r="W4100" s="3">
        <v>355.0</v>
      </c>
      <c r="X4100" s="172">
        <v>46111.77106918981</v>
      </c>
      <c r="Y4100" s="172">
        <v>46109.14376155093</v>
      </c>
      <c r="Z4100" s="3">
        <v>46109.0</v>
      </c>
      <c r="AA4100" s="2" t="s">
        <v>14032</v>
      </c>
    </row>
    <row r="4101">
      <c r="A4101" s="3">
        <v>6.972436316419E12</v>
      </c>
      <c r="B4101" s="2" t="s">
        <v>16481</v>
      </c>
      <c r="C4101" s="2" t="s">
        <v>16020</v>
      </c>
      <c r="D4101" s="169">
        <v>46109.0</v>
      </c>
      <c r="E4101" s="2">
        <v>3.343903978E9</v>
      </c>
      <c r="F4101" s="2" t="s">
        <v>16021</v>
      </c>
      <c r="G4101" s="2" t="s">
        <v>493</v>
      </c>
      <c r="H4101" s="2">
        <v>3348.0</v>
      </c>
      <c r="I4101" s="2">
        <v>2.8120050023199E13</v>
      </c>
      <c r="J4101" s="3">
        <v>2.0</v>
      </c>
      <c r="K4101" s="2" t="s">
        <v>15109</v>
      </c>
      <c r="L4101" s="2" t="s">
        <v>13413</v>
      </c>
      <c r="M4101" s="2" t="s">
        <v>409</v>
      </c>
      <c r="N4101" s="2" t="s">
        <v>462</v>
      </c>
      <c r="O4101" s="3"/>
      <c r="P4101" s="2" t="s">
        <v>73</v>
      </c>
      <c r="Q4101" s="3">
        <v>800.0</v>
      </c>
      <c r="R4101" s="3">
        <v>0.5</v>
      </c>
      <c r="T4101" s="2" t="s">
        <v>15010</v>
      </c>
      <c r="U4101" s="171">
        <v>3348.0</v>
      </c>
      <c r="V4101" s="172">
        <v>46119.0</v>
      </c>
      <c r="W4101" s="3">
        <v>369.62999999999994</v>
      </c>
      <c r="X4101" s="172">
        <v>46116.79104085648</v>
      </c>
      <c r="Y4101" s="172">
        <v>46109.14376155093</v>
      </c>
      <c r="Z4101" s="3">
        <v>46109.0</v>
      </c>
      <c r="AA4101" s="2" t="s">
        <v>14053</v>
      </c>
    </row>
    <row r="4102">
      <c r="A4102" s="3">
        <v>6.972442476803E12</v>
      </c>
      <c r="B4102" s="2" t="s">
        <v>16482</v>
      </c>
      <c r="C4102" s="2" t="s">
        <v>1751</v>
      </c>
      <c r="D4102" s="169">
        <v>46109.0</v>
      </c>
      <c r="E4102" s="2">
        <v>3.006981786E9</v>
      </c>
      <c r="F4102" s="2" t="s">
        <v>16483</v>
      </c>
      <c r="G4102" s="2" t="s">
        <v>898</v>
      </c>
      <c r="H4102" s="2">
        <v>6198.0</v>
      </c>
      <c r="I4102" s="2">
        <v>2.4120050023026E13</v>
      </c>
      <c r="J4102" s="3">
        <v>4.0</v>
      </c>
      <c r="K4102" s="2" t="s">
        <v>15864</v>
      </c>
      <c r="L4102" s="2" t="s">
        <v>12666</v>
      </c>
      <c r="M4102" s="2" t="s">
        <v>409</v>
      </c>
      <c r="N4102" s="2" t="s">
        <v>462</v>
      </c>
      <c r="O4102" s="3"/>
      <c r="P4102" s="2" t="s">
        <v>73</v>
      </c>
      <c r="Q4102" s="3">
        <v>1600.0</v>
      </c>
      <c r="R4102" s="3">
        <v>0.5</v>
      </c>
      <c r="T4102" s="2" t="s">
        <v>14037</v>
      </c>
      <c r="U4102" s="171">
        <v>6198.0</v>
      </c>
      <c r="V4102" s="172">
        <v>46112.0</v>
      </c>
      <c r="W4102" s="3">
        <v>491.0</v>
      </c>
      <c r="X4102" s="172">
        <v>46111.58295027778</v>
      </c>
      <c r="Y4102" s="172">
        <v>46109.1854297338</v>
      </c>
      <c r="Z4102" s="3">
        <v>46109.0</v>
      </c>
      <c r="AA4102" s="2" t="s">
        <v>14022</v>
      </c>
    </row>
    <row r="4103">
      <c r="A4103" s="3">
        <v>6.972874031363E12</v>
      </c>
      <c r="B4103" s="2" t="s">
        <v>16484</v>
      </c>
      <c r="C4103" s="2" t="s">
        <v>16485</v>
      </c>
      <c r="D4103" s="169">
        <v>46109.0</v>
      </c>
      <c r="E4103" s="2">
        <v>3.20149391E9</v>
      </c>
      <c r="F4103" s="2" t="s">
        <v>16486</v>
      </c>
      <c r="G4103" s="2" t="s">
        <v>678</v>
      </c>
      <c r="H4103" s="2">
        <v>1674.0</v>
      </c>
      <c r="I4103" s="2">
        <v>2.6120050023025E13</v>
      </c>
      <c r="J4103" s="3">
        <v>1.0</v>
      </c>
      <c r="K4103" s="2" t="s">
        <v>15443</v>
      </c>
      <c r="L4103" s="2" t="s">
        <v>1720</v>
      </c>
      <c r="M4103" s="2" t="s">
        <v>409</v>
      </c>
      <c r="N4103" s="2" t="s">
        <v>406</v>
      </c>
      <c r="O4103" s="3"/>
      <c r="P4103" s="2" t="s">
        <v>73</v>
      </c>
      <c r="Q4103" s="3">
        <v>490.0</v>
      </c>
      <c r="R4103" s="3">
        <v>0.5</v>
      </c>
      <c r="T4103" s="2" t="s">
        <v>14037</v>
      </c>
      <c r="U4103" s="171">
        <v>1674.0</v>
      </c>
      <c r="V4103" s="172">
        <v>46112.0</v>
      </c>
      <c r="W4103" s="3">
        <v>242.0</v>
      </c>
      <c r="X4103" s="172">
        <v>46111.521212569445</v>
      </c>
      <c r="Y4103" s="172">
        <v>46109.39375451389</v>
      </c>
      <c r="Z4103" s="3">
        <v>46109.0</v>
      </c>
      <c r="AA4103" s="2" t="s">
        <v>14053</v>
      </c>
    </row>
    <row r="4104">
      <c r="A4104" s="3">
        <v>6.972896444675E12</v>
      </c>
      <c r="B4104" s="2" t="s">
        <v>16487</v>
      </c>
      <c r="C4104" s="2" t="s">
        <v>16488</v>
      </c>
      <c r="D4104" s="169">
        <v>46109.0</v>
      </c>
      <c r="E4104" s="2">
        <v>3.466731316E9</v>
      </c>
      <c r="F4104" s="2" t="s">
        <v>16489</v>
      </c>
      <c r="G4104" s="2" t="s">
        <v>688</v>
      </c>
      <c r="H4104" s="2">
        <v>3099.0</v>
      </c>
      <c r="J4104" s="3">
        <v>2.0</v>
      </c>
      <c r="K4104" s="2" t="s">
        <v>7809</v>
      </c>
      <c r="L4104" s="2" t="s">
        <v>16</v>
      </c>
      <c r="M4104" s="2" t="s">
        <v>406</v>
      </c>
      <c r="N4104" s="2" t="s">
        <v>406</v>
      </c>
      <c r="O4104" s="3"/>
      <c r="Q4104" s="3">
        <v>980.0</v>
      </c>
      <c r="R4104" s="3">
        <v>0.5</v>
      </c>
      <c r="U4104" s="141"/>
      <c r="X4104" s="172"/>
      <c r="Y4104" s="172">
        <v>46109.39375451389</v>
      </c>
      <c r="Z4104" s="3">
        <v>46109.0</v>
      </c>
      <c r="AA4104" s="2" t="s">
        <v>14032</v>
      </c>
    </row>
    <row r="4105">
      <c r="A4105" s="3">
        <v>6.972919513347E12</v>
      </c>
      <c r="B4105" s="2" t="s">
        <v>16490</v>
      </c>
      <c r="C4105" s="2" t="s">
        <v>16491</v>
      </c>
      <c r="D4105" s="169">
        <v>46109.0</v>
      </c>
      <c r="E4105" s="2">
        <v>3.18712991E9</v>
      </c>
      <c r="F4105" s="2" t="s">
        <v>16492</v>
      </c>
      <c r="G4105" s="2" t="s">
        <v>2807</v>
      </c>
      <c r="H4105" s="2">
        <v>3348.0</v>
      </c>
      <c r="I4105" s="2">
        <v>2.7120050023468E13</v>
      </c>
      <c r="J4105" s="3">
        <v>2.0</v>
      </c>
      <c r="K4105" s="2" t="s">
        <v>15277</v>
      </c>
      <c r="L4105" s="2" t="s">
        <v>275</v>
      </c>
      <c r="M4105" s="2" t="s">
        <v>409</v>
      </c>
      <c r="N4105" s="2" t="s">
        <v>462</v>
      </c>
      <c r="O4105" s="3"/>
      <c r="P4105" s="2" t="s">
        <v>73</v>
      </c>
      <c r="Q4105" s="3">
        <v>800.0</v>
      </c>
      <c r="R4105" s="3">
        <v>0.5</v>
      </c>
      <c r="T4105" s="2" t="s">
        <v>15278</v>
      </c>
      <c r="U4105" s="171">
        <v>3348.0</v>
      </c>
      <c r="V4105" s="172">
        <v>46126.0</v>
      </c>
      <c r="W4105" s="3">
        <v>375.78</v>
      </c>
      <c r="X4105" s="172">
        <v>46126.08114841435</v>
      </c>
      <c r="Y4105" s="172">
        <v>46109.43545751157</v>
      </c>
      <c r="Z4105" s="3">
        <v>46109.0</v>
      </c>
      <c r="AA4105" s="2" t="s">
        <v>14032</v>
      </c>
    </row>
    <row r="4106">
      <c r="A4106" s="3">
        <v>6.972957262083E12</v>
      </c>
      <c r="B4106" s="2" t="s">
        <v>16493</v>
      </c>
      <c r="C4106" s="2" t="s">
        <v>16494</v>
      </c>
      <c r="D4106" s="169">
        <v>46109.0</v>
      </c>
      <c r="E4106" s="2">
        <v>3.315082485E9</v>
      </c>
      <c r="F4106" s="2" t="s">
        <v>16495</v>
      </c>
      <c r="G4106" s="2" t="s">
        <v>506</v>
      </c>
      <c r="H4106" s="2">
        <v>0.0</v>
      </c>
      <c r="J4106" s="3">
        <v>0.0</v>
      </c>
      <c r="K4106" s="2" t="s">
        <v>16496</v>
      </c>
      <c r="L4106" s="2"/>
      <c r="M4106" s="2" t="s">
        <v>468</v>
      </c>
      <c r="N4106" s="2" t="s">
        <v>406</v>
      </c>
      <c r="O4106" s="3"/>
      <c r="Q4106" s="3">
        <v>0.0</v>
      </c>
      <c r="R4106" s="3">
        <v>0.5</v>
      </c>
      <c r="U4106" s="141"/>
      <c r="X4106" s="172"/>
      <c r="Y4106" s="172">
        <v>46109.43545751157</v>
      </c>
      <c r="Z4106" s="3">
        <v>46109.0</v>
      </c>
      <c r="AA4106" s="2" t="s">
        <v>14041</v>
      </c>
    </row>
    <row r="4107">
      <c r="A4107" s="3">
        <v>6.972960571651E12</v>
      </c>
      <c r="B4107" s="2" t="s">
        <v>16497</v>
      </c>
      <c r="C4107" s="2" t="s">
        <v>16494</v>
      </c>
      <c r="D4107" s="169">
        <v>46109.0</v>
      </c>
      <c r="E4107" s="2">
        <v>3.315082485E9</v>
      </c>
      <c r="F4107" s="2" t="s">
        <v>16495</v>
      </c>
      <c r="G4107" s="2" t="s">
        <v>506</v>
      </c>
      <c r="H4107" s="2">
        <v>0.0</v>
      </c>
      <c r="J4107" s="3">
        <v>0.0</v>
      </c>
      <c r="K4107" s="2" t="s">
        <v>16498</v>
      </c>
      <c r="L4107" s="2"/>
      <c r="M4107" s="2" t="s">
        <v>468</v>
      </c>
      <c r="N4107" s="2" t="s">
        <v>406</v>
      </c>
      <c r="O4107" s="3"/>
      <c r="Q4107" s="3">
        <v>0.0</v>
      </c>
      <c r="R4107" s="3">
        <v>0.5</v>
      </c>
      <c r="U4107" s="141"/>
      <c r="X4107" s="172"/>
      <c r="Y4107" s="172">
        <v>46109.43545751157</v>
      </c>
      <c r="Z4107" s="3">
        <v>46109.0</v>
      </c>
      <c r="AA4107" s="2" t="s">
        <v>14041</v>
      </c>
    </row>
    <row r="4108">
      <c r="A4108" s="3">
        <v>6.973020995843E12</v>
      </c>
      <c r="B4108" s="2" t="s">
        <v>16499</v>
      </c>
      <c r="C4108" s="2" t="s">
        <v>16500</v>
      </c>
      <c r="D4108" s="169">
        <v>46109.0</v>
      </c>
      <c r="E4108" s="2">
        <v>3.405957959E9</v>
      </c>
      <c r="F4108" s="2" t="s">
        <v>16501</v>
      </c>
      <c r="G4108" s="2" t="s">
        <v>993</v>
      </c>
      <c r="H4108" s="2">
        <v>3348.0</v>
      </c>
      <c r="I4108" s="2">
        <v>2.5120050023197E13</v>
      </c>
      <c r="J4108" s="3">
        <v>2.0</v>
      </c>
      <c r="K4108" s="2" t="s">
        <v>15531</v>
      </c>
      <c r="L4108" s="2" t="s">
        <v>1258</v>
      </c>
      <c r="M4108" s="2" t="s">
        <v>409</v>
      </c>
      <c r="N4108" s="2" t="s">
        <v>462</v>
      </c>
      <c r="O4108" s="3"/>
      <c r="P4108" s="2" t="s">
        <v>73</v>
      </c>
      <c r="Q4108" s="3">
        <v>800.0</v>
      </c>
      <c r="R4108" s="3">
        <v>0.5</v>
      </c>
      <c r="T4108" s="2" t="s">
        <v>15010</v>
      </c>
      <c r="U4108" s="171">
        <v>3348.0</v>
      </c>
      <c r="V4108" s="172">
        <v>46119.0</v>
      </c>
      <c r="W4108" s="3">
        <v>354.9</v>
      </c>
      <c r="X4108" s="172">
        <v>46116.832801550925</v>
      </c>
      <c r="Y4108" s="172">
        <v>46109.477107638886</v>
      </c>
      <c r="Z4108" s="3">
        <v>46109.0</v>
      </c>
      <c r="AA4108" s="2" t="s">
        <v>14022</v>
      </c>
    </row>
    <row r="4109">
      <c r="A4109" s="3">
        <v>6.973075423491E12</v>
      </c>
      <c r="B4109" s="2" t="s">
        <v>16502</v>
      </c>
      <c r="C4109" s="2" t="s">
        <v>5625</v>
      </c>
      <c r="D4109" s="169">
        <v>46109.0</v>
      </c>
      <c r="E4109" s="173" t="s">
        <v>15095</v>
      </c>
      <c r="F4109" s="2" t="s">
        <v>15096</v>
      </c>
      <c r="G4109" s="2" t="s">
        <v>2725</v>
      </c>
      <c r="H4109" s="2">
        <v>0.0</v>
      </c>
      <c r="J4109" s="3">
        <v>0.0</v>
      </c>
      <c r="K4109" s="2" t="s">
        <v>7954</v>
      </c>
      <c r="L4109" s="2"/>
      <c r="M4109" s="2" t="s">
        <v>468</v>
      </c>
      <c r="N4109" s="2" t="s">
        <v>406</v>
      </c>
      <c r="O4109" s="3"/>
      <c r="Q4109" s="3">
        <v>0.0</v>
      </c>
      <c r="R4109" s="3">
        <v>0.5</v>
      </c>
      <c r="U4109" s="141"/>
      <c r="X4109" s="172"/>
      <c r="Y4109" s="172">
        <v>46109.518769456015</v>
      </c>
      <c r="Z4109" s="3">
        <v>46109.0</v>
      </c>
      <c r="AA4109" s="2" t="s">
        <v>14032</v>
      </c>
    </row>
    <row r="4110">
      <c r="A4110" s="3">
        <v>6.973223272707E12</v>
      </c>
      <c r="B4110" s="2" t="s">
        <v>16503</v>
      </c>
      <c r="C4110" s="2" t="s">
        <v>16504</v>
      </c>
      <c r="D4110" s="169">
        <v>46109.0</v>
      </c>
      <c r="E4110" s="173" t="s">
        <v>16505</v>
      </c>
      <c r="F4110" s="2" t="s">
        <v>16506</v>
      </c>
      <c r="G4110" s="2" t="s">
        <v>1830</v>
      </c>
      <c r="H4110" s="2">
        <v>8550.0</v>
      </c>
      <c r="I4110" s="2">
        <v>2.8120050023024E13</v>
      </c>
      <c r="J4110" s="3">
        <v>6.0</v>
      </c>
      <c r="K4110" s="2" t="s">
        <v>16507</v>
      </c>
      <c r="L4110" s="2" t="s">
        <v>16508</v>
      </c>
      <c r="M4110" s="2" t="s">
        <v>409</v>
      </c>
      <c r="N4110" s="2" t="s">
        <v>462</v>
      </c>
      <c r="O4110" s="3"/>
      <c r="P4110" s="2" t="s">
        <v>73</v>
      </c>
      <c r="Q4110" s="3">
        <v>2240.0</v>
      </c>
      <c r="R4110" s="3">
        <v>0.5</v>
      </c>
      <c r="T4110" s="2" t="s">
        <v>15010</v>
      </c>
      <c r="U4110" s="171">
        <v>8550.0</v>
      </c>
      <c r="V4110" s="172">
        <v>46119.0</v>
      </c>
      <c r="W4110" s="3">
        <v>695.5699999999999</v>
      </c>
      <c r="X4110" s="172">
        <v>46115.70775444445</v>
      </c>
      <c r="Y4110" s="172">
        <v>46109.6021180324</v>
      </c>
      <c r="Z4110" s="3">
        <v>46109.0</v>
      </c>
      <c r="AA4110" s="2" t="s">
        <v>14026</v>
      </c>
    </row>
    <row r="4111">
      <c r="A4111" s="3">
        <v>6.973265215747E12</v>
      </c>
      <c r="B4111" s="2" t="s">
        <v>16509</v>
      </c>
      <c r="C4111" s="2" t="s">
        <v>16510</v>
      </c>
      <c r="D4111" s="169">
        <v>46109.0</v>
      </c>
      <c r="E4111" s="2">
        <v>3.212436436E9</v>
      </c>
      <c r="F4111" s="2" t="s">
        <v>16511</v>
      </c>
      <c r="G4111" s="2" t="s">
        <v>493</v>
      </c>
      <c r="H4111" s="2">
        <v>0.0</v>
      </c>
      <c r="J4111" s="3">
        <v>0.0</v>
      </c>
      <c r="K4111" s="2" t="s">
        <v>16512</v>
      </c>
      <c r="L4111" s="2"/>
      <c r="M4111" s="2" t="s">
        <v>468</v>
      </c>
      <c r="N4111" s="2" t="s">
        <v>406</v>
      </c>
      <c r="O4111" s="3"/>
      <c r="Q4111" s="3">
        <v>0.0</v>
      </c>
      <c r="R4111" s="3">
        <v>0.5</v>
      </c>
      <c r="U4111" s="141"/>
      <c r="X4111" s="172"/>
      <c r="Y4111" s="172">
        <v>46109.6021180324</v>
      </c>
      <c r="Z4111" s="3">
        <v>46109.0</v>
      </c>
      <c r="AA4111" s="2" t="s">
        <v>14032</v>
      </c>
    </row>
    <row r="4112">
      <c r="A4112" s="3">
        <v>6.973266264323E12</v>
      </c>
      <c r="B4112" s="2" t="s">
        <v>16513</v>
      </c>
      <c r="C4112" s="2" t="s">
        <v>16510</v>
      </c>
      <c r="D4112" s="169">
        <v>46109.0</v>
      </c>
      <c r="E4112" s="2">
        <v>3.212436436E9</v>
      </c>
      <c r="F4112" s="2" t="s">
        <v>16511</v>
      </c>
      <c r="G4112" s="2" t="s">
        <v>493</v>
      </c>
      <c r="H4112" s="2">
        <v>0.0</v>
      </c>
      <c r="J4112" s="3">
        <v>0.0</v>
      </c>
      <c r="K4112" s="2" t="s">
        <v>7954</v>
      </c>
      <c r="L4112" s="2"/>
      <c r="M4112" s="2" t="s">
        <v>468</v>
      </c>
      <c r="N4112" s="2" t="s">
        <v>406</v>
      </c>
      <c r="O4112" s="3"/>
      <c r="Q4112" s="3">
        <v>0.0</v>
      </c>
      <c r="R4112" s="3">
        <v>0.5</v>
      </c>
      <c r="U4112" s="141"/>
      <c r="X4112" s="172"/>
      <c r="Y4112" s="172">
        <v>46109.6021180324</v>
      </c>
      <c r="Z4112" s="3">
        <v>46109.0</v>
      </c>
      <c r="AA4112" s="2" t="s">
        <v>14032</v>
      </c>
    </row>
    <row r="4113">
      <c r="A4113" s="3">
        <v>6.973267837187E12</v>
      </c>
      <c r="B4113" s="2" t="s">
        <v>16514</v>
      </c>
      <c r="C4113" s="2" t="s">
        <v>16510</v>
      </c>
      <c r="D4113" s="169">
        <v>46109.0</v>
      </c>
      <c r="E4113" s="2">
        <v>3.212436436E9</v>
      </c>
      <c r="F4113" s="2" t="s">
        <v>16515</v>
      </c>
      <c r="G4113" s="2" t="s">
        <v>493</v>
      </c>
      <c r="H4113" s="2">
        <v>0.0</v>
      </c>
      <c r="J4113" s="3">
        <v>0.0</v>
      </c>
      <c r="K4113" s="2" t="s">
        <v>7954</v>
      </c>
      <c r="L4113" s="2"/>
      <c r="M4113" s="2" t="s">
        <v>468</v>
      </c>
      <c r="N4113" s="2" t="s">
        <v>406</v>
      </c>
      <c r="O4113" s="3"/>
      <c r="Q4113" s="3">
        <v>0.0</v>
      </c>
      <c r="R4113" s="3">
        <v>0.5</v>
      </c>
      <c r="U4113" s="141"/>
      <c r="X4113" s="172"/>
      <c r="Y4113" s="172">
        <v>46109.6021180324</v>
      </c>
      <c r="Z4113" s="3">
        <v>46109.0</v>
      </c>
      <c r="AA4113" s="2" t="s">
        <v>14032</v>
      </c>
    </row>
    <row r="4114">
      <c r="A4114" s="3">
        <v>6.973303128323E12</v>
      </c>
      <c r="B4114" s="2" t="s">
        <v>16516</v>
      </c>
      <c r="C4114" s="2" t="s">
        <v>16517</v>
      </c>
      <c r="D4114" s="169">
        <v>46109.0</v>
      </c>
      <c r="E4114" s="2">
        <v>3.430512086E9</v>
      </c>
      <c r="F4114" s="2" t="s">
        <v>16518</v>
      </c>
      <c r="G4114" s="2" t="s">
        <v>16519</v>
      </c>
      <c r="H4114" s="2">
        <v>0.0</v>
      </c>
      <c r="J4114" s="3">
        <v>0.0</v>
      </c>
      <c r="K4114" s="2" t="s">
        <v>16520</v>
      </c>
      <c r="L4114" s="2"/>
      <c r="M4114" s="2" t="s">
        <v>468</v>
      </c>
      <c r="N4114" s="2" t="s">
        <v>406</v>
      </c>
      <c r="O4114" s="3"/>
      <c r="Q4114" s="3">
        <v>0.0</v>
      </c>
      <c r="R4114" s="3">
        <v>0.5</v>
      </c>
      <c r="U4114" s="141"/>
      <c r="X4114" s="172"/>
      <c r="Y4114" s="172">
        <v>46109.64375120371</v>
      </c>
      <c r="Z4114" s="3">
        <v>46109.0</v>
      </c>
      <c r="AA4114" s="2" t="s">
        <v>14032</v>
      </c>
    </row>
    <row r="4115">
      <c r="A4115" s="3">
        <v>6.973321052419E12</v>
      </c>
      <c r="B4115" s="2" t="s">
        <v>16521</v>
      </c>
      <c r="C4115" s="2" t="s">
        <v>16522</v>
      </c>
      <c r="D4115" s="169">
        <v>46109.0</v>
      </c>
      <c r="E4115" s="173" t="s">
        <v>16523</v>
      </c>
      <c r="F4115" s="2" t="s">
        <v>16524</v>
      </c>
      <c r="G4115" s="2" t="s">
        <v>493</v>
      </c>
      <c r="H4115" s="2">
        <v>3949.0</v>
      </c>
      <c r="I4115" s="2">
        <v>2.8120050023023E13</v>
      </c>
      <c r="J4115" s="3">
        <v>2.0</v>
      </c>
      <c r="K4115" s="2" t="s">
        <v>16525</v>
      </c>
      <c r="L4115" s="2" t="s">
        <v>35</v>
      </c>
      <c r="M4115" s="2" t="s">
        <v>409</v>
      </c>
      <c r="N4115" s="2" t="s">
        <v>462</v>
      </c>
      <c r="O4115" s="3"/>
      <c r="P4115" s="2" t="s">
        <v>73</v>
      </c>
      <c r="Q4115" s="3">
        <v>980.0</v>
      </c>
      <c r="R4115" s="3">
        <v>0.5</v>
      </c>
      <c r="T4115" s="2" t="s">
        <v>12503</v>
      </c>
      <c r="U4115" s="171">
        <v>3949.0</v>
      </c>
      <c r="V4115" s="172">
        <v>46115.0</v>
      </c>
      <c r="W4115" s="3">
        <v>393.67</v>
      </c>
      <c r="X4115" s="172">
        <v>46112.833018414356</v>
      </c>
      <c r="Y4115" s="172">
        <v>46109.6854353125</v>
      </c>
      <c r="Z4115" s="3">
        <v>46109.0</v>
      </c>
      <c r="AA4115" s="2" t="s">
        <v>14053</v>
      </c>
    </row>
    <row r="4116">
      <c r="A4116" s="3">
        <v>6.973325345027E12</v>
      </c>
      <c r="B4116" s="2" t="s">
        <v>16526</v>
      </c>
      <c r="C4116" s="2" t="s">
        <v>16527</v>
      </c>
      <c r="D4116" s="169">
        <v>46109.0</v>
      </c>
      <c r="E4116" s="173" t="s">
        <v>16528</v>
      </c>
      <c r="F4116" s="2" t="s">
        <v>16529</v>
      </c>
      <c r="G4116" s="2" t="s">
        <v>493</v>
      </c>
      <c r="H4116" s="2">
        <v>3099.0</v>
      </c>
      <c r="I4116" s="2">
        <v>2.9120050023089E13</v>
      </c>
      <c r="J4116" s="3">
        <v>2.0</v>
      </c>
      <c r="K4116" s="2" t="s">
        <v>16530</v>
      </c>
      <c r="L4116" s="2" t="s">
        <v>16531</v>
      </c>
      <c r="M4116" s="2" t="s">
        <v>409</v>
      </c>
      <c r="N4116" s="2" t="s">
        <v>462</v>
      </c>
      <c r="O4116" s="3"/>
      <c r="P4116" s="2" t="s">
        <v>73</v>
      </c>
      <c r="Q4116" s="3">
        <v>760.0</v>
      </c>
      <c r="R4116" s="3">
        <v>0.5</v>
      </c>
      <c r="T4116" s="2" t="s">
        <v>15010</v>
      </c>
      <c r="U4116" s="171">
        <v>3099.0</v>
      </c>
      <c r="V4116" s="172">
        <v>46119.0</v>
      </c>
      <c r="W4116" s="3">
        <v>359.67</v>
      </c>
      <c r="X4116" s="172">
        <v>46116.70766861111</v>
      </c>
      <c r="Y4116" s="172">
        <v>46109.68543532408</v>
      </c>
      <c r="Z4116" s="3">
        <v>46109.0</v>
      </c>
      <c r="AA4116" s="2" t="s">
        <v>14026</v>
      </c>
    </row>
    <row r="4117">
      <c r="A4117" s="3">
        <v>6.973328097539E12</v>
      </c>
      <c r="B4117" s="2" t="s">
        <v>148</v>
      </c>
      <c r="C4117" s="2" t="s">
        <v>16532</v>
      </c>
      <c r="D4117" s="169">
        <v>46109.0</v>
      </c>
      <c r="E4117" s="173" t="s">
        <v>16533</v>
      </c>
      <c r="F4117" s="2" t="s">
        <v>16534</v>
      </c>
      <c r="G4117" s="2" t="s">
        <v>701</v>
      </c>
      <c r="H4117" s="2">
        <v>5949.0</v>
      </c>
      <c r="I4117" s="2">
        <v>2.112005002353E13</v>
      </c>
      <c r="J4117" s="3">
        <v>4.0</v>
      </c>
      <c r="K4117" s="2" t="s">
        <v>16535</v>
      </c>
      <c r="L4117" s="2" t="s">
        <v>16536</v>
      </c>
      <c r="M4117" s="2" t="s">
        <v>409</v>
      </c>
      <c r="N4117" s="2" t="s">
        <v>462</v>
      </c>
      <c r="O4117" s="3"/>
      <c r="P4117" s="2" t="s">
        <v>73</v>
      </c>
      <c r="Q4117" s="3">
        <v>1580.0</v>
      </c>
      <c r="R4117" s="3">
        <v>0.5</v>
      </c>
      <c r="T4117" s="2" t="s">
        <v>72</v>
      </c>
      <c r="U4117" s="171">
        <v>5949.0</v>
      </c>
      <c r="V4117" s="172">
        <v>46129.0</v>
      </c>
      <c r="W4117" s="3">
        <v>504.01000000000005</v>
      </c>
      <c r="X4117" s="172">
        <v>46127.08096731482</v>
      </c>
      <c r="Y4117" s="172">
        <v>46109.68543532408</v>
      </c>
      <c r="Z4117" s="3">
        <v>46109.0</v>
      </c>
      <c r="AA4117" s="2" t="s">
        <v>14026</v>
      </c>
    </row>
    <row r="4118">
      <c r="A4118" s="3">
        <v>6.973330260227E12</v>
      </c>
      <c r="B4118" s="2" t="s">
        <v>16537</v>
      </c>
      <c r="C4118" s="2" t="s">
        <v>16538</v>
      </c>
      <c r="D4118" s="169">
        <v>46109.0</v>
      </c>
      <c r="E4118" s="173" t="s">
        <v>16539</v>
      </c>
      <c r="F4118" s="2" t="s">
        <v>16540</v>
      </c>
      <c r="G4118" s="2" t="s">
        <v>16541</v>
      </c>
      <c r="H4118" s="2">
        <v>3099.0</v>
      </c>
      <c r="I4118" s="2">
        <v>2.8120050023087E13</v>
      </c>
      <c r="J4118" s="3">
        <v>2.0</v>
      </c>
      <c r="K4118" s="2" t="s">
        <v>16542</v>
      </c>
      <c r="L4118" s="2" t="s">
        <v>27</v>
      </c>
      <c r="M4118" s="2" t="s">
        <v>409</v>
      </c>
      <c r="N4118" s="2" t="s">
        <v>462</v>
      </c>
      <c r="O4118" s="3"/>
      <c r="P4118" s="2" t="s">
        <v>73</v>
      </c>
      <c r="Q4118" s="3">
        <v>720.0</v>
      </c>
      <c r="R4118" s="3">
        <v>0.5</v>
      </c>
      <c r="T4118" s="2" t="s">
        <v>15356</v>
      </c>
      <c r="U4118" s="171">
        <v>3099.0</v>
      </c>
      <c r="V4118" s="172">
        <v>46122.0</v>
      </c>
      <c r="W4118" s="3">
        <v>365.82000000000005</v>
      </c>
      <c r="X4118" s="172">
        <v>46122.081067569445</v>
      </c>
      <c r="Y4118" s="172">
        <v>46109.68543532408</v>
      </c>
      <c r="Z4118" s="3">
        <v>46109.0</v>
      </c>
      <c r="AA4118" s="2" t="s">
        <v>14026</v>
      </c>
    </row>
    <row r="4119">
      <c r="A4119" s="3">
        <v>6.973348839683E12</v>
      </c>
      <c r="B4119" s="2" t="s">
        <v>16543</v>
      </c>
      <c r="C4119" s="2" t="s">
        <v>16544</v>
      </c>
      <c r="D4119" s="169">
        <v>46109.0</v>
      </c>
      <c r="E4119" s="2">
        <v>3.496888776E9</v>
      </c>
      <c r="F4119" s="2" t="s">
        <v>16545</v>
      </c>
      <c r="G4119" s="2" t="s">
        <v>16546</v>
      </c>
      <c r="H4119" s="2">
        <v>3348.0</v>
      </c>
      <c r="I4119" s="2">
        <v>2.7120050023086E13</v>
      </c>
      <c r="J4119" s="3">
        <v>2.0</v>
      </c>
      <c r="K4119" s="2" t="s">
        <v>15950</v>
      </c>
      <c r="L4119" s="2" t="s">
        <v>27</v>
      </c>
      <c r="M4119" s="2" t="s">
        <v>409</v>
      </c>
      <c r="N4119" s="2" t="s">
        <v>462</v>
      </c>
      <c r="O4119" s="3"/>
      <c r="P4119" s="2" t="s">
        <v>73</v>
      </c>
      <c r="Q4119" s="3">
        <v>720.0</v>
      </c>
      <c r="R4119" s="3">
        <v>0.5</v>
      </c>
      <c r="T4119" s="2" t="s">
        <v>12503</v>
      </c>
      <c r="U4119" s="171">
        <v>3348.0</v>
      </c>
      <c r="V4119" s="172">
        <v>46115.0</v>
      </c>
      <c r="W4119" s="3">
        <v>354.9</v>
      </c>
      <c r="X4119" s="172">
        <v>46114.541374305554</v>
      </c>
      <c r="Y4119" s="172">
        <v>46109.727084004626</v>
      </c>
      <c r="Z4119" s="3">
        <v>46109.0</v>
      </c>
      <c r="AA4119" s="2" t="s">
        <v>14022</v>
      </c>
    </row>
    <row r="4120">
      <c r="A4120" s="3">
        <v>6.973414244611E12</v>
      </c>
      <c r="B4120" s="2" t="s">
        <v>16547</v>
      </c>
      <c r="C4120" s="2" t="s">
        <v>16548</v>
      </c>
      <c r="D4120" s="169">
        <v>46109.0</v>
      </c>
      <c r="E4120" s="2">
        <v>3.052555392E9</v>
      </c>
      <c r="F4120" s="2" t="s">
        <v>16549</v>
      </c>
      <c r="G4120" s="2" t="s">
        <v>493</v>
      </c>
      <c r="H4120" s="2">
        <v>3348.0</v>
      </c>
      <c r="I4120" s="2">
        <v>2.0120050023085E13</v>
      </c>
      <c r="J4120" s="3">
        <v>2.0</v>
      </c>
      <c r="K4120" s="2" t="s">
        <v>15950</v>
      </c>
      <c r="L4120" s="2" t="s">
        <v>906</v>
      </c>
      <c r="M4120" s="2" t="s">
        <v>409</v>
      </c>
      <c r="N4120" s="2" t="s">
        <v>462</v>
      </c>
      <c r="O4120" s="3"/>
      <c r="P4120" s="2" t="s">
        <v>73</v>
      </c>
      <c r="Q4120" s="3">
        <v>720.0</v>
      </c>
      <c r="R4120" s="3">
        <v>0.5</v>
      </c>
      <c r="T4120" s="2" t="s">
        <v>12503</v>
      </c>
      <c r="U4120" s="171">
        <v>3348.0</v>
      </c>
      <c r="V4120" s="172">
        <v>46115.0</v>
      </c>
      <c r="W4120" s="3">
        <v>369.63</v>
      </c>
      <c r="X4120" s="172">
        <v>46113.58296994213</v>
      </c>
      <c r="Y4120" s="172">
        <v>46109.76874630787</v>
      </c>
      <c r="Z4120" s="3">
        <v>46109.0</v>
      </c>
      <c r="AA4120" s="2" t="s">
        <v>14053</v>
      </c>
    </row>
    <row r="4121">
      <c r="A4121" s="3">
        <v>6.973420863747E12</v>
      </c>
      <c r="B4121" s="2" t="s">
        <v>16550</v>
      </c>
      <c r="C4121" s="2" t="s">
        <v>16551</v>
      </c>
      <c r="D4121" s="169">
        <v>46109.0</v>
      </c>
      <c r="E4121" s="2">
        <v>3.456906404E9</v>
      </c>
      <c r="F4121" s="2" t="s">
        <v>16552</v>
      </c>
      <c r="G4121" s="2" t="s">
        <v>368</v>
      </c>
      <c r="H4121" s="2">
        <v>4947.0</v>
      </c>
      <c r="I4121" s="2">
        <v>2.8120050023084E13</v>
      </c>
      <c r="J4121" s="3">
        <v>3.0</v>
      </c>
      <c r="K4121" s="2" t="s">
        <v>16553</v>
      </c>
      <c r="L4121" s="2" t="s">
        <v>16554</v>
      </c>
      <c r="M4121" s="2" t="s">
        <v>409</v>
      </c>
      <c r="N4121" s="2" t="s">
        <v>462</v>
      </c>
      <c r="O4121" s="3"/>
      <c r="P4121" s="2" t="s">
        <v>73</v>
      </c>
      <c r="Q4121" s="3">
        <v>1370.0</v>
      </c>
      <c r="R4121" s="3">
        <v>0.5</v>
      </c>
      <c r="T4121" s="2" t="s">
        <v>12503</v>
      </c>
      <c r="U4121" s="171">
        <v>4947.0</v>
      </c>
      <c r="V4121" s="172">
        <v>46115.0</v>
      </c>
      <c r="W4121" s="3">
        <v>330.47</v>
      </c>
      <c r="X4121" s="172">
        <v>46112.83301914352</v>
      </c>
      <c r="Y4121" s="172">
        <v>46109.76874630787</v>
      </c>
      <c r="Z4121" s="3">
        <v>46109.0</v>
      </c>
      <c r="AA4121" s="2" t="s">
        <v>14032</v>
      </c>
    </row>
    <row r="4122">
      <c r="A4122" s="3">
        <v>6.973422108931E12</v>
      </c>
      <c r="B4122" s="2" t="s">
        <v>16555</v>
      </c>
      <c r="C4122" s="2" t="s">
        <v>16556</v>
      </c>
      <c r="D4122" s="169">
        <v>46109.0</v>
      </c>
      <c r="E4122" s="2">
        <v>3.030008111E9</v>
      </c>
      <c r="F4122" s="2" t="s">
        <v>16557</v>
      </c>
      <c r="G4122" s="2" t="s">
        <v>16558</v>
      </c>
      <c r="H4122" s="2">
        <v>249.0</v>
      </c>
      <c r="I4122" s="2">
        <v>2.6120050023083E13</v>
      </c>
      <c r="J4122" s="3">
        <v>0.0</v>
      </c>
      <c r="K4122" s="2" t="s">
        <v>16559</v>
      </c>
      <c r="L4122" s="2"/>
      <c r="M4122" s="170" t="s">
        <v>455</v>
      </c>
      <c r="N4122" s="2" t="s">
        <v>406</v>
      </c>
      <c r="O4122" s="3"/>
      <c r="P4122" s="2" t="s">
        <v>73</v>
      </c>
      <c r="Q4122" s="3">
        <v>0.0</v>
      </c>
      <c r="R4122" s="3">
        <v>0.5</v>
      </c>
      <c r="U4122" s="141"/>
      <c r="W4122" s="3">
        <v>220.98</v>
      </c>
      <c r="X4122" s="172">
        <v>46122.08106758102</v>
      </c>
      <c r="Y4122" s="172">
        <v>46109.76874630787</v>
      </c>
      <c r="Z4122" s="3">
        <v>46109.0</v>
      </c>
      <c r="AA4122" s="2" t="s">
        <v>14053</v>
      </c>
    </row>
    <row r="4123">
      <c r="A4123" s="3">
        <v>6.973510549763E12</v>
      </c>
      <c r="B4123" s="2" t="s">
        <v>16560</v>
      </c>
      <c r="C4123" s="2" t="s">
        <v>16561</v>
      </c>
      <c r="D4123" s="169">
        <v>46109.0</v>
      </c>
      <c r="E4123" s="2">
        <v>3.136447832E9</v>
      </c>
      <c r="F4123" s="2" t="s">
        <v>16562</v>
      </c>
      <c r="G4123" s="2" t="s">
        <v>1111</v>
      </c>
      <c r="H4123" s="2">
        <v>0.0</v>
      </c>
      <c r="I4123" s="2">
        <v>2.3120050023082E13</v>
      </c>
      <c r="J4123" s="3">
        <v>0.0</v>
      </c>
      <c r="K4123" s="2" t="s">
        <v>16563</v>
      </c>
      <c r="L4123" s="2"/>
      <c r="M4123" s="170" t="s">
        <v>455</v>
      </c>
      <c r="N4123" s="2" t="s">
        <v>406</v>
      </c>
      <c r="O4123" s="3"/>
      <c r="P4123" s="2" t="s">
        <v>73</v>
      </c>
      <c r="Q4123" s="3">
        <v>0.0</v>
      </c>
      <c r="R4123" s="3">
        <v>0.5</v>
      </c>
      <c r="U4123" s="141"/>
      <c r="W4123" s="3">
        <v>243.08</v>
      </c>
      <c r="X4123" s="172">
        <v>46121.08103164352</v>
      </c>
      <c r="Y4123" s="172">
        <v>46109.81042087963</v>
      </c>
      <c r="Z4123" s="3">
        <v>46109.0</v>
      </c>
      <c r="AA4123" s="2" t="s">
        <v>14032</v>
      </c>
    </row>
    <row r="4124">
      <c r="A4124" s="3">
        <v>6.973572645123E12</v>
      </c>
      <c r="B4124" s="2" t="s">
        <v>16564</v>
      </c>
      <c r="C4124" s="2" t="s">
        <v>13918</v>
      </c>
      <c r="D4124" s="169">
        <v>46109.0</v>
      </c>
      <c r="E4124" s="2">
        <v>3.222223297E9</v>
      </c>
      <c r="F4124" s="2" t="s">
        <v>13919</v>
      </c>
      <c r="G4124" s="2" t="s">
        <v>368</v>
      </c>
      <c r="H4124" s="2">
        <v>3348.0</v>
      </c>
      <c r="I4124" s="2">
        <v>2.2120050023081E13</v>
      </c>
      <c r="J4124" s="3">
        <v>2.0</v>
      </c>
      <c r="K4124" s="2" t="s">
        <v>15950</v>
      </c>
      <c r="L4124" s="2" t="s">
        <v>40</v>
      </c>
      <c r="M4124" s="2" t="s">
        <v>409</v>
      </c>
      <c r="N4124" s="2" t="s">
        <v>462</v>
      </c>
      <c r="O4124" s="3"/>
      <c r="P4124" s="2" t="s">
        <v>73</v>
      </c>
      <c r="Q4124" s="3">
        <v>720.0</v>
      </c>
      <c r="R4124" s="3">
        <v>0.5</v>
      </c>
      <c r="T4124" s="2" t="s">
        <v>12503</v>
      </c>
      <c r="U4124" s="171">
        <v>3348.0</v>
      </c>
      <c r="V4124" s="172">
        <v>46115.0</v>
      </c>
      <c r="W4124" s="3">
        <v>251.78</v>
      </c>
      <c r="X4124" s="172">
        <v>46113.62463304398</v>
      </c>
      <c r="Y4124" s="172">
        <v>46109.85209907407</v>
      </c>
      <c r="Z4124" s="3">
        <v>46109.0</v>
      </c>
      <c r="AA4124" s="2" t="s">
        <v>14032</v>
      </c>
    </row>
    <row r="4125">
      <c r="A4125" s="3">
        <v>6.973617832195E12</v>
      </c>
      <c r="B4125" s="2" t="s">
        <v>16565</v>
      </c>
      <c r="C4125" s="2" t="s">
        <v>16566</v>
      </c>
      <c r="D4125" s="169">
        <v>46109.0</v>
      </c>
      <c r="E4125" s="2">
        <v>3.455250419E9</v>
      </c>
      <c r="F4125" s="2" t="s">
        <v>16567</v>
      </c>
      <c r="G4125" s="2" t="s">
        <v>366</v>
      </c>
      <c r="H4125" s="2">
        <v>3348.0</v>
      </c>
      <c r="I4125" s="2">
        <v>2.612005002308E13</v>
      </c>
      <c r="J4125" s="3">
        <v>2.0</v>
      </c>
      <c r="K4125" s="2" t="s">
        <v>15950</v>
      </c>
      <c r="L4125" s="2" t="s">
        <v>234</v>
      </c>
      <c r="M4125" s="2" t="s">
        <v>409</v>
      </c>
      <c r="N4125" s="2" t="s">
        <v>462</v>
      </c>
      <c r="O4125" s="3"/>
      <c r="P4125" s="2" t="s">
        <v>73</v>
      </c>
      <c r="Q4125" s="3">
        <v>800.0</v>
      </c>
      <c r="R4125" s="3">
        <v>0.5</v>
      </c>
      <c r="T4125" s="2" t="s">
        <v>12503</v>
      </c>
      <c r="U4125" s="171">
        <v>3348.0</v>
      </c>
      <c r="V4125" s="172">
        <v>46115.0</v>
      </c>
      <c r="W4125" s="3">
        <v>354.9</v>
      </c>
      <c r="X4125" s="172">
        <v>46113.666294062496</v>
      </c>
      <c r="Y4125" s="172">
        <v>46109.85209907407</v>
      </c>
      <c r="Z4125" s="3">
        <v>46109.0</v>
      </c>
      <c r="AA4125" s="2" t="s">
        <v>14022</v>
      </c>
    </row>
    <row r="4126">
      <c r="A4126" s="3">
        <v>6.973742022915E12</v>
      </c>
      <c r="B4126" s="2" t="s">
        <v>16568</v>
      </c>
      <c r="C4126" s="2" t="s">
        <v>16569</v>
      </c>
      <c r="D4126" s="169">
        <v>46109.0</v>
      </c>
      <c r="E4126" s="2">
        <v>3.33790337E9</v>
      </c>
      <c r="F4126" s="2" t="s">
        <v>16570</v>
      </c>
      <c r="G4126" s="2" t="s">
        <v>672</v>
      </c>
      <c r="H4126" s="2">
        <v>3099.0</v>
      </c>
      <c r="I4126" s="2">
        <v>2.9120050023196E13</v>
      </c>
      <c r="J4126" s="3">
        <v>2.0</v>
      </c>
      <c r="K4126" s="2" t="s">
        <v>16571</v>
      </c>
      <c r="L4126" s="2" t="s">
        <v>16</v>
      </c>
      <c r="M4126" s="2" t="s">
        <v>409</v>
      </c>
      <c r="N4126" s="2" t="s">
        <v>462</v>
      </c>
      <c r="O4126" s="3"/>
      <c r="P4126" s="2" t="s">
        <v>73</v>
      </c>
      <c r="Q4126" s="3">
        <v>980.0</v>
      </c>
      <c r="R4126" s="3">
        <v>0.5</v>
      </c>
      <c r="T4126" s="2" t="s">
        <v>15010</v>
      </c>
      <c r="U4126" s="171">
        <v>3099.0</v>
      </c>
      <c r="V4126" s="172">
        <v>46119.0</v>
      </c>
      <c r="W4126" s="3">
        <v>374.40000000000003</v>
      </c>
      <c r="X4126" s="172">
        <v>46116.582910509256</v>
      </c>
      <c r="Y4126" s="172">
        <v>46109.93542432871</v>
      </c>
      <c r="Z4126" s="3">
        <v>46109.0</v>
      </c>
      <c r="AA4126" s="2" t="s">
        <v>14041</v>
      </c>
    </row>
    <row r="4127">
      <c r="A4127" s="3">
        <v>6.973803626755E12</v>
      </c>
      <c r="B4127" s="2" t="s">
        <v>16572</v>
      </c>
      <c r="C4127" s="2" t="s">
        <v>16573</v>
      </c>
      <c r="D4127" s="169">
        <v>46109.0</v>
      </c>
      <c r="E4127" s="2">
        <v>3.296432939E9</v>
      </c>
      <c r="F4127" s="2" t="s">
        <v>16574</v>
      </c>
      <c r="G4127" s="2" t="s">
        <v>366</v>
      </c>
      <c r="H4127" s="2">
        <v>3348.0</v>
      </c>
      <c r="I4127" s="2">
        <v>2.2120050023079E13</v>
      </c>
      <c r="J4127" s="3">
        <v>2.0</v>
      </c>
      <c r="K4127" s="2" t="s">
        <v>15950</v>
      </c>
      <c r="L4127" s="2" t="s">
        <v>275</v>
      </c>
      <c r="M4127" s="2" t="s">
        <v>409</v>
      </c>
      <c r="N4127" s="2" t="s">
        <v>462</v>
      </c>
      <c r="O4127" s="3"/>
      <c r="P4127" s="2" t="s">
        <v>73</v>
      </c>
      <c r="Q4127" s="3">
        <v>800.0</v>
      </c>
      <c r="R4127" s="3">
        <v>0.5</v>
      </c>
      <c r="T4127" s="2" t="s">
        <v>12503</v>
      </c>
      <c r="U4127" s="171">
        <v>3348.0</v>
      </c>
      <c r="V4127" s="172">
        <v>46115.0</v>
      </c>
      <c r="W4127" s="3">
        <v>354.9</v>
      </c>
      <c r="X4127" s="172">
        <v>46114.771105775464</v>
      </c>
      <c r="Y4127" s="172">
        <v>46109.97710042824</v>
      </c>
      <c r="Z4127" s="3">
        <v>46109.0</v>
      </c>
      <c r="AA4127" s="2" t="s">
        <v>14053</v>
      </c>
    </row>
    <row r="4128">
      <c r="A4128" s="3">
        <v>6.973820829955E12</v>
      </c>
      <c r="B4128" s="2" t="s">
        <v>16575</v>
      </c>
      <c r="C4128" s="2" t="s">
        <v>9698</v>
      </c>
      <c r="D4128" s="169">
        <v>46109.0</v>
      </c>
      <c r="E4128" s="2">
        <v>3.017468888E9</v>
      </c>
      <c r="F4128" s="2" t="s">
        <v>9699</v>
      </c>
      <c r="G4128" s="2" t="s">
        <v>9700</v>
      </c>
      <c r="H4128" s="2">
        <v>2049.0</v>
      </c>
      <c r="I4128" s="2">
        <v>2.1120050023116E13</v>
      </c>
      <c r="J4128" s="3">
        <v>1.0</v>
      </c>
      <c r="K4128" s="2" t="s">
        <v>16576</v>
      </c>
      <c r="L4128" s="2" t="s">
        <v>16577</v>
      </c>
      <c r="M4128" s="2" t="s">
        <v>409</v>
      </c>
      <c r="N4128" s="2" t="s">
        <v>462</v>
      </c>
      <c r="O4128" s="3"/>
      <c r="P4128" s="2" t="s">
        <v>73</v>
      </c>
      <c r="Q4128" s="3">
        <v>360.0</v>
      </c>
      <c r="R4128" s="3">
        <v>0.5</v>
      </c>
      <c r="T4128" s="2" t="s">
        <v>12503</v>
      </c>
      <c r="U4128" s="171">
        <v>2049.0</v>
      </c>
      <c r="V4128" s="172">
        <v>46115.0</v>
      </c>
      <c r="W4128" s="3">
        <v>302.94</v>
      </c>
      <c r="X4128" s="172">
        <v>46114.74965091435</v>
      </c>
      <c r="Y4128" s="172">
        <v>46109.97710045139</v>
      </c>
      <c r="Z4128" s="3">
        <v>46109.0</v>
      </c>
      <c r="AA4128" s="2" t="s">
        <v>14103</v>
      </c>
    </row>
    <row r="4129">
      <c r="A4129" s="3">
        <v>6.973842522371E12</v>
      </c>
      <c r="B4129" s="2" t="s">
        <v>16578</v>
      </c>
      <c r="C4129" s="2" t="s">
        <v>14892</v>
      </c>
      <c r="D4129" s="169">
        <v>46109.0</v>
      </c>
      <c r="E4129" s="2">
        <v>3.319108746E9</v>
      </c>
      <c r="F4129" s="2" t="s">
        <v>16579</v>
      </c>
      <c r="G4129" s="2" t="s">
        <v>9519</v>
      </c>
      <c r="H4129" s="2">
        <v>3349.0</v>
      </c>
      <c r="I4129" s="2">
        <v>2.4120050023078E13</v>
      </c>
      <c r="J4129" s="3">
        <v>2.0</v>
      </c>
      <c r="K4129" s="2" t="s">
        <v>16580</v>
      </c>
      <c r="L4129" s="2" t="s">
        <v>16581</v>
      </c>
      <c r="M4129" s="2" t="s">
        <v>409</v>
      </c>
      <c r="N4129" s="2" t="s">
        <v>462</v>
      </c>
      <c r="O4129" s="3"/>
      <c r="P4129" s="2" t="s">
        <v>73</v>
      </c>
      <c r="Q4129" s="3">
        <v>1240.0</v>
      </c>
      <c r="R4129" s="3">
        <v>0.5</v>
      </c>
      <c r="T4129" s="2" t="s">
        <v>12503</v>
      </c>
      <c r="U4129" s="171">
        <v>3349.0</v>
      </c>
      <c r="V4129" s="172">
        <v>46115.0</v>
      </c>
      <c r="W4129" s="3">
        <v>377.04</v>
      </c>
      <c r="X4129" s="172">
        <v>46113.70785590278</v>
      </c>
      <c r="Y4129" s="172">
        <v>46109.97710047454</v>
      </c>
      <c r="Z4129" s="3">
        <v>46109.0</v>
      </c>
      <c r="AA4129" s="2" t="s">
        <v>14022</v>
      </c>
    </row>
    <row r="4130">
      <c r="A4130" s="3">
        <v>6.974220632323E12</v>
      </c>
      <c r="B4130" s="2" t="s">
        <v>16582</v>
      </c>
      <c r="C4130" s="2" t="s">
        <v>16583</v>
      </c>
      <c r="D4130" s="169">
        <v>46110.0</v>
      </c>
      <c r="E4130" s="2">
        <v>3.009213935E9</v>
      </c>
      <c r="F4130" s="2" t="s">
        <v>16584</v>
      </c>
      <c r="G4130" s="2" t="s">
        <v>493</v>
      </c>
      <c r="H4130" s="2">
        <v>3099.0</v>
      </c>
      <c r="I4130" s="2">
        <v>2.5120050023077E13</v>
      </c>
      <c r="J4130" s="3">
        <v>2.0</v>
      </c>
      <c r="K4130" s="2" t="s">
        <v>16390</v>
      </c>
      <c r="L4130" s="2" t="s">
        <v>926</v>
      </c>
      <c r="M4130" s="2" t="s">
        <v>409</v>
      </c>
      <c r="N4130" s="2" t="s">
        <v>462</v>
      </c>
      <c r="O4130" s="3"/>
      <c r="P4130" s="2" t="s">
        <v>73</v>
      </c>
      <c r="Q4130" s="3">
        <v>980.0</v>
      </c>
      <c r="R4130" s="3">
        <v>0.5</v>
      </c>
      <c r="T4130" s="2" t="s">
        <v>12503</v>
      </c>
      <c r="U4130" s="171">
        <v>3099.0</v>
      </c>
      <c r="V4130" s="172">
        <v>46115.0</v>
      </c>
      <c r="W4130" s="3">
        <v>374.4</v>
      </c>
      <c r="X4130" s="172">
        <v>46113.83367625</v>
      </c>
      <c r="Y4130" s="172">
        <v>46110.22708334491</v>
      </c>
      <c r="Z4130" s="3">
        <v>46110.0</v>
      </c>
      <c r="AA4130" s="2" t="s">
        <v>14041</v>
      </c>
    </row>
    <row r="4131">
      <c r="A4131" s="3">
        <v>6.974315069699E12</v>
      </c>
      <c r="B4131" s="2" t="s">
        <v>16585</v>
      </c>
      <c r="C4131" s="2" t="s">
        <v>16586</v>
      </c>
      <c r="D4131" s="169">
        <v>46110.0</v>
      </c>
      <c r="E4131" s="2">
        <v>3.355583185E9</v>
      </c>
      <c r="F4131" s="2" t="s">
        <v>16587</v>
      </c>
      <c r="G4131" s="2" t="s">
        <v>3305</v>
      </c>
      <c r="H4131" s="2">
        <v>3348.0</v>
      </c>
      <c r="I4131" s="2">
        <v>2.7120050023467E13</v>
      </c>
      <c r="J4131" s="3">
        <v>2.0</v>
      </c>
      <c r="K4131" s="2" t="s">
        <v>16588</v>
      </c>
      <c r="L4131" s="2" t="s">
        <v>228</v>
      </c>
      <c r="M4131" s="2" t="s">
        <v>409</v>
      </c>
      <c r="N4131" s="2" t="s">
        <v>462</v>
      </c>
      <c r="O4131" s="3"/>
      <c r="P4131" s="2" t="s">
        <v>73</v>
      </c>
      <c r="Q4131" s="3">
        <v>720.0</v>
      </c>
      <c r="R4131" s="3">
        <v>0.5</v>
      </c>
      <c r="T4131" s="2" t="s">
        <v>15278</v>
      </c>
      <c r="U4131" s="171">
        <v>3348.0</v>
      </c>
      <c r="V4131" s="172">
        <v>46126.0</v>
      </c>
      <c r="W4131" s="3">
        <v>375.78</v>
      </c>
      <c r="X4131" s="172">
        <v>46126.08114945602</v>
      </c>
      <c r="Y4131" s="172">
        <v>46110.310423159724</v>
      </c>
      <c r="Z4131" s="3">
        <v>46110.0</v>
      </c>
      <c r="AA4131" s="2" t="s">
        <v>14022</v>
      </c>
    </row>
    <row r="4132">
      <c r="A4132" s="3">
        <v>6.974423236867E12</v>
      </c>
      <c r="B4132" s="2" t="s">
        <v>16589</v>
      </c>
      <c r="C4132" s="2" t="s">
        <v>16590</v>
      </c>
      <c r="D4132" s="169">
        <v>46110.0</v>
      </c>
      <c r="E4132" s="2">
        <v>3.009372545E9</v>
      </c>
      <c r="F4132" s="2" t="s">
        <v>16591</v>
      </c>
      <c r="G4132" s="2" t="s">
        <v>16592</v>
      </c>
      <c r="H4132" s="2">
        <v>3099.0</v>
      </c>
      <c r="I4132" s="2" t="s">
        <v>16593</v>
      </c>
      <c r="J4132" s="3">
        <v>2.0</v>
      </c>
      <c r="K4132" s="2"/>
      <c r="L4132" s="2" t="s">
        <v>926</v>
      </c>
      <c r="M4132" s="2" t="s">
        <v>409</v>
      </c>
      <c r="N4132" s="2" t="s">
        <v>406</v>
      </c>
      <c r="O4132" s="3"/>
      <c r="P4132" s="2" t="s">
        <v>640</v>
      </c>
      <c r="Q4132" s="3">
        <v>980.0</v>
      </c>
      <c r="R4132" s="3">
        <v>0.5</v>
      </c>
      <c r="U4132" s="141"/>
      <c r="X4132" s="172">
        <v>46116.87610649306</v>
      </c>
      <c r="Y4132" s="172">
        <v>46110.39377122685</v>
      </c>
      <c r="Z4132" s="3">
        <v>46110.0</v>
      </c>
      <c r="AA4132" s="2" t="s">
        <v>14032</v>
      </c>
    </row>
    <row r="4133">
      <c r="A4133" s="3">
        <v>6.974428283139E12</v>
      </c>
      <c r="B4133" s="2" t="s">
        <v>16594</v>
      </c>
      <c r="C4133" s="2" t="s">
        <v>16595</v>
      </c>
      <c r="D4133" s="169">
        <v>46110.0</v>
      </c>
      <c r="E4133" s="2">
        <v>3.325216687E9</v>
      </c>
      <c r="F4133" s="2" t="s">
        <v>16596</v>
      </c>
      <c r="G4133" s="2" t="s">
        <v>506</v>
      </c>
      <c r="H4133" s="2">
        <v>249.0</v>
      </c>
      <c r="I4133" s="2">
        <v>2.1120050023076E13</v>
      </c>
      <c r="J4133" s="3">
        <v>0.0</v>
      </c>
      <c r="K4133" s="2" t="s">
        <v>15612</v>
      </c>
      <c r="L4133" s="2"/>
      <c r="M4133" s="170" t="s">
        <v>455</v>
      </c>
      <c r="N4133" s="2" t="s">
        <v>406</v>
      </c>
      <c r="O4133" s="3"/>
      <c r="P4133" s="2" t="s">
        <v>73</v>
      </c>
      <c r="Q4133" s="3">
        <v>0.0</v>
      </c>
      <c r="R4133" s="3">
        <v>0.5</v>
      </c>
      <c r="U4133" s="141"/>
      <c r="W4133" s="3">
        <v>220.98</v>
      </c>
      <c r="X4133" s="172">
        <v>46121.08103166667</v>
      </c>
      <c r="Y4133" s="172">
        <v>46110.39377122685</v>
      </c>
      <c r="Z4133" s="3">
        <v>46110.0</v>
      </c>
      <c r="AA4133" s="2" t="s">
        <v>14053</v>
      </c>
    </row>
    <row r="4134">
      <c r="A4134" s="3">
        <v>6.974489985283E12</v>
      </c>
      <c r="B4134" s="2" t="s">
        <v>16597</v>
      </c>
      <c r="C4134" s="2" t="s">
        <v>9425</v>
      </c>
      <c r="D4134" s="169">
        <v>46110.0</v>
      </c>
      <c r="E4134" s="2">
        <v>3.015846658E9</v>
      </c>
      <c r="F4134" s="2" t="s">
        <v>9427</v>
      </c>
      <c r="G4134" s="2" t="s">
        <v>822</v>
      </c>
      <c r="H4134" s="2">
        <v>0.0</v>
      </c>
      <c r="J4134" s="3">
        <v>0.0</v>
      </c>
      <c r="K4134" s="2" t="s">
        <v>16598</v>
      </c>
      <c r="L4134" s="2"/>
      <c r="M4134" s="2" t="s">
        <v>468</v>
      </c>
      <c r="N4134" s="2" t="s">
        <v>406</v>
      </c>
      <c r="O4134" s="3"/>
      <c r="Q4134" s="3">
        <v>0.0</v>
      </c>
      <c r="R4134" s="3">
        <v>0.5</v>
      </c>
      <c r="U4134" s="141"/>
      <c r="X4134" s="172"/>
      <c r="Y4134" s="172">
        <v>46110.435418611116</v>
      </c>
      <c r="Z4134" s="3">
        <v>46110.0</v>
      </c>
      <c r="AA4134" s="2" t="s">
        <v>14032</v>
      </c>
    </row>
    <row r="4135">
      <c r="A4135" s="3">
        <v>6.974507286787E12</v>
      </c>
      <c r="B4135" s="2" t="s">
        <v>16599</v>
      </c>
      <c r="C4135" s="2" t="s">
        <v>16600</v>
      </c>
      <c r="D4135" s="169">
        <v>46110.0</v>
      </c>
      <c r="E4135" s="2">
        <v>3.344654442E9</v>
      </c>
      <c r="F4135" s="2" t="s">
        <v>16601</v>
      </c>
      <c r="G4135" s="2" t="s">
        <v>368</v>
      </c>
      <c r="H4135" s="2">
        <v>249.0</v>
      </c>
      <c r="I4135" s="2">
        <v>2.3120050023075E13</v>
      </c>
      <c r="J4135" s="3">
        <v>0.0</v>
      </c>
      <c r="K4135" s="2" t="s">
        <v>16602</v>
      </c>
      <c r="L4135" s="2"/>
      <c r="M4135" s="170" t="s">
        <v>455</v>
      </c>
      <c r="N4135" s="2" t="s">
        <v>406</v>
      </c>
      <c r="O4135" s="3"/>
      <c r="P4135" s="2" t="s">
        <v>73</v>
      </c>
      <c r="Q4135" s="3">
        <v>0.0</v>
      </c>
      <c r="R4135" s="3">
        <v>0.5</v>
      </c>
      <c r="U4135" s="141"/>
      <c r="W4135" s="3">
        <v>117.86</v>
      </c>
      <c r="X4135" s="172">
        <v>46119.08109877315</v>
      </c>
      <c r="Y4135" s="172">
        <v>46110.435418611116</v>
      </c>
      <c r="Z4135" s="3">
        <v>46110.0</v>
      </c>
      <c r="AA4135" s="2" t="s">
        <v>14536</v>
      </c>
    </row>
    <row r="4136">
      <c r="A4136" s="3">
        <v>6.974521770243E12</v>
      </c>
      <c r="B4136" s="2" t="s">
        <v>16603</v>
      </c>
      <c r="C4136" s="2" t="s">
        <v>16604</v>
      </c>
      <c r="D4136" s="169">
        <v>46110.0</v>
      </c>
      <c r="E4136" s="2">
        <v>3.046553107E9</v>
      </c>
      <c r="F4136" s="2" t="s">
        <v>16605</v>
      </c>
      <c r="G4136" s="2" t="s">
        <v>374</v>
      </c>
      <c r="H4136" s="2">
        <v>249.0</v>
      </c>
      <c r="I4136" s="2">
        <v>2.9120050023074E13</v>
      </c>
      <c r="J4136" s="3">
        <v>0.0</v>
      </c>
      <c r="K4136" s="2" t="s">
        <v>16606</v>
      </c>
      <c r="L4136" s="2"/>
      <c r="M4136" s="170" t="s">
        <v>455</v>
      </c>
      <c r="N4136" s="2" t="s">
        <v>406</v>
      </c>
      <c r="O4136" s="3"/>
      <c r="P4136" s="2" t="s">
        <v>73</v>
      </c>
      <c r="Q4136" s="3">
        <v>0.0</v>
      </c>
      <c r="R4136" s="3">
        <v>0.5</v>
      </c>
      <c r="U4136" s="141"/>
      <c r="W4136" s="3">
        <v>243.08</v>
      </c>
      <c r="X4136" s="172">
        <v>46119.0810987963</v>
      </c>
      <c r="Y4136" s="172">
        <v>46110.477086087965</v>
      </c>
      <c r="Z4136" s="3">
        <v>46110.0</v>
      </c>
      <c r="AA4136" s="2" t="s">
        <v>14032</v>
      </c>
    </row>
    <row r="4137">
      <c r="A4137" s="3">
        <v>6.974533370115E12</v>
      </c>
      <c r="B4137" s="2" t="s">
        <v>16607</v>
      </c>
      <c r="C4137" s="2" t="s">
        <v>16608</v>
      </c>
      <c r="D4137" s="169">
        <v>46110.0</v>
      </c>
      <c r="E4137" s="2">
        <v>3.115609906E9</v>
      </c>
      <c r="F4137" s="2" t="s">
        <v>16609</v>
      </c>
      <c r="G4137" s="2" t="s">
        <v>749</v>
      </c>
      <c r="H4137" s="2">
        <v>2199.0</v>
      </c>
      <c r="I4137" s="2">
        <v>2.5120050023073E13</v>
      </c>
      <c r="J4137" s="3">
        <v>1.0</v>
      </c>
      <c r="K4137" s="2" t="s">
        <v>15801</v>
      </c>
      <c r="L4137" s="2" t="s">
        <v>326</v>
      </c>
      <c r="M4137" s="2" t="s">
        <v>409</v>
      </c>
      <c r="N4137" s="2" t="s">
        <v>462</v>
      </c>
      <c r="O4137" s="3"/>
      <c r="P4137" s="2" t="s">
        <v>73</v>
      </c>
      <c r="Q4137" s="3">
        <v>360.0</v>
      </c>
      <c r="R4137" s="3">
        <v>0.5</v>
      </c>
      <c r="T4137" s="2" t="s">
        <v>12503</v>
      </c>
      <c r="U4137" s="171">
        <v>2199.0</v>
      </c>
      <c r="V4137" s="172">
        <v>46115.0</v>
      </c>
      <c r="W4137" s="3">
        <v>308.94</v>
      </c>
      <c r="X4137" s="172">
        <v>46114.54137519676</v>
      </c>
      <c r="Y4137" s="172">
        <v>46110.477086087965</v>
      </c>
      <c r="Z4137" s="3">
        <v>46110.0</v>
      </c>
      <c r="AA4137" s="2" t="s">
        <v>14032</v>
      </c>
    </row>
    <row r="4138">
      <c r="A4138" s="3">
        <v>6.974535598339E12</v>
      </c>
      <c r="B4138" s="2" t="s">
        <v>16610</v>
      </c>
      <c r="C4138" s="2" t="s">
        <v>16611</v>
      </c>
      <c r="D4138" s="169">
        <v>46110.0</v>
      </c>
      <c r="E4138" s="2">
        <v>3.134144915E9</v>
      </c>
      <c r="F4138" s="2" t="s">
        <v>16612</v>
      </c>
      <c r="G4138" s="2" t="s">
        <v>368</v>
      </c>
      <c r="H4138" s="2">
        <v>3348.0</v>
      </c>
      <c r="I4138" s="2">
        <v>2.5120050023072E13</v>
      </c>
      <c r="J4138" s="3">
        <v>2.0</v>
      </c>
      <c r="K4138" s="2" t="s">
        <v>15950</v>
      </c>
      <c r="L4138" s="2" t="s">
        <v>13413</v>
      </c>
      <c r="M4138" s="2" t="s">
        <v>409</v>
      </c>
      <c r="N4138" s="2" t="s">
        <v>462</v>
      </c>
      <c r="O4138" s="3"/>
      <c r="P4138" s="2" t="s">
        <v>73</v>
      </c>
      <c r="Q4138" s="3">
        <v>800.0</v>
      </c>
      <c r="R4138" s="3">
        <v>0.5</v>
      </c>
      <c r="T4138" s="2" t="s">
        <v>12503</v>
      </c>
      <c r="U4138" s="171">
        <v>3348.0</v>
      </c>
      <c r="V4138" s="172">
        <v>46115.0</v>
      </c>
      <c r="W4138" s="3">
        <v>251.78</v>
      </c>
      <c r="X4138" s="172">
        <v>46112.58315222222</v>
      </c>
      <c r="Y4138" s="172">
        <v>46110.477086087965</v>
      </c>
      <c r="Z4138" s="3">
        <v>46110.0</v>
      </c>
      <c r="AA4138" s="2" t="s">
        <v>14032</v>
      </c>
    </row>
    <row r="4139">
      <c r="A4139" s="3">
        <v>6.974604902659E12</v>
      </c>
      <c r="B4139" s="2" t="s">
        <v>16613</v>
      </c>
      <c r="C4139" s="2" t="s">
        <v>16614</v>
      </c>
      <c r="D4139" s="169">
        <v>46110.0</v>
      </c>
      <c r="E4139" s="2">
        <v>3.150027287E9</v>
      </c>
      <c r="F4139" s="2" t="s">
        <v>16615</v>
      </c>
      <c r="G4139" s="2" t="s">
        <v>781</v>
      </c>
      <c r="H4139" s="2">
        <v>249.0</v>
      </c>
      <c r="I4139" s="2">
        <v>2.5120050023194E13</v>
      </c>
      <c r="J4139" s="3">
        <v>0.0</v>
      </c>
      <c r="K4139" s="2" t="s">
        <v>16616</v>
      </c>
      <c r="L4139" s="2"/>
      <c r="M4139" s="170" t="s">
        <v>455</v>
      </c>
      <c r="N4139" s="2" t="s">
        <v>406</v>
      </c>
      <c r="O4139" s="3"/>
      <c r="P4139" s="2" t="s">
        <v>73</v>
      </c>
      <c r="Q4139" s="3">
        <v>0.0</v>
      </c>
      <c r="R4139" s="3">
        <v>0.5</v>
      </c>
      <c r="U4139" s="141"/>
      <c r="W4139" s="3">
        <v>235.70999999999998</v>
      </c>
      <c r="X4139" s="172">
        <v>46124.08138145834</v>
      </c>
      <c r="Y4139" s="172">
        <v>46110.51877034722</v>
      </c>
      <c r="Z4139" s="3">
        <v>46110.0</v>
      </c>
      <c r="AA4139" s="2" t="s">
        <v>14032</v>
      </c>
    </row>
    <row r="4140">
      <c r="A4140" s="3">
        <v>6.974636163331E12</v>
      </c>
      <c r="B4140" s="2" t="s">
        <v>16617</v>
      </c>
      <c r="C4140" s="2" t="s">
        <v>2624</v>
      </c>
      <c r="D4140" s="169">
        <v>46110.0</v>
      </c>
      <c r="E4140" s="173" t="s">
        <v>16618</v>
      </c>
      <c r="F4140" s="2" t="s">
        <v>16619</v>
      </c>
      <c r="G4140" s="2" t="s">
        <v>493</v>
      </c>
      <c r="H4140" s="2">
        <v>0.0</v>
      </c>
      <c r="I4140" s="2">
        <v>2.1120050023071E13</v>
      </c>
      <c r="J4140" s="3">
        <v>0.0</v>
      </c>
      <c r="K4140" s="2" t="s">
        <v>16620</v>
      </c>
      <c r="L4140" s="2"/>
      <c r="M4140" s="2" t="s">
        <v>468</v>
      </c>
      <c r="N4140" s="2" t="s">
        <v>406</v>
      </c>
      <c r="O4140" s="3"/>
      <c r="P4140" s="2" t="s">
        <v>73</v>
      </c>
      <c r="Q4140" s="3">
        <v>0.0</v>
      </c>
      <c r="R4140" s="3">
        <v>0.5</v>
      </c>
      <c r="U4140" s="141"/>
      <c r="X4140" s="172">
        <v>46122.08106790509</v>
      </c>
      <c r="Y4140" s="172">
        <v>46110.56042811343</v>
      </c>
      <c r="Z4140" s="3">
        <v>46110.0</v>
      </c>
      <c r="AA4140" s="2" t="s">
        <v>14103</v>
      </c>
    </row>
    <row r="4141">
      <c r="A4141" s="3">
        <v>6.974647861507E12</v>
      </c>
      <c r="B4141" s="2" t="s">
        <v>16621</v>
      </c>
      <c r="C4141" s="2" t="s">
        <v>16622</v>
      </c>
      <c r="D4141" s="169">
        <v>46110.0</v>
      </c>
      <c r="E4141" s="173" t="s">
        <v>16623</v>
      </c>
      <c r="F4141" s="2" t="s">
        <v>16624</v>
      </c>
      <c r="G4141" s="2" t="s">
        <v>368</v>
      </c>
      <c r="H4141" s="2">
        <v>1848.0</v>
      </c>
      <c r="I4141" s="2">
        <v>2.6120050023193E13</v>
      </c>
      <c r="J4141" s="3">
        <v>1.0</v>
      </c>
      <c r="K4141" s="2" t="s">
        <v>15783</v>
      </c>
      <c r="L4141" s="2" t="s">
        <v>16625</v>
      </c>
      <c r="M4141" s="2" t="s">
        <v>409</v>
      </c>
      <c r="N4141" s="2" t="s">
        <v>462</v>
      </c>
      <c r="O4141" s="3"/>
      <c r="P4141" s="2" t="s">
        <v>73</v>
      </c>
      <c r="Q4141" s="3">
        <v>650.0</v>
      </c>
      <c r="R4141" s="3">
        <v>0.5</v>
      </c>
      <c r="T4141" s="2" t="s">
        <v>12503</v>
      </c>
      <c r="U4141" s="171">
        <v>1848.0</v>
      </c>
      <c r="V4141" s="172">
        <v>46115.0</v>
      </c>
      <c r="W4141" s="3">
        <v>191.78</v>
      </c>
      <c r="X4141" s="172">
        <v>46114.54137530093</v>
      </c>
      <c r="Y4141" s="172">
        <v>46110.56042811343</v>
      </c>
      <c r="Z4141" s="3">
        <v>46110.0</v>
      </c>
      <c r="AA4141" s="2" t="s">
        <v>14103</v>
      </c>
    </row>
    <row r="4142">
      <c r="A4142" s="3">
        <v>6.974648025347E12</v>
      </c>
      <c r="B4142" s="2" t="s">
        <v>16626</v>
      </c>
      <c r="C4142" s="2" t="s">
        <v>16627</v>
      </c>
      <c r="D4142" s="169">
        <v>46110.0</v>
      </c>
      <c r="E4142" s="2">
        <v>3.219044797E9</v>
      </c>
      <c r="F4142" s="2" t="s">
        <v>16628</v>
      </c>
      <c r="G4142" s="2" t="s">
        <v>781</v>
      </c>
      <c r="H4142" s="2">
        <v>2049.0</v>
      </c>
      <c r="I4142" s="2">
        <v>2.4120050023192E13</v>
      </c>
      <c r="J4142" s="3">
        <v>1.0</v>
      </c>
      <c r="K4142" s="2" t="s">
        <v>16629</v>
      </c>
      <c r="L4142" s="2" t="s">
        <v>16630</v>
      </c>
      <c r="M4142" s="2" t="s">
        <v>409</v>
      </c>
      <c r="N4142" s="2" t="s">
        <v>462</v>
      </c>
      <c r="O4142" s="3"/>
      <c r="P4142" s="2" t="s">
        <v>73</v>
      </c>
      <c r="Q4142" s="3">
        <v>400.0</v>
      </c>
      <c r="R4142" s="3">
        <v>0.5</v>
      </c>
      <c r="T4142" s="2" t="s">
        <v>15010</v>
      </c>
      <c r="U4142" s="171">
        <v>2049.0</v>
      </c>
      <c r="V4142" s="172">
        <v>46119.0</v>
      </c>
      <c r="W4142" s="3">
        <v>317.67</v>
      </c>
      <c r="X4142" s="172">
        <v>46116.49955516204</v>
      </c>
      <c r="Y4142" s="172">
        <v>46110.56042811343</v>
      </c>
      <c r="Z4142" s="3">
        <v>46110.0</v>
      </c>
      <c r="AA4142" s="2" t="s">
        <v>14053</v>
      </c>
    </row>
    <row r="4143">
      <c r="A4143" s="3">
        <v>6.974691934467E12</v>
      </c>
      <c r="B4143" s="2" t="s">
        <v>16631</v>
      </c>
      <c r="C4143" s="2" t="s">
        <v>16632</v>
      </c>
      <c r="D4143" s="169">
        <v>46110.0</v>
      </c>
      <c r="E4143" s="2">
        <v>3.21249453E9</v>
      </c>
      <c r="F4143" s="2" t="s">
        <v>16633</v>
      </c>
      <c r="G4143" s="2" t="s">
        <v>506</v>
      </c>
      <c r="H4143" s="2">
        <v>3348.0</v>
      </c>
      <c r="I4143" s="2">
        <v>2.312005002307E13</v>
      </c>
      <c r="J4143" s="3">
        <v>2.0</v>
      </c>
      <c r="K4143" s="2" t="s">
        <v>15531</v>
      </c>
      <c r="L4143" s="2" t="s">
        <v>27</v>
      </c>
      <c r="M4143" s="2" t="s">
        <v>409</v>
      </c>
      <c r="N4143" s="2" t="s">
        <v>462</v>
      </c>
      <c r="O4143" s="3"/>
      <c r="P4143" s="2" t="s">
        <v>73</v>
      </c>
      <c r="Q4143" s="3">
        <v>720.0</v>
      </c>
      <c r="R4143" s="3">
        <v>0.5</v>
      </c>
      <c r="T4143" s="2" t="s">
        <v>15010</v>
      </c>
      <c r="U4143" s="171">
        <v>3348.0</v>
      </c>
      <c r="V4143" s="172">
        <v>46119.0</v>
      </c>
      <c r="W4143" s="3">
        <v>354.9</v>
      </c>
      <c r="X4143" s="172">
        <v>46116.499556180555</v>
      </c>
      <c r="Y4143" s="172">
        <v>46110.60209837963</v>
      </c>
      <c r="Z4143" s="3">
        <v>46110.0</v>
      </c>
      <c r="AA4143" s="2" t="s">
        <v>14022</v>
      </c>
    </row>
    <row r="4144">
      <c r="A4144" s="3">
        <v>6.974708220163E12</v>
      </c>
      <c r="B4144" s="2" t="s">
        <v>16634</v>
      </c>
      <c r="C4144" s="2" t="s">
        <v>11834</v>
      </c>
      <c r="D4144" s="169">
        <v>46110.0</v>
      </c>
      <c r="E4144" s="2">
        <v>3.009109709E9</v>
      </c>
      <c r="F4144" s="2" t="s">
        <v>16635</v>
      </c>
      <c r="G4144" s="2" t="s">
        <v>16636</v>
      </c>
      <c r="H4144" s="2">
        <v>2099.0</v>
      </c>
      <c r="I4144" s="2">
        <v>2.0120050023069E13</v>
      </c>
      <c r="J4144" s="3">
        <v>1.0</v>
      </c>
      <c r="K4144" s="2" t="s">
        <v>16637</v>
      </c>
      <c r="L4144" s="2" t="s">
        <v>3222</v>
      </c>
      <c r="M4144" s="2" t="s">
        <v>409</v>
      </c>
      <c r="N4144" s="2" t="s">
        <v>462</v>
      </c>
      <c r="O4144" s="3"/>
      <c r="P4144" s="2" t="s">
        <v>73</v>
      </c>
      <c r="Q4144" s="3">
        <v>490.0</v>
      </c>
      <c r="R4144" s="3">
        <v>0.5</v>
      </c>
      <c r="T4144" s="2" t="s">
        <v>12503</v>
      </c>
      <c r="U4144" s="171">
        <v>2099.0</v>
      </c>
      <c r="V4144" s="172">
        <v>46115.0</v>
      </c>
      <c r="W4144" s="3">
        <v>304.94</v>
      </c>
      <c r="X4144" s="172">
        <v>46113.74965668982</v>
      </c>
      <c r="Y4144" s="172">
        <v>46110.60209837963</v>
      </c>
      <c r="Z4144" s="3">
        <v>46110.0</v>
      </c>
      <c r="AA4144" s="2" t="s">
        <v>14041</v>
      </c>
    </row>
    <row r="4145">
      <c r="A4145" s="3">
        <v>6.974738497795E12</v>
      </c>
      <c r="B4145" s="2" t="s">
        <v>16638</v>
      </c>
      <c r="C4145" s="2" t="s">
        <v>16639</v>
      </c>
      <c r="D4145" s="169">
        <v>46110.0</v>
      </c>
      <c r="E4145" s="173" t="s">
        <v>16640</v>
      </c>
      <c r="F4145" s="2" t="s">
        <v>16641</v>
      </c>
      <c r="G4145" s="2" t="s">
        <v>781</v>
      </c>
      <c r="H4145" s="2">
        <v>249.0</v>
      </c>
      <c r="I4145" s="2">
        <v>2.4120050023068E13</v>
      </c>
      <c r="J4145" s="3">
        <v>0.0</v>
      </c>
      <c r="K4145" s="2" t="s">
        <v>15580</v>
      </c>
      <c r="L4145" s="2"/>
      <c r="M4145" s="170" t="s">
        <v>455</v>
      </c>
      <c r="N4145" s="2" t="s">
        <v>406</v>
      </c>
      <c r="O4145" s="3"/>
      <c r="P4145" s="2" t="s">
        <v>73</v>
      </c>
      <c r="Q4145" s="3">
        <v>0.0</v>
      </c>
      <c r="R4145" s="3">
        <v>0.5</v>
      </c>
      <c r="U4145" s="141"/>
      <c r="W4145" s="3">
        <v>235.70999999999998</v>
      </c>
      <c r="X4145" s="172">
        <v>46121.08103168981</v>
      </c>
      <c r="Y4145" s="172">
        <v>46110.64378258101</v>
      </c>
      <c r="Z4145" s="3">
        <v>46110.0</v>
      </c>
      <c r="AA4145" s="2" t="s">
        <v>14103</v>
      </c>
    </row>
    <row r="4146">
      <c r="A4146" s="3">
        <v>6.974762189059E12</v>
      </c>
      <c r="B4146" s="2" t="s">
        <v>16642</v>
      </c>
      <c r="C4146" s="2" t="s">
        <v>16209</v>
      </c>
      <c r="D4146" s="169">
        <v>46110.0</v>
      </c>
      <c r="E4146" s="2">
        <v>3.419468285E9</v>
      </c>
      <c r="F4146" s="2" t="s">
        <v>16643</v>
      </c>
      <c r="G4146" s="2" t="s">
        <v>12798</v>
      </c>
      <c r="H4146" s="2">
        <v>3348.0</v>
      </c>
      <c r="I4146" s="2">
        <v>2.0120050023067E13</v>
      </c>
      <c r="J4146" s="3">
        <v>2.0</v>
      </c>
      <c r="K4146" s="2" t="s">
        <v>15531</v>
      </c>
      <c r="L4146" s="2" t="s">
        <v>296</v>
      </c>
      <c r="M4146" s="2" t="s">
        <v>409</v>
      </c>
      <c r="N4146" s="2" t="s">
        <v>462</v>
      </c>
      <c r="O4146" s="3"/>
      <c r="P4146" s="2" t="s">
        <v>73</v>
      </c>
      <c r="Q4146" s="3">
        <v>720.0</v>
      </c>
      <c r="R4146" s="3">
        <v>0.5</v>
      </c>
      <c r="T4146" s="2" t="s">
        <v>15010</v>
      </c>
      <c r="U4146" s="171">
        <v>3348.0</v>
      </c>
      <c r="V4146" s="172">
        <v>46119.0</v>
      </c>
      <c r="W4146" s="3">
        <v>369.62999999999994</v>
      </c>
      <c r="X4146" s="172">
        <v>46115.62447190972</v>
      </c>
      <c r="Y4146" s="172">
        <v>46110.68542700232</v>
      </c>
      <c r="Z4146" s="3">
        <v>46110.0</v>
      </c>
      <c r="AA4146" s="2" t="s">
        <v>14103</v>
      </c>
    </row>
    <row r="4147">
      <c r="A4147" s="3">
        <v>6.974763663619E12</v>
      </c>
      <c r="B4147" s="2" t="s">
        <v>16644</v>
      </c>
      <c r="C4147" s="2" t="s">
        <v>16645</v>
      </c>
      <c r="D4147" s="169">
        <v>46110.0</v>
      </c>
      <c r="E4147" s="2">
        <v>3.24141844E9</v>
      </c>
      <c r="F4147" s="2" t="s">
        <v>16646</v>
      </c>
      <c r="G4147" s="2" t="s">
        <v>368</v>
      </c>
      <c r="H4147" s="2">
        <v>2199.0</v>
      </c>
      <c r="I4147" s="2">
        <v>2.5120050023066E13</v>
      </c>
      <c r="J4147" s="3">
        <v>1.0</v>
      </c>
      <c r="K4147" s="2" t="s">
        <v>15801</v>
      </c>
      <c r="L4147" s="2" t="s">
        <v>326</v>
      </c>
      <c r="M4147" s="2" t="s">
        <v>409</v>
      </c>
      <c r="N4147" s="2" t="s">
        <v>462</v>
      </c>
      <c r="O4147" s="3"/>
      <c r="P4147" s="2" t="s">
        <v>73</v>
      </c>
      <c r="Q4147" s="3">
        <v>360.0</v>
      </c>
      <c r="R4147" s="3">
        <v>0.5</v>
      </c>
      <c r="T4147" s="2" t="s">
        <v>12503</v>
      </c>
      <c r="U4147" s="171">
        <v>2199.0</v>
      </c>
      <c r="V4147" s="172">
        <v>46115.0</v>
      </c>
      <c r="W4147" s="3">
        <v>308.94</v>
      </c>
      <c r="X4147" s="172">
        <v>46112.707930324075</v>
      </c>
      <c r="Y4147" s="172">
        <v>46110.68542700232</v>
      </c>
      <c r="Z4147" s="3">
        <v>46110.0</v>
      </c>
      <c r="AA4147" s="2" t="s">
        <v>14032</v>
      </c>
    </row>
    <row r="4148">
      <c r="A4148" s="3">
        <v>6.974781686019E12</v>
      </c>
      <c r="B4148" s="2" t="s">
        <v>16647</v>
      </c>
      <c r="C4148" s="2" t="s">
        <v>16648</v>
      </c>
      <c r="D4148" s="169">
        <v>46110.0</v>
      </c>
      <c r="E4148" s="2">
        <v>3.016202626E9</v>
      </c>
      <c r="F4148" s="2" t="s">
        <v>16649</v>
      </c>
      <c r="G4148" s="2" t="s">
        <v>16650</v>
      </c>
      <c r="H4148" s="2">
        <v>3798.0</v>
      </c>
      <c r="I4148" s="2">
        <v>2.0120050023065E13</v>
      </c>
      <c r="J4148" s="3">
        <v>2.0</v>
      </c>
      <c r="K4148" s="2" t="s">
        <v>16651</v>
      </c>
      <c r="L4148" s="2" t="s">
        <v>16652</v>
      </c>
      <c r="M4148" s="2" t="s">
        <v>409</v>
      </c>
      <c r="N4148" s="2" t="s">
        <v>462</v>
      </c>
      <c r="O4148" s="3"/>
      <c r="P4148" s="2" t="s">
        <v>73</v>
      </c>
      <c r="Q4148" s="3">
        <v>1010.0</v>
      </c>
      <c r="R4148" s="3">
        <v>0.5</v>
      </c>
      <c r="T4148" s="2" t="s">
        <v>12503</v>
      </c>
      <c r="U4148" s="171">
        <v>3798.0</v>
      </c>
      <c r="V4148" s="172">
        <v>46115.0</v>
      </c>
      <c r="W4148" s="3">
        <v>395.0</v>
      </c>
      <c r="X4148" s="172">
        <v>46114.74970961806</v>
      </c>
      <c r="Y4148" s="172">
        <v>46110.68542700232</v>
      </c>
      <c r="Z4148" s="3">
        <v>46110.0</v>
      </c>
      <c r="AA4148" s="2" t="s">
        <v>14032</v>
      </c>
    </row>
    <row r="4149">
      <c r="A4149" s="3">
        <v>6.974784307459E12</v>
      </c>
      <c r="B4149" s="2" t="s">
        <v>16653</v>
      </c>
      <c r="C4149" s="2" t="s">
        <v>16654</v>
      </c>
      <c r="D4149" s="169">
        <v>46110.0</v>
      </c>
      <c r="E4149" s="173" t="s">
        <v>16655</v>
      </c>
      <c r="F4149" s="2" t="s">
        <v>16656</v>
      </c>
      <c r="G4149" s="2" t="s">
        <v>506</v>
      </c>
      <c r="H4149" s="2">
        <v>3348.0</v>
      </c>
      <c r="I4149" s="2">
        <v>2.2120050023064E13</v>
      </c>
      <c r="J4149" s="3">
        <v>2.0</v>
      </c>
      <c r="K4149" s="2" t="s">
        <v>15950</v>
      </c>
      <c r="L4149" s="2" t="s">
        <v>2324</v>
      </c>
      <c r="M4149" s="2" t="s">
        <v>409</v>
      </c>
      <c r="N4149" s="2" t="s">
        <v>462</v>
      </c>
      <c r="O4149" s="3"/>
      <c r="P4149" s="2" t="s">
        <v>73</v>
      </c>
      <c r="Q4149" s="3">
        <v>720.0</v>
      </c>
      <c r="R4149" s="3">
        <v>0.5</v>
      </c>
      <c r="T4149" s="2" t="s">
        <v>12503</v>
      </c>
      <c r="U4149" s="171">
        <v>3348.0</v>
      </c>
      <c r="V4149" s="172">
        <v>46115.0</v>
      </c>
      <c r="W4149" s="3">
        <v>354.9</v>
      </c>
      <c r="X4149" s="172">
        <v>46113.582970972224</v>
      </c>
      <c r="Y4149" s="172">
        <v>46110.68542700232</v>
      </c>
      <c r="Z4149" s="3">
        <v>46110.0</v>
      </c>
      <c r="AA4149" s="2" t="s">
        <v>14103</v>
      </c>
    </row>
    <row r="4150">
      <c r="A4150" s="3">
        <v>6.974792597763E12</v>
      </c>
      <c r="B4150" s="2" t="s">
        <v>16657</v>
      </c>
      <c r="C4150" s="2" t="s">
        <v>16658</v>
      </c>
      <c r="D4150" s="169">
        <v>46110.0</v>
      </c>
      <c r="E4150" s="2">
        <v>3.454014448E9</v>
      </c>
      <c r="F4150" s="2" t="s">
        <v>16659</v>
      </c>
      <c r="G4150" s="2" t="s">
        <v>541</v>
      </c>
      <c r="H4150" s="2">
        <v>2749.0</v>
      </c>
      <c r="I4150" s="2">
        <v>2.2120050023063E13</v>
      </c>
      <c r="J4150" s="3">
        <v>1.0</v>
      </c>
      <c r="K4150" s="2" t="s">
        <v>16660</v>
      </c>
      <c r="L4150" s="2" t="s">
        <v>542</v>
      </c>
      <c r="M4150" s="2" t="s">
        <v>409</v>
      </c>
      <c r="N4150" s="2" t="s">
        <v>462</v>
      </c>
      <c r="O4150" s="3"/>
      <c r="P4150" s="2" t="s">
        <v>73</v>
      </c>
      <c r="Q4150" s="3">
        <v>610.0</v>
      </c>
      <c r="R4150" s="3">
        <v>0.5</v>
      </c>
      <c r="T4150" s="2" t="s">
        <v>12503</v>
      </c>
      <c r="U4150" s="171">
        <v>2749.0</v>
      </c>
      <c r="V4150" s="172">
        <v>46115.0</v>
      </c>
      <c r="W4150" s="3">
        <v>330.94</v>
      </c>
      <c r="X4150" s="172">
        <v>46113.74965675926</v>
      </c>
      <c r="Y4150" s="172">
        <v>46110.727107326384</v>
      </c>
      <c r="Z4150" s="3">
        <v>46110.0</v>
      </c>
      <c r="AA4150" s="2" t="s">
        <v>14103</v>
      </c>
    </row>
    <row r="4151">
      <c r="A4151" s="3">
        <v>6.974823825667E12</v>
      </c>
      <c r="B4151" s="2" t="s">
        <v>16661</v>
      </c>
      <c r="C4151" s="2" t="s">
        <v>16662</v>
      </c>
      <c r="D4151" s="169">
        <v>46110.0</v>
      </c>
      <c r="E4151" s="2">
        <v>3.333458896E9</v>
      </c>
      <c r="F4151" s="2" t="s">
        <v>16663</v>
      </c>
      <c r="G4151" s="2" t="s">
        <v>493</v>
      </c>
      <c r="H4151" s="2">
        <v>3999.0</v>
      </c>
      <c r="I4151" s="2">
        <v>2.9120050023465E13</v>
      </c>
      <c r="J4151" s="3">
        <v>2.0</v>
      </c>
      <c r="K4151" s="2" t="s">
        <v>16664</v>
      </c>
      <c r="L4151" s="2" t="s">
        <v>13886</v>
      </c>
      <c r="M4151" s="2" t="s">
        <v>409</v>
      </c>
      <c r="N4151" s="2" t="s">
        <v>462</v>
      </c>
      <c r="O4151" s="3"/>
      <c r="P4151" s="2" t="s">
        <v>73</v>
      </c>
      <c r="Q4151" s="3">
        <v>720.0</v>
      </c>
      <c r="R4151" s="3">
        <v>0.5</v>
      </c>
      <c r="T4151" s="2" t="s">
        <v>15278</v>
      </c>
      <c r="U4151" s="171">
        <v>3999.0</v>
      </c>
      <c r="V4151" s="172">
        <v>46126.0</v>
      </c>
      <c r="W4151" s="3">
        <v>417.94000000000005</v>
      </c>
      <c r="X4151" s="172">
        <v>46125.08101491898</v>
      </c>
      <c r="Y4151" s="172">
        <v>46110.727107326384</v>
      </c>
      <c r="Z4151" s="3">
        <v>46110.0</v>
      </c>
      <c r="AA4151" s="2" t="s">
        <v>14053</v>
      </c>
    </row>
    <row r="4152">
      <c r="A4152" s="3">
        <v>6.974827888899E12</v>
      </c>
      <c r="B4152" s="2" t="s">
        <v>16665</v>
      </c>
      <c r="C4152" s="2" t="s">
        <v>16666</v>
      </c>
      <c r="D4152" s="169">
        <v>46110.0</v>
      </c>
      <c r="E4152" s="2">
        <v>3.14643038E9</v>
      </c>
      <c r="F4152" s="2" t="s">
        <v>16667</v>
      </c>
      <c r="G4152" s="2" t="s">
        <v>16668</v>
      </c>
      <c r="H4152" s="2">
        <v>249.0</v>
      </c>
      <c r="I4152" s="2">
        <v>2.5120050023061E13</v>
      </c>
      <c r="J4152" s="3">
        <v>0.0</v>
      </c>
      <c r="K4152" s="2" t="s">
        <v>15580</v>
      </c>
      <c r="L4152" s="2"/>
      <c r="M4152" s="170" t="s">
        <v>455</v>
      </c>
      <c r="N4152" s="2" t="s">
        <v>406</v>
      </c>
      <c r="O4152" s="3"/>
      <c r="P4152" s="2" t="s">
        <v>73</v>
      </c>
      <c r="Q4152" s="3">
        <v>0.0</v>
      </c>
      <c r="R4152" s="3">
        <v>0.5</v>
      </c>
      <c r="U4152" s="141"/>
      <c r="W4152" s="3">
        <v>235.70999999999998</v>
      </c>
      <c r="X4152" s="172">
        <v>46120.081071747685</v>
      </c>
      <c r="Y4152" s="172">
        <v>46110.727107326384</v>
      </c>
      <c r="Z4152" s="3">
        <v>46110.0</v>
      </c>
      <c r="AA4152" s="2" t="s">
        <v>14032</v>
      </c>
    </row>
    <row r="4153">
      <c r="A4153" s="3">
        <v>6.974833066243E12</v>
      </c>
      <c r="B4153" s="2" t="s">
        <v>147</v>
      </c>
      <c r="C4153" s="2" t="s">
        <v>13987</v>
      </c>
      <c r="D4153" s="169">
        <v>46110.0</v>
      </c>
      <c r="E4153" s="173" t="s">
        <v>14135</v>
      </c>
      <c r="F4153" s="2" t="s">
        <v>14927</v>
      </c>
      <c r="G4153" s="2" t="s">
        <v>541</v>
      </c>
      <c r="H4153" s="2">
        <v>3348.0</v>
      </c>
      <c r="I4153" s="2">
        <v>2.9120050023529E13</v>
      </c>
      <c r="J4153" s="3">
        <v>2.0</v>
      </c>
      <c r="K4153" s="2" t="s">
        <v>16475</v>
      </c>
      <c r="L4153" s="2" t="s">
        <v>40</v>
      </c>
      <c r="M4153" s="2" t="s">
        <v>409</v>
      </c>
      <c r="N4153" s="2" t="s">
        <v>462</v>
      </c>
      <c r="O4153" s="3"/>
      <c r="P4153" s="2" t="s">
        <v>73</v>
      </c>
      <c r="Q4153" s="3">
        <v>720.0</v>
      </c>
      <c r="R4153" s="3">
        <v>0.5</v>
      </c>
      <c r="T4153" s="2" t="s">
        <v>72</v>
      </c>
      <c r="U4153" s="171">
        <v>3348.0</v>
      </c>
      <c r="V4153" s="172">
        <v>46129.0</v>
      </c>
      <c r="W4153" s="3">
        <v>375.78</v>
      </c>
      <c r="X4153" s="172">
        <v>46128.08098530093</v>
      </c>
      <c r="Y4153" s="172">
        <v>46110.76916269676</v>
      </c>
      <c r="Z4153" s="3">
        <v>46110.0</v>
      </c>
      <c r="AA4153" s="2" t="s">
        <v>14022</v>
      </c>
    </row>
    <row r="4154">
      <c r="A4154" s="3">
        <v>6.974916034819E12</v>
      </c>
      <c r="B4154" s="2" t="s">
        <v>16669</v>
      </c>
      <c r="C4154" s="2" t="s">
        <v>16670</v>
      </c>
      <c r="D4154" s="169">
        <v>46110.0</v>
      </c>
      <c r="E4154" s="2">
        <v>3.377255552E9</v>
      </c>
      <c r="F4154" s="2" t="s">
        <v>16671</v>
      </c>
      <c r="G4154" s="2" t="s">
        <v>366</v>
      </c>
      <c r="H4154" s="2">
        <v>3348.0</v>
      </c>
      <c r="I4154" s="2">
        <v>2.7120050023464E13</v>
      </c>
      <c r="J4154" s="3">
        <v>2.0</v>
      </c>
      <c r="K4154" s="2" t="s">
        <v>15277</v>
      </c>
      <c r="L4154" s="2" t="s">
        <v>40</v>
      </c>
      <c r="M4154" s="2" t="s">
        <v>409</v>
      </c>
      <c r="N4154" s="2" t="s">
        <v>462</v>
      </c>
      <c r="O4154" s="3"/>
      <c r="P4154" s="2" t="s">
        <v>73</v>
      </c>
      <c r="Q4154" s="3">
        <v>720.0</v>
      </c>
      <c r="R4154" s="3">
        <v>0.5</v>
      </c>
      <c r="T4154" s="2" t="s">
        <v>15278</v>
      </c>
      <c r="U4154" s="171">
        <v>3348.0</v>
      </c>
      <c r="V4154" s="172">
        <v>46126.0</v>
      </c>
      <c r="W4154" s="3">
        <v>375.78</v>
      </c>
      <c r="X4154" s="172">
        <v>46125.08101634259</v>
      </c>
      <c r="Y4154" s="172">
        <v>46110.81043428241</v>
      </c>
      <c r="Z4154" s="3">
        <v>46110.0</v>
      </c>
      <c r="AA4154" s="2" t="s">
        <v>14103</v>
      </c>
    </row>
    <row r="4155">
      <c r="A4155" s="3">
        <v>6.974923636995E12</v>
      </c>
      <c r="B4155" s="2" t="s">
        <v>16672</v>
      </c>
      <c r="C4155" s="2" t="s">
        <v>13775</v>
      </c>
      <c r="D4155" s="169">
        <v>46110.0</v>
      </c>
      <c r="E4155" s="2">
        <v>3.218496184E9</v>
      </c>
      <c r="F4155" s="2" t="s">
        <v>16673</v>
      </c>
      <c r="G4155" s="2" t="s">
        <v>368</v>
      </c>
      <c r="H4155" s="2">
        <v>6200.0</v>
      </c>
      <c r="I4155" s="2">
        <v>2.5120050023058E13</v>
      </c>
      <c r="J4155" s="3">
        <v>3.0</v>
      </c>
      <c r="K4155" s="2" t="s">
        <v>16674</v>
      </c>
      <c r="L4155" s="2" t="s">
        <v>16675</v>
      </c>
      <c r="M4155" s="2" t="s">
        <v>409</v>
      </c>
      <c r="N4155" s="2" t="s">
        <v>462</v>
      </c>
      <c r="O4155" s="3"/>
      <c r="P4155" s="2" t="s">
        <v>73</v>
      </c>
      <c r="Q4155" s="3">
        <v>1860.0</v>
      </c>
      <c r="R4155" s="3">
        <v>0.5</v>
      </c>
      <c r="T4155" s="2" t="s">
        <v>12503</v>
      </c>
      <c r="U4155" s="171">
        <v>6200.0</v>
      </c>
      <c r="V4155" s="172">
        <v>46115.0</v>
      </c>
      <c r="W4155" s="3">
        <v>186.59</v>
      </c>
      <c r="X4155" s="172">
        <v>46112.624764479166</v>
      </c>
      <c r="Y4155" s="172">
        <v>46110.81043428241</v>
      </c>
      <c r="Z4155" s="3">
        <v>46110.0</v>
      </c>
      <c r="AA4155" s="2" t="s">
        <v>14022</v>
      </c>
    </row>
    <row r="4156">
      <c r="A4156" s="3">
        <v>6.974962958595E12</v>
      </c>
      <c r="B4156" s="2" t="s">
        <v>16676</v>
      </c>
      <c r="C4156" s="2" t="s">
        <v>16677</v>
      </c>
      <c r="D4156" s="169">
        <v>46110.0</v>
      </c>
      <c r="E4156" s="2">
        <v>3.555379494E9</v>
      </c>
      <c r="F4156" s="2" t="s">
        <v>16678</v>
      </c>
      <c r="G4156" s="2" t="s">
        <v>1224</v>
      </c>
      <c r="H4156" s="2">
        <v>3348.0</v>
      </c>
      <c r="I4156" s="2" t="s">
        <v>16679</v>
      </c>
      <c r="J4156" s="3">
        <v>2.0</v>
      </c>
      <c r="K4156" s="2" t="s">
        <v>204</v>
      </c>
      <c r="L4156" s="2" t="s">
        <v>228</v>
      </c>
      <c r="M4156" s="2" t="s">
        <v>409</v>
      </c>
      <c r="N4156" s="2" t="s">
        <v>406</v>
      </c>
      <c r="O4156" s="3"/>
      <c r="P4156" s="2" t="s">
        <v>640</v>
      </c>
      <c r="Q4156" s="3">
        <v>720.0</v>
      </c>
      <c r="R4156" s="3">
        <v>0.5</v>
      </c>
      <c r="U4156" s="141"/>
      <c r="X4156" s="172">
        <v>46127.08332822917</v>
      </c>
      <c r="Y4156" s="172">
        <v>46110.852117789356</v>
      </c>
      <c r="Z4156" s="3">
        <v>46110.0</v>
      </c>
      <c r="AA4156" s="2" t="s">
        <v>14053</v>
      </c>
    </row>
    <row r="4157">
      <c r="A4157" s="3">
        <v>6.975011356931E12</v>
      </c>
      <c r="B4157" s="2" t="s">
        <v>16680</v>
      </c>
      <c r="C4157" s="2" t="s">
        <v>6292</v>
      </c>
      <c r="D4157" s="169">
        <v>46110.0</v>
      </c>
      <c r="E4157" s="2">
        <v>3.11580316E9</v>
      </c>
      <c r="F4157" s="2" t="s">
        <v>16681</v>
      </c>
      <c r="G4157" s="2" t="s">
        <v>3653</v>
      </c>
      <c r="H4157" s="2">
        <v>1848.0</v>
      </c>
      <c r="I4157" s="2">
        <v>2.9120050023237E13</v>
      </c>
      <c r="J4157" s="3">
        <v>1.0</v>
      </c>
      <c r="K4157" s="2" t="s">
        <v>16682</v>
      </c>
      <c r="L4157" s="2" t="s">
        <v>16683</v>
      </c>
      <c r="M4157" s="2" t="s">
        <v>409</v>
      </c>
      <c r="N4157" s="2" t="s">
        <v>462</v>
      </c>
      <c r="O4157" s="3"/>
      <c r="P4157" s="2" t="s">
        <v>73</v>
      </c>
      <c r="Q4157" s="3">
        <v>650.0</v>
      </c>
      <c r="R4157" s="3">
        <v>0.5</v>
      </c>
      <c r="T4157" s="2" t="s">
        <v>15010</v>
      </c>
      <c r="U4157" s="171">
        <v>1848.0</v>
      </c>
      <c r="V4157" s="172">
        <v>46119.0</v>
      </c>
      <c r="W4157" s="3">
        <v>309.62999999999994</v>
      </c>
      <c r="X4157" s="172">
        <v>46116.707705532404</v>
      </c>
      <c r="Y4157" s="172">
        <v>46110.852117789356</v>
      </c>
      <c r="Z4157" s="3">
        <v>46110.0</v>
      </c>
      <c r="AA4157" s="2" t="s">
        <v>14022</v>
      </c>
    </row>
    <row r="4158">
      <c r="A4158" s="3">
        <v>6.975031378179E12</v>
      </c>
      <c r="B4158" s="2" t="s">
        <v>16684</v>
      </c>
      <c r="C4158" s="2" t="s">
        <v>16685</v>
      </c>
      <c r="D4158" s="169">
        <v>46110.0</v>
      </c>
      <c r="E4158" s="2">
        <v>3.338619634E9</v>
      </c>
      <c r="F4158" s="2" t="s">
        <v>16686</v>
      </c>
      <c r="G4158" s="2" t="s">
        <v>688</v>
      </c>
      <c r="H4158" s="2">
        <v>3798.0</v>
      </c>
      <c r="I4158" s="2">
        <v>2.9120050023191E13</v>
      </c>
      <c r="J4158" s="3">
        <v>2.0</v>
      </c>
      <c r="K4158" s="2" t="s">
        <v>16266</v>
      </c>
      <c r="L4158" s="2" t="s">
        <v>16687</v>
      </c>
      <c r="M4158" s="2" t="s">
        <v>409</v>
      </c>
      <c r="N4158" s="2" t="s">
        <v>462</v>
      </c>
      <c r="O4158" s="3"/>
      <c r="P4158" s="2" t="s">
        <v>73</v>
      </c>
      <c r="Q4158" s="3">
        <v>1010.0</v>
      </c>
      <c r="R4158" s="3">
        <v>0.5</v>
      </c>
      <c r="T4158" s="2" t="s">
        <v>12503</v>
      </c>
      <c r="U4158" s="171">
        <v>3798.0</v>
      </c>
      <c r="V4158" s="172">
        <v>46115.0</v>
      </c>
      <c r="W4158" s="3">
        <v>395.0</v>
      </c>
      <c r="X4158" s="172">
        <v>46114.541376458335</v>
      </c>
      <c r="Y4158" s="172">
        <v>46110.89377498842</v>
      </c>
      <c r="Z4158" s="3">
        <v>46110.0</v>
      </c>
      <c r="AA4158" s="2" t="s">
        <v>14032</v>
      </c>
    </row>
    <row r="4159">
      <c r="A4159" s="3">
        <v>6.975036227843E12</v>
      </c>
      <c r="B4159" s="2" t="s">
        <v>16688</v>
      </c>
      <c r="C4159" s="2" t="s">
        <v>16685</v>
      </c>
      <c r="D4159" s="169">
        <v>46110.0</v>
      </c>
      <c r="E4159" s="2">
        <v>3.338619634E9</v>
      </c>
      <c r="F4159" s="2" t="s">
        <v>16689</v>
      </c>
      <c r="G4159" s="2" t="s">
        <v>16690</v>
      </c>
      <c r="H4159" s="2">
        <v>0.0</v>
      </c>
      <c r="J4159" s="3">
        <v>0.0</v>
      </c>
      <c r="K4159" s="2" t="s">
        <v>7954</v>
      </c>
      <c r="L4159" s="2"/>
      <c r="M4159" s="2" t="s">
        <v>468</v>
      </c>
      <c r="N4159" s="2" t="s">
        <v>406</v>
      </c>
      <c r="O4159" s="3"/>
      <c r="Q4159" s="3">
        <v>0.0</v>
      </c>
      <c r="R4159" s="3">
        <v>0.5</v>
      </c>
      <c r="U4159" s="141"/>
      <c r="X4159" s="172"/>
      <c r="Y4159" s="172">
        <v>46110.89377498842</v>
      </c>
      <c r="Z4159" s="3">
        <v>46110.0</v>
      </c>
      <c r="AA4159" s="2" t="s">
        <v>14032</v>
      </c>
    </row>
    <row r="4160">
      <c r="A4160" s="3">
        <v>6.975081414915E12</v>
      </c>
      <c r="B4160" s="2" t="s">
        <v>16691</v>
      </c>
      <c r="C4160" s="2" t="s">
        <v>16692</v>
      </c>
      <c r="D4160" s="169">
        <v>46110.0</v>
      </c>
      <c r="E4160" s="173" t="s">
        <v>16693</v>
      </c>
      <c r="F4160" s="2" t="s">
        <v>16694</v>
      </c>
      <c r="G4160" s="2" t="s">
        <v>368</v>
      </c>
      <c r="H4160" s="2">
        <v>249.0</v>
      </c>
      <c r="I4160" s="2">
        <v>2.0120050023305E13</v>
      </c>
      <c r="J4160" s="3">
        <v>0.0</v>
      </c>
      <c r="K4160" s="2" t="s">
        <v>16695</v>
      </c>
      <c r="L4160" s="2"/>
      <c r="M4160" s="170" t="s">
        <v>455</v>
      </c>
      <c r="N4160" s="2" t="s">
        <v>406</v>
      </c>
      <c r="O4160" s="3"/>
      <c r="P4160" s="2" t="s">
        <v>73</v>
      </c>
      <c r="Q4160" s="3">
        <v>0.0</v>
      </c>
      <c r="R4160" s="3">
        <v>0.5</v>
      </c>
      <c r="U4160" s="141"/>
      <c r="W4160" s="3">
        <v>117.86</v>
      </c>
      <c r="X4160" s="172">
        <v>46124.081390810185</v>
      </c>
      <c r="Y4160" s="172">
        <v>46110.89377498842</v>
      </c>
      <c r="Z4160" s="3">
        <v>46110.0</v>
      </c>
      <c r="AA4160" s="2" t="s">
        <v>14032</v>
      </c>
    </row>
    <row r="4161">
      <c r="A4161" s="3">
        <v>6.975246106883E12</v>
      </c>
      <c r="B4161" s="2" t="s">
        <v>16696</v>
      </c>
      <c r="C4161" s="2" t="s">
        <v>16697</v>
      </c>
      <c r="D4161" s="169">
        <v>46110.0</v>
      </c>
      <c r="E4161" s="2">
        <v>3.165940107E9</v>
      </c>
      <c r="F4161" s="2" t="s">
        <v>16698</v>
      </c>
      <c r="G4161" s="2" t="s">
        <v>1395</v>
      </c>
      <c r="H4161" s="2">
        <v>3348.0</v>
      </c>
      <c r="I4161" s="2">
        <v>2.412005002319E13</v>
      </c>
      <c r="J4161" s="3">
        <v>2.0</v>
      </c>
      <c r="K4161" s="2" t="s">
        <v>15531</v>
      </c>
      <c r="L4161" s="2" t="s">
        <v>1116</v>
      </c>
      <c r="M4161" s="2" t="s">
        <v>409</v>
      </c>
      <c r="N4161" s="2" t="s">
        <v>462</v>
      </c>
      <c r="O4161" s="3"/>
      <c r="P4161" s="2" t="s">
        <v>73</v>
      </c>
      <c r="Q4161" s="3">
        <v>800.0</v>
      </c>
      <c r="R4161" s="3">
        <v>0.5</v>
      </c>
      <c r="T4161" s="2" t="s">
        <v>15010</v>
      </c>
      <c r="U4161" s="171">
        <v>3348.0</v>
      </c>
      <c r="V4161" s="172">
        <v>46119.0</v>
      </c>
      <c r="W4161" s="3">
        <v>369.62999999999994</v>
      </c>
      <c r="X4161" s="172">
        <v>46115.66612548611</v>
      </c>
      <c r="Y4161" s="172">
        <v>46110.977122048615</v>
      </c>
      <c r="Z4161" s="3">
        <v>46110.0</v>
      </c>
      <c r="AA4161" s="2" t="s">
        <v>14536</v>
      </c>
    </row>
    <row r="4162">
      <c r="A4162" s="3">
        <v>6.975292670211E12</v>
      </c>
      <c r="B4162" s="2" t="s">
        <v>16699</v>
      </c>
      <c r="C4162" s="2" t="s">
        <v>16700</v>
      </c>
      <c r="D4162" s="169">
        <v>46110.0</v>
      </c>
      <c r="E4162" s="173" t="s">
        <v>16701</v>
      </c>
      <c r="F4162" s="2" t="s">
        <v>16702</v>
      </c>
      <c r="G4162" s="2" t="s">
        <v>493</v>
      </c>
      <c r="H4162" s="2">
        <v>0.0</v>
      </c>
      <c r="I4162" s="2">
        <v>2.9120050023463E13</v>
      </c>
      <c r="J4162" s="3">
        <v>0.0</v>
      </c>
      <c r="K4162" s="2" t="s">
        <v>204</v>
      </c>
      <c r="L4162" s="2"/>
      <c r="M4162" s="2" t="s">
        <v>468</v>
      </c>
      <c r="N4162" s="2" t="s">
        <v>406</v>
      </c>
      <c r="O4162" s="3"/>
      <c r="P4162" s="2" t="s">
        <v>73</v>
      </c>
      <c r="Q4162" s="3">
        <v>0.0</v>
      </c>
      <c r="R4162" s="3">
        <v>0.5</v>
      </c>
      <c r="U4162" s="141"/>
      <c r="X4162" s="172">
        <v>46122.081068495376</v>
      </c>
      <c r="Y4162" s="172">
        <v>46111.018776296296</v>
      </c>
      <c r="Z4162" s="3">
        <v>46110.0</v>
      </c>
      <c r="AA4162" s="2" t="s">
        <v>14032</v>
      </c>
    </row>
    <row r="4163">
      <c r="A4163" s="3">
        <v>6.975410176259E12</v>
      </c>
      <c r="B4163" s="2" t="s">
        <v>16703</v>
      </c>
      <c r="C4163" s="2" t="s">
        <v>16704</v>
      </c>
      <c r="D4163" s="169">
        <v>46111.0</v>
      </c>
      <c r="E4163" s="173" t="s">
        <v>16705</v>
      </c>
      <c r="F4163" s="2" t="s">
        <v>16706</v>
      </c>
      <c r="G4163" s="2" t="s">
        <v>16707</v>
      </c>
      <c r="H4163" s="2">
        <v>4947.0</v>
      </c>
      <c r="I4163" s="2">
        <v>2.9120050023056E13</v>
      </c>
      <c r="J4163" s="3">
        <v>3.0</v>
      </c>
      <c r="K4163" s="2" t="s">
        <v>16553</v>
      </c>
      <c r="L4163" s="2" t="s">
        <v>16708</v>
      </c>
      <c r="M4163" s="2" t="s">
        <v>409</v>
      </c>
      <c r="N4163" s="2" t="s">
        <v>462</v>
      </c>
      <c r="O4163" s="3"/>
      <c r="P4163" s="2" t="s">
        <v>73</v>
      </c>
      <c r="Q4163" s="3">
        <v>1450.0</v>
      </c>
      <c r="R4163" s="3">
        <v>0.5</v>
      </c>
      <c r="T4163" s="2" t="s">
        <v>12503</v>
      </c>
      <c r="U4163" s="171">
        <v>4947.0</v>
      </c>
      <c r="V4163" s="172">
        <v>46115.0</v>
      </c>
      <c r="W4163" s="3">
        <v>440.96</v>
      </c>
      <c r="X4163" s="172">
        <v>46114.66629734954</v>
      </c>
      <c r="Y4163" s="172">
        <v>46111.06042954861</v>
      </c>
      <c r="Z4163" s="3">
        <v>46111.0</v>
      </c>
      <c r="AA4163" s="2" t="s">
        <v>14103</v>
      </c>
    </row>
    <row r="4164">
      <c r="A4164" s="3">
        <v>6.975544819971E12</v>
      </c>
      <c r="B4164" s="2" t="s">
        <v>16709</v>
      </c>
      <c r="C4164" s="2" t="s">
        <v>16710</v>
      </c>
      <c r="D4164" s="169">
        <v>46111.0</v>
      </c>
      <c r="E4164" s="2">
        <v>3.417860075E9</v>
      </c>
      <c r="F4164" s="2" t="s">
        <v>16711</v>
      </c>
      <c r="G4164" s="2" t="s">
        <v>1328</v>
      </c>
      <c r="H4164" s="2">
        <v>3447.0</v>
      </c>
      <c r="I4164" s="2">
        <v>2.2120050023055E13</v>
      </c>
      <c r="J4164" s="3">
        <v>2.0</v>
      </c>
      <c r="K4164" s="2" t="s">
        <v>16712</v>
      </c>
      <c r="L4164" s="2" t="s">
        <v>16713</v>
      </c>
      <c r="M4164" s="2" t="s">
        <v>409</v>
      </c>
      <c r="N4164" s="2" t="s">
        <v>462</v>
      </c>
      <c r="O4164" s="3"/>
      <c r="P4164" s="2" t="s">
        <v>73</v>
      </c>
      <c r="Q4164" s="3">
        <v>1300.0</v>
      </c>
      <c r="R4164" s="3">
        <v>0.5</v>
      </c>
      <c r="T4164" s="2" t="s">
        <v>12503</v>
      </c>
      <c r="U4164" s="171">
        <v>3447.0</v>
      </c>
      <c r="V4164" s="172">
        <v>46115.0</v>
      </c>
      <c r="W4164" s="3">
        <v>380.96</v>
      </c>
      <c r="X4164" s="172">
        <v>46112.5412027662</v>
      </c>
      <c r="Y4164" s="172">
        <v>46111.18544292824</v>
      </c>
      <c r="Z4164" s="3">
        <v>46111.0</v>
      </c>
      <c r="AA4164" s="2" t="s">
        <v>14103</v>
      </c>
    </row>
    <row r="4165">
      <c r="A4165" s="3">
        <v>6.975675793667E12</v>
      </c>
      <c r="B4165" s="2" t="s">
        <v>16714</v>
      </c>
      <c r="C4165" s="2" t="s">
        <v>16715</v>
      </c>
      <c r="D4165" s="169">
        <v>46111.0</v>
      </c>
      <c r="E4165" s="2">
        <v>3.365771354E9</v>
      </c>
      <c r="F4165" s="2" t="s">
        <v>16716</v>
      </c>
      <c r="G4165" s="2" t="s">
        <v>506</v>
      </c>
      <c r="H4165" s="2">
        <v>5148.0</v>
      </c>
      <c r="I4165" s="2">
        <v>2.8120050023054E13</v>
      </c>
      <c r="J4165" s="3">
        <v>3.0</v>
      </c>
      <c r="K4165" s="2" t="s">
        <v>16717</v>
      </c>
      <c r="L4165" s="2" t="s">
        <v>16718</v>
      </c>
      <c r="M4165" s="2" t="s">
        <v>409</v>
      </c>
      <c r="N4165" s="2" t="s">
        <v>462</v>
      </c>
      <c r="O4165" s="3"/>
      <c r="P4165" s="2" t="s">
        <v>73</v>
      </c>
      <c r="Q4165" s="3">
        <v>1660.0</v>
      </c>
      <c r="R4165" s="3">
        <v>0.5</v>
      </c>
      <c r="T4165" s="2" t="s">
        <v>12503</v>
      </c>
      <c r="U4165" s="171">
        <v>5148.0</v>
      </c>
      <c r="V4165" s="172">
        <v>46115.0</v>
      </c>
      <c r="W4165" s="3">
        <v>449.0</v>
      </c>
      <c r="X4165" s="172">
        <v>46113.666295324074</v>
      </c>
      <c r="Y4165" s="172">
        <v>46111.26877365741</v>
      </c>
      <c r="Z4165" s="3">
        <v>46111.0</v>
      </c>
      <c r="AA4165" s="2" t="s">
        <v>14536</v>
      </c>
    </row>
    <row r="4166">
      <c r="A4166" s="3">
        <v>6.975748440323E12</v>
      </c>
      <c r="B4166" s="2" t="s">
        <v>16719</v>
      </c>
      <c r="C4166" s="2" t="s">
        <v>16720</v>
      </c>
      <c r="D4166" s="169">
        <v>46111.0</v>
      </c>
      <c r="E4166" s="2">
        <v>3.354887888E9</v>
      </c>
      <c r="F4166" s="2" t="s">
        <v>16721</v>
      </c>
      <c r="G4166" s="2" t="s">
        <v>368</v>
      </c>
      <c r="H4166" s="2">
        <v>3348.0</v>
      </c>
      <c r="I4166" s="2">
        <v>2.1120050023053E13</v>
      </c>
      <c r="J4166" s="3">
        <v>2.0</v>
      </c>
      <c r="K4166" s="2" t="s">
        <v>15950</v>
      </c>
      <c r="L4166" s="2" t="s">
        <v>906</v>
      </c>
      <c r="M4166" s="2" t="s">
        <v>409</v>
      </c>
      <c r="N4166" s="2" t="s">
        <v>462</v>
      </c>
      <c r="O4166" s="3"/>
      <c r="P4166" s="2" t="s">
        <v>73</v>
      </c>
      <c r="Q4166" s="3">
        <v>720.0</v>
      </c>
      <c r="R4166" s="3">
        <v>0.5</v>
      </c>
      <c r="T4166" s="2" t="s">
        <v>12503</v>
      </c>
      <c r="U4166" s="171">
        <v>3348.0</v>
      </c>
      <c r="V4166" s="172">
        <v>46115.0</v>
      </c>
      <c r="W4166" s="3">
        <v>251.78</v>
      </c>
      <c r="X4166" s="172">
        <v>46113.62463346065</v>
      </c>
      <c r="Y4166" s="172">
        <v>46111.35210875</v>
      </c>
      <c r="Z4166" s="3">
        <v>46111.0</v>
      </c>
      <c r="AA4166" s="2" t="s">
        <v>14032</v>
      </c>
    </row>
    <row r="4167">
      <c r="A4167" s="3">
        <v>6.975875940611E12</v>
      </c>
      <c r="B4167" s="2" t="s">
        <v>16722</v>
      </c>
      <c r="C4167" s="2" t="s">
        <v>2019</v>
      </c>
      <c r="D4167" s="169">
        <v>46111.0</v>
      </c>
      <c r="E4167" s="2">
        <v>3.064177003E9</v>
      </c>
      <c r="F4167" s="2" t="s">
        <v>2021</v>
      </c>
      <c r="G4167" s="2" t="s">
        <v>506</v>
      </c>
      <c r="H4167" s="2">
        <v>3348.0</v>
      </c>
      <c r="I4167" s="2">
        <v>2.5120050023189E13</v>
      </c>
      <c r="J4167" s="3">
        <v>2.0</v>
      </c>
      <c r="K4167" s="2" t="s">
        <v>15109</v>
      </c>
      <c r="L4167" s="2" t="s">
        <v>228</v>
      </c>
      <c r="M4167" s="2" t="s">
        <v>409</v>
      </c>
      <c r="N4167" s="2" t="s">
        <v>462</v>
      </c>
      <c r="O4167" s="3"/>
      <c r="P4167" s="2" t="s">
        <v>73</v>
      </c>
      <c r="Q4167" s="3">
        <v>720.0</v>
      </c>
      <c r="R4167" s="3">
        <v>0.5</v>
      </c>
      <c r="T4167" s="2" t="s">
        <v>15010</v>
      </c>
      <c r="U4167" s="171">
        <v>3348.0</v>
      </c>
      <c r="V4167" s="172">
        <v>46119.0</v>
      </c>
      <c r="W4167" s="3">
        <v>354.9</v>
      </c>
      <c r="X4167" s="172">
        <v>46119.08115344908</v>
      </c>
      <c r="Y4167" s="172">
        <v>46111.435513530094</v>
      </c>
      <c r="Z4167" s="3">
        <v>46111.0</v>
      </c>
      <c r="AA4167" s="2" t="s">
        <v>14536</v>
      </c>
    </row>
    <row r="4168">
      <c r="A4168" s="3">
        <v>6.975919456515E12</v>
      </c>
      <c r="B4168" s="2" t="s">
        <v>16723</v>
      </c>
      <c r="C4168" s="2" t="s">
        <v>16724</v>
      </c>
      <c r="D4168" s="169">
        <v>46111.0</v>
      </c>
      <c r="E4168" s="173" t="s">
        <v>16725</v>
      </c>
      <c r="F4168" s="2" t="s">
        <v>16726</v>
      </c>
      <c r="G4168" s="2" t="s">
        <v>16727</v>
      </c>
      <c r="H4168" s="2">
        <v>249.0</v>
      </c>
      <c r="I4168" s="2">
        <v>2.0120050023462E13</v>
      </c>
      <c r="J4168" s="3">
        <v>0.0</v>
      </c>
      <c r="K4168" s="2" t="s">
        <v>16728</v>
      </c>
      <c r="L4168" s="2"/>
      <c r="M4168" s="170" t="s">
        <v>455</v>
      </c>
      <c r="N4168" s="2" t="s">
        <v>406</v>
      </c>
      <c r="O4168" s="3"/>
      <c r="P4168" s="2" t="s">
        <v>73</v>
      </c>
      <c r="Q4168" s="3">
        <v>0.0</v>
      </c>
      <c r="R4168" s="3">
        <v>0.5</v>
      </c>
      <c r="U4168" s="141"/>
      <c r="X4168" s="172">
        <v>46130.08116045139</v>
      </c>
      <c r="Y4168" s="172">
        <v>46111.47716175926</v>
      </c>
      <c r="Z4168" s="3">
        <v>46111.0</v>
      </c>
      <c r="AA4168" s="2" t="s">
        <v>14103</v>
      </c>
    </row>
    <row r="4169">
      <c r="A4169" s="3">
        <v>6.975941705987E12</v>
      </c>
      <c r="B4169" s="2" t="s">
        <v>16729</v>
      </c>
      <c r="C4169" s="2" t="s">
        <v>16730</v>
      </c>
      <c r="D4169" s="169">
        <v>46111.0</v>
      </c>
      <c r="E4169" s="2">
        <v>3.235151999E9</v>
      </c>
      <c r="F4169" s="2" t="s">
        <v>16731</v>
      </c>
      <c r="G4169" s="2" t="s">
        <v>1323</v>
      </c>
      <c r="H4169" s="2">
        <v>0.0</v>
      </c>
      <c r="J4169" s="3">
        <v>0.0</v>
      </c>
      <c r="K4169" s="2" t="s">
        <v>8645</v>
      </c>
      <c r="L4169" s="2"/>
      <c r="M4169" s="2" t="s">
        <v>468</v>
      </c>
      <c r="N4169" s="2" t="s">
        <v>406</v>
      </c>
      <c r="O4169" s="3"/>
      <c r="Q4169" s="3">
        <v>0.0</v>
      </c>
      <c r="R4169" s="3">
        <v>0.5</v>
      </c>
      <c r="U4169" s="141"/>
      <c r="X4169" s="172"/>
      <c r="Y4169" s="172">
        <v>46111.47716175926</v>
      </c>
      <c r="Z4169" s="3">
        <v>46111.0</v>
      </c>
      <c r="AA4169" s="2" t="s">
        <v>14032</v>
      </c>
    </row>
    <row r="4170">
      <c r="A4170" s="3">
        <v>6.975964807427E12</v>
      </c>
      <c r="B4170" s="2" t="s">
        <v>16732</v>
      </c>
      <c r="C4170" s="2" t="s">
        <v>16733</v>
      </c>
      <c r="D4170" s="169">
        <v>46111.0</v>
      </c>
      <c r="E4170" s="2">
        <v>3.120361314E9</v>
      </c>
      <c r="F4170" s="2" t="s">
        <v>16734</v>
      </c>
      <c r="G4170" s="2" t="s">
        <v>16735</v>
      </c>
      <c r="H4170" s="2">
        <v>6198.0</v>
      </c>
      <c r="I4170" s="2">
        <v>2.3120050023051E13</v>
      </c>
      <c r="J4170" s="3">
        <v>4.0</v>
      </c>
      <c r="K4170" s="2" t="s">
        <v>14545</v>
      </c>
      <c r="L4170" s="2" t="s">
        <v>299</v>
      </c>
      <c r="M4170" s="2" t="s">
        <v>409</v>
      </c>
      <c r="N4170" s="2" t="s">
        <v>462</v>
      </c>
      <c r="O4170" s="3"/>
      <c r="P4170" s="2" t="s">
        <v>73</v>
      </c>
      <c r="Q4170" s="3">
        <v>1600.0</v>
      </c>
      <c r="R4170" s="3">
        <v>0.5</v>
      </c>
      <c r="T4170" s="2" t="s">
        <v>12503</v>
      </c>
      <c r="U4170" s="171">
        <v>6198.0</v>
      </c>
      <c r="V4170" s="172">
        <v>46115.0</v>
      </c>
      <c r="W4170" s="3">
        <v>491.0</v>
      </c>
      <c r="X4170" s="172">
        <v>46112.62476710648</v>
      </c>
      <c r="Y4170" s="172">
        <v>46111.51880421296</v>
      </c>
      <c r="Z4170" s="3">
        <v>46111.0</v>
      </c>
      <c r="AA4170" s="2" t="s">
        <v>14022</v>
      </c>
    </row>
    <row r="4171">
      <c r="A4171" s="3">
        <v>6.975980339459E12</v>
      </c>
      <c r="B4171" s="2" t="s">
        <v>16736</v>
      </c>
      <c r="C4171" s="2" t="s">
        <v>16737</v>
      </c>
      <c r="D4171" s="169">
        <v>46111.0</v>
      </c>
      <c r="E4171" s="173" t="s">
        <v>16738</v>
      </c>
      <c r="F4171" s="2" t="s">
        <v>16739</v>
      </c>
      <c r="G4171" s="2" t="s">
        <v>493</v>
      </c>
      <c r="H4171" s="2">
        <v>3348.0</v>
      </c>
      <c r="I4171" s="2">
        <v>2.312005002305E13</v>
      </c>
      <c r="J4171" s="3">
        <v>2.0</v>
      </c>
      <c r="K4171" s="2" t="s">
        <v>15950</v>
      </c>
      <c r="L4171" s="2" t="s">
        <v>296</v>
      </c>
      <c r="M4171" s="2" t="s">
        <v>409</v>
      </c>
      <c r="N4171" s="2" t="s">
        <v>462</v>
      </c>
      <c r="O4171" s="3"/>
      <c r="P4171" s="2" t="s">
        <v>73</v>
      </c>
      <c r="Q4171" s="3">
        <v>720.0</v>
      </c>
      <c r="R4171" s="3">
        <v>0.5</v>
      </c>
      <c r="T4171" s="2" t="s">
        <v>12503</v>
      </c>
      <c r="U4171" s="171">
        <v>3348.0</v>
      </c>
      <c r="V4171" s="172">
        <v>46115.0</v>
      </c>
      <c r="W4171" s="3">
        <v>369.63</v>
      </c>
      <c r="X4171" s="172">
        <v>46113.666295347226</v>
      </c>
      <c r="Y4171" s="172">
        <v>46111.51880421296</v>
      </c>
      <c r="Z4171" s="3">
        <v>46111.0</v>
      </c>
      <c r="AA4171" s="2" t="s">
        <v>14103</v>
      </c>
    </row>
    <row r="4172">
      <c r="A4172" s="3">
        <v>6.976006816003E12</v>
      </c>
      <c r="B4172" s="2" t="s">
        <v>146</v>
      </c>
      <c r="C4172" s="2" t="s">
        <v>16740</v>
      </c>
      <c r="D4172" s="169">
        <v>46111.0</v>
      </c>
      <c r="E4172" s="173" t="s">
        <v>16741</v>
      </c>
      <c r="F4172" s="2" t="s">
        <v>16742</v>
      </c>
      <c r="G4172" s="2" t="s">
        <v>368</v>
      </c>
      <c r="H4172" s="2">
        <v>3099.0</v>
      </c>
      <c r="I4172" s="2">
        <v>2.5120050023528E13</v>
      </c>
      <c r="J4172" s="3">
        <v>2.0</v>
      </c>
      <c r="K4172" s="2" t="s">
        <v>16743</v>
      </c>
      <c r="L4172" s="2" t="s">
        <v>40</v>
      </c>
      <c r="M4172" s="2" t="s">
        <v>409</v>
      </c>
      <c r="N4172" s="2" t="s">
        <v>462</v>
      </c>
      <c r="O4172" s="3"/>
      <c r="P4172" s="2" t="s">
        <v>73</v>
      </c>
      <c r="Q4172" s="3">
        <v>720.0</v>
      </c>
      <c r="R4172" s="3">
        <v>0.5</v>
      </c>
      <c r="T4172" s="2" t="s">
        <v>72</v>
      </c>
      <c r="U4172" s="171">
        <v>3099.0</v>
      </c>
      <c r="V4172" s="172">
        <v>46129.0</v>
      </c>
      <c r="W4172" s="3">
        <v>252.95</v>
      </c>
      <c r="X4172" s="172">
        <v>46127.081020185185</v>
      </c>
      <c r="Y4172" s="172">
        <v>46111.56045178241</v>
      </c>
      <c r="Z4172" s="3">
        <v>46111.0</v>
      </c>
      <c r="AA4172" s="2" t="s">
        <v>14026</v>
      </c>
    </row>
    <row r="4173">
      <c r="A4173" s="3">
        <v>6.976059638019E12</v>
      </c>
      <c r="B4173" s="2" t="s">
        <v>16744</v>
      </c>
      <c r="C4173" s="2" t="s">
        <v>16745</v>
      </c>
      <c r="D4173" s="169">
        <v>46111.0</v>
      </c>
      <c r="E4173" s="2">
        <v>3.152921443E9</v>
      </c>
      <c r="F4173" s="2" t="s">
        <v>16746</v>
      </c>
      <c r="G4173" s="2" t="s">
        <v>493</v>
      </c>
      <c r="H4173" s="2">
        <v>249.0</v>
      </c>
      <c r="I4173" s="2">
        <v>2.7120050023048E13</v>
      </c>
      <c r="J4173" s="3">
        <v>0.0</v>
      </c>
      <c r="K4173" s="2" t="s">
        <v>16747</v>
      </c>
      <c r="L4173" s="2"/>
      <c r="M4173" s="170" t="s">
        <v>455</v>
      </c>
      <c r="N4173" s="2" t="s">
        <v>406</v>
      </c>
      <c r="O4173" s="3"/>
      <c r="P4173" s="2" t="s">
        <v>73</v>
      </c>
      <c r="Q4173" s="3">
        <v>0.0</v>
      </c>
      <c r="R4173" s="3">
        <v>0.5</v>
      </c>
      <c r="U4173" s="141"/>
      <c r="W4173" s="3">
        <v>235.70999999999998</v>
      </c>
      <c r="X4173" s="172">
        <v>46126.08115165509</v>
      </c>
      <c r="Y4173" s="172">
        <v>46111.60215961805</v>
      </c>
      <c r="Z4173" s="3">
        <v>46111.0</v>
      </c>
      <c r="AA4173" s="2" t="s">
        <v>14022</v>
      </c>
    </row>
    <row r="4174">
      <c r="A4174" s="3">
        <v>6.976066519299E12</v>
      </c>
      <c r="B4174" s="2" t="s">
        <v>16748</v>
      </c>
      <c r="C4174" s="2" t="s">
        <v>239</v>
      </c>
      <c r="D4174" s="169">
        <v>46111.0</v>
      </c>
      <c r="E4174" s="2">
        <v>3.00487266E9</v>
      </c>
      <c r="F4174" s="2" t="s">
        <v>16749</v>
      </c>
      <c r="G4174" s="2" t="s">
        <v>368</v>
      </c>
      <c r="H4174" s="2">
        <v>3348.0</v>
      </c>
      <c r="I4174" s="2">
        <v>2.2120050023188E13</v>
      </c>
      <c r="J4174" s="3">
        <v>2.0</v>
      </c>
      <c r="K4174" s="2" t="s">
        <v>204</v>
      </c>
      <c r="L4174" s="2" t="s">
        <v>50</v>
      </c>
      <c r="M4174" s="2" t="s">
        <v>14076</v>
      </c>
      <c r="N4174" s="2" t="s">
        <v>406</v>
      </c>
      <c r="O4174" s="3"/>
      <c r="P4174" s="2" t="s">
        <v>73</v>
      </c>
      <c r="Q4174" s="3">
        <v>720.0</v>
      </c>
      <c r="R4174" s="3">
        <v>0.5</v>
      </c>
      <c r="U4174" s="141"/>
      <c r="X4174" s="172">
        <v>46122.08111997685</v>
      </c>
      <c r="Y4174" s="172">
        <v>46111.64375962963</v>
      </c>
      <c r="Z4174" s="3">
        <v>46111.0</v>
      </c>
      <c r="AA4174" s="2" t="s">
        <v>14032</v>
      </c>
    </row>
    <row r="4175">
      <c r="A4175" s="3">
        <v>6.976106823939E12</v>
      </c>
      <c r="B4175" s="2" t="s">
        <v>172</v>
      </c>
      <c r="C4175" s="2" t="s">
        <v>16750</v>
      </c>
      <c r="D4175" s="169">
        <v>46111.0</v>
      </c>
      <c r="E4175" s="2">
        <v>3.123060127E9</v>
      </c>
      <c r="F4175" s="2" t="s">
        <v>16751</v>
      </c>
      <c r="G4175" s="2" t="s">
        <v>693</v>
      </c>
      <c r="H4175" s="2">
        <v>249.0</v>
      </c>
      <c r="I4175" s="2">
        <v>2.3120050023304E13</v>
      </c>
      <c r="J4175" s="3">
        <v>0.0</v>
      </c>
      <c r="K4175" s="2" t="s">
        <v>16752</v>
      </c>
      <c r="L4175" s="2"/>
      <c r="M4175" s="170" t="s">
        <v>455</v>
      </c>
      <c r="N4175" s="2" t="s">
        <v>406</v>
      </c>
      <c r="O4175" s="3"/>
      <c r="P4175" s="2" t="s">
        <v>73</v>
      </c>
      <c r="Q4175" s="3">
        <v>0.0</v>
      </c>
      <c r="R4175" s="3">
        <v>0.5</v>
      </c>
      <c r="U4175" s="141"/>
      <c r="W4175" s="3">
        <v>235.70999999999998</v>
      </c>
      <c r="X4175" s="172">
        <v>46128.08098533565</v>
      </c>
      <c r="Y4175" s="172">
        <v>46111.685468553245</v>
      </c>
      <c r="Z4175" s="3">
        <v>46111.0</v>
      </c>
      <c r="AA4175" s="2" t="s">
        <v>14032</v>
      </c>
    </row>
    <row r="4176">
      <c r="A4176" s="3">
        <v>6.976109773059E12</v>
      </c>
      <c r="B4176" s="2" t="s">
        <v>16753</v>
      </c>
      <c r="C4176" s="2" t="s">
        <v>11639</v>
      </c>
      <c r="D4176" s="169">
        <v>46111.0</v>
      </c>
      <c r="E4176" s="2">
        <v>3.012228828E9</v>
      </c>
      <c r="F4176" s="2" t="s">
        <v>16754</v>
      </c>
      <c r="G4176" s="2" t="s">
        <v>1847</v>
      </c>
      <c r="H4176" s="2">
        <v>3348.0</v>
      </c>
      <c r="I4176" s="2">
        <v>2.0120050023187E13</v>
      </c>
      <c r="J4176" s="3">
        <v>2.0</v>
      </c>
      <c r="K4176" s="2" t="s">
        <v>15950</v>
      </c>
      <c r="L4176" s="2" t="s">
        <v>906</v>
      </c>
      <c r="M4176" s="2" t="s">
        <v>409</v>
      </c>
      <c r="N4176" s="2" t="s">
        <v>462</v>
      </c>
      <c r="O4176" s="3"/>
      <c r="P4176" s="2" t="s">
        <v>73</v>
      </c>
      <c r="Q4176" s="3">
        <v>720.0</v>
      </c>
      <c r="R4176" s="3">
        <v>0.5</v>
      </c>
      <c r="T4176" s="2" t="s">
        <v>12503</v>
      </c>
      <c r="U4176" s="171">
        <v>3348.0</v>
      </c>
      <c r="V4176" s="172">
        <v>46115.0</v>
      </c>
      <c r="W4176" s="3">
        <v>354.9</v>
      </c>
      <c r="X4176" s="172">
        <v>46114.70788125</v>
      </c>
      <c r="Y4176" s="172">
        <v>46111.685468553245</v>
      </c>
      <c r="Z4176" s="3">
        <v>46111.0</v>
      </c>
      <c r="AA4176" s="2" t="s">
        <v>14032</v>
      </c>
    </row>
    <row r="4177">
      <c r="A4177" s="3">
        <v>6.976160596227E12</v>
      </c>
      <c r="B4177" s="2" t="s">
        <v>16755</v>
      </c>
      <c r="C4177" s="2" t="s">
        <v>16756</v>
      </c>
      <c r="D4177" s="169">
        <v>46111.0</v>
      </c>
      <c r="E4177" s="2">
        <v>3.435845227E9</v>
      </c>
      <c r="F4177" s="2" t="s">
        <v>16757</v>
      </c>
      <c r="G4177" s="2" t="s">
        <v>16758</v>
      </c>
      <c r="H4177" s="2">
        <v>0.0</v>
      </c>
      <c r="J4177" s="3">
        <v>0.0</v>
      </c>
      <c r="K4177" s="2" t="s">
        <v>16759</v>
      </c>
      <c r="L4177" s="2"/>
      <c r="M4177" s="2" t="s">
        <v>468</v>
      </c>
      <c r="N4177" s="2" t="s">
        <v>406</v>
      </c>
      <c r="O4177" s="3"/>
      <c r="Q4177" s="3">
        <v>0.0</v>
      </c>
      <c r="R4177" s="3">
        <v>0.5</v>
      </c>
      <c r="U4177" s="141"/>
      <c r="X4177" s="172"/>
      <c r="Y4177" s="172">
        <v>46111.72711251157</v>
      </c>
      <c r="Z4177" s="3">
        <v>46111.0</v>
      </c>
      <c r="AA4177" s="2" t="s">
        <v>14032</v>
      </c>
    </row>
    <row r="4178">
      <c r="A4178" s="3">
        <v>6.976180093187E12</v>
      </c>
      <c r="B4178" s="2" t="s">
        <v>16760</v>
      </c>
      <c r="C4178" s="2" t="s">
        <v>16485</v>
      </c>
      <c r="D4178" s="169">
        <v>46111.0</v>
      </c>
      <c r="E4178" s="2">
        <v>3.20149391E9</v>
      </c>
      <c r="F4178" s="2" t="s">
        <v>16486</v>
      </c>
      <c r="G4178" s="2" t="s">
        <v>678</v>
      </c>
      <c r="H4178" s="2">
        <v>0.0</v>
      </c>
      <c r="I4178" s="2">
        <v>2.9120050023126E13</v>
      </c>
      <c r="J4178" s="3">
        <v>0.0</v>
      </c>
      <c r="K4178" s="2" t="s">
        <v>16761</v>
      </c>
      <c r="L4178" s="2"/>
      <c r="M4178" s="2" t="s">
        <v>409</v>
      </c>
      <c r="N4178" s="2" t="s">
        <v>406</v>
      </c>
      <c r="O4178" s="3"/>
      <c r="P4178" s="2" t="s">
        <v>73</v>
      </c>
      <c r="Q4178" s="3">
        <v>0.0</v>
      </c>
      <c r="R4178" s="3">
        <v>0.5</v>
      </c>
      <c r="U4178" s="171">
        <v>0.0</v>
      </c>
      <c r="X4178" s="172">
        <v>46112.624767905094</v>
      </c>
      <c r="Y4178" s="172">
        <v>46111.72711251157</v>
      </c>
      <c r="Z4178" s="3">
        <v>46111.0</v>
      </c>
      <c r="AA4178" s="2" t="s">
        <v>14026</v>
      </c>
    </row>
    <row r="4179">
      <c r="A4179" s="3">
        <v>6.976234848515E12</v>
      </c>
      <c r="B4179" s="2" t="s">
        <v>16762</v>
      </c>
      <c r="C4179" s="2" t="s">
        <v>16124</v>
      </c>
      <c r="D4179" s="169">
        <v>46111.0</v>
      </c>
      <c r="E4179" s="173" t="s">
        <v>16125</v>
      </c>
      <c r="F4179" s="2" t="s">
        <v>16126</v>
      </c>
      <c r="G4179" s="2" t="s">
        <v>1830</v>
      </c>
      <c r="H4179" s="2">
        <v>2900.0</v>
      </c>
      <c r="I4179" s="2">
        <v>2.3120050023125E13</v>
      </c>
      <c r="J4179" s="3">
        <v>2.0</v>
      </c>
      <c r="K4179" s="2" t="s">
        <v>16763</v>
      </c>
      <c r="L4179" s="2" t="s">
        <v>16764</v>
      </c>
      <c r="M4179" s="2" t="s">
        <v>409</v>
      </c>
      <c r="N4179" s="2" t="s">
        <v>406</v>
      </c>
      <c r="O4179" s="3"/>
      <c r="P4179" s="2" t="s">
        <v>73</v>
      </c>
      <c r="Q4179" s="3">
        <v>850.0</v>
      </c>
      <c r="R4179" s="3">
        <v>0.5</v>
      </c>
      <c r="U4179" s="171">
        <v>2900.0</v>
      </c>
      <c r="X4179" s="172">
        <v>46113.52121006945</v>
      </c>
      <c r="Y4179" s="172">
        <v>46111.76880122685</v>
      </c>
      <c r="Z4179" s="3">
        <v>46111.0</v>
      </c>
      <c r="AA4179" s="2" t="s">
        <v>14026</v>
      </c>
    </row>
    <row r="4180">
      <c r="A4180" s="3">
        <v>6.976326992131E12</v>
      </c>
      <c r="B4180" s="2" t="s">
        <v>16765</v>
      </c>
      <c r="C4180" s="2" t="s">
        <v>16766</v>
      </c>
      <c r="D4180" s="169">
        <v>46111.0</v>
      </c>
      <c r="E4180" s="2">
        <v>3.464345457E9</v>
      </c>
      <c r="F4180" s="2" t="s">
        <v>16767</v>
      </c>
      <c r="G4180" s="2" t="s">
        <v>1224</v>
      </c>
      <c r="H4180" s="2">
        <v>3348.0</v>
      </c>
      <c r="I4180" s="2" t="s">
        <v>16768</v>
      </c>
      <c r="J4180" s="3">
        <v>2.0</v>
      </c>
      <c r="K4180" s="2" t="s">
        <v>204</v>
      </c>
      <c r="L4180" s="2" t="s">
        <v>228</v>
      </c>
      <c r="M4180" s="2" t="s">
        <v>16769</v>
      </c>
      <c r="N4180" s="2" t="s">
        <v>406</v>
      </c>
      <c r="O4180" s="3"/>
      <c r="P4180" s="2" t="s">
        <v>640</v>
      </c>
      <c r="Q4180" s="3">
        <v>720.0</v>
      </c>
      <c r="R4180" s="3">
        <v>0.5</v>
      </c>
      <c r="U4180" s="141"/>
      <c r="X4180" s="172">
        <v>46131.08238414352</v>
      </c>
      <c r="Y4180" s="172">
        <v>46111.852120787036</v>
      </c>
      <c r="Z4180" s="3">
        <v>46111.0</v>
      </c>
      <c r="AA4180" s="2" t="s">
        <v>14032</v>
      </c>
    </row>
    <row r="4181">
      <c r="A4181" s="3">
        <v>6.976414875907E12</v>
      </c>
      <c r="B4181" s="2" t="s">
        <v>16770</v>
      </c>
      <c r="C4181" s="2" t="s">
        <v>240</v>
      </c>
      <c r="D4181" s="169">
        <v>46111.0</v>
      </c>
      <c r="E4181" s="2">
        <v>3.16154407E9</v>
      </c>
      <c r="F4181" s="2" t="s">
        <v>16771</v>
      </c>
      <c r="G4181" s="2" t="s">
        <v>787</v>
      </c>
      <c r="H4181" s="2">
        <v>3348.0</v>
      </c>
      <c r="I4181" s="2">
        <v>2.2120050023186E13</v>
      </c>
      <c r="J4181" s="3">
        <v>2.0</v>
      </c>
      <c r="K4181" s="2" t="s">
        <v>241</v>
      </c>
      <c r="L4181" s="2" t="s">
        <v>50</v>
      </c>
      <c r="M4181" s="2" t="s">
        <v>14076</v>
      </c>
      <c r="N4181" s="2" t="s">
        <v>406</v>
      </c>
      <c r="O4181" s="3"/>
      <c r="P4181" s="2" t="s">
        <v>73</v>
      </c>
      <c r="Q4181" s="3">
        <v>720.0</v>
      </c>
      <c r="R4181" s="3">
        <v>0.5</v>
      </c>
      <c r="U4181" s="141"/>
      <c r="X4181" s="172">
        <v>46122.08112</v>
      </c>
      <c r="Y4181" s="172">
        <v>46111.893763518514</v>
      </c>
      <c r="Z4181" s="3">
        <v>46111.0</v>
      </c>
      <c r="AA4181" s="2" t="s">
        <v>14103</v>
      </c>
    </row>
    <row r="4182">
      <c r="A4182" s="3">
        <v>6.976417759491E12</v>
      </c>
      <c r="B4182" s="2" t="s">
        <v>16772</v>
      </c>
      <c r="C4182" s="2" t="s">
        <v>16773</v>
      </c>
      <c r="D4182" s="169">
        <v>46111.0</v>
      </c>
      <c r="E4182" s="2">
        <v>3.314420272E9</v>
      </c>
      <c r="F4182" s="2" t="s">
        <v>16774</v>
      </c>
      <c r="G4182" s="2" t="s">
        <v>541</v>
      </c>
      <c r="H4182" s="2">
        <v>3348.0</v>
      </c>
      <c r="I4182" s="2">
        <v>2.6120050023441E13</v>
      </c>
      <c r="J4182" s="3">
        <v>2.0</v>
      </c>
      <c r="K4182" s="2" t="s">
        <v>15277</v>
      </c>
      <c r="L4182" s="2" t="s">
        <v>906</v>
      </c>
      <c r="M4182" s="2" t="s">
        <v>409</v>
      </c>
      <c r="N4182" s="2" t="s">
        <v>462</v>
      </c>
      <c r="O4182" s="3"/>
      <c r="P4182" s="2" t="s">
        <v>73</v>
      </c>
      <c r="Q4182" s="3">
        <v>720.0</v>
      </c>
      <c r="R4182" s="3">
        <v>0.5</v>
      </c>
      <c r="T4182" s="2" t="s">
        <v>15278</v>
      </c>
      <c r="U4182" s="171">
        <v>3348.0</v>
      </c>
      <c r="V4182" s="172">
        <v>46126.0</v>
      </c>
      <c r="W4182" s="3">
        <v>375.78</v>
      </c>
      <c r="X4182" s="172">
        <v>46126.081152893516</v>
      </c>
      <c r="Y4182" s="172">
        <v>46111.893763518514</v>
      </c>
      <c r="Z4182" s="3">
        <v>46111.0</v>
      </c>
      <c r="AA4182" s="2" t="s">
        <v>14022</v>
      </c>
    </row>
    <row r="4183">
      <c r="A4183" s="3">
        <v>6.976483688707E12</v>
      </c>
      <c r="B4183" s="2" t="s">
        <v>16775</v>
      </c>
      <c r="C4183" s="2" t="s">
        <v>16776</v>
      </c>
      <c r="D4183" s="169">
        <v>46111.0</v>
      </c>
      <c r="E4183" s="2">
        <v>3.478405651E9</v>
      </c>
      <c r="F4183" s="2" t="s">
        <v>16777</v>
      </c>
      <c r="G4183" s="2" t="s">
        <v>688</v>
      </c>
      <c r="H4183" s="2">
        <v>3348.0</v>
      </c>
      <c r="I4183" s="2">
        <v>2.0120050023184E13</v>
      </c>
      <c r="J4183" s="3">
        <v>2.0</v>
      </c>
      <c r="K4183" s="2" t="s">
        <v>16778</v>
      </c>
      <c r="L4183" s="2" t="s">
        <v>228</v>
      </c>
      <c r="M4183" s="2" t="s">
        <v>409</v>
      </c>
      <c r="N4183" s="2" t="s">
        <v>462</v>
      </c>
      <c r="O4183" s="3"/>
      <c r="P4183" s="2" t="s">
        <v>73</v>
      </c>
      <c r="Q4183" s="3">
        <v>720.0</v>
      </c>
      <c r="R4183" s="3">
        <v>0.5</v>
      </c>
      <c r="T4183" s="2" t="s">
        <v>15010</v>
      </c>
      <c r="U4183" s="171">
        <v>3348.0</v>
      </c>
      <c r="V4183" s="172">
        <v>46119.0</v>
      </c>
      <c r="W4183" s="3">
        <v>354.9</v>
      </c>
      <c r="X4183" s="172">
        <v>46119.081153645835</v>
      </c>
      <c r="Y4183" s="172">
        <v>46111.935460451394</v>
      </c>
      <c r="Z4183" s="3">
        <v>46111.0</v>
      </c>
      <c r="AA4183" s="2" t="s">
        <v>14103</v>
      </c>
    </row>
    <row r="4184">
      <c r="A4184" s="3">
        <v>6.976509509891E12</v>
      </c>
      <c r="B4184" s="2" t="s">
        <v>16779</v>
      </c>
      <c r="C4184" s="2" t="s">
        <v>16517</v>
      </c>
      <c r="D4184" s="169">
        <v>46111.0</v>
      </c>
      <c r="E4184" s="2">
        <v>3.430512086E9</v>
      </c>
      <c r="F4184" s="2" t="s">
        <v>16518</v>
      </c>
      <c r="G4184" s="2" t="s">
        <v>16519</v>
      </c>
      <c r="H4184" s="2">
        <v>0.0</v>
      </c>
      <c r="I4184" s="2"/>
      <c r="J4184" s="3">
        <v>0.0</v>
      </c>
      <c r="K4184" s="2" t="s">
        <v>16780</v>
      </c>
      <c r="L4184" s="2"/>
      <c r="M4184" s="2" t="s">
        <v>468</v>
      </c>
      <c r="N4184" s="2" t="s">
        <v>406</v>
      </c>
      <c r="O4184" s="3"/>
      <c r="P4184" s="2"/>
      <c r="Q4184" s="3">
        <v>0.0</v>
      </c>
      <c r="R4184" s="3">
        <v>0.5</v>
      </c>
      <c r="U4184" s="141"/>
      <c r="X4184" s="172"/>
      <c r="Y4184" s="172">
        <v>46111.935460451394</v>
      </c>
      <c r="Z4184" s="3">
        <v>46111.0</v>
      </c>
      <c r="AA4184" s="2" t="s">
        <v>14032</v>
      </c>
    </row>
    <row r="4185">
      <c r="A4185" s="3">
        <v>6.976671154435E12</v>
      </c>
      <c r="B4185" s="2" t="s">
        <v>16781</v>
      </c>
      <c r="C4185" s="2" t="s">
        <v>16782</v>
      </c>
      <c r="D4185" s="169">
        <v>46112.0</v>
      </c>
      <c r="E4185" s="2">
        <v>3.36675054E9</v>
      </c>
      <c r="F4185" s="2" t="s">
        <v>16783</v>
      </c>
      <c r="G4185" s="2" t="s">
        <v>688</v>
      </c>
      <c r="H4185" s="2">
        <v>5247.0</v>
      </c>
      <c r="I4185" s="2">
        <v>2.9120050023183E13</v>
      </c>
      <c r="J4185" s="3">
        <v>3.0</v>
      </c>
      <c r="K4185" s="2" t="s">
        <v>16784</v>
      </c>
      <c r="L4185" s="2" t="s">
        <v>16785</v>
      </c>
      <c r="M4185" s="2" t="s">
        <v>409</v>
      </c>
      <c r="N4185" s="2" t="s">
        <v>462</v>
      </c>
      <c r="O4185" s="3"/>
      <c r="P4185" s="2" t="s">
        <v>73</v>
      </c>
      <c r="Q4185" s="3">
        <v>1420.0</v>
      </c>
      <c r="R4185" s="3">
        <v>0.5</v>
      </c>
      <c r="T4185" s="2" t="s">
        <v>15356</v>
      </c>
      <c r="U4185" s="171">
        <v>5247.0</v>
      </c>
      <c r="V4185" s="172">
        <v>46122.0</v>
      </c>
      <c r="W4185" s="3">
        <v>475.93</v>
      </c>
      <c r="X4185" s="172">
        <v>46121.08103185185</v>
      </c>
      <c r="Y4185" s="172">
        <v>46112.01877475694</v>
      </c>
      <c r="Z4185" s="3">
        <v>46112.0</v>
      </c>
      <c r="AA4185" s="2" t="s">
        <v>14053</v>
      </c>
    </row>
    <row r="4186">
      <c r="A4186" s="3">
        <v>6.976676266243E12</v>
      </c>
      <c r="B4186" s="2" t="s">
        <v>16786</v>
      </c>
      <c r="C4186" s="2" t="s">
        <v>16787</v>
      </c>
      <c r="D4186" s="169">
        <v>46112.0</v>
      </c>
      <c r="E4186" s="2">
        <v>3.007970984E9</v>
      </c>
      <c r="F4186" s="2" t="s">
        <v>16788</v>
      </c>
      <c r="G4186" s="2" t="s">
        <v>368</v>
      </c>
      <c r="H4186" s="2">
        <v>1848.0</v>
      </c>
      <c r="I4186" s="2">
        <v>2.3120050023182E13</v>
      </c>
      <c r="J4186" s="3">
        <v>1.0</v>
      </c>
      <c r="K4186" s="2" t="s">
        <v>16789</v>
      </c>
      <c r="L4186" s="2" t="s">
        <v>16625</v>
      </c>
      <c r="M4186" s="2" t="s">
        <v>409</v>
      </c>
      <c r="N4186" s="2" t="s">
        <v>462</v>
      </c>
      <c r="O4186" s="3"/>
      <c r="P4186" s="2" t="s">
        <v>73</v>
      </c>
      <c r="Q4186" s="3">
        <v>650.0</v>
      </c>
      <c r="R4186" s="3">
        <v>0.5</v>
      </c>
      <c r="T4186" s="2" t="s">
        <v>12503</v>
      </c>
      <c r="U4186" s="171">
        <v>1848.0</v>
      </c>
      <c r="V4186" s="172">
        <v>46115.0</v>
      </c>
      <c r="W4186" s="3">
        <v>191.78</v>
      </c>
      <c r="X4186" s="172">
        <v>46114.70788135417</v>
      </c>
      <c r="Y4186" s="172">
        <v>46112.01877475694</v>
      </c>
      <c r="Z4186" s="3">
        <v>46112.0</v>
      </c>
      <c r="AA4186" s="2" t="s">
        <v>14053</v>
      </c>
    </row>
    <row r="4187">
      <c r="A4187" s="3">
        <v>6.976759431427E12</v>
      </c>
      <c r="B4187" s="2" t="s">
        <v>16790</v>
      </c>
      <c r="C4187" s="2" t="s">
        <v>242</v>
      </c>
      <c r="D4187" s="169">
        <v>46112.0</v>
      </c>
      <c r="E4187" s="2">
        <v>3.104717218E9</v>
      </c>
      <c r="F4187" s="2" t="s">
        <v>16791</v>
      </c>
      <c r="G4187" s="2" t="s">
        <v>368</v>
      </c>
      <c r="H4187" s="2">
        <v>2199.0</v>
      </c>
      <c r="I4187" s="2">
        <v>2.4120050023236E13</v>
      </c>
      <c r="J4187" s="3">
        <v>1.0</v>
      </c>
      <c r="K4187" s="2" t="s">
        <v>204</v>
      </c>
      <c r="L4187" s="2" t="s">
        <v>243</v>
      </c>
      <c r="M4187" s="2" t="s">
        <v>14076</v>
      </c>
      <c r="N4187" s="2" t="s">
        <v>406</v>
      </c>
      <c r="O4187" s="3"/>
      <c r="P4187" s="2" t="s">
        <v>73</v>
      </c>
      <c r="Q4187" s="3">
        <v>360.0</v>
      </c>
      <c r="R4187" s="3">
        <v>0.5</v>
      </c>
      <c r="U4187" s="141"/>
      <c r="X4187" s="172">
        <v>46122.081120428236</v>
      </c>
      <c r="Y4187" s="172">
        <v>46112.06044351852</v>
      </c>
      <c r="Z4187" s="3">
        <v>46112.0</v>
      </c>
      <c r="AA4187" s="2" t="s">
        <v>14053</v>
      </c>
    </row>
    <row r="4188">
      <c r="A4188" s="3">
        <v>6.976763101443E12</v>
      </c>
      <c r="B4188" s="2" t="s">
        <v>16792</v>
      </c>
      <c r="C4188" s="2" t="s">
        <v>244</v>
      </c>
      <c r="D4188" s="169">
        <v>46112.0</v>
      </c>
      <c r="E4188" s="173" t="s">
        <v>16793</v>
      </c>
      <c r="F4188" s="2" t="s">
        <v>16794</v>
      </c>
      <c r="G4188" s="2" t="s">
        <v>541</v>
      </c>
      <c r="H4188" s="2">
        <v>3399.0</v>
      </c>
      <c r="I4188" s="2">
        <v>2.9120050023181E13</v>
      </c>
      <c r="J4188" s="3">
        <v>2.0</v>
      </c>
      <c r="K4188" s="2"/>
      <c r="L4188" s="2" t="s">
        <v>245</v>
      </c>
      <c r="M4188" s="2" t="s">
        <v>14076</v>
      </c>
      <c r="N4188" s="2" t="s">
        <v>406</v>
      </c>
      <c r="O4188" s="3"/>
      <c r="P4188" s="2" t="s">
        <v>73</v>
      </c>
      <c r="Q4188" s="3">
        <v>910.0</v>
      </c>
      <c r="R4188" s="3">
        <v>0.5</v>
      </c>
      <c r="U4188" s="141"/>
      <c r="X4188" s="172">
        <v>46122.08112050926</v>
      </c>
      <c r="Y4188" s="172">
        <v>46112.06044351852</v>
      </c>
      <c r="Z4188" s="3">
        <v>46112.0</v>
      </c>
      <c r="AA4188" s="2" t="s">
        <v>14032</v>
      </c>
    </row>
    <row r="4189">
      <c r="A4189" s="3">
        <v>6.976775192835E12</v>
      </c>
      <c r="B4189" s="2" t="s">
        <v>16795</v>
      </c>
      <c r="C4189" s="2" t="s">
        <v>16796</v>
      </c>
      <c r="D4189" s="169">
        <v>46112.0</v>
      </c>
      <c r="E4189" s="173" t="s">
        <v>16797</v>
      </c>
      <c r="F4189" s="2" t="s">
        <v>16798</v>
      </c>
      <c r="G4189" s="2" t="s">
        <v>493</v>
      </c>
      <c r="H4189" s="2">
        <v>3348.0</v>
      </c>
      <c r="I4189" s="2">
        <v>2.6120050023461E13</v>
      </c>
      <c r="J4189" s="3">
        <v>2.0</v>
      </c>
      <c r="K4189" s="2" t="s">
        <v>15277</v>
      </c>
      <c r="L4189" s="2" t="s">
        <v>275</v>
      </c>
      <c r="M4189" s="2" t="s">
        <v>409</v>
      </c>
      <c r="N4189" s="2" t="s">
        <v>462</v>
      </c>
      <c r="O4189" s="3"/>
      <c r="P4189" s="2" t="s">
        <v>73</v>
      </c>
      <c r="Q4189" s="3">
        <v>800.0</v>
      </c>
      <c r="R4189" s="3">
        <v>0.5</v>
      </c>
      <c r="T4189" s="2" t="s">
        <v>15278</v>
      </c>
      <c r="U4189" s="171">
        <v>3348.0</v>
      </c>
      <c r="V4189" s="172">
        <v>46126.0</v>
      </c>
      <c r="W4189" s="3">
        <v>391.9</v>
      </c>
      <c r="X4189" s="172">
        <v>46126.08115619213</v>
      </c>
      <c r="Y4189" s="172">
        <v>46112.102088009255</v>
      </c>
      <c r="Z4189" s="3">
        <v>46112.0</v>
      </c>
      <c r="AA4189" s="2" t="s">
        <v>14103</v>
      </c>
    </row>
    <row r="4190">
      <c r="A4190" s="3">
        <v>6.976840958211E12</v>
      </c>
      <c r="B4190" s="2" t="s">
        <v>16799</v>
      </c>
      <c r="C4190" s="2" t="s">
        <v>16800</v>
      </c>
      <c r="D4190" s="169">
        <v>46112.0</v>
      </c>
      <c r="E4190" s="2">
        <v>3.333330529E9</v>
      </c>
      <c r="F4190" s="2" t="s">
        <v>16801</v>
      </c>
      <c r="G4190" s="2" t="s">
        <v>506</v>
      </c>
      <c r="H4190" s="2">
        <v>3348.0</v>
      </c>
      <c r="I4190" s="2">
        <v>2.7120050023179E13</v>
      </c>
      <c r="J4190" s="3">
        <v>2.0</v>
      </c>
      <c r="K4190" s="2" t="s">
        <v>16802</v>
      </c>
      <c r="L4190" s="2" t="s">
        <v>50</v>
      </c>
      <c r="M4190" s="2" t="s">
        <v>409</v>
      </c>
      <c r="N4190" s="2" t="s">
        <v>462</v>
      </c>
      <c r="O4190" s="3"/>
      <c r="P4190" s="2" t="s">
        <v>73</v>
      </c>
      <c r="Q4190" s="3">
        <v>720.0</v>
      </c>
      <c r="R4190" s="3">
        <v>0.5</v>
      </c>
      <c r="T4190" s="2" t="s">
        <v>15356</v>
      </c>
      <c r="U4190" s="171">
        <v>3348.0</v>
      </c>
      <c r="V4190" s="172">
        <v>46122.0</v>
      </c>
      <c r="W4190" s="3">
        <v>375.78</v>
      </c>
      <c r="X4190" s="172">
        <v>46121.08103188657</v>
      </c>
      <c r="Y4190" s="172">
        <v>46112.102088009255</v>
      </c>
      <c r="Z4190" s="3">
        <v>46112.0</v>
      </c>
      <c r="AA4190" s="2" t="s">
        <v>14053</v>
      </c>
    </row>
    <row r="4191">
      <c r="A4191" s="3">
        <v>6.976856129795E12</v>
      </c>
      <c r="B4191" s="2" t="s">
        <v>16803</v>
      </c>
      <c r="C4191" s="2" t="s">
        <v>246</v>
      </c>
      <c r="D4191" s="169">
        <v>46112.0</v>
      </c>
      <c r="E4191" s="2">
        <v>3.2149684E9</v>
      </c>
      <c r="F4191" s="2" t="s">
        <v>16804</v>
      </c>
      <c r="G4191" s="2" t="s">
        <v>1044</v>
      </c>
      <c r="H4191" s="2">
        <v>2199.0</v>
      </c>
      <c r="I4191" s="2">
        <v>2.9120050023178E13</v>
      </c>
      <c r="J4191" s="3">
        <v>1.0</v>
      </c>
      <c r="K4191" s="2" t="s">
        <v>204</v>
      </c>
      <c r="L4191" s="2" t="s">
        <v>220</v>
      </c>
      <c r="M4191" s="2" t="s">
        <v>14076</v>
      </c>
      <c r="N4191" s="2" t="s">
        <v>406</v>
      </c>
      <c r="O4191" s="3"/>
      <c r="P4191" s="2" t="s">
        <v>73</v>
      </c>
      <c r="Q4191" s="3">
        <v>360.0</v>
      </c>
      <c r="R4191" s="3">
        <v>0.5</v>
      </c>
      <c r="U4191" s="141"/>
      <c r="X4191" s="172">
        <v>46122.081120532406</v>
      </c>
      <c r="Y4191" s="172">
        <v>46112.143773090276</v>
      </c>
      <c r="Z4191" s="3">
        <v>46112.0</v>
      </c>
      <c r="AA4191" s="2" t="s">
        <v>14032</v>
      </c>
    </row>
    <row r="4192">
      <c r="A4192" s="3">
        <v>6.976867172611E12</v>
      </c>
      <c r="B4192" s="2" t="s">
        <v>16805</v>
      </c>
      <c r="C4192" s="2" t="s">
        <v>247</v>
      </c>
      <c r="D4192" s="169">
        <v>46112.0</v>
      </c>
      <c r="E4192" s="2">
        <v>3.2195137E9</v>
      </c>
      <c r="F4192" s="2" t="s">
        <v>16806</v>
      </c>
      <c r="G4192" s="2" t="s">
        <v>506</v>
      </c>
      <c r="H4192" s="2">
        <v>6249.0</v>
      </c>
      <c r="I4192" s="2">
        <v>2.9120050023235E13</v>
      </c>
      <c r="J4192" s="3">
        <v>4.0</v>
      </c>
      <c r="K4192" s="2" t="s">
        <v>204</v>
      </c>
      <c r="L4192" s="2" t="s">
        <v>248</v>
      </c>
      <c r="M4192" s="2" t="s">
        <v>14076</v>
      </c>
      <c r="N4192" s="2" t="s">
        <v>406</v>
      </c>
      <c r="O4192" s="3"/>
      <c r="P4192" s="2" t="s">
        <v>73</v>
      </c>
      <c r="Q4192" s="3">
        <v>1890.0</v>
      </c>
      <c r="R4192" s="3">
        <v>0.5</v>
      </c>
      <c r="U4192" s="141"/>
      <c r="X4192" s="172">
        <v>46122.08112055555</v>
      </c>
      <c r="Y4192" s="172">
        <v>46112.143773090276</v>
      </c>
      <c r="Z4192" s="3">
        <v>46112.0</v>
      </c>
      <c r="AA4192" s="2" t="s">
        <v>14022</v>
      </c>
    </row>
    <row r="4193">
      <c r="A4193" s="3">
        <v>6.976869597443E12</v>
      </c>
      <c r="B4193" s="2" t="s">
        <v>16807</v>
      </c>
      <c r="C4193" s="2" t="s">
        <v>247</v>
      </c>
      <c r="D4193" s="169">
        <v>46112.0</v>
      </c>
      <c r="E4193" s="173" t="s">
        <v>16808</v>
      </c>
      <c r="F4193" s="2" t="s">
        <v>16806</v>
      </c>
      <c r="G4193" s="2" t="s">
        <v>506</v>
      </c>
      <c r="H4193" s="2">
        <v>0.0</v>
      </c>
      <c r="I4193" s="2"/>
      <c r="J4193" s="3">
        <v>0.0</v>
      </c>
      <c r="K4193" s="2" t="s">
        <v>7954</v>
      </c>
      <c r="L4193" s="2"/>
      <c r="M4193" s="2" t="s">
        <v>468</v>
      </c>
      <c r="N4193" s="2" t="s">
        <v>406</v>
      </c>
      <c r="O4193" s="3"/>
      <c r="P4193" s="2"/>
      <c r="Q4193" s="3">
        <v>0.0</v>
      </c>
      <c r="R4193" s="3">
        <v>0.5</v>
      </c>
      <c r="U4193" s="141"/>
      <c r="X4193" s="172"/>
      <c r="Y4193" s="172">
        <v>46112.143773090276</v>
      </c>
      <c r="Z4193" s="3">
        <v>46112.0</v>
      </c>
      <c r="AA4193" s="2" t="s">
        <v>14022</v>
      </c>
    </row>
    <row r="4194">
      <c r="A4194" s="3">
        <v>6.976987562243E12</v>
      </c>
      <c r="B4194" s="2" t="s">
        <v>16809</v>
      </c>
      <c r="C4194" s="2" t="s">
        <v>3690</v>
      </c>
      <c r="D4194" s="169">
        <v>46112.0</v>
      </c>
      <c r="E4194" s="2">
        <v>3.014959841E9</v>
      </c>
      <c r="F4194" s="2" t="s">
        <v>16810</v>
      </c>
      <c r="G4194" s="2" t="s">
        <v>368</v>
      </c>
      <c r="H4194" s="2">
        <v>0.0</v>
      </c>
      <c r="I4194" s="2"/>
      <c r="J4194" s="3">
        <v>0.0</v>
      </c>
      <c r="K4194" s="2" t="s">
        <v>16620</v>
      </c>
      <c r="L4194" s="2"/>
      <c r="M4194" s="2" t="s">
        <v>468</v>
      </c>
      <c r="N4194" s="2" t="s">
        <v>406</v>
      </c>
      <c r="O4194" s="3"/>
      <c r="P4194" s="2"/>
      <c r="Q4194" s="3">
        <v>0.0</v>
      </c>
      <c r="R4194" s="3">
        <v>0.5</v>
      </c>
      <c r="U4194" s="141"/>
      <c r="X4194" s="172"/>
      <c r="Y4194" s="172">
        <v>46112.18546854166</v>
      </c>
      <c r="Z4194" s="3">
        <v>46112.0</v>
      </c>
      <c r="AA4194" s="2" t="s">
        <v>14032</v>
      </c>
    </row>
    <row r="4195">
      <c r="A4195" s="3">
        <v>6.977199800579E12</v>
      </c>
      <c r="B4195" s="2" t="s">
        <v>16811</v>
      </c>
      <c r="C4195" s="2" t="s">
        <v>16812</v>
      </c>
      <c r="D4195" s="169">
        <v>46112.0</v>
      </c>
      <c r="E4195" s="2">
        <v>3.158501986E9</v>
      </c>
      <c r="F4195" s="2" t="s">
        <v>16813</v>
      </c>
      <c r="G4195" s="2" t="s">
        <v>493</v>
      </c>
      <c r="H4195" s="2">
        <v>3348.0</v>
      </c>
      <c r="I4195" s="2">
        <v>2.312005002346E13</v>
      </c>
      <c r="J4195" s="3">
        <v>2.0</v>
      </c>
      <c r="K4195" s="2" t="s">
        <v>15277</v>
      </c>
      <c r="L4195" s="2" t="s">
        <v>296</v>
      </c>
      <c r="M4195" s="2" t="s">
        <v>409</v>
      </c>
      <c r="N4195" s="2" t="s">
        <v>462</v>
      </c>
      <c r="O4195" s="3"/>
      <c r="P4195" s="2" t="s">
        <v>73</v>
      </c>
      <c r="Q4195" s="3">
        <v>720.0</v>
      </c>
      <c r="R4195" s="3">
        <v>0.5</v>
      </c>
      <c r="T4195" s="2" t="s">
        <v>15278</v>
      </c>
      <c r="U4195" s="171">
        <v>3348.0</v>
      </c>
      <c r="V4195" s="172">
        <v>46126.0</v>
      </c>
      <c r="W4195" s="3">
        <v>391.9</v>
      </c>
      <c r="X4195" s="172">
        <v>46126.08115741899</v>
      </c>
      <c r="Y4195" s="172">
        <v>46112.31043037037</v>
      </c>
      <c r="Z4195" s="3">
        <v>46112.0</v>
      </c>
      <c r="AA4195" s="2" t="s">
        <v>14032</v>
      </c>
    </row>
    <row r="4196">
      <c r="A4196" s="3">
        <v>6.977250033923E12</v>
      </c>
      <c r="B4196" s="2" t="s">
        <v>16814</v>
      </c>
      <c r="C4196" s="2" t="s">
        <v>15806</v>
      </c>
      <c r="D4196" s="169">
        <v>46112.0</v>
      </c>
      <c r="E4196" s="2">
        <v>3.707954157E9</v>
      </c>
      <c r="F4196" s="2" t="s">
        <v>16815</v>
      </c>
      <c r="G4196" s="2" t="s">
        <v>368</v>
      </c>
      <c r="H4196" s="2">
        <v>249.0</v>
      </c>
      <c r="I4196" s="2">
        <v>2.2120050023176E13</v>
      </c>
      <c r="J4196" s="3">
        <v>0.0</v>
      </c>
      <c r="K4196" s="2" t="s">
        <v>16816</v>
      </c>
      <c r="L4196" s="2"/>
      <c r="M4196" s="170" t="s">
        <v>455</v>
      </c>
      <c r="N4196" s="2" t="s">
        <v>406</v>
      </c>
      <c r="O4196" s="3"/>
      <c r="P4196" s="2" t="s">
        <v>73</v>
      </c>
      <c r="Q4196" s="3">
        <v>0.0</v>
      </c>
      <c r="R4196" s="3">
        <v>0.5</v>
      </c>
      <c r="U4196" s="141"/>
      <c r="W4196" s="3">
        <v>132.59</v>
      </c>
      <c r="X4196" s="172">
        <v>46121.08103190972</v>
      </c>
      <c r="Y4196" s="172">
        <v>46112.352093124995</v>
      </c>
      <c r="Z4196" s="3">
        <v>46112.0</v>
      </c>
      <c r="AA4196" s="2" t="s">
        <v>14032</v>
      </c>
    </row>
    <row r="4197">
      <c r="A4197" s="3">
        <v>6.977374781699E12</v>
      </c>
      <c r="B4197" s="2" t="s">
        <v>16817</v>
      </c>
      <c r="C4197" s="2" t="s">
        <v>16818</v>
      </c>
      <c r="D4197" s="169">
        <v>46112.0</v>
      </c>
      <c r="E4197" s="2">
        <v>3.008664485E9</v>
      </c>
      <c r="F4197" s="2" t="s">
        <v>16819</v>
      </c>
      <c r="G4197" s="2" t="s">
        <v>374</v>
      </c>
      <c r="H4197" s="2">
        <v>3348.0</v>
      </c>
      <c r="I4197" s="2">
        <v>2.5120050023175E13</v>
      </c>
      <c r="J4197" s="3">
        <v>2.0</v>
      </c>
      <c r="K4197" s="2" t="s">
        <v>15531</v>
      </c>
      <c r="L4197" s="2" t="s">
        <v>296</v>
      </c>
      <c r="M4197" s="2" t="s">
        <v>409</v>
      </c>
      <c r="N4197" s="2" t="s">
        <v>462</v>
      </c>
      <c r="O4197" s="3"/>
      <c r="P4197" s="2" t="s">
        <v>73</v>
      </c>
      <c r="Q4197" s="3">
        <v>720.0</v>
      </c>
      <c r="R4197" s="3">
        <v>0.5</v>
      </c>
      <c r="T4197" s="2" t="s">
        <v>15010</v>
      </c>
      <c r="U4197" s="171">
        <v>3348.0</v>
      </c>
      <c r="V4197" s="172">
        <v>46119.0</v>
      </c>
      <c r="W4197" s="3">
        <v>354.9</v>
      </c>
      <c r="X4197" s="172">
        <v>46115.62452159722</v>
      </c>
      <c r="Y4197" s="172">
        <v>46112.43547872685</v>
      </c>
      <c r="Z4197" s="3">
        <v>46112.0</v>
      </c>
      <c r="AA4197" s="2" t="s">
        <v>14032</v>
      </c>
    </row>
    <row r="4198">
      <c r="A4198" s="3">
        <v>6.977582399747E12</v>
      </c>
      <c r="B4198" s="2" t="s">
        <v>16820</v>
      </c>
      <c r="C4198" s="2" t="s">
        <v>16485</v>
      </c>
      <c r="D4198" s="169">
        <v>46112.0</v>
      </c>
      <c r="E4198" s="2">
        <v>3.20149391E9</v>
      </c>
      <c r="F4198" s="2" t="s">
        <v>16486</v>
      </c>
      <c r="G4198" s="2" t="s">
        <v>678</v>
      </c>
      <c r="H4198" s="2">
        <v>1674.0</v>
      </c>
      <c r="I4198" s="2">
        <v>2.0120050023165E13</v>
      </c>
      <c r="J4198" s="3">
        <v>1.0</v>
      </c>
      <c r="K4198" s="2" t="s">
        <v>16761</v>
      </c>
      <c r="L4198" s="2" t="s">
        <v>4482</v>
      </c>
      <c r="M4198" s="2" t="s">
        <v>409</v>
      </c>
      <c r="N4198" s="2" t="s">
        <v>406</v>
      </c>
      <c r="O4198" s="3"/>
      <c r="P4198" s="2" t="s">
        <v>73</v>
      </c>
      <c r="Q4198" s="3">
        <v>490.0</v>
      </c>
      <c r="R4198" s="3">
        <v>0.5</v>
      </c>
      <c r="U4198" s="171">
        <v>1674.0</v>
      </c>
      <c r="X4198" s="172">
        <v>46113.52121008102</v>
      </c>
      <c r="Y4198" s="172">
        <v>46112.56052225694</v>
      </c>
      <c r="Z4198" s="3">
        <v>46112.0</v>
      </c>
      <c r="AA4198" s="2" t="s">
        <v>14026</v>
      </c>
    </row>
    <row r="4199">
      <c r="A4199" s="3">
        <v>6.977624834307E12</v>
      </c>
      <c r="B4199" s="2" t="s">
        <v>16821</v>
      </c>
      <c r="C4199" s="2" t="s">
        <v>16097</v>
      </c>
      <c r="D4199" s="169">
        <v>46112.0</v>
      </c>
      <c r="E4199" s="2">
        <v>3.329979932E9</v>
      </c>
      <c r="F4199" s="2" t="s">
        <v>16098</v>
      </c>
      <c r="G4199" s="2" t="s">
        <v>781</v>
      </c>
      <c r="H4199" s="2">
        <v>3347.0</v>
      </c>
      <c r="I4199" s="2">
        <v>2.9120050023164E13</v>
      </c>
      <c r="J4199" s="3">
        <v>2.0</v>
      </c>
      <c r="K4199" s="2" t="s">
        <v>16822</v>
      </c>
      <c r="L4199" s="2" t="s">
        <v>50</v>
      </c>
      <c r="M4199" s="2" t="s">
        <v>409</v>
      </c>
      <c r="N4199" s="2" t="s">
        <v>462</v>
      </c>
      <c r="O4199" s="3"/>
      <c r="P4199" s="2" t="s">
        <v>73</v>
      </c>
      <c r="Q4199" s="3">
        <v>720.0</v>
      </c>
      <c r="R4199" s="3">
        <v>0.5</v>
      </c>
      <c r="T4199" s="2" t="s">
        <v>15010</v>
      </c>
      <c r="U4199" s="171">
        <v>3347.0</v>
      </c>
      <c r="V4199" s="172">
        <v>46119.0</v>
      </c>
      <c r="W4199" s="3">
        <v>245.70999999999998</v>
      </c>
      <c r="X4199" s="172">
        <v>46119.08115375</v>
      </c>
      <c r="Y4199" s="172">
        <v>46112.56052225694</v>
      </c>
      <c r="Z4199" s="3">
        <v>46112.0</v>
      </c>
      <c r="AA4199" s="2" t="s">
        <v>14026</v>
      </c>
    </row>
    <row r="4200">
      <c r="A4200" s="3">
        <v>6.977630961923E12</v>
      </c>
      <c r="B4200" s="2" t="s">
        <v>171</v>
      </c>
      <c r="C4200" s="2" t="s">
        <v>16209</v>
      </c>
      <c r="D4200" s="169">
        <v>46112.0</v>
      </c>
      <c r="E4200" s="2">
        <v>3.287197636E9</v>
      </c>
      <c r="F4200" s="2" t="s">
        <v>16823</v>
      </c>
      <c r="G4200" s="2" t="s">
        <v>541</v>
      </c>
      <c r="H4200" s="2">
        <v>249.0</v>
      </c>
      <c r="I4200" s="2">
        <v>2.2120050023174E13</v>
      </c>
      <c r="J4200" s="3">
        <v>0.0</v>
      </c>
      <c r="K4200" s="2" t="s">
        <v>16824</v>
      </c>
      <c r="L4200" s="2"/>
      <c r="M4200" s="170" t="s">
        <v>455</v>
      </c>
      <c r="N4200" s="2" t="s">
        <v>406</v>
      </c>
      <c r="O4200" s="3"/>
      <c r="P4200" s="2" t="s">
        <v>73</v>
      </c>
      <c r="Q4200" s="3">
        <v>0.0</v>
      </c>
      <c r="R4200" s="3">
        <v>0.5</v>
      </c>
      <c r="U4200" s="141"/>
      <c r="W4200" s="3">
        <v>220.98</v>
      </c>
      <c r="X4200" s="172">
        <v>46128.081036828706</v>
      </c>
      <c r="Y4200" s="172">
        <v>46112.56052226852</v>
      </c>
      <c r="Z4200" s="3">
        <v>46112.0</v>
      </c>
      <c r="AA4200" s="2" t="s">
        <v>14032</v>
      </c>
    </row>
    <row r="4201">
      <c r="A4201" s="3">
        <v>6.977632764163E12</v>
      </c>
      <c r="B4201" s="2" t="s">
        <v>170</v>
      </c>
      <c r="C4201" s="2" t="s">
        <v>16825</v>
      </c>
      <c r="D4201" s="169">
        <v>46112.0</v>
      </c>
      <c r="E4201" s="173" t="s">
        <v>16826</v>
      </c>
      <c r="F4201" s="2" t="s">
        <v>16827</v>
      </c>
      <c r="G4201" s="2" t="s">
        <v>16828</v>
      </c>
      <c r="H4201" s="2">
        <v>249.0</v>
      </c>
      <c r="I4201" s="2">
        <v>2.5120050023163E13</v>
      </c>
      <c r="J4201" s="3">
        <v>0.0</v>
      </c>
      <c r="K4201" s="2" t="s">
        <v>16829</v>
      </c>
      <c r="L4201" s="2"/>
      <c r="M4201" s="170" t="s">
        <v>455</v>
      </c>
      <c r="N4201" s="2" t="s">
        <v>406</v>
      </c>
      <c r="O4201" s="3"/>
      <c r="P4201" s="2" t="s">
        <v>73</v>
      </c>
      <c r="Q4201" s="3">
        <v>0.0</v>
      </c>
      <c r="R4201" s="3">
        <v>0.5</v>
      </c>
      <c r="U4201" s="141"/>
      <c r="W4201" s="3">
        <v>235.70999999999998</v>
      </c>
      <c r="X4201" s="172">
        <v>46127.08102027778</v>
      </c>
      <c r="Y4201" s="172">
        <v>46112.56052226852</v>
      </c>
      <c r="Z4201" s="3">
        <v>46112.0</v>
      </c>
      <c r="AA4201" s="2" t="s">
        <v>14026</v>
      </c>
    </row>
    <row r="4202">
      <c r="A4202" s="3">
        <v>6.977643151619E12</v>
      </c>
      <c r="B4202" s="2" t="s">
        <v>16830</v>
      </c>
      <c r="C4202" s="2" t="s">
        <v>16831</v>
      </c>
      <c r="D4202" s="169">
        <v>46112.0</v>
      </c>
      <c r="E4202" s="173" t="s">
        <v>16832</v>
      </c>
      <c r="F4202" s="2" t="s">
        <v>16833</v>
      </c>
      <c r="G4202" s="2" t="s">
        <v>16834</v>
      </c>
      <c r="H4202" s="2">
        <v>3347.0</v>
      </c>
      <c r="I4202" s="2">
        <v>2.5120050023162E13</v>
      </c>
      <c r="J4202" s="3">
        <v>2.0</v>
      </c>
      <c r="K4202" s="2" t="s">
        <v>16835</v>
      </c>
      <c r="L4202" s="2" t="s">
        <v>906</v>
      </c>
      <c r="M4202" s="2" t="s">
        <v>409</v>
      </c>
      <c r="N4202" s="2" t="s">
        <v>462</v>
      </c>
      <c r="O4202" s="3"/>
      <c r="P4202" s="2" t="s">
        <v>73</v>
      </c>
      <c r="Q4202" s="3">
        <v>720.0</v>
      </c>
      <c r="R4202" s="3">
        <v>0.5</v>
      </c>
      <c r="T4202" s="2" t="s">
        <v>12503</v>
      </c>
      <c r="U4202" s="171">
        <v>3347.0</v>
      </c>
      <c r="V4202" s="172">
        <v>46115.0</v>
      </c>
      <c r="W4202" s="3">
        <v>354.86</v>
      </c>
      <c r="X4202" s="172">
        <v>46114.54141276621</v>
      </c>
      <c r="Y4202" s="172">
        <v>46112.56052226852</v>
      </c>
      <c r="Z4202" s="3">
        <v>46112.0</v>
      </c>
      <c r="AA4202" s="2" t="s">
        <v>14026</v>
      </c>
    </row>
    <row r="4203">
      <c r="A4203" s="3">
        <v>6.977654980867E12</v>
      </c>
      <c r="B4203" s="2" t="s">
        <v>16836</v>
      </c>
      <c r="C4203" s="2" t="s">
        <v>16837</v>
      </c>
      <c r="D4203" s="169">
        <v>46112.0</v>
      </c>
      <c r="E4203" s="173" t="s">
        <v>16838</v>
      </c>
      <c r="F4203" s="2" t="s">
        <v>16839</v>
      </c>
      <c r="G4203" s="2" t="s">
        <v>368</v>
      </c>
      <c r="H4203" s="2">
        <v>2099.0</v>
      </c>
      <c r="I4203" s="2">
        <v>2.9120050023161E13</v>
      </c>
      <c r="J4203" s="3">
        <v>1.0</v>
      </c>
      <c r="K4203" s="2" t="s">
        <v>16840</v>
      </c>
      <c r="L4203" s="2" t="s">
        <v>16841</v>
      </c>
      <c r="M4203" s="2" t="s">
        <v>409</v>
      </c>
      <c r="N4203" s="2" t="s">
        <v>462</v>
      </c>
      <c r="O4203" s="3"/>
      <c r="P4203" s="2" t="s">
        <v>73</v>
      </c>
      <c r="Q4203" s="3">
        <v>360.0</v>
      </c>
      <c r="R4203" s="3">
        <v>0.5</v>
      </c>
      <c r="T4203" s="2" t="s">
        <v>15010</v>
      </c>
      <c r="U4203" s="171">
        <v>2099.0</v>
      </c>
      <c r="V4203" s="172">
        <v>46119.0</v>
      </c>
      <c r="W4203" s="3">
        <v>201.82</v>
      </c>
      <c r="X4203" s="172">
        <v>46115.7496328125</v>
      </c>
      <c r="Y4203" s="172">
        <v>46112.56052226852</v>
      </c>
      <c r="Z4203" s="3">
        <v>46112.0</v>
      </c>
      <c r="AA4203" s="2" t="s">
        <v>14026</v>
      </c>
    </row>
    <row r="4204">
      <c r="A4204" s="3">
        <v>6.977661239555E12</v>
      </c>
      <c r="B4204" s="2" t="s">
        <v>16842</v>
      </c>
      <c r="C4204" s="2" t="s">
        <v>249</v>
      </c>
      <c r="D4204" s="169">
        <v>46112.0</v>
      </c>
      <c r="E4204" s="173" t="s">
        <v>16843</v>
      </c>
      <c r="F4204" s="2" t="s">
        <v>16844</v>
      </c>
      <c r="G4204" s="2" t="s">
        <v>16845</v>
      </c>
      <c r="H4204" s="2">
        <v>3348.0</v>
      </c>
      <c r="I4204" s="2">
        <v>2.3120050023128E13</v>
      </c>
      <c r="J4204" s="3">
        <v>2.0</v>
      </c>
      <c r="K4204" s="2"/>
      <c r="L4204" s="2" t="s">
        <v>50</v>
      </c>
      <c r="M4204" s="2" t="s">
        <v>14076</v>
      </c>
      <c r="N4204" s="2" t="s">
        <v>406</v>
      </c>
      <c r="O4204" s="3"/>
      <c r="P4204" s="2" t="s">
        <v>73</v>
      </c>
      <c r="Q4204" s="3">
        <v>720.0</v>
      </c>
      <c r="R4204" s="3">
        <v>0.5</v>
      </c>
      <c r="U4204" s="141"/>
      <c r="X4204" s="172">
        <v>46122.081120613424</v>
      </c>
      <c r="Y4204" s="172">
        <v>46112.6021122338</v>
      </c>
      <c r="Z4204" s="3">
        <v>46112.0</v>
      </c>
      <c r="AA4204" s="2" t="s">
        <v>14032</v>
      </c>
    </row>
    <row r="4205">
      <c r="A4205" s="3">
        <v>6.977672544515E12</v>
      </c>
      <c r="B4205" s="2" t="s">
        <v>16846</v>
      </c>
      <c r="C4205" s="2" t="s">
        <v>10223</v>
      </c>
      <c r="D4205" s="169">
        <v>46112.0</v>
      </c>
      <c r="E4205" s="2">
        <v>3.336847601E9</v>
      </c>
      <c r="F4205" s="2" t="s">
        <v>14105</v>
      </c>
      <c r="G4205" s="2" t="s">
        <v>506</v>
      </c>
      <c r="H4205" s="2">
        <v>3347.0</v>
      </c>
      <c r="I4205" s="2">
        <v>2.112005002316E13</v>
      </c>
      <c r="J4205" s="3">
        <v>2.0</v>
      </c>
      <c r="K4205" s="2" t="s">
        <v>16847</v>
      </c>
      <c r="L4205" s="2" t="s">
        <v>50</v>
      </c>
      <c r="M4205" s="2" t="s">
        <v>409</v>
      </c>
      <c r="N4205" s="2" t="s">
        <v>462</v>
      </c>
      <c r="O4205" s="3"/>
      <c r="P4205" s="2" t="s">
        <v>73</v>
      </c>
      <c r="Q4205" s="3">
        <v>720.0</v>
      </c>
      <c r="R4205" s="3">
        <v>0.5</v>
      </c>
      <c r="T4205" s="2" t="s">
        <v>15356</v>
      </c>
      <c r="U4205" s="171">
        <v>250.0</v>
      </c>
      <c r="V4205" s="172">
        <v>46122.0</v>
      </c>
      <c r="W4205" s="3">
        <v>230.98</v>
      </c>
      <c r="X4205" s="172">
        <v>46122.081120625</v>
      </c>
      <c r="Y4205" s="172">
        <v>46112.60211224537</v>
      </c>
      <c r="Z4205" s="3">
        <v>46112.0</v>
      </c>
      <c r="AA4205" s="2" t="s">
        <v>14026</v>
      </c>
    </row>
    <row r="4206">
      <c r="A4206" s="3">
        <v>6.977685979395E12</v>
      </c>
      <c r="B4206" s="2" t="s">
        <v>16848</v>
      </c>
      <c r="C4206" s="2" t="s">
        <v>16046</v>
      </c>
      <c r="D4206" s="169">
        <v>46112.0</v>
      </c>
      <c r="E4206" s="2">
        <v>3.046996609E9</v>
      </c>
      <c r="F4206" s="2" t="s">
        <v>16047</v>
      </c>
      <c r="G4206" s="2" t="s">
        <v>16048</v>
      </c>
      <c r="H4206" s="2">
        <v>3099.0</v>
      </c>
      <c r="I4206" s="2">
        <v>2.7120050023159E13</v>
      </c>
      <c r="J4206" s="3">
        <v>2.0</v>
      </c>
      <c r="K4206" s="2" t="s">
        <v>16849</v>
      </c>
      <c r="L4206" s="2" t="s">
        <v>35</v>
      </c>
      <c r="M4206" s="2" t="s">
        <v>409</v>
      </c>
      <c r="N4206" s="2" t="s">
        <v>406</v>
      </c>
      <c r="O4206" s="3"/>
      <c r="P4206" s="2" t="s">
        <v>73</v>
      </c>
      <c r="Q4206" s="3">
        <v>980.0</v>
      </c>
      <c r="R4206" s="3">
        <v>0.5</v>
      </c>
      <c r="T4206" s="2" t="s">
        <v>12503</v>
      </c>
      <c r="U4206" s="171">
        <v>3099.0</v>
      </c>
      <c r="V4206" s="172">
        <v>46115.0</v>
      </c>
      <c r="W4206" s="3">
        <v>230.98</v>
      </c>
      <c r="X4206" s="172">
        <v>46114.66630197917</v>
      </c>
      <c r="Y4206" s="172">
        <v>46112.60211224537</v>
      </c>
      <c r="Z4206" s="3">
        <v>46112.0</v>
      </c>
      <c r="AA4206" s="2" t="s">
        <v>14026</v>
      </c>
    </row>
    <row r="4207">
      <c r="A4207" s="3">
        <v>6.977689387267E12</v>
      </c>
      <c r="B4207" s="2" t="s">
        <v>16850</v>
      </c>
      <c r="C4207" s="2" t="s">
        <v>14551</v>
      </c>
      <c r="D4207" s="169">
        <v>46112.0</v>
      </c>
      <c r="E4207" s="173" t="s">
        <v>14552</v>
      </c>
      <c r="F4207" s="2" t="s">
        <v>14553</v>
      </c>
      <c r="G4207" s="2" t="s">
        <v>366</v>
      </c>
      <c r="H4207" s="2">
        <v>3549.0</v>
      </c>
      <c r="I4207" s="2">
        <v>2.6120050023158E13</v>
      </c>
      <c r="J4207" s="3">
        <v>2.0</v>
      </c>
      <c r="K4207" s="2" t="s">
        <v>16851</v>
      </c>
      <c r="L4207" s="2" t="s">
        <v>16852</v>
      </c>
      <c r="M4207" s="2" t="s">
        <v>409</v>
      </c>
      <c r="N4207" s="2" t="s">
        <v>462</v>
      </c>
      <c r="O4207" s="3"/>
      <c r="P4207" s="2" t="s">
        <v>73</v>
      </c>
      <c r="Q4207" s="3">
        <v>1100.0</v>
      </c>
      <c r="R4207" s="3">
        <v>0.5</v>
      </c>
      <c r="T4207" s="2" t="s">
        <v>15010</v>
      </c>
      <c r="U4207" s="171">
        <v>3549.0</v>
      </c>
      <c r="V4207" s="172">
        <v>46119.0</v>
      </c>
      <c r="W4207" s="3">
        <v>253.08</v>
      </c>
      <c r="X4207" s="172">
        <v>46116.707705787034</v>
      </c>
      <c r="Y4207" s="172">
        <v>46112.60211224537</v>
      </c>
      <c r="Z4207" s="3">
        <v>46112.0</v>
      </c>
      <c r="AA4207" s="2" t="s">
        <v>14026</v>
      </c>
    </row>
    <row r="4208">
      <c r="A4208" s="3">
        <v>6.977730019587E12</v>
      </c>
      <c r="B4208" s="2" t="s">
        <v>16853</v>
      </c>
      <c r="C4208" s="2" t="s">
        <v>16854</v>
      </c>
      <c r="D4208" s="169">
        <v>46112.0</v>
      </c>
      <c r="E4208" s="173" t="s">
        <v>16855</v>
      </c>
      <c r="F4208" s="2" t="s">
        <v>16856</v>
      </c>
      <c r="G4208" s="2" t="s">
        <v>2675</v>
      </c>
      <c r="H4208" s="2">
        <v>0.0</v>
      </c>
      <c r="I4208" s="2"/>
      <c r="J4208" s="3">
        <v>0.0</v>
      </c>
      <c r="K4208" s="2" t="s">
        <v>16857</v>
      </c>
      <c r="L4208" s="2"/>
      <c r="M4208" s="2" t="s">
        <v>468</v>
      </c>
      <c r="N4208" s="2" t="s">
        <v>406</v>
      </c>
      <c r="O4208" s="3"/>
      <c r="P4208" s="2"/>
      <c r="Q4208" s="3">
        <v>0.0</v>
      </c>
      <c r="R4208" s="3">
        <v>0.5</v>
      </c>
      <c r="U4208" s="141"/>
      <c r="X4208" s="172"/>
      <c r="Y4208" s="172">
        <v>46112.64377030093</v>
      </c>
      <c r="Z4208" s="3">
        <v>46112.0</v>
      </c>
      <c r="AA4208" s="2" t="s">
        <v>14032</v>
      </c>
    </row>
    <row r="4209">
      <c r="A4209" s="3">
        <v>6.977738703107E12</v>
      </c>
      <c r="B4209" s="2" t="s">
        <v>16858</v>
      </c>
      <c r="C4209" s="2" t="s">
        <v>16859</v>
      </c>
      <c r="D4209" s="169">
        <v>46112.0</v>
      </c>
      <c r="E4209" s="2">
        <v>3.210049494E9</v>
      </c>
      <c r="F4209" s="2" t="s">
        <v>16860</v>
      </c>
      <c r="G4209" s="2" t="s">
        <v>16861</v>
      </c>
      <c r="H4209" s="2">
        <v>0.0</v>
      </c>
      <c r="I4209" s="2"/>
      <c r="J4209" s="3">
        <v>0.0</v>
      </c>
      <c r="K4209" s="2" t="s">
        <v>7833</v>
      </c>
      <c r="L4209" s="2"/>
      <c r="M4209" s="2" t="s">
        <v>468</v>
      </c>
      <c r="N4209" s="2" t="s">
        <v>406</v>
      </c>
      <c r="O4209" s="3"/>
      <c r="P4209" s="2"/>
      <c r="Q4209" s="3">
        <v>0.0</v>
      </c>
      <c r="R4209" s="3">
        <v>0.5</v>
      </c>
      <c r="U4209" s="141"/>
      <c r="X4209" s="172"/>
      <c r="Y4209" s="172">
        <v>46112.64377030093</v>
      </c>
      <c r="Z4209" s="3">
        <v>46112.0</v>
      </c>
      <c r="AA4209" s="2" t="s">
        <v>14032</v>
      </c>
    </row>
    <row r="4210">
      <c r="A4210" s="3">
        <v>6.977741226243E12</v>
      </c>
      <c r="B4210" s="2" t="s">
        <v>16862</v>
      </c>
      <c r="C4210" s="2" t="s">
        <v>16859</v>
      </c>
      <c r="D4210" s="169">
        <v>46112.0</v>
      </c>
      <c r="E4210" s="2">
        <v>3.210049494E9</v>
      </c>
      <c r="F4210" s="2" t="s">
        <v>16863</v>
      </c>
      <c r="G4210" s="2" t="s">
        <v>16864</v>
      </c>
      <c r="H4210" s="2">
        <v>6198.0</v>
      </c>
      <c r="I4210" s="2">
        <v>2.8120050023173E13</v>
      </c>
      <c r="J4210" s="3">
        <v>4.0</v>
      </c>
      <c r="K4210" s="2" t="s">
        <v>16865</v>
      </c>
      <c r="L4210" s="2" t="s">
        <v>16866</v>
      </c>
      <c r="M4210" s="2" t="s">
        <v>409</v>
      </c>
      <c r="N4210" s="2" t="s">
        <v>462</v>
      </c>
      <c r="O4210" s="3"/>
      <c r="P4210" s="2" t="s">
        <v>73</v>
      </c>
      <c r="Q4210" s="3">
        <v>1700.0</v>
      </c>
      <c r="R4210" s="3">
        <v>0.5</v>
      </c>
      <c r="T4210" s="2" t="s">
        <v>15010</v>
      </c>
      <c r="U4210" s="171">
        <v>6198.0</v>
      </c>
      <c r="V4210" s="172">
        <v>46119.0</v>
      </c>
      <c r="W4210" s="3">
        <v>491.0</v>
      </c>
      <c r="X4210" s="172">
        <v>46116.62452431713</v>
      </c>
      <c r="Y4210" s="172">
        <v>46112.64377030093</v>
      </c>
      <c r="Z4210" s="3">
        <v>46112.0</v>
      </c>
      <c r="AA4210" s="2" t="s">
        <v>14032</v>
      </c>
    </row>
    <row r="4211">
      <c r="A4211" s="3">
        <v>6.977756397827E12</v>
      </c>
      <c r="B4211" s="2" t="s">
        <v>16867</v>
      </c>
      <c r="C4211" s="2" t="s">
        <v>3829</v>
      </c>
      <c r="D4211" s="169">
        <v>46112.0</v>
      </c>
      <c r="E4211" s="173" t="s">
        <v>16868</v>
      </c>
      <c r="F4211" s="2" t="s">
        <v>16869</v>
      </c>
      <c r="G4211" s="2" t="s">
        <v>2725</v>
      </c>
      <c r="H4211" s="2">
        <v>249.0</v>
      </c>
      <c r="I4211" s="2">
        <v>2.2120050023234E13</v>
      </c>
      <c r="J4211" s="3">
        <v>0.0</v>
      </c>
      <c r="K4211" s="2" t="s">
        <v>16870</v>
      </c>
      <c r="L4211" s="2"/>
      <c r="M4211" s="170" t="s">
        <v>455</v>
      </c>
      <c r="N4211" s="2" t="s">
        <v>406</v>
      </c>
      <c r="O4211" s="3"/>
      <c r="P4211" s="2" t="s">
        <v>73</v>
      </c>
      <c r="Q4211" s="3">
        <v>0.0</v>
      </c>
      <c r="R4211" s="3">
        <v>0.5</v>
      </c>
      <c r="U4211" s="141"/>
      <c r="W4211" s="3">
        <v>220.98</v>
      </c>
      <c r="X4211" s="172">
        <v>46120.08111748843</v>
      </c>
      <c r="Y4211" s="172">
        <v>46112.64377030093</v>
      </c>
      <c r="Z4211" s="3">
        <v>46112.0</v>
      </c>
      <c r="AA4211" s="2" t="s">
        <v>14053</v>
      </c>
    </row>
    <row r="4212">
      <c r="A4212" s="3">
        <v>6.977765572867E12</v>
      </c>
      <c r="B4212" s="2" t="s">
        <v>16871</v>
      </c>
      <c r="C4212" s="2" t="s">
        <v>16872</v>
      </c>
      <c r="D4212" s="169">
        <v>46112.0</v>
      </c>
      <c r="E4212" s="2">
        <v>3.219506566E9</v>
      </c>
      <c r="F4212" s="2" t="s">
        <v>16873</v>
      </c>
      <c r="G4212" s="2" t="s">
        <v>749</v>
      </c>
      <c r="H4212" s="2">
        <v>2049.0</v>
      </c>
      <c r="I4212" s="2">
        <v>2.4120050023233E13</v>
      </c>
      <c r="J4212" s="3">
        <v>1.0</v>
      </c>
      <c r="K4212" s="2" t="s">
        <v>16629</v>
      </c>
      <c r="L4212" s="2" t="s">
        <v>10458</v>
      </c>
      <c r="M4212" s="2" t="s">
        <v>409</v>
      </c>
      <c r="N4212" s="2" t="s">
        <v>462</v>
      </c>
      <c r="O4212" s="3"/>
      <c r="P4212" s="2" t="s">
        <v>73</v>
      </c>
      <c r="Q4212" s="3">
        <v>360.0</v>
      </c>
      <c r="R4212" s="3">
        <v>0.5</v>
      </c>
      <c r="T4212" s="2" t="s">
        <v>15010</v>
      </c>
      <c r="U4212" s="171">
        <v>2049.0</v>
      </c>
      <c r="V4212" s="172">
        <v>46119.0</v>
      </c>
      <c r="W4212" s="3">
        <v>302.94</v>
      </c>
      <c r="X4212" s="172">
        <v>46120.0811175</v>
      </c>
      <c r="Y4212" s="172">
        <v>46112.64377030093</v>
      </c>
      <c r="Z4212" s="3">
        <v>46112.0</v>
      </c>
      <c r="AA4212" s="2" t="s">
        <v>14032</v>
      </c>
    </row>
    <row r="4213">
      <c r="A4213" s="3">
        <v>6.977791557891E12</v>
      </c>
      <c r="B4213" s="2" t="s">
        <v>16874</v>
      </c>
      <c r="C4213" s="2" t="s">
        <v>16875</v>
      </c>
      <c r="D4213" s="169">
        <v>46112.0</v>
      </c>
      <c r="E4213" s="2">
        <v>3.445504311E9</v>
      </c>
      <c r="F4213" s="2" t="s">
        <v>16876</v>
      </c>
      <c r="G4213" s="2" t="s">
        <v>1847</v>
      </c>
      <c r="H4213" s="2">
        <v>3299.0</v>
      </c>
      <c r="I4213" s="2">
        <v>2.1120050023232E13</v>
      </c>
      <c r="J4213" s="3">
        <v>1.0</v>
      </c>
      <c r="K4213" s="2" t="s">
        <v>16877</v>
      </c>
      <c r="L4213" s="2" t="s">
        <v>200</v>
      </c>
      <c r="M4213" s="2" t="s">
        <v>409</v>
      </c>
      <c r="N4213" s="2" t="s">
        <v>462</v>
      </c>
      <c r="O4213" s="3"/>
      <c r="P4213" s="2" t="s">
        <v>73</v>
      </c>
      <c r="Q4213" s="3">
        <v>1400.0</v>
      </c>
      <c r="R4213" s="3">
        <v>0.5</v>
      </c>
      <c r="T4213" s="2" t="s">
        <v>15010</v>
      </c>
      <c r="U4213" s="171">
        <v>3299.0</v>
      </c>
      <c r="V4213" s="172">
        <v>46119.0</v>
      </c>
      <c r="W4213" s="3">
        <v>352.94</v>
      </c>
      <c r="X4213" s="172">
        <v>46116.58298954861</v>
      </c>
      <c r="Y4213" s="172">
        <v>46112.68545725694</v>
      </c>
      <c r="Z4213" s="3">
        <v>46112.0</v>
      </c>
      <c r="AA4213" s="2" t="s">
        <v>14103</v>
      </c>
    </row>
    <row r="4214">
      <c r="A4214" s="3">
        <v>6.977849688323E12</v>
      </c>
      <c r="B4214" s="2" t="s">
        <v>16878</v>
      </c>
      <c r="C4214" s="2" t="s">
        <v>16237</v>
      </c>
      <c r="D4214" s="169">
        <v>46112.0</v>
      </c>
      <c r="E4214" s="173" t="s">
        <v>16238</v>
      </c>
      <c r="F4214" s="2" t="s">
        <v>16239</v>
      </c>
      <c r="G4214" s="2" t="s">
        <v>493</v>
      </c>
      <c r="H4214" s="2">
        <v>3099.0</v>
      </c>
      <c r="I4214" s="2">
        <v>2.5120050023127E13</v>
      </c>
      <c r="J4214" s="3">
        <v>2.0</v>
      </c>
      <c r="K4214" s="2" t="s">
        <v>16879</v>
      </c>
      <c r="L4214" s="2" t="s">
        <v>16880</v>
      </c>
      <c r="M4214" s="2" t="s">
        <v>409</v>
      </c>
      <c r="N4214" s="2" t="s">
        <v>462</v>
      </c>
      <c r="O4214" s="3"/>
      <c r="P4214" s="2" t="s">
        <v>73</v>
      </c>
      <c r="Q4214" s="3">
        <v>720.0</v>
      </c>
      <c r="R4214" s="3">
        <v>0.5</v>
      </c>
      <c r="U4214" s="171">
        <v>3099.0</v>
      </c>
      <c r="X4214" s="172">
        <v>46123.08104226852</v>
      </c>
      <c r="Y4214" s="172">
        <v>46112.68545725694</v>
      </c>
      <c r="Z4214" s="3">
        <v>46112.0</v>
      </c>
      <c r="AA4214" s="2" t="s">
        <v>14026</v>
      </c>
    </row>
    <row r="4215">
      <c r="A4215" s="3">
        <v>6.977868660995E12</v>
      </c>
      <c r="B4215" s="2" t="s">
        <v>16881</v>
      </c>
      <c r="C4215" s="2" t="s">
        <v>15330</v>
      </c>
      <c r="D4215" s="169">
        <v>46112.0</v>
      </c>
      <c r="E4215" s="2">
        <v>3.224151111E9</v>
      </c>
      <c r="F4215" s="2" t="s">
        <v>15331</v>
      </c>
      <c r="G4215" s="2" t="s">
        <v>368</v>
      </c>
      <c r="H4215" s="2">
        <v>0.0</v>
      </c>
      <c r="I4215" s="2">
        <v>2.4120050023157E13</v>
      </c>
      <c r="J4215" s="3">
        <v>0.0</v>
      </c>
      <c r="K4215" s="2" t="s">
        <v>16882</v>
      </c>
      <c r="L4215" s="2"/>
      <c r="M4215" s="170" t="s">
        <v>455</v>
      </c>
      <c r="N4215" s="2" t="s">
        <v>406</v>
      </c>
      <c r="O4215" s="3"/>
      <c r="P4215" s="2" t="s">
        <v>73</v>
      </c>
      <c r="Q4215" s="3">
        <v>0.0</v>
      </c>
      <c r="R4215" s="3">
        <v>0.5</v>
      </c>
      <c r="U4215" s="141"/>
      <c r="W4215" s="3">
        <v>132.59</v>
      </c>
      <c r="X4215" s="172">
        <v>46121.08103194444</v>
      </c>
      <c r="Y4215" s="172">
        <v>46112.72718372685</v>
      </c>
      <c r="Z4215" s="3">
        <v>46112.0</v>
      </c>
      <c r="AA4215" s="2" t="s">
        <v>14026</v>
      </c>
    </row>
    <row r="4216">
      <c r="A4216" s="3">
        <v>6.977912701187E12</v>
      </c>
      <c r="B4216" s="2" t="s">
        <v>16883</v>
      </c>
      <c r="C4216" s="2" t="s">
        <v>16884</v>
      </c>
      <c r="D4216" s="169">
        <v>46112.0</v>
      </c>
      <c r="E4216" s="2">
        <v>3.039415949E9</v>
      </c>
      <c r="F4216" s="2" t="s">
        <v>16885</v>
      </c>
      <c r="G4216" s="2" t="s">
        <v>693</v>
      </c>
      <c r="H4216" s="2">
        <v>249.0</v>
      </c>
      <c r="I4216" s="2">
        <v>2.7120050023231E13</v>
      </c>
      <c r="J4216" s="3">
        <v>0.0</v>
      </c>
      <c r="K4216" s="2" t="s">
        <v>16886</v>
      </c>
      <c r="L4216" s="2"/>
      <c r="M4216" s="170" t="s">
        <v>455</v>
      </c>
      <c r="N4216" s="2" t="s">
        <v>406</v>
      </c>
      <c r="O4216" s="3"/>
      <c r="P4216" s="2" t="s">
        <v>73</v>
      </c>
      <c r="Q4216" s="3">
        <v>0.0</v>
      </c>
      <c r="R4216" s="3">
        <v>0.5</v>
      </c>
      <c r="U4216" s="141"/>
      <c r="W4216" s="3">
        <v>235.70999999999998</v>
      </c>
      <c r="X4216" s="172">
        <v>46124.08142539352</v>
      </c>
      <c r="Y4216" s="172">
        <v>46112.72718372685</v>
      </c>
      <c r="Z4216" s="3">
        <v>46112.0</v>
      </c>
      <c r="AA4216" s="2" t="s">
        <v>14053</v>
      </c>
    </row>
    <row r="4217">
      <c r="A4217" s="3">
        <v>6.977929707779E12</v>
      </c>
      <c r="B4217" s="2" t="s">
        <v>16887</v>
      </c>
      <c r="C4217" s="2" t="s">
        <v>4061</v>
      </c>
      <c r="D4217" s="169">
        <v>46112.0</v>
      </c>
      <c r="E4217" s="2">
        <v>3.000516431E9</v>
      </c>
      <c r="F4217" s="2" t="s">
        <v>16888</v>
      </c>
      <c r="G4217" s="2" t="s">
        <v>16889</v>
      </c>
      <c r="H4217" s="2">
        <v>1499.0</v>
      </c>
      <c r="I4217" s="2">
        <v>2.312005002323E13</v>
      </c>
      <c r="J4217" s="3">
        <v>1.0</v>
      </c>
      <c r="K4217" s="2" t="s">
        <v>16890</v>
      </c>
      <c r="L4217" s="2" t="s">
        <v>16891</v>
      </c>
      <c r="M4217" s="2" t="s">
        <v>409</v>
      </c>
      <c r="N4217" s="2" t="s">
        <v>462</v>
      </c>
      <c r="O4217" s="3"/>
      <c r="P4217" s="2" t="s">
        <v>73</v>
      </c>
      <c r="Q4217" s="3">
        <v>750.0</v>
      </c>
      <c r="R4217" s="3">
        <v>0.5</v>
      </c>
      <c r="T4217" s="2" t="s">
        <v>15010</v>
      </c>
      <c r="U4217" s="171">
        <v>1499.0</v>
      </c>
      <c r="V4217" s="172">
        <v>46119.0</v>
      </c>
      <c r="W4217" s="3">
        <v>280.94</v>
      </c>
      <c r="X4217" s="172">
        <v>46119.081153935185</v>
      </c>
      <c r="Y4217" s="172">
        <v>46112.76883701389</v>
      </c>
      <c r="Z4217" s="3">
        <v>46112.0</v>
      </c>
      <c r="AA4217" s="2" t="s">
        <v>14103</v>
      </c>
    </row>
    <row r="4218">
      <c r="A4218" s="3">
        <v>6.978005205251E12</v>
      </c>
      <c r="B4218" s="2" t="s">
        <v>16892</v>
      </c>
      <c r="C4218" s="2" t="s">
        <v>16893</v>
      </c>
      <c r="D4218" s="169">
        <v>46112.0</v>
      </c>
      <c r="E4218" s="2">
        <v>3.337144127E9</v>
      </c>
      <c r="F4218" s="2" t="s">
        <v>16894</v>
      </c>
      <c r="G4218" s="2" t="s">
        <v>1425</v>
      </c>
      <c r="H4218" s="2">
        <v>3348.0</v>
      </c>
      <c r="I4218" s="2">
        <v>2.3120050023172E13</v>
      </c>
      <c r="J4218" s="3">
        <v>2.0</v>
      </c>
      <c r="K4218" s="2" t="s">
        <v>15531</v>
      </c>
      <c r="L4218" s="2" t="s">
        <v>4209</v>
      </c>
      <c r="M4218" s="2" t="s">
        <v>409</v>
      </c>
      <c r="N4218" s="2" t="s">
        <v>462</v>
      </c>
      <c r="O4218" s="3"/>
      <c r="P4218" s="2" t="s">
        <v>73</v>
      </c>
      <c r="Q4218" s="3">
        <v>720.0</v>
      </c>
      <c r="R4218" s="3">
        <v>0.5</v>
      </c>
      <c r="T4218" s="2" t="s">
        <v>15010</v>
      </c>
      <c r="U4218" s="171">
        <v>3348.0</v>
      </c>
      <c r="V4218" s="172">
        <v>46119.0</v>
      </c>
      <c r="W4218" s="3">
        <v>369.62999999999994</v>
      </c>
      <c r="X4218" s="172">
        <v>46115.54128877315</v>
      </c>
      <c r="Y4218" s="172">
        <v>46112.76883701389</v>
      </c>
      <c r="Z4218" s="3">
        <v>46112.0</v>
      </c>
      <c r="AA4218" s="2" t="s">
        <v>14032</v>
      </c>
    </row>
    <row r="4219">
      <c r="A4219" s="3">
        <v>6.978116092163E12</v>
      </c>
      <c r="B4219" s="2" t="s">
        <v>16895</v>
      </c>
      <c r="C4219" s="2" t="s">
        <v>16896</v>
      </c>
      <c r="D4219" s="169">
        <v>46112.0</v>
      </c>
      <c r="E4219" s="2">
        <v>3.000182509E9</v>
      </c>
      <c r="F4219" s="2" t="s">
        <v>16897</v>
      </c>
      <c r="G4219" s="2" t="s">
        <v>16898</v>
      </c>
      <c r="H4219" s="2">
        <v>3348.0</v>
      </c>
      <c r="I4219" s="2">
        <v>2.1120050023229E13</v>
      </c>
      <c r="J4219" s="3">
        <v>2.0</v>
      </c>
      <c r="K4219" s="2" t="s">
        <v>15109</v>
      </c>
      <c r="L4219" s="2" t="s">
        <v>906</v>
      </c>
      <c r="M4219" s="2" t="s">
        <v>409</v>
      </c>
      <c r="N4219" s="2" t="s">
        <v>462</v>
      </c>
      <c r="O4219" s="3"/>
      <c r="P4219" s="2" t="s">
        <v>73</v>
      </c>
      <c r="Q4219" s="3">
        <v>720.0</v>
      </c>
      <c r="R4219" s="3">
        <v>0.5</v>
      </c>
      <c r="T4219" s="2" t="s">
        <v>15010</v>
      </c>
      <c r="U4219" s="171">
        <v>3348.0</v>
      </c>
      <c r="V4219" s="172">
        <v>46119.0</v>
      </c>
      <c r="W4219" s="3">
        <v>354.9</v>
      </c>
      <c r="X4219" s="172">
        <v>46116.66628273149</v>
      </c>
      <c r="Y4219" s="172">
        <v>46112.8104843287</v>
      </c>
      <c r="Z4219" s="3">
        <v>46112.0</v>
      </c>
      <c r="AA4219" s="2" t="s">
        <v>14032</v>
      </c>
    </row>
    <row r="4220">
      <c r="A4220" s="3">
        <v>6.978201518339E12</v>
      </c>
      <c r="B4220" s="2" t="s">
        <v>16899</v>
      </c>
      <c r="C4220" s="2" t="s">
        <v>16900</v>
      </c>
      <c r="D4220" s="169">
        <v>46112.0</v>
      </c>
      <c r="E4220" s="2">
        <v>3.082818998E9</v>
      </c>
      <c r="F4220" s="2" t="s">
        <v>16901</v>
      </c>
      <c r="G4220" s="2" t="s">
        <v>366</v>
      </c>
      <c r="H4220" s="2">
        <v>3348.0</v>
      </c>
      <c r="I4220" s="2">
        <v>2.6120050023459E13</v>
      </c>
      <c r="J4220" s="3">
        <v>2.0</v>
      </c>
      <c r="K4220" s="2" t="s">
        <v>15277</v>
      </c>
      <c r="L4220" s="2" t="s">
        <v>40</v>
      </c>
      <c r="M4220" s="2" t="s">
        <v>409</v>
      </c>
      <c r="N4220" s="2" t="s">
        <v>462</v>
      </c>
      <c r="O4220" s="3"/>
      <c r="P4220" s="2" t="s">
        <v>73</v>
      </c>
      <c r="Q4220" s="3">
        <v>720.0</v>
      </c>
      <c r="R4220" s="3">
        <v>0.5</v>
      </c>
      <c r="T4220" s="2" t="s">
        <v>15278</v>
      </c>
      <c r="U4220" s="171">
        <v>3348.0</v>
      </c>
      <c r="V4220" s="172">
        <v>46126.0</v>
      </c>
      <c r="W4220" s="3">
        <v>375.78</v>
      </c>
      <c r="X4220" s="172">
        <v>46126.08116068287</v>
      </c>
      <c r="Y4220" s="172">
        <v>46112.852140821764</v>
      </c>
      <c r="Z4220" s="3">
        <v>46112.0</v>
      </c>
      <c r="AA4220" s="2" t="s">
        <v>14032</v>
      </c>
    </row>
    <row r="4221">
      <c r="A4221" s="3">
        <v>6.978208465155E12</v>
      </c>
      <c r="B4221" s="2" t="s">
        <v>16902</v>
      </c>
      <c r="C4221" s="2" t="s">
        <v>16903</v>
      </c>
      <c r="D4221" s="169">
        <v>46112.0</v>
      </c>
      <c r="E4221" s="2">
        <v>3.0457927E9</v>
      </c>
      <c r="F4221" s="2" t="s">
        <v>16904</v>
      </c>
      <c r="G4221" s="2" t="s">
        <v>1111</v>
      </c>
      <c r="H4221" s="2">
        <v>1899.0</v>
      </c>
      <c r="I4221" s="2">
        <v>2.7120050023626E13</v>
      </c>
      <c r="J4221" s="3">
        <v>1.0</v>
      </c>
      <c r="K4221" s="2"/>
      <c r="L4221" s="2" t="s">
        <v>16905</v>
      </c>
      <c r="M4221" s="2" t="s">
        <v>16906</v>
      </c>
      <c r="N4221" s="2" t="s">
        <v>406</v>
      </c>
      <c r="O4221" s="3"/>
      <c r="P4221" s="2" t="s">
        <v>73</v>
      </c>
      <c r="Q4221" s="3">
        <v>550.0</v>
      </c>
      <c r="R4221" s="3">
        <v>0.5</v>
      </c>
      <c r="U4221" s="141"/>
      <c r="X4221" s="172">
        <v>46131.08096061343</v>
      </c>
      <c r="Y4221" s="172">
        <v>46112.852140821764</v>
      </c>
      <c r="Z4221" s="3">
        <v>46112.0</v>
      </c>
      <c r="AA4221" s="2" t="s">
        <v>14103</v>
      </c>
    </row>
    <row r="4222">
      <c r="A4222" s="3">
        <v>6.978246344963E12</v>
      </c>
      <c r="B4222" s="2" t="s">
        <v>16907</v>
      </c>
      <c r="C4222" s="2" t="s">
        <v>10938</v>
      </c>
      <c r="D4222" s="169">
        <v>46112.0</v>
      </c>
      <c r="E4222" s="2">
        <v>3.009261866E9</v>
      </c>
      <c r="F4222" s="2" t="s">
        <v>16908</v>
      </c>
      <c r="G4222" s="2" t="s">
        <v>493</v>
      </c>
      <c r="H4222" s="2">
        <v>0.0</v>
      </c>
      <c r="I4222" s="2"/>
      <c r="J4222" s="3">
        <v>0.0</v>
      </c>
      <c r="K4222" s="2" t="s">
        <v>16909</v>
      </c>
      <c r="L4222" s="2"/>
      <c r="M4222" s="2" t="s">
        <v>468</v>
      </c>
      <c r="N4222" s="2" t="s">
        <v>406</v>
      </c>
      <c r="O4222" s="3"/>
      <c r="P4222" s="2"/>
      <c r="Q4222" s="3">
        <v>0.0</v>
      </c>
      <c r="R4222" s="3">
        <v>0.5</v>
      </c>
      <c r="U4222" s="141"/>
      <c r="X4222" s="172"/>
      <c r="Y4222" s="172">
        <v>46112.8937825</v>
      </c>
      <c r="Z4222" s="3">
        <v>46112.0</v>
      </c>
      <c r="AA4222" s="2" t="s">
        <v>14032</v>
      </c>
    </row>
    <row r="4223">
      <c r="A4223" s="3">
        <v>6.978264498435E12</v>
      </c>
      <c r="B4223" s="2" t="s">
        <v>16910</v>
      </c>
      <c r="C4223" s="2" t="s">
        <v>2714</v>
      </c>
      <c r="D4223" s="169">
        <v>46112.0</v>
      </c>
      <c r="E4223" s="2">
        <v>3.183612658E9</v>
      </c>
      <c r="F4223" s="2" t="s">
        <v>16911</v>
      </c>
      <c r="G4223" s="2" t="s">
        <v>16912</v>
      </c>
      <c r="H4223" s="2">
        <v>1848.0</v>
      </c>
      <c r="I4223" s="2">
        <v>2.0120050023226E13</v>
      </c>
      <c r="J4223" s="3">
        <v>1.0</v>
      </c>
      <c r="K4223" s="2" t="s">
        <v>16682</v>
      </c>
      <c r="L4223" s="2" t="s">
        <v>16913</v>
      </c>
      <c r="M4223" s="2" t="s">
        <v>409</v>
      </c>
      <c r="N4223" s="2" t="s">
        <v>462</v>
      </c>
      <c r="O4223" s="3"/>
      <c r="P4223" s="2" t="s">
        <v>73</v>
      </c>
      <c r="Q4223" s="3">
        <v>650.0</v>
      </c>
      <c r="R4223" s="3">
        <v>0.5</v>
      </c>
      <c r="T4223" s="2" t="s">
        <v>15010</v>
      </c>
      <c r="U4223" s="171">
        <v>1848.0</v>
      </c>
      <c r="V4223" s="172">
        <v>46119.0</v>
      </c>
      <c r="W4223" s="3">
        <v>309.62999999999994</v>
      </c>
      <c r="X4223" s="172">
        <v>46116.58299461806</v>
      </c>
      <c r="Y4223" s="172">
        <v>46112.89378251157</v>
      </c>
      <c r="Z4223" s="3">
        <v>46112.0</v>
      </c>
      <c r="AA4223" s="2" t="s">
        <v>14103</v>
      </c>
    </row>
    <row r="4224">
      <c r="A4224" s="3">
        <v>6.978293334275E12</v>
      </c>
      <c r="B4224" s="2" t="s">
        <v>16914</v>
      </c>
      <c r="C4224" s="2" t="s">
        <v>16915</v>
      </c>
      <c r="D4224" s="169">
        <v>46112.0</v>
      </c>
      <c r="E4224" s="2">
        <v>3.14310422E9</v>
      </c>
      <c r="F4224" s="2" t="s">
        <v>16916</v>
      </c>
      <c r="G4224" s="2" t="s">
        <v>506</v>
      </c>
      <c r="H4224" s="2">
        <v>3099.0</v>
      </c>
      <c r="I4224" s="2">
        <v>2.3120050023277E13</v>
      </c>
      <c r="J4224" s="3">
        <v>2.0</v>
      </c>
      <c r="K4224" s="2" t="s">
        <v>16917</v>
      </c>
      <c r="L4224" s="2" t="s">
        <v>906</v>
      </c>
      <c r="M4224" s="2" t="s">
        <v>409</v>
      </c>
      <c r="N4224" s="2" t="s">
        <v>462</v>
      </c>
      <c r="O4224" s="3"/>
      <c r="P4224" s="2" t="s">
        <v>73</v>
      </c>
      <c r="Q4224" s="3">
        <v>720.0</v>
      </c>
      <c r="R4224" s="3">
        <v>0.5</v>
      </c>
      <c r="T4224" s="2" t="s">
        <v>15010</v>
      </c>
      <c r="U4224" s="171">
        <v>3099.0</v>
      </c>
      <c r="V4224" s="172">
        <v>46119.0</v>
      </c>
      <c r="W4224" s="3">
        <v>344.94</v>
      </c>
      <c r="X4224" s="172">
        <v>46118.08117310185</v>
      </c>
      <c r="Y4224" s="172">
        <v>46112.89378252315</v>
      </c>
      <c r="Z4224" s="3">
        <v>46112.0</v>
      </c>
      <c r="AA4224" s="2" t="s">
        <v>14032</v>
      </c>
    </row>
    <row r="4225">
      <c r="A4225" s="3">
        <v>6.978313945347E12</v>
      </c>
      <c r="B4225" s="2" t="s">
        <v>16918</v>
      </c>
      <c r="C4225" s="2" t="s">
        <v>16919</v>
      </c>
      <c r="D4225" s="169">
        <v>46112.0</v>
      </c>
      <c r="E4225" s="2">
        <v>3.489123237E9</v>
      </c>
      <c r="F4225" s="2" t="s">
        <v>16920</v>
      </c>
      <c r="G4225" s="2" t="s">
        <v>16921</v>
      </c>
      <c r="H4225" s="2">
        <v>3348.0</v>
      </c>
      <c r="I4225" s="2">
        <v>2.2120050023225E13</v>
      </c>
      <c r="J4225" s="3">
        <v>2.0</v>
      </c>
      <c r="K4225" s="2" t="s">
        <v>15277</v>
      </c>
      <c r="L4225" s="2" t="s">
        <v>27</v>
      </c>
      <c r="M4225" s="2" t="s">
        <v>409</v>
      </c>
      <c r="N4225" s="2" t="s">
        <v>462</v>
      </c>
      <c r="O4225" s="3"/>
      <c r="P4225" s="2" t="s">
        <v>73</v>
      </c>
      <c r="Q4225" s="3">
        <v>720.0</v>
      </c>
      <c r="R4225" s="3">
        <v>0.5</v>
      </c>
      <c r="T4225" s="2" t="s">
        <v>15278</v>
      </c>
      <c r="U4225" s="171">
        <v>3348.0</v>
      </c>
      <c r="V4225" s="172">
        <v>46126.0</v>
      </c>
      <c r="W4225" s="3">
        <v>391.9</v>
      </c>
      <c r="X4225" s="172">
        <v>46123.081042314814</v>
      </c>
      <c r="Y4225" s="172">
        <v>46112.935482326386</v>
      </c>
      <c r="Z4225" s="3">
        <v>46112.0</v>
      </c>
      <c r="AA4225" s="2" t="s">
        <v>14022</v>
      </c>
    </row>
    <row r="4226">
      <c r="A4226" s="3">
        <v>6.978322497795E12</v>
      </c>
      <c r="B4226" s="2" t="s">
        <v>16922</v>
      </c>
      <c r="C4226" s="2" t="s">
        <v>16923</v>
      </c>
      <c r="D4226" s="169">
        <v>46112.0</v>
      </c>
      <c r="E4226" s="173" t="s">
        <v>16924</v>
      </c>
      <c r="F4226" s="2" t="s">
        <v>16925</v>
      </c>
      <c r="G4226" s="2" t="s">
        <v>493</v>
      </c>
      <c r="H4226" s="2">
        <v>5000.0</v>
      </c>
      <c r="I4226" s="2">
        <v>2.0120050023224E13</v>
      </c>
      <c r="J4226" s="3">
        <v>2.0</v>
      </c>
      <c r="K4226" s="2" t="s">
        <v>16926</v>
      </c>
      <c r="L4226" s="2" t="s">
        <v>16927</v>
      </c>
      <c r="M4226" s="2" t="s">
        <v>409</v>
      </c>
      <c r="N4226" s="2" t="s">
        <v>462</v>
      </c>
      <c r="O4226" s="3"/>
      <c r="P4226" s="2" t="s">
        <v>73</v>
      </c>
      <c r="Q4226" s="3">
        <v>1760.0</v>
      </c>
      <c r="R4226" s="3">
        <v>0.5</v>
      </c>
      <c r="T4226" s="2" t="s">
        <v>15356</v>
      </c>
      <c r="U4226" s="171">
        <v>5000.0</v>
      </c>
      <c r="V4226" s="172">
        <v>46122.0</v>
      </c>
      <c r="W4226" s="3">
        <v>474.11</v>
      </c>
      <c r="X4226" s="172">
        <v>46122.08112081018</v>
      </c>
      <c r="Y4226" s="172">
        <v>46112.935482326386</v>
      </c>
      <c r="Z4226" s="3">
        <v>46112.0</v>
      </c>
      <c r="AA4226" s="2" t="s">
        <v>14032</v>
      </c>
    </row>
    <row r="4227">
      <c r="A4227" s="3">
        <v>6.978333868291E12</v>
      </c>
      <c r="B4227" s="2" t="s">
        <v>16928</v>
      </c>
      <c r="C4227" s="2" t="s">
        <v>16929</v>
      </c>
      <c r="D4227" s="169">
        <v>46112.0</v>
      </c>
      <c r="E4227" s="2">
        <v>3.3037196E9</v>
      </c>
      <c r="F4227" s="2" t="s">
        <v>16930</v>
      </c>
      <c r="G4227" s="2" t="s">
        <v>16931</v>
      </c>
      <c r="H4227" s="2">
        <v>0.0</v>
      </c>
      <c r="I4227" s="2"/>
      <c r="J4227" s="3">
        <v>0.0</v>
      </c>
      <c r="K4227" s="2" t="s">
        <v>16932</v>
      </c>
      <c r="L4227" s="2"/>
      <c r="M4227" s="2" t="s">
        <v>468</v>
      </c>
      <c r="N4227" s="2" t="s">
        <v>406</v>
      </c>
      <c r="O4227" s="3"/>
      <c r="P4227" s="2"/>
      <c r="Q4227" s="3">
        <v>0.0</v>
      </c>
      <c r="R4227" s="3">
        <v>0.5</v>
      </c>
      <c r="U4227" s="141"/>
      <c r="X4227" s="172"/>
      <c r="Y4227" s="172">
        <v>46112.935482326386</v>
      </c>
      <c r="Z4227" s="3">
        <v>46112.0</v>
      </c>
      <c r="AA4227" s="2" t="s">
        <v>14053</v>
      </c>
    </row>
    <row r="4228">
      <c r="A4228" s="3">
        <v>6.978346156291E12</v>
      </c>
      <c r="B4228" s="2" t="s">
        <v>16933</v>
      </c>
      <c r="C4228" s="2" t="s">
        <v>16934</v>
      </c>
      <c r="D4228" s="169">
        <v>46112.0</v>
      </c>
      <c r="E4228" s="2">
        <v>3.438586899E9</v>
      </c>
      <c r="F4228" s="2" t="s">
        <v>16935</v>
      </c>
      <c r="G4228" s="2" t="s">
        <v>822</v>
      </c>
      <c r="H4228" s="2">
        <v>249.0</v>
      </c>
      <c r="I4228" s="2">
        <v>2.0120050023223E13</v>
      </c>
      <c r="J4228" s="3">
        <v>0.0</v>
      </c>
      <c r="K4228" s="2" t="s">
        <v>14449</v>
      </c>
      <c r="L4228" s="2"/>
      <c r="M4228" s="170" t="s">
        <v>455</v>
      </c>
      <c r="N4228" s="2" t="s">
        <v>406</v>
      </c>
      <c r="O4228" s="3"/>
      <c r="P4228" s="2" t="s">
        <v>73</v>
      </c>
      <c r="Q4228" s="3">
        <v>0.0</v>
      </c>
      <c r="R4228" s="3">
        <v>0.5</v>
      </c>
      <c r="U4228" s="141"/>
      <c r="W4228" s="3">
        <v>220.98</v>
      </c>
      <c r="X4228" s="172">
        <v>46122.08112092593</v>
      </c>
      <c r="Y4228" s="172">
        <v>46112.935482326386</v>
      </c>
      <c r="Z4228" s="3">
        <v>46112.0</v>
      </c>
      <c r="AA4228" s="2" t="s">
        <v>14053</v>
      </c>
    </row>
    <row r="4229">
      <c r="A4229" s="3">
        <v>6.978436038915E12</v>
      </c>
      <c r="B4229" s="2" t="s">
        <v>16936</v>
      </c>
      <c r="C4229" s="2" t="s">
        <v>16937</v>
      </c>
      <c r="D4229" s="169">
        <v>46112.0</v>
      </c>
      <c r="E4229" s="2">
        <v>3.16069062E9</v>
      </c>
      <c r="F4229" s="2" t="s">
        <v>16938</v>
      </c>
      <c r="G4229" s="2" t="s">
        <v>374</v>
      </c>
      <c r="H4229" s="2">
        <v>249.0</v>
      </c>
      <c r="I4229" s="2">
        <v>2.9120050023458E13</v>
      </c>
      <c r="J4229" s="3">
        <v>0.0</v>
      </c>
      <c r="K4229" s="2" t="s">
        <v>16939</v>
      </c>
      <c r="L4229" s="2"/>
      <c r="M4229" s="170" t="s">
        <v>455</v>
      </c>
      <c r="N4229" s="2" t="s">
        <v>406</v>
      </c>
      <c r="O4229" s="3"/>
      <c r="P4229" s="2" t="s">
        <v>73</v>
      </c>
      <c r="Q4229" s="3">
        <v>0.0</v>
      </c>
      <c r="R4229" s="3">
        <v>0.5</v>
      </c>
      <c r="U4229" s="141"/>
      <c r="X4229" s="172">
        <v>46130.081161724534</v>
      </c>
      <c r="Y4229" s="172">
        <v>46112.97710059027</v>
      </c>
      <c r="Z4229" s="3">
        <v>46112.0</v>
      </c>
      <c r="AA4229" s="2" t="s">
        <v>14032</v>
      </c>
    </row>
    <row r="4230">
      <c r="A4230" s="3">
        <v>6.978455666947E12</v>
      </c>
      <c r="B4230" s="2" t="s">
        <v>16940</v>
      </c>
      <c r="C4230" s="2" t="s">
        <v>16941</v>
      </c>
      <c r="D4230" s="169">
        <v>46112.0</v>
      </c>
      <c r="E4230" s="2">
        <v>3.364673076E9</v>
      </c>
      <c r="F4230" s="2" t="s">
        <v>16942</v>
      </c>
      <c r="G4230" s="2" t="s">
        <v>9007</v>
      </c>
      <c r="H4230" s="2">
        <v>6149.0</v>
      </c>
      <c r="I4230" s="2">
        <v>2.112005002344E13</v>
      </c>
      <c r="J4230" s="3">
        <v>3.0</v>
      </c>
      <c r="K4230" s="2" t="s">
        <v>16943</v>
      </c>
      <c r="L4230" s="2" t="s">
        <v>16944</v>
      </c>
      <c r="M4230" s="2" t="s">
        <v>409</v>
      </c>
      <c r="N4230" s="2" t="s">
        <v>462</v>
      </c>
      <c r="O4230" s="3"/>
      <c r="P4230" s="2" t="s">
        <v>73</v>
      </c>
      <c r="Q4230" s="3">
        <v>2120.0</v>
      </c>
      <c r="R4230" s="3">
        <v>0.5</v>
      </c>
      <c r="T4230" s="2" t="s">
        <v>15278</v>
      </c>
      <c r="U4230" s="171">
        <v>6149.0</v>
      </c>
      <c r="V4230" s="172">
        <v>46126.0</v>
      </c>
      <c r="W4230" s="3">
        <v>512.01</v>
      </c>
      <c r="X4230" s="172">
        <v>46126.08116258102</v>
      </c>
      <c r="Y4230" s="172">
        <v>46112.97710059027</v>
      </c>
      <c r="Z4230" s="3">
        <v>46112.0</v>
      </c>
      <c r="AA4230" s="2" t="s">
        <v>14032</v>
      </c>
    </row>
    <row r="4231">
      <c r="A4231" s="3">
        <v>6.978462482691E12</v>
      </c>
      <c r="B4231" s="2" t="s">
        <v>16945</v>
      </c>
      <c r="C4231" s="2" t="s">
        <v>16946</v>
      </c>
      <c r="D4231" s="169">
        <v>46112.0</v>
      </c>
      <c r="E4231" s="2">
        <v>3.338368727E9</v>
      </c>
      <c r="F4231" s="2" t="s">
        <v>16947</v>
      </c>
      <c r="G4231" s="2" t="s">
        <v>1439</v>
      </c>
      <c r="H4231" s="2">
        <v>4998.0</v>
      </c>
      <c r="I4231" s="2">
        <v>2.312005002322E13</v>
      </c>
      <c r="J4231" s="3">
        <v>3.0</v>
      </c>
      <c r="K4231" s="2" t="s">
        <v>16948</v>
      </c>
      <c r="L4231" s="2" t="s">
        <v>16949</v>
      </c>
      <c r="M4231" s="2" t="s">
        <v>409</v>
      </c>
      <c r="N4231" s="2" t="s">
        <v>462</v>
      </c>
      <c r="O4231" s="3"/>
      <c r="P4231" s="2" t="s">
        <v>73</v>
      </c>
      <c r="Q4231" s="3">
        <v>1560.0</v>
      </c>
      <c r="R4231" s="3">
        <v>0.5</v>
      </c>
      <c r="T4231" s="2" t="s">
        <v>15010</v>
      </c>
      <c r="U4231" s="171">
        <v>4998.0</v>
      </c>
      <c r="V4231" s="172">
        <v>46119.0</v>
      </c>
      <c r="W4231" s="3">
        <v>450.35999999999996</v>
      </c>
      <c r="X4231" s="172">
        <v>46119.08115408565</v>
      </c>
      <c r="Y4231" s="172">
        <v>46113.01882423611</v>
      </c>
      <c r="Z4231" s="3">
        <v>46112.0</v>
      </c>
      <c r="AA4231" s="2" t="s">
        <v>14032</v>
      </c>
    </row>
    <row r="4232">
      <c r="A4232" s="3">
        <v>6.978466611459E12</v>
      </c>
      <c r="B4232" s="2" t="s">
        <v>16950</v>
      </c>
      <c r="C4232" s="2" t="s">
        <v>16951</v>
      </c>
      <c r="D4232" s="169">
        <v>46112.0</v>
      </c>
      <c r="E4232" s="173" t="s">
        <v>16952</v>
      </c>
      <c r="F4232" s="2" t="s">
        <v>16953</v>
      </c>
      <c r="G4232" s="2" t="s">
        <v>855</v>
      </c>
      <c r="H4232" s="2">
        <v>3348.0</v>
      </c>
      <c r="I4232" s="2">
        <v>2.7120050023457E13</v>
      </c>
      <c r="J4232" s="3">
        <v>2.0</v>
      </c>
      <c r="K4232" s="2" t="s">
        <v>16954</v>
      </c>
      <c r="L4232" s="2" t="s">
        <v>40</v>
      </c>
      <c r="M4232" s="2" t="s">
        <v>409</v>
      </c>
      <c r="N4232" s="2" t="s">
        <v>462</v>
      </c>
      <c r="O4232" s="3"/>
      <c r="P4232" s="2" t="s">
        <v>73</v>
      </c>
      <c r="Q4232" s="3">
        <v>720.0</v>
      </c>
      <c r="R4232" s="3">
        <v>0.5</v>
      </c>
      <c r="T4232" s="2" t="s">
        <v>15278</v>
      </c>
      <c r="U4232" s="171">
        <v>3348.0</v>
      </c>
      <c r="V4232" s="172">
        <v>46126.0</v>
      </c>
      <c r="W4232" s="3">
        <v>375.78</v>
      </c>
      <c r="X4232" s="172">
        <v>46124.08143372685</v>
      </c>
      <c r="Y4232" s="172">
        <v>46113.01882423611</v>
      </c>
      <c r="Z4232" s="3">
        <v>46112.0</v>
      </c>
      <c r="AA4232" s="2" t="s">
        <v>14022</v>
      </c>
    </row>
    <row r="4233">
      <c r="A4233" s="3">
        <v>6.978487976195E12</v>
      </c>
      <c r="B4233" s="2" t="s">
        <v>16955</v>
      </c>
      <c r="C4233" s="2" t="s">
        <v>16956</v>
      </c>
      <c r="D4233" s="169">
        <v>46112.0</v>
      </c>
      <c r="E4233" s="2">
        <v>3.010221168E9</v>
      </c>
      <c r="F4233" s="2" t="s">
        <v>16957</v>
      </c>
      <c r="G4233" s="2" t="s">
        <v>493</v>
      </c>
      <c r="H4233" s="2">
        <v>3348.0</v>
      </c>
      <c r="I4233" s="2">
        <v>2.9120050023218E13</v>
      </c>
      <c r="J4233" s="3">
        <v>2.0</v>
      </c>
      <c r="K4233" s="2" t="s">
        <v>16958</v>
      </c>
      <c r="L4233" s="2" t="s">
        <v>296</v>
      </c>
      <c r="M4233" s="2" t="s">
        <v>409</v>
      </c>
      <c r="N4233" s="2" t="s">
        <v>462</v>
      </c>
      <c r="O4233" s="3"/>
      <c r="P4233" s="2" t="s">
        <v>73</v>
      </c>
      <c r="Q4233" s="3">
        <v>720.0</v>
      </c>
      <c r="R4233" s="3">
        <v>0.5</v>
      </c>
      <c r="T4233" s="2" t="s">
        <v>15010</v>
      </c>
      <c r="U4233" s="171">
        <v>3348.0</v>
      </c>
      <c r="V4233" s="172">
        <v>46119.0</v>
      </c>
      <c r="W4233" s="3">
        <v>369.62999999999994</v>
      </c>
      <c r="X4233" s="172">
        <v>46118.081173541665</v>
      </c>
      <c r="Y4233" s="172">
        <v>46113.01882423611</v>
      </c>
      <c r="Z4233" s="3">
        <v>46112.0</v>
      </c>
      <c r="AA4233" s="2" t="s">
        <v>14103</v>
      </c>
    </row>
    <row r="4234">
      <c r="A4234" s="3">
        <v>6.978508357891E12</v>
      </c>
      <c r="B4234" s="2" t="s">
        <v>16959</v>
      </c>
      <c r="C4234" s="2" t="s">
        <v>16960</v>
      </c>
      <c r="D4234" s="169">
        <v>46113.0</v>
      </c>
      <c r="E4234" s="2">
        <v>9.23337777325E11</v>
      </c>
      <c r="F4234" s="2" t="s">
        <v>16961</v>
      </c>
      <c r="G4234" s="2" t="s">
        <v>541</v>
      </c>
      <c r="H4234" s="2">
        <v>3644.0</v>
      </c>
      <c r="I4234" s="2">
        <v>2.81200500233E13</v>
      </c>
      <c r="J4234" s="3">
        <v>2.0</v>
      </c>
      <c r="K4234" s="2" t="s">
        <v>16962</v>
      </c>
      <c r="L4234" s="2" t="s">
        <v>16963</v>
      </c>
      <c r="M4234" s="2" t="s">
        <v>409</v>
      </c>
      <c r="N4234" s="2" t="s">
        <v>462</v>
      </c>
      <c r="O4234" s="3"/>
      <c r="P4234" s="2" t="s">
        <v>73</v>
      </c>
      <c r="Q4234" s="3">
        <v>890.0</v>
      </c>
      <c r="R4234" s="3">
        <v>0.5</v>
      </c>
      <c r="T4234" s="2" t="s">
        <v>15356</v>
      </c>
      <c r="U4234" s="171">
        <v>3644.0</v>
      </c>
      <c r="V4234" s="172">
        <v>46122.0</v>
      </c>
      <c r="W4234" s="3">
        <v>366.74</v>
      </c>
      <c r="X4234" s="172">
        <v>46120.08111774306</v>
      </c>
      <c r="Y4234" s="172">
        <v>46113.01882423611</v>
      </c>
      <c r="Z4234" s="3">
        <v>46113.0</v>
      </c>
      <c r="AA4234" s="2" t="s">
        <v>14032</v>
      </c>
    </row>
    <row r="4235">
      <c r="A4235" s="3">
        <v>6.978538635523E12</v>
      </c>
      <c r="B4235" s="2" t="s">
        <v>16964</v>
      </c>
      <c r="C4235" s="2" t="s">
        <v>251</v>
      </c>
      <c r="D4235" s="169">
        <v>46113.0</v>
      </c>
      <c r="E4235" s="2">
        <v>3.437372816E9</v>
      </c>
      <c r="F4235" s="2" t="s">
        <v>16965</v>
      </c>
      <c r="G4235" s="2" t="s">
        <v>6191</v>
      </c>
      <c r="H4235" s="2">
        <v>1848.0</v>
      </c>
      <c r="I4235" s="2" t="s">
        <v>250</v>
      </c>
      <c r="J4235" s="3">
        <v>1.0</v>
      </c>
      <c r="K4235" s="2" t="s">
        <v>252</v>
      </c>
      <c r="L4235" s="2" t="s">
        <v>253</v>
      </c>
      <c r="M4235" s="2" t="s">
        <v>14978</v>
      </c>
      <c r="N4235" s="2" t="s">
        <v>406</v>
      </c>
      <c r="O4235" s="3"/>
      <c r="P4235" s="2" t="s">
        <v>640</v>
      </c>
      <c r="Q4235" s="3">
        <v>650.0</v>
      </c>
      <c r="R4235" s="3">
        <v>0.5</v>
      </c>
      <c r="U4235" s="141"/>
      <c r="X4235" s="172">
        <v>46128.08280037037</v>
      </c>
      <c r="Y4235" s="172">
        <v>46113.01882423611</v>
      </c>
      <c r="Z4235" s="3">
        <v>46113.0</v>
      </c>
      <c r="AA4235" s="2" t="s">
        <v>14053</v>
      </c>
    </row>
    <row r="4236">
      <c r="A4236" s="3">
        <v>6.978658173187E12</v>
      </c>
      <c r="B4236" s="2" t="s">
        <v>16966</v>
      </c>
      <c r="C4236" s="2" t="s">
        <v>16967</v>
      </c>
      <c r="D4236" s="169">
        <v>46113.0</v>
      </c>
      <c r="E4236" s="2">
        <v>3.05690092E9</v>
      </c>
      <c r="F4236" s="2" t="s">
        <v>16968</v>
      </c>
      <c r="G4236" s="2" t="s">
        <v>4949</v>
      </c>
      <c r="H4236" s="2">
        <v>1848.0</v>
      </c>
      <c r="I4236" s="2">
        <v>2.9120050023217E13</v>
      </c>
      <c r="J4236" s="3">
        <v>1.0</v>
      </c>
      <c r="K4236" s="2" t="s">
        <v>16682</v>
      </c>
      <c r="L4236" s="2" t="s">
        <v>16969</v>
      </c>
      <c r="M4236" s="2" t="s">
        <v>409</v>
      </c>
      <c r="N4236" s="2" t="s">
        <v>462</v>
      </c>
      <c r="O4236" s="3"/>
      <c r="P4236" s="2" t="s">
        <v>73</v>
      </c>
      <c r="Q4236" s="3">
        <v>650.0</v>
      </c>
      <c r="R4236" s="3">
        <v>0.5</v>
      </c>
      <c r="T4236" s="2" t="s">
        <v>15010</v>
      </c>
      <c r="U4236" s="171">
        <v>1848.0</v>
      </c>
      <c r="V4236" s="172">
        <v>46119.0</v>
      </c>
      <c r="W4236" s="3">
        <v>294.9</v>
      </c>
      <c r="X4236" s="172">
        <v>46115.70779693287</v>
      </c>
      <c r="Y4236" s="172">
        <v>46113.10212390046</v>
      </c>
      <c r="Z4236" s="3">
        <v>46113.0</v>
      </c>
      <c r="AA4236" s="2" t="s">
        <v>14103</v>
      </c>
    </row>
    <row r="4237">
      <c r="A4237" s="3">
        <v>6.978996240643E12</v>
      </c>
      <c r="B4237" s="2" t="s">
        <v>16970</v>
      </c>
      <c r="C4237" s="2" t="s">
        <v>16971</v>
      </c>
      <c r="D4237" s="169">
        <v>46113.0</v>
      </c>
      <c r="E4237" s="2">
        <v>3.008395246E9</v>
      </c>
      <c r="F4237" s="2" t="s">
        <v>16972</v>
      </c>
      <c r="G4237" s="2" t="s">
        <v>541</v>
      </c>
      <c r="H4237" s="2">
        <v>3348.0</v>
      </c>
      <c r="I4237" s="2">
        <v>2.5120050023216E13</v>
      </c>
      <c r="J4237" s="3">
        <v>2.0</v>
      </c>
      <c r="K4237" s="2" t="s">
        <v>15355</v>
      </c>
      <c r="L4237" s="2" t="s">
        <v>13413</v>
      </c>
      <c r="M4237" s="2" t="s">
        <v>409</v>
      </c>
      <c r="N4237" s="2" t="s">
        <v>462</v>
      </c>
      <c r="O4237" s="3"/>
      <c r="P4237" s="2" t="s">
        <v>73</v>
      </c>
      <c r="Q4237" s="3">
        <v>800.0</v>
      </c>
      <c r="R4237" s="3">
        <v>0.5</v>
      </c>
      <c r="T4237" s="2" t="s">
        <v>15356</v>
      </c>
      <c r="U4237" s="171">
        <v>3348.0</v>
      </c>
      <c r="V4237" s="172">
        <v>46122.0</v>
      </c>
      <c r="W4237" s="3">
        <v>354.9</v>
      </c>
      <c r="X4237" s="172">
        <v>46120.0811177662</v>
      </c>
      <c r="Y4237" s="172">
        <v>46113.268838738426</v>
      </c>
      <c r="Z4237" s="3">
        <v>46113.0</v>
      </c>
      <c r="AA4237" s="2" t="s">
        <v>14032</v>
      </c>
    </row>
    <row r="4238">
      <c r="A4238" s="3">
        <v>6.979056763139E12</v>
      </c>
      <c r="B4238" s="2" t="s">
        <v>16973</v>
      </c>
      <c r="C4238" s="2" t="s">
        <v>254</v>
      </c>
      <c r="D4238" s="169">
        <v>46113.0</v>
      </c>
      <c r="E4238" s="173" t="s">
        <v>16974</v>
      </c>
      <c r="F4238" s="2" t="s">
        <v>16975</v>
      </c>
      <c r="G4238" s="2" t="s">
        <v>781</v>
      </c>
      <c r="H4238" s="2">
        <v>1449.0</v>
      </c>
      <c r="I4238" s="2">
        <v>2.1120050023303E13</v>
      </c>
      <c r="J4238" s="3">
        <v>1.0</v>
      </c>
      <c r="K4238" s="2" t="s">
        <v>204</v>
      </c>
      <c r="L4238" s="2" t="s">
        <v>255</v>
      </c>
      <c r="M4238" s="2" t="s">
        <v>14076</v>
      </c>
      <c r="N4238" s="2" t="s">
        <v>406</v>
      </c>
      <c r="O4238" s="3"/>
      <c r="P4238" s="2" t="s">
        <v>73</v>
      </c>
      <c r="Q4238" s="3">
        <v>550.0</v>
      </c>
      <c r="R4238" s="3">
        <v>0.5</v>
      </c>
      <c r="U4238" s="141"/>
      <c r="X4238" s="172">
        <v>46122.08112159722</v>
      </c>
      <c r="Y4238" s="172">
        <v>46113.31045613426</v>
      </c>
      <c r="Z4238" s="3">
        <v>46113.0</v>
      </c>
      <c r="AA4238" s="2" t="s">
        <v>14032</v>
      </c>
    </row>
    <row r="4239">
      <c r="A4239" s="3">
        <v>6.979072098563E12</v>
      </c>
      <c r="B4239" s="2" t="s">
        <v>16976</v>
      </c>
      <c r="C4239" s="2" t="s">
        <v>16977</v>
      </c>
      <c r="D4239" s="169">
        <v>46113.0</v>
      </c>
      <c r="E4239" s="173" t="s">
        <v>16978</v>
      </c>
      <c r="F4239" s="2" t="s">
        <v>16979</v>
      </c>
      <c r="G4239" s="2" t="s">
        <v>493</v>
      </c>
      <c r="H4239" s="2">
        <v>3348.0</v>
      </c>
      <c r="I4239" s="2">
        <v>2.2120050023215E13</v>
      </c>
      <c r="J4239" s="3">
        <v>2.0</v>
      </c>
      <c r="K4239" s="2" t="s">
        <v>16802</v>
      </c>
      <c r="L4239" s="2" t="s">
        <v>906</v>
      </c>
      <c r="M4239" s="2" t="s">
        <v>409</v>
      </c>
      <c r="N4239" s="2" t="s">
        <v>462</v>
      </c>
      <c r="O4239" s="3"/>
      <c r="P4239" s="2" t="s">
        <v>73</v>
      </c>
      <c r="Q4239" s="3">
        <v>720.0</v>
      </c>
      <c r="R4239" s="3">
        <v>0.5</v>
      </c>
      <c r="T4239" s="2" t="s">
        <v>15356</v>
      </c>
      <c r="U4239" s="171">
        <v>3348.0</v>
      </c>
      <c r="V4239" s="172">
        <v>46122.0</v>
      </c>
      <c r="W4239" s="3">
        <v>369.62999999999994</v>
      </c>
      <c r="X4239" s="172">
        <v>46120.081117800924</v>
      </c>
      <c r="Y4239" s="172">
        <v>46113.31045613426</v>
      </c>
      <c r="Z4239" s="3">
        <v>46113.0</v>
      </c>
      <c r="AA4239" s="2" t="s">
        <v>14032</v>
      </c>
    </row>
    <row r="4240">
      <c r="A4240" s="3">
        <v>6.979093627139E12</v>
      </c>
      <c r="B4240" s="2" t="s">
        <v>16980</v>
      </c>
      <c r="C4240" s="2" t="s">
        <v>16981</v>
      </c>
      <c r="D4240" s="169">
        <v>46113.0</v>
      </c>
      <c r="E4240" s="2">
        <v>3.436696339E9</v>
      </c>
      <c r="F4240" s="2" t="s">
        <v>16982</v>
      </c>
      <c r="G4240" s="2" t="s">
        <v>2725</v>
      </c>
      <c r="H4240" s="2">
        <v>2199.0</v>
      </c>
      <c r="I4240" s="2">
        <v>2.5120050023214E13</v>
      </c>
      <c r="J4240" s="3">
        <v>1.0</v>
      </c>
      <c r="K4240" s="2" t="s">
        <v>15553</v>
      </c>
      <c r="L4240" s="2" t="s">
        <v>16983</v>
      </c>
      <c r="M4240" s="2" t="s">
        <v>409</v>
      </c>
      <c r="N4240" s="2" t="s">
        <v>462</v>
      </c>
      <c r="O4240" s="3"/>
      <c r="P4240" s="2" t="s">
        <v>73</v>
      </c>
      <c r="Q4240" s="3">
        <v>400.0</v>
      </c>
      <c r="R4240" s="3">
        <v>0.5</v>
      </c>
      <c r="T4240" s="2" t="s">
        <v>15010</v>
      </c>
      <c r="U4240" s="171">
        <v>2199.0</v>
      </c>
      <c r="V4240" s="172">
        <v>46119.0</v>
      </c>
      <c r="W4240" s="3">
        <v>308.94</v>
      </c>
      <c r="X4240" s="172">
        <v>46115.66617733796</v>
      </c>
      <c r="Y4240" s="172">
        <v>46113.35214671296</v>
      </c>
      <c r="Z4240" s="3">
        <v>46113.0</v>
      </c>
      <c r="AA4240" s="2" t="s">
        <v>14032</v>
      </c>
    </row>
    <row r="4241">
      <c r="A4241" s="3">
        <v>6.979299082499E12</v>
      </c>
      <c r="B4241" s="2" t="s">
        <v>16984</v>
      </c>
      <c r="C4241" s="2" t="s">
        <v>16985</v>
      </c>
      <c r="D4241" s="169">
        <v>46113.0</v>
      </c>
      <c r="E4241" s="2">
        <v>3.238844221E9</v>
      </c>
      <c r="F4241" s="2" t="s">
        <v>16986</v>
      </c>
      <c r="G4241" s="2" t="s">
        <v>368</v>
      </c>
      <c r="H4241" s="2">
        <v>2199.0</v>
      </c>
      <c r="I4241" s="2">
        <v>2.1120050023213E13</v>
      </c>
      <c r="J4241" s="3">
        <v>1.0</v>
      </c>
      <c r="K4241" s="2" t="s">
        <v>15801</v>
      </c>
      <c r="L4241" s="2" t="s">
        <v>16135</v>
      </c>
      <c r="M4241" s="2" t="s">
        <v>409</v>
      </c>
      <c r="N4241" s="2" t="s">
        <v>462</v>
      </c>
      <c r="O4241" s="3"/>
      <c r="P4241" s="2" t="s">
        <v>73</v>
      </c>
      <c r="Q4241" s="3">
        <v>360.0</v>
      </c>
      <c r="R4241" s="3">
        <v>0.5</v>
      </c>
      <c r="T4241" s="2" t="s">
        <v>12503</v>
      </c>
      <c r="U4241" s="171">
        <v>2199.0</v>
      </c>
      <c r="V4241" s="172">
        <v>46115.0</v>
      </c>
      <c r="W4241" s="3">
        <v>205.82</v>
      </c>
      <c r="X4241" s="172">
        <v>46115.49954203704</v>
      </c>
      <c r="Y4241" s="172">
        <v>46113.47716446759</v>
      </c>
      <c r="Z4241" s="3">
        <v>46113.0</v>
      </c>
      <c r="AA4241" s="2" t="s">
        <v>14103</v>
      </c>
    </row>
    <row r="4242">
      <c r="A4242" s="3">
        <v>6.979429892355E12</v>
      </c>
      <c r="B4242" s="2" t="s">
        <v>16987</v>
      </c>
      <c r="C4242" s="2" t="s">
        <v>16988</v>
      </c>
      <c r="D4242" s="169">
        <v>46113.0</v>
      </c>
      <c r="E4242" s="2">
        <v>3.177253839E9</v>
      </c>
      <c r="F4242" s="2" t="s">
        <v>16989</v>
      </c>
      <c r="G4242" s="2" t="s">
        <v>993</v>
      </c>
      <c r="H4242" s="2">
        <v>5199.0</v>
      </c>
      <c r="I4242" s="2">
        <v>2.0120050023212E13</v>
      </c>
      <c r="J4242" s="3">
        <v>4.0</v>
      </c>
      <c r="K4242" s="2" t="s">
        <v>16990</v>
      </c>
      <c r="L4242" s="2" t="s">
        <v>16991</v>
      </c>
      <c r="M4242" s="2" t="s">
        <v>409</v>
      </c>
      <c r="N4242" s="2" t="s">
        <v>462</v>
      </c>
      <c r="O4242" s="3"/>
      <c r="P4242" s="2" t="s">
        <v>73</v>
      </c>
      <c r="Q4242" s="3">
        <v>2800.0</v>
      </c>
      <c r="R4242" s="3">
        <v>0.5</v>
      </c>
      <c r="T4242" s="2" t="s">
        <v>15010</v>
      </c>
      <c r="U4242" s="171">
        <v>5199.0</v>
      </c>
      <c r="V4242" s="172">
        <v>46119.0</v>
      </c>
      <c r="W4242" s="3">
        <v>451.04</v>
      </c>
      <c r="X4242" s="172">
        <v>46119.08115421297</v>
      </c>
      <c r="Y4242" s="172">
        <v>46113.51883313658</v>
      </c>
      <c r="Z4242" s="3">
        <v>46113.0</v>
      </c>
      <c r="AA4242" s="2" t="s">
        <v>14032</v>
      </c>
    </row>
    <row r="4243">
      <c r="A4243" s="3">
        <v>6.979471999235E12</v>
      </c>
      <c r="B4243" s="2" t="s">
        <v>16992</v>
      </c>
      <c r="C4243" s="2" t="s">
        <v>256</v>
      </c>
      <c r="D4243" s="169">
        <v>46113.0</v>
      </c>
      <c r="E4243" s="2">
        <v>3.200550567E9</v>
      </c>
      <c r="F4243" s="2" t="s">
        <v>16993</v>
      </c>
      <c r="G4243" s="2" t="s">
        <v>16994</v>
      </c>
      <c r="H4243" s="2">
        <v>3348.0</v>
      </c>
      <c r="I4243" s="2">
        <v>2.5120050023211E13</v>
      </c>
      <c r="J4243" s="3">
        <v>2.0</v>
      </c>
      <c r="K4243" s="2" t="s">
        <v>257</v>
      </c>
      <c r="L4243" s="2" t="s">
        <v>50</v>
      </c>
      <c r="M4243" s="2" t="s">
        <v>14076</v>
      </c>
      <c r="N4243" s="2" t="s">
        <v>406</v>
      </c>
      <c r="O4243" s="3"/>
      <c r="P4243" s="2" t="s">
        <v>73</v>
      </c>
      <c r="Q4243" s="3">
        <v>720.0</v>
      </c>
      <c r="R4243" s="3">
        <v>0.5</v>
      </c>
      <c r="U4243" s="141"/>
      <c r="X4243" s="172">
        <v>46122.08112166666</v>
      </c>
      <c r="Y4243" s="172">
        <v>46113.51883313658</v>
      </c>
      <c r="Z4243" s="3">
        <v>46113.0</v>
      </c>
      <c r="AA4243" s="2" t="s">
        <v>14103</v>
      </c>
    </row>
    <row r="4244">
      <c r="A4244" s="3">
        <v>6.979497296131E12</v>
      </c>
      <c r="B4244" s="2" t="s">
        <v>16995</v>
      </c>
      <c r="C4244" s="2" t="s">
        <v>14564</v>
      </c>
      <c r="D4244" s="169">
        <v>46113.0</v>
      </c>
      <c r="E4244" s="173" t="s">
        <v>16335</v>
      </c>
      <c r="F4244" s="2" t="s">
        <v>16336</v>
      </c>
      <c r="G4244" s="2" t="s">
        <v>2675</v>
      </c>
      <c r="H4244" s="2">
        <v>3098.0</v>
      </c>
      <c r="I4244" s="2" t="s">
        <v>16996</v>
      </c>
      <c r="J4244" s="3">
        <v>2.0</v>
      </c>
      <c r="K4244" s="2" t="s">
        <v>16997</v>
      </c>
      <c r="L4244" s="2" t="s">
        <v>906</v>
      </c>
      <c r="M4244" s="2" t="s">
        <v>406</v>
      </c>
      <c r="N4244" s="2" t="s">
        <v>406</v>
      </c>
      <c r="O4244" s="3"/>
      <c r="P4244" s="2"/>
      <c r="Q4244" s="3">
        <v>720.0</v>
      </c>
      <c r="R4244" s="3">
        <v>0.5</v>
      </c>
      <c r="U4244" s="141"/>
      <c r="X4244" s="172"/>
      <c r="Y4244" s="172">
        <v>46113.56049181713</v>
      </c>
      <c r="Z4244" s="3">
        <v>46113.0</v>
      </c>
      <c r="AA4244" s="2" t="s">
        <v>14026</v>
      </c>
    </row>
    <row r="4245">
      <c r="A4245" s="3">
        <v>6.979499884803E12</v>
      </c>
      <c r="B4245" s="2" t="s">
        <v>16998</v>
      </c>
      <c r="C4245" s="2" t="s">
        <v>2809</v>
      </c>
      <c r="D4245" s="169">
        <v>46113.0</v>
      </c>
      <c r="E4245" s="2">
        <v>3.486732214E9</v>
      </c>
      <c r="F4245" s="2" t="s">
        <v>16999</v>
      </c>
      <c r="G4245" s="2" t="s">
        <v>461</v>
      </c>
      <c r="H4245" s="2">
        <v>4947.0</v>
      </c>
      <c r="I4245" s="2">
        <v>2.512005002321E13</v>
      </c>
      <c r="J4245" s="3">
        <v>3.0</v>
      </c>
      <c r="K4245" s="2" t="s">
        <v>16319</v>
      </c>
      <c r="L4245" s="2" t="s">
        <v>17000</v>
      </c>
      <c r="M4245" s="2" t="s">
        <v>409</v>
      </c>
      <c r="N4245" s="2" t="s">
        <v>462</v>
      </c>
      <c r="O4245" s="3"/>
      <c r="P4245" s="2" t="s">
        <v>73</v>
      </c>
      <c r="Q4245" s="3">
        <v>1370.0</v>
      </c>
      <c r="R4245" s="3">
        <v>0.5</v>
      </c>
      <c r="T4245" s="2" t="s">
        <v>15010</v>
      </c>
      <c r="U4245" s="171">
        <v>4947.0</v>
      </c>
      <c r="V4245" s="172">
        <v>46119.0</v>
      </c>
      <c r="W4245" s="3">
        <v>440.96</v>
      </c>
      <c r="X4245" s="172">
        <v>46119.08121077546</v>
      </c>
      <c r="Y4245" s="172">
        <v>46113.56049181713</v>
      </c>
      <c r="Z4245" s="3">
        <v>46113.0</v>
      </c>
      <c r="AA4245" s="2" t="s">
        <v>14053</v>
      </c>
    </row>
    <row r="4246">
      <c r="A4246" s="3">
        <v>6.979556933891E12</v>
      </c>
      <c r="B4246" s="2" t="s">
        <v>17001</v>
      </c>
      <c r="C4246" s="2" t="s">
        <v>17002</v>
      </c>
      <c r="D4246" s="169">
        <v>46113.0</v>
      </c>
      <c r="E4246" s="2">
        <v>3.056719461E9</v>
      </c>
      <c r="F4246" s="2" t="s">
        <v>17003</v>
      </c>
      <c r="G4246" s="2" t="s">
        <v>17004</v>
      </c>
      <c r="H4246" s="2">
        <v>3099.0</v>
      </c>
      <c r="I4246" s="2">
        <v>2.0120050023209E13</v>
      </c>
      <c r="J4246" s="3">
        <v>2.0</v>
      </c>
      <c r="K4246" s="2" t="s">
        <v>16571</v>
      </c>
      <c r="L4246" s="2" t="s">
        <v>35</v>
      </c>
      <c r="M4246" s="2" t="s">
        <v>409</v>
      </c>
      <c r="N4246" s="2" t="s">
        <v>462</v>
      </c>
      <c r="O4246" s="3"/>
      <c r="P4246" s="2" t="s">
        <v>73</v>
      </c>
      <c r="Q4246" s="3">
        <v>980.0</v>
      </c>
      <c r="R4246" s="3">
        <v>0.5</v>
      </c>
      <c r="T4246" s="2" t="s">
        <v>15010</v>
      </c>
      <c r="U4246" s="171">
        <v>3099.0</v>
      </c>
      <c r="V4246" s="172">
        <v>46119.0</v>
      </c>
      <c r="W4246" s="3">
        <v>344.94</v>
      </c>
      <c r="X4246" s="172">
        <v>46115.74963314815</v>
      </c>
      <c r="Y4246" s="172">
        <v>46113.602114050926</v>
      </c>
      <c r="Z4246" s="3">
        <v>46113.0</v>
      </c>
      <c r="AA4246" s="2" t="s">
        <v>14041</v>
      </c>
    </row>
    <row r="4247">
      <c r="A4247" s="3">
        <v>6.979584721155E12</v>
      </c>
      <c r="B4247" s="2" t="s">
        <v>17005</v>
      </c>
      <c r="C4247" s="2" t="s">
        <v>17006</v>
      </c>
      <c r="D4247" s="169">
        <v>46113.0</v>
      </c>
      <c r="E4247" s="2">
        <v>3.338619513E9</v>
      </c>
      <c r="F4247" s="2" t="s">
        <v>17007</v>
      </c>
      <c r="G4247" s="2" t="s">
        <v>688</v>
      </c>
      <c r="H4247" s="2">
        <v>2399.0</v>
      </c>
      <c r="I4247" s="2">
        <v>2.4120050023208E13</v>
      </c>
      <c r="J4247" s="3">
        <v>1.0</v>
      </c>
      <c r="K4247" s="2" t="s">
        <v>17008</v>
      </c>
      <c r="L4247" s="2" t="s">
        <v>17009</v>
      </c>
      <c r="M4247" s="2" t="s">
        <v>409</v>
      </c>
      <c r="N4247" s="2" t="s">
        <v>462</v>
      </c>
      <c r="O4247" s="3"/>
      <c r="P4247" s="2" t="s">
        <v>73</v>
      </c>
      <c r="Q4247" s="3">
        <v>1100.0</v>
      </c>
      <c r="R4247" s="3">
        <v>0.5</v>
      </c>
      <c r="T4247" s="2" t="s">
        <v>15010</v>
      </c>
      <c r="U4247" s="171">
        <v>2399.0</v>
      </c>
      <c r="V4247" s="172">
        <v>46119.0</v>
      </c>
      <c r="W4247" s="3">
        <v>316.94</v>
      </c>
      <c r="X4247" s="172">
        <v>46116.62458957176</v>
      </c>
      <c r="Y4247" s="172">
        <v>46113.602114050926</v>
      </c>
      <c r="Z4247" s="3">
        <v>46113.0</v>
      </c>
      <c r="AA4247" s="2" t="s">
        <v>14053</v>
      </c>
    </row>
    <row r="4248">
      <c r="A4248" s="3">
        <v>6.979631415555E12</v>
      </c>
      <c r="B4248" s="2" t="s">
        <v>17010</v>
      </c>
      <c r="C4248" s="2" t="s">
        <v>17011</v>
      </c>
      <c r="D4248" s="169">
        <v>46113.0</v>
      </c>
      <c r="E4248" s="173" t="s">
        <v>17012</v>
      </c>
      <c r="F4248" s="2" t="s">
        <v>17013</v>
      </c>
      <c r="G4248" s="2" t="s">
        <v>855</v>
      </c>
      <c r="H4248" s="2">
        <v>3849.0</v>
      </c>
      <c r="I4248" s="2">
        <v>2.9120050023276E13</v>
      </c>
      <c r="J4248" s="3">
        <v>2.0</v>
      </c>
      <c r="K4248" s="2" t="s">
        <v>17014</v>
      </c>
      <c r="L4248" s="2" t="s">
        <v>17015</v>
      </c>
      <c r="M4248" s="2" t="s">
        <v>409</v>
      </c>
      <c r="N4248" s="2" t="s">
        <v>462</v>
      </c>
      <c r="O4248" s="3"/>
      <c r="P4248" s="2" t="s">
        <v>73</v>
      </c>
      <c r="Q4248" s="3">
        <v>800.0</v>
      </c>
      <c r="R4248" s="3">
        <v>0.5</v>
      </c>
      <c r="T4248" s="2" t="s">
        <v>15356</v>
      </c>
      <c r="U4248" s="171">
        <v>3849.0</v>
      </c>
      <c r="V4248" s="172">
        <v>46122.0</v>
      </c>
      <c r="W4248" s="3">
        <v>374.94</v>
      </c>
      <c r="X4248" s="172">
        <v>46120.08111783565</v>
      </c>
      <c r="Y4248" s="172">
        <v>46113.643855567134</v>
      </c>
      <c r="Z4248" s="3">
        <v>46113.0</v>
      </c>
      <c r="AA4248" s="2" t="s">
        <v>14032</v>
      </c>
    </row>
    <row r="4249">
      <c r="A4249" s="3">
        <v>6.979638001923E12</v>
      </c>
      <c r="B4249" s="2" t="s">
        <v>17016</v>
      </c>
      <c r="C4249" s="2" t="s">
        <v>17017</v>
      </c>
      <c r="D4249" s="169">
        <v>46113.0</v>
      </c>
      <c r="E4249" s="2">
        <v>3.333113229E9</v>
      </c>
      <c r="F4249" s="2" t="s">
        <v>17018</v>
      </c>
      <c r="G4249" s="2" t="s">
        <v>366</v>
      </c>
      <c r="H4249" s="2">
        <v>3348.0</v>
      </c>
      <c r="I4249" s="2">
        <v>2.4120050023275E13</v>
      </c>
      <c r="J4249" s="3">
        <v>2.0</v>
      </c>
      <c r="K4249" s="2" t="s">
        <v>15531</v>
      </c>
      <c r="L4249" s="2" t="s">
        <v>13413</v>
      </c>
      <c r="M4249" s="2" t="s">
        <v>409</v>
      </c>
      <c r="N4249" s="2" t="s">
        <v>462</v>
      </c>
      <c r="O4249" s="3"/>
      <c r="P4249" s="2" t="s">
        <v>73</v>
      </c>
      <c r="Q4249" s="3">
        <v>800.0</v>
      </c>
      <c r="R4249" s="3">
        <v>0.5</v>
      </c>
      <c r="T4249" s="2" t="s">
        <v>15010</v>
      </c>
      <c r="U4249" s="171">
        <v>3348.0</v>
      </c>
      <c r="V4249" s="172">
        <v>46119.0</v>
      </c>
      <c r="W4249" s="3">
        <v>354.9</v>
      </c>
      <c r="X4249" s="172">
        <v>46118.081230752316</v>
      </c>
      <c r="Y4249" s="172">
        <v>46113.643855567134</v>
      </c>
      <c r="Z4249" s="3">
        <v>46113.0</v>
      </c>
      <c r="AA4249" s="2" t="s">
        <v>14536</v>
      </c>
    </row>
    <row r="4250">
      <c r="A4250" s="3">
        <v>6.979656024323E12</v>
      </c>
      <c r="B4250" s="2" t="s">
        <v>17019</v>
      </c>
      <c r="C4250" s="2" t="s">
        <v>17020</v>
      </c>
      <c r="D4250" s="169">
        <v>46113.0</v>
      </c>
      <c r="E4250" s="2">
        <v>3.363269395E9</v>
      </c>
      <c r="F4250" s="2" t="s">
        <v>17021</v>
      </c>
      <c r="G4250" s="2" t="s">
        <v>17022</v>
      </c>
      <c r="H4250" s="2">
        <v>3348.0</v>
      </c>
      <c r="I4250" s="2"/>
      <c r="J4250" s="3">
        <v>2.0</v>
      </c>
      <c r="K4250" s="2" t="s">
        <v>16932</v>
      </c>
      <c r="L4250" s="2" t="s">
        <v>228</v>
      </c>
      <c r="M4250" s="2" t="s">
        <v>406</v>
      </c>
      <c r="N4250" s="2" t="s">
        <v>406</v>
      </c>
      <c r="O4250" s="3"/>
      <c r="P4250" s="2"/>
      <c r="Q4250" s="3">
        <v>720.0</v>
      </c>
      <c r="R4250" s="3">
        <v>0.5</v>
      </c>
      <c r="U4250" s="141"/>
      <c r="X4250" s="172"/>
      <c r="Y4250" s="172">
        <v>46113.643855567134</v>
      </c>
      <c r="Z4250" s="3">
        <v>46113.0</v>
      </c>
      <c r="AA4250" s="2" t="s">
        <v>14032</v>
      </c>
    </row>
    <row r="4251">
      <c r="A4251" s="3">
        <v>6.979659464963E12</v>
      </c>
      <c r="B4251" s="2" t="s">
        <v>17023</v>
      </c>
      <c r="C4251" s="2" t="s">
        <v>17024</v>
      </c>
      <c r="D4251" s="169">
        <v>46113.0</v>
      </c>
      <c r="E4251" s="2">
        <v>3.062348137E9</v>
      </c>
      <c r="F4251" s="2" t="s">
        <v>17025</v>
      </c>
      <c r="G4251" s="2" t="s">
        <v>493</v>
      </c>
      <c r="H4251" s="2">
        <v>8368.0</v>
      </c>
      <c r="I4251" s="2">
        <v>2.1120050023207E13</v>
      </c>
      <c r="J4251" s="3">
        <v>5.0</v>
      </c>
      <c r="K4251" s="2" t="s">
        <v>12913</v>
      </c>
      <c r="L4251" s="2" t="s">
        <v>17026</v>
      </c>
      <c r="M4251" s="2" t="s">
        <v>409</v>
      </c>
      <c r="N4251" s="2" t="s">
        <v>406</v>
      </c>
      <c r="O4251" s="3"/>
      <c r="P4251" s="2" t="s">
        <v>73</v>
      </c>
      <c r="Q4251" s="3">
        <v>3645.0</v>
      </c>
      <c r="R4251" s="3">
        <v>0.5</v>
      </c>
      <c r="U4251" s="141"/>
      <c r="X4251" s="172">
        <v>46120.0811178588</v>
      </c>
      <c r="Y4251" s="172">
        <v>46113.643855567134</v>
      </c>
      <c r="Z4251" s="3">
        <v>46113.0</v>
      </c>
      <c r="AA4251" s="2" t="s">
        <v>14022</v>
      </c>
    </row>
    <row r="4252">
      <c r="A4252" s="3">
        <v>6.979669000451E12</v>
      </c>
      <c r="B4252" s="2" t="s">
        <v>17027</v>
      </c>
      <c r="C4252" s="2" t="s">
        <v>5225</v>
      </c>
      <c r="D4252" s="169">
        <v>46113.0</v>
      </c>
      <c r="E4252" s="2">
        <v>3.337554547E9</v>
      </c>
      <c r="F4252" s="2" t="s">
        <v>17028</v>
      </c>
      <c r="G4252" s="2">
        <v>1.0</v>
      </c>
      <c r="H4252" s="2">
        <v>5450.0</v>
      </c>
      <c r="I4252" s="2">
        <v>2.4120050023274E13</v>
      </c>
      <c r="J4252" s="3">
        <v>3.0</v>
      </c>
      <c r="K4252" s="2" t="s">
        <v>17029</v>
      </c>
      <c r="L4252" s="2" t="s">
        <v>17030</v>
      </c>
      <c r="M4252" s="2" t="s">
        <v>409</v>
      </c>
      <c r="N4252" s="2" t="s">
        <v>462</v>
      </c>
      <c r="O4252" s="3"/>
      <c r="P4252" s="2" t="s">
        <v>73</v>
      </c>
      <c r="Q4252" s="3">
        <v>2080.0</v>
      </c>
      <c r="R4252" s="3">
        <v>0.5</v>
      </c>
      <c r="T4252" s="2" t="s">
        <v>15356</v>
      </c>
      <c r="U4252" s="171">
        <v>5450.0</v>
      </c>
      <c r="V4252" s="172">
        <v>46122.0</v>
      </c>
      <c r="W4252" s="3">
        <v>468.44</v>
      </c>
      <c r="X4252" s="172">
        <v>46120.08111787037</v>
      </c>
      <c r="Y4252" s="172">
        <v>46113.643855567134</v>
      </c>
      <c r="Z4252" s="3">
        <v>46113.0</v>
      </c>
      <c r="AA4252" s="2" t="s">
        <v>14026</v>
      </c>
    </row>
    <row r="4253">
      <c r="A4253" s="3">
        <v>6.979670802691E12</v>
      </c>
      <c r="B4253" s="2" t="s">
        <v>17031</v>
      </c>
      <c r="C4253" s="2" t="s">
        <v>17032</v>
      </c>
      <c r="D4253" s="169">
        <v>46113.0</v>
      </c>
      <c r="E4253" s="2">
        <v>3.330280823E9</v>
      </c>
      <c r="F4253" s="2" t="s">
        <v>17033</v>
      </c>
      <c r="G4253" s="2" t="s">
        <v>493</v>
      </c>
      <c r="H4253" s="2">
        <v>3348.0</v>
      </c>
      <c r="I4253" s="2">
        <v>2.5120050023444E13</v>
      </c>
      <c r="J4253" s="3">
        <v>2.0</v>
      </c>
      <c r="K4253" s="2" t="s">
        <v>15277</v>
      </c>
      <c r="L4253" s="2" t="s">
        <v>228</v>
      </c>
      <c r="M4253" s="2" t="s">
        <v>409</v>
      </c>
      <c r="N4253" s="2" t="s">
        <v>462</v>
      </c>
      <c r="O4253" s="3"/>
      <c r="P4253" s="2" t="s">
        <v>73</v>
      </c>
      <c r="Q4253" s="3">
        <v>720.0</v>
      </c>
      <c r="R4253" s="3">
        <v>0.5</v>
      </c>
      <c r="T4253" s="2" t="s">
        <v>15278</v>
      </c>
      <c r="U4253" s="171">
        <v>3348.0</v>
      </c>
      <c r="V4253" s="172">
        <v>46126.0</v>
      </c>
      <c r="W4253" s="3">
        <v>391.9</v>
      </c>
      <c r="X4253" s="172">
        <v>46126.08116644676</v>
      </c>
      <c r="Y4253" s="172">
        <v>46113.68547256944</v>
      </c>
      <c r="Z4253" s="3">
        <v>46113.0</v>
      </c>
      <c r="AA4253" s="2" t="s">
        <v>14103</v>
      </c>
    </row>
    <row r="4254">
      <c r="A4254" s="3">
        <v>6.979806068995E12</v>
      </c>
      <c r="B4254" s="2" t="s">
        <v>17034</v>
      </c>
      <c r="C4254" s="2" t="s">
        <v>17035</v>
      </c>
      <c r="D4254" s="169">
        <v>46113.0</v>
      </c>
      <c r="E4254" s="2">
        <v>3.09000329E9</v>
      </c>
      <c r="F4254" s="2" t="s">
        <v>17036</v>
      </c>
      <c r="G4254" s="2" t="s">
        <v>855</v>
      </c>
      <c r="H4254" s="2">
        <v>3347.0</v>
      </c>
      <c r="I4254" s="2">
        <v>2.4120050023272E13</v>
      </c>
      <c r="J4254" s="3">
        <v>2.0</v>
      </c>
      <c r="K4254" s="2" t="s">
        <v>17037</v>
      </c>
      <c r="L4254" s="2" t="s">
        <v>17038</v>
      </c>
      <c r="M4254" s="2" t="s">
        <v>409</v>
      </c>
      <c r="N4254" s="2" t="s">
        <v>462</v>
      </c>
      <c r="O4254" s="3"/>
      <c r="P4254" s="2" t="s">
        <v>73</v>
      </c>
      <c r="Q4254" s="3">
        <v>800.0</v>
      </c>
      <c r="R4254" s="3">
        <v>0.5</v>
      </c>
      <c r="T4254" s="2" t="s">
        <v>15010</v>
      </c>
      <c r="U4254" s="171">
        <v>3347.0</v>
      </c>
      <c r="V4254" s="172">
        <v>46119.0</v>
      </c>
      <c r="W4254" s="3">
        <v>354.85999999999996</v>
      </c>
      <c r="X4254" s="172">
        <v>46116.62459085648</v>
      </c>
      <c r="Y4254" s="172">
        <v>46113.72710402778</v>
      </c>
      <c r="Z4254" s="3">
        <v>46113.0</v>
      </c>
      <c r="AA4254" s="2" t="s">
        <v>14032</v>
      </c>
    </row>
    <row r="4255">
      <c r="A4255" s="3">
        <v>6.979894804739E12</v>
      </c>
      <c r="B4255" s="2" t="s">
        <v>17039</v>
      </c>
      <c r="C4255" s="2" t="s">
        <v>8121</v>
      </c>
      <c r="D4255" s="169">
        <v>46113.0</v>
      </c>
      <c r="E4255" s="2">
        <v>3.118104723E9</v>
      </c>
      <c r="F4255" s="2" t="s">
        <v>17040</v>
      </c>
      <c r="G4255" s="2" t="s">
        <v>493</v>
      </c>
      <c r="H4255" s="2">
        <v>3348.0</v>
      </c>
      <c r="I4255" s="2">
        <v>2.3120050023437E13</v>
      </c>
      <c r="J4255" s="3">
        <v>2.0</v>
      </c>
      <c r="K4255" s="2" t="s">
        <v>15277</v>
      </c>
      <c r="L4255" s="2" t="s">
        <v>228</v>
      </c>
      <c r="M4255" s="2" t="s">
        <v>409</v>
      </c>
      <c r="N4255" s="2" t="s">
        <v>462</v>
      </c>
      <c r="O4255" s="3"/>
      <c r="P4255" s="2" t="s">
        <v>73</v>
      </c>
      <c r="Q4255" s="3">
        <v>720.0</v>
      </c>
      <c r="R4255" s="3">
        <v>0.5</v>
      </c>
      <c r="T4255" s="2" t="s">
        <v>15278</v>
      </c>
      <c r="U4255" s="171">
        <v>3348.0</v>
      </c>
      <c r="V4255" s="172">
        <v>46126.0</v>
      </c>
      <c r="W4255" s="3">
        <v>391.9</v>
      </c>
      <c r="X4255" s="172">
        <v>46125.08102357639</v>
      </c>
      <c r="Y4255" s="172">
        <v>46113.768819398145</v>
      </c>
      <c r="Z4255" s="3">
        <v>46113.0</v>
      </c>
      <c r="AA4255" s="2" t="s">
        <v>14022</v>
      </c>
    </row>
    <row r="4256">
      <c r="A4256" s="3">
        <v>6.979941138691E12</v>
      </c>
      <c r="B4256" s="2" t="s">
        <v>17041</v>
      </c>
      <c r="C4256" s="2" t="s">
        <v>3513</v>
      </c>
      <c r="D4256" s="169">
        <v>46113.0</v>
      </c>
      <c r="E4256" s="2">
        <v>3.400921805E9</v>
      </c>
      <c r="F4256" s="2" t="s">
        <v>17042</v>
      </c>
      <c r="G4256" s="2" t="s">
        <v>17043</v>
      </c>
      <c r="H4256" s="2">
        <v>0.0</v>
      </c>
      <c r="I4256" s="2"/>
      <c r="J4256" s="3">
        <v>0.0</v>
      </c>
      <c r="K4256" s="2" t="s">
        <v>17044</v>
      </c>
      <c r="L4256" s="2"/>
      <c r="M4256" s="2" t="s">
        <v>468</v>
      </c>
      <c r="N4256" s="2" t="s">
        <v>406</v>
      </c>
      <c r="O4256" s="3"/>
      <c r="P4256" s="2"/>
      <c r="Q4256" s="3">
        <v>0.0</v>
      </c>
      <c r="R4256" s="3">
        <v>0.5</v>
      </c>
      <c r="U4256" s="141"/>
      <c r="X4256" s="172"/>
      <c r="Y4256" s="172">
        <v>46113.81053017361</v>
      </c>
      <c r="Z4256" s="3">
        <v>46113.0</v>
      </c>
      <c r="AA4256" s="2" t="s">
        <v>14032</v>
      </c>
    </row>
    <row r="4257">
      <c r="A4257" s="3">
        <v>6.979953262851E12</v>
      </c>
      <c r="B4257" s="2" t="s">
        <v>17045</v>
      </c>
      <c r="C4257" s="2" t="s">
        <v>17046</v>
      </c>
      <c r="D4257" s="169">
        <v>46113.0</v>
      </c>
      <c r="E4257" s="2">
        <v>3.162587904E9</v>
      </c>
      <c r="F4257" s="2" t="s">
        <v>17047</v>
      </c>
      <c r="G4257" s="2" t="s">
        <v>493</v>
      </c>
      <c r="H4257" s="2">
        <v>3099.0</v>
      </c>
      <c r="I4257" s="2">
        <v>2.312005002327E13</v>
      </c>
      <c r="J4257" s="3">
        <v>2.0</v>
      </c>
      <c r="K4257" s="2" t="s">
        <v>17048</v>
      </c>
      <c r="L4257" s="2" t="s">
        <v>16</v>
      </c>
      <c r="M4257" s="2" t="s">
        <v>409</v>
      </c>
      <c r="N4257" s="2" t="s">
        <v>462</v>
      </c>
      <c r="O4257" s="3"/>
      <c r="P4257" s="2" t="s">
        <v>73</v>
      </c>
      <c r="Q4257" s="3">
        <v>980.0</v>
      </c>
      <c r="R4257" s="3">
        <v>0.5</v>
      </c>
      <c r="T4257" s="2" t="s">
        <v>15010</v>
      </c>
      <c r="U4257" s="171">
        <v>3099.0</v>
      </c>
      <c r="V4257" s="172">
        <v>46119.0</v>
      </c>
      <c r="W4257" s="3">
        <v>359.67</v>
      </c>
      <c r="X4257" s="172">
        <v>46119.081211192126</v>
      </c>
      <c r="Y4257" s="172">
        <v>46113.81053017361</v>
      </c>
      <c r="Z4257" s="3">
        <v>46113.0</v>
      </c>
      <c r="AA4257" s="2" t="s">
        <v>14041</v>
      </c>
    </row>
    <row r="4258">
      <c r="A4258" s="3">
        <v>6.980010836227E12</v>
      </c>
      <c r="B4258" s="2" t="s">
        <v>17049</v>
      </c>
      <c r="C4258" s="2" t="s">
        <v>17050</v>
      </c>
      <c r="D4258" s="169">
        <v>46113.0</v>
      </c>
      <c r="E4258" s="2">
        <v>3.334319327E9</v>
      </c>
      <c r="F4258" s="2" t="s">
        <v>17051</v>
      </c>
      <c r="G4258" s="2" t="s">
        <v>368</v>
      </c>
      <c r="H4258" s="2">
        <v>4947.0</v>
      </c>
      <c r="I4258" s="2">
        <v>2.7120050023436E13</v>
      </c>
      <c r="J4258" s="3">
        <v>3.0</v>
      </c>
      <c r="K4258" s="2" t="s">
        <v>17052</v>
      </c>
      <c r="L4258" s="2" t="s">
        <v>17053</v>
      </c>
      <c r="M4258" s="2" t="s">
        <v>409</v>
      </c>
      <c r="N4258" s="2" t="s">
        <v>462</v>
      </c>
      <c r="O4258" s="3"/>
      <c r="P4258" s="2" t="s">
        <v>73</v>
      </c>
      <c r="Q4258" s="3">
        <v>1450.0</v>
      </c>
      <c r="R4258" s="3">
        <v>0.5</v>
      </c>
      <c r="T4258" s="2" t="s">
        <v>15278</v>
      </c>
      <c r="U4258" s="171">
        <v>4947.0</v>
      </c>
      <c r="V4258" s="172">
        <v>46126.0</v>
      </c>
      <c r="W4258" s="3">
        <v>343.0</v>
      </c>
      <c r="X4258" s="172">
        <v>46124.08144206018</v>
      </c>
      <c r="Y4258" s="172">
        <v>46113.81053017361</v>
      </c>
      <c r="Z4258" s="3">
        <v>46113.0</v>
      </c>
      <c r="AA4258" s="2" t="s">
        <v>14103</v>
      </c>
    </row>
    <row r="4259">
      <c r="A4259" s="3">
        <v>6.980073062659E12</v>
      </c>
      <c r="B4259" s="2" t="s">
        <v>17054</v>
      </c>
      <c r="C4259" s="2" t="s">
        <v>17055</v>
      </c>
      <c r="D4259" s="169">
        <v>46113.0</v>
      </c>
      <c r="E4259" s="2">
        <v>3.319567262E9</v>
      </c>
      <c r="F4259" s="2" t="s">
        <v>17056</v>
      </c>
      <c r="G4259" s="2" t="s">
        <v>506</v>
      </c>
      <c r="H4259" s="2">
        <v>2049.0</v>
      </c>
      <c r="I4259" s="2">
        <v>2.9120050023268E13</v>
      </c>
      <c r="J4259" s="3">
        <v>1.0</v>
      </c>
      <c r="K4259" s="2" t="s">
        <v>17057</v>
      </c>
      <c r="L4259" s="2" t="s">
        <v>16630</v>
      </c>
      <c r="M4259" s="2" t="s">
        <v>409</v>
      </c>
      <c r="N4259" s="2" t="s">
        <v>462</v>
      </c>
      <c r="O4259" s="3"/>
      <c r="P4259" s="2" t="s">
        <v>73</v>
      </c>
      <c r="Q4259" s="3">
        <v>400.0</v>
      </c>
      <c r="R4259" s="3">
        <v>0.5</v>
      </c>
      <c r="T4259" s="2" t="s">
        <v>15010</v>
      </c>
      <c r="U4259" s="171">
        <v>2049.0</v>
      </c>
      <c r="V4259" s="172">
        <v>46119.0</v>
      </c>
      <c r="W4259" s="3">
        <v>302.94</v>
      </c>
      <c r="X4259" s="172">
        <v>46118.0812315625</v>
      </c>
      <c r="Y4259" s="172">
        <v>46113.85217012731</v>
      </c>
      <c r="Z4259" s="3">
        <v>46113.0</v>
      </c>
      <c r="AA4259" s="2" t="s">
        <v>14536</v>
      </c>
    </row>
    <row r="4260">
      <c r="A4260" s="3">
        <v>6.980187586819E12</v>
      </c>
      <c r="B4260" s="2" t="s">
        <v>17058</v>
      </c>
      <c r="C4260" s="2" t="s">
        <v>17059</v>
      </c>
      <c r="D4260" s="169">
        <v>46113.0</v>
      </c>
      <c r="E4260" s="173" t="s">
        <v>17060</v>
      </c>
      <c r="F4260" s="2" t="s">
        <v>17061</v>
      </c>
      <c r="G4260" s="2" t="s">
        <v>993</v>
      </c>
      <c r="H4260" s="2">
        <v>3348.0</v>
      </c>
      <c r="I4260" s="2">
        <v>2.6120050023435E13</v>
      </c>
      <c r="J4260" s="3">
        <v>2.0</v>
      </c>
      <c r="K4260" s="2" t="s">
        <v>15277</v>
      </c>
      <c r="L4260" s="2" t="s">
        <v>40</v>
      </c>
      <c r="M4260" s="2" t="s">
        <v>409</v>
      </c>
      <c r="N4260" s="2" t="s">
        <v>462</v>
      </c>
      <c r="O4260" s="3"/>
      <c r="P4260" s="2" t="s">
        <v>73</v>
      </c>
      <c r="Q4260" s="3">
        <v>720.0</v>
      </c>
      <c r="R4260" s="3">
        <v>0.5</v>
      </c>
      <c r="T4260" s="2" t="s">
        <v>15278</v>
      </c>
      <c r="U4260" s="171">
        <v>3348.0</v>
      </c>
      <c r="V4260" s="172">
        <v>46126.0</v>
      </c>
      <c r="W4260" s="3">
        <v>375.78</v>
      </c>
      <c r="X4260" s="172">
        <v>46126.08116744213</v>
      </c>
      <c r="Y4260" s="172">
        <v>46113.89376737269</v>
      </c>
      <c r="Z4260" s="3">
        <v>46113.0</v>
      </c>
      <c r="AA4260" s="2" t="s">
        <v>14103</v>
      </c>
    </row>
    <row r="4261">
      <c r="A4261" s="3">
        <v>6.980298768643E12</v>
      </c>
      <c r="B4261" s="2" t="s">
        <v>17062</v>
      </c>
      <c r="C4261" s="2" t="s">
        <v>17063</v>
      </c>
      <c r="D4261" s="169">
        <v>46113.0</v>
      </c>
      <c r="E4261" s="2">
        <v>3.018620311E9</v>
      </c>
      <c r="F4261" s="2" t="s">
        <v>17064</v>
      </c>
      <c r="G4261" s="2" t="s">
        <v>2807</v>
      </c>
      <c r="H4261" s="2">
        <v>3348.0</v>
      </c>
      <c r="I4261" s="2">
        <v>2.9120050023434E13</v>
      </c>
      <c r="J4261" s="3">
        <v>2.0</v>
      </c>
      <c r="K4261" s="2" t="s">
        <v>17065</v>
      </c>
      <c r="L4261" s="2" t="s">
        <v>228</v>
      </c>
      <c r="M4261" s="2" t="s">
        <v>409</v>
      </c>
      <c r="N4261" s="2" t="s">
        <v>462</v>
      </c>
      <c r="O4261" s="3"/>
      <c r="P4261" s="2" t="s">
        <v>73</v>
      </c>
      <c r="Q4261" s="3">
        <v>720.0</v>
      </c>
      <c r="R4261" s="3">
        <v>0.5</v>
      </c>
      <c r="T4261" s="2" t="s">
        <v>15278</v>
      </c>
      <c r="U4261" s="171">
        <v>3348.0</v>
      </c>
      <c r="V4261" s="172">
        <v>46126.0</v>
      </c>
      <c r="W4261" s="3">
        <v>375.78</v>
      </c>
      <c r="X4261" s="172">
        <v>46126.08116793982</v>
      </c>
      <c r="Y4261" s="172">
        <v>46113.97708678241</v>
      </c>
      <c r="Z4261" s="3">
        <v>46113.0</v>
      </c>
      <c r="AA4261" s="2" t="s">
        <v>14103</v>
      </c>
    </row>
    <row r="4262">
      <c r="A4262" s="3">
        <v>6.980327112963E12</v>
      </c>
      <c r="B4262" s="2" t="s">
        <v>17066</v>
      </c>
      <c r="C4262" s="2" t="s">
        <v>17067</v>
      </c>
      <c r="D4262" s="169">
        <v>46113.0</v>
      </c>
      <c r="E4262" s="2">
        <v>3.238478E9</v>
      </c>
      <c r="F4262" s="2" t="s">
        <v>17068</v>
      </c>
      <c r="G4262" s="2" t="s">
        <v>493</v>
      </c>
      <c r="H4262" s="2">
        <v>3498.0</v>
      </c>
      <c r="I4262" s="2">
        <v>2.1120050023266E13</v>
      </c>
      <c r="J4262" s="3">
        <v>2.0</v>
      </c>
      <c r="K4262" s="2" t="s">
        <v>17069</v>
      </c>
      <c r="L4262" s="2" t="s">
        <v>17070</v>
      </c>
      <c r="M4262" s="2" t="s">
        <v>409</v>
      </c>
      <c r="N4262" s="2" t="s">
        <v>462</v>
      </c>
      <c r="O4262" s="3"/>
      <c r="P4262" s="2" t="s">
        <v>73</v>
      </c>
      <c r="Q4262" s="3">
        <v>1200.0</v>
      </c>
      <c r="R4262" s="3">
        <v>0.5</v>
      </c>
      <c r="T4262" s="2" t="s">
        <v>15010</v>
      </c>
      <c r="U4262" s="171">
        <v>3498.0</v>
      </c>
      <c r="V4262" s="172">
        <v>46119.0</v>
      </c>
      <c r="W4262" s="3">
        <v>390.35999999999996</v>
      </c>
      <c r="X4262" s="172">
        <v>46119.0812118287</v>
      </c>
      <c r="Y4262" s="172">
        <v>46113.97708678241</v>
      </c>
      <c r="Z4262" s="3">
        <v>46113.0</v>
      </c>
      <c r="AA4262" s="2" t="s">
        <v>14053</v>
      </c>
    </row>
    <row r="4263">
      <c r="A4263" s="3">
        <v>6.980396810499E12</v>
      </c>
      <c r="B4263" s="2" t="s">
        <v>17071</v>
      </c>
      <c r="C4263" s="2" t="s">
        <v>15988</v>
      </c>
      <c r="D4263" s="169">
        <v>46113.0</v>
      </c>
      <c r="E4263" s="173" t="s">
        <v>15989</v>
      </c>
      <c r="F4263" s="2" t="s">
        <v>15990</v>
      </c>
      <c r="G4263" s="2" t="s">
        <v>1395</v>
      </c>
      <c r="H4263" s="2">
        <v>0.0</v>
      </c>
      <c r="I4263" s="2"/>
      <c r="J4263" s="3">
        <v>0.0</v>
      </c>
      <c r="K4263" s="2" t="s">
        <v>17072</v>
      </c>
      <c r="L4263" s="2"/>
      <c r="M4263" s="2" t="s">
        <v>468</v>
      </c>
      <c r="N4263" s="2" t="s">
        <v>406</v>
      </c>
      <c r="O4263" s="3"/>
      <c r="P4263" s="2"/>
      <c r="Q4263" s="3">
        <v>0.0</v>
      </c>
      <c r="R4263" s="3">
        <v>0.5</v>
      </c>
      <c r="U4263" s="141"/>
      <c r="X4263" s="172"/>
      <c r="Y4263" s="172">
        <v>46114.060465069444</v>
      </c>
      <c r="Z4263" s="3">
        <v>46113.0</v>
      </c>
      <c r="AA4263" s="2" t="s">
        <v>14103</v>
      </c>
    </row>
    <row r="4264">
      <c r="A4264" s="3">
        <v>6.980515365123E12</v>
      </c>
      <c r="B4264" s="2" t="s">
        <v>17073</v>
      </c>
      <c r="C4264" s="2" t="s">
        <v>17074</v>
      </c>
      <c r="D4264" s="169">
        <v>46114.0</v>
      </c>
      <c r="E4264" s="173" t="s">
        <v>17075</v>
      </c>
      <c r="F4264" s="2" t="s">
        <v>17076</v>
      </c>
      <c r="G4264" s="2" t="s">
        <v>493</v>
      </c>
      <c r="H4264" s="2">
        <v>1848.0</v>
      </c>
      <c r="I4264" s="2">
        <v>2.3120050023265E13</v>
      </c>
      <c r="J4264" s="3">
        <v>1.0</v>
      </c>
      <c r="K4264" s="2" t="s">
        <v>16682</v>
      </c>
      <c r="L4264" s="2" t="s">
        <v>17077</v>
      </c>
      <c r="M4264" s="2" t="s">
        <v>409</v>
      </c>
      <c r="N4264" s="2" t="s">
        <v>462</v>
      </c>
      <c r="O4264" s="3"/>
      <c r="P4264" s="2" t="s">
        <v>73</v>
      </c>
      <c r="Q4264" s="3">
        <v>650.0</v>
      </c>
      <c r="R4264" s="3">
        <v>0.5</v>
      </c>
      <c r="T4264" s="2" t="s">
        <v>15010</v>
      </c>
      <c r="U4264" s="171">
        <v>1848.0</v>
      </c>
      <c r="V4264" s="172">
        <v>46119.0</v>
      </c>
      <c r="W4264" s="3">
        <v>309.62999999999994</v>
      </c>
      <c r="X4264" s="172">
        <v>46119.08121185185</v>
      </c>
      <c r="Y4264" s="172">
        <v>46114.060465069444</v>
      </c>
      <c r="Z4264" s="3">
        <v>46114.0</v>
      </c>
      <c r="AA4264" s="2" t="s">
        <v>14032</v>
      </c>
    </row>
    <row r="4265">
      <c r="A4265" s="3">
        <v>6.980521361667E12</v>
      </c>
      <c r="B4265" s="2" t="s">
        <v>17078</v>
      </c>
      <c r="C4265" s="2" t="s">
        <v>11723</v>
      </c>
      <c r="D4265" s="169">
        <v>46114.0</v>
      </c>
      <c r="E4265" s="2">
        <v>3.105555798E9</v>
      </c>
      <c r="F4265" s="2" t="s">
        <v>17079</v>
      </c>
      <c r="G4265" s="2" t="s">
        <v>368</v>
      </c>
      <c r="H4265" s="2">
        <v>3348.0</v>
      </c>
      <c r="I4265" s="2">
        <v>2.4120050023264E13</v>
      </c>
      <c r="J4265" s="3">
        <v>2.0</v>
      </c>
      <c r="K4265" s="2" t="s">
        <v>15531</v>
      </c>
      <c r="L4265" s="2" t="s">
        <v>906</v>
      </c>
      <c r="M4265" s="2" t="s">
        <v>409</v>
      </c>
      <c r="N4265" s="2" t="s">
        <v>462</v>
      </c>
      <c r="O4265" s="3"/>
      <c r="P4265" s="2" t="s">
        <v>73</v>
      </c>
      <c r="Q4265" s="3">
        <v>720.0</v>
      </c>
      <c r="R4265" s="3">
        <v>0.5</v>
      </c>
      <c r="T4265" s="2" t="s">
        <v>15010</v>
      </c>
      <c r="U4265" s="171">
        <v>3348.0</v>
      </c>
      <c r="V4265" s="172">
        <v>46119.0</v>
      </c>
      <c r="W4265" s="3">
        <v>251.77999999999997</v>
      </c>
      <c r="X4265" s="172">
        <v>46119.081211909725</v>
      </c>
      <c r="Y4265" s="172">
        <v>46114.14376944445</v>
      </c>
      <c r="Z4265" s="3">
        <v>46114.0</v>
      </c>
      <c r="AA4265" s="2" t="s">
        <v>14032</v>
      </c>
    </row>
    <row r="4266">
      <c r="A4266" s="3">
        <v>6.980530831619E12</v>
      </c>
      <c r="B4266" s="2" t="s">
        <v>17080</v>
      </c>
      <c r="C4266" s="2" t="s">
        <v>17081</v>
      </c>
      <c r="D4266" s="169">
        <v>46114.0</v>
      </c>
      <c r="E4266" s="2">
        <v>3.066269999E9</v>
      </c>
      <c r="F4266" s="2" t="s">
        <v>17082</v>
      </c>
      <c r="G4266" s="2" t="s">
        <v>855</v>
      </c>
      <c r="H4266" s="2">
        <v>0.0</v>
      </c>
      <c r="I4266" s="2"/>
      <c r="J4266" s="3">
        <v>0.0</v>
      </c>
      <c r="K4266" s="2" t="s">
        <v>17083</v>
      </c>
      <c r="L4266" s="2"/>
      <c r="M4266" s="2" t="s">
        <v>468</v>
      </c>
      <c r="N4266" s="2" t="s">
        <v>406</v>
      </c>
      <c r="O4266" s="3"/>
      <c r="P4266" s="2"/>
      <c r="Q4266" s="3">
        <v>0.0</v>
      </c>
      <c r="R4266" s="3">
        <v>0.5</v>
      </c>
      <c r="U4266" s="141"/>
      <c r="X4266" s="172"/>
      <c r="Y4266" s="172">
        <v>46114.14376944445</v>
      </c>
      <c r="Z4266" s="3">
        <v>46114.0</v>
      </c>
      <c r="AA4266" s="2" t="s">
        <v>14032</v>
      </c>
    </row>
    <row r="4267">
      <c r="A4267" s="3">
        <v>6.980560617731E12</v>
      </c>
      <c r="B4267" s="2" t="s">
        <v>17084</v>
      </c>
      <c r="C4267" s="2" t="s">
        <v>16425</v>
      </c>
      <c r="D4267" s="169">
        <v>46114.0</v>
      </c>
      <c r="E4267" s="173" t="s">
        <v>17085</v>
      </c>
      <c r="F4267" s="2" t="s">
        <v>16426</v>
      </c>
      <c r="G4267" s="2" t="s">
        <v>506</v>
      </c>
      <c r="H4267" s="2">
        <v>3099.0</v>
      </c>
      <c r="I4267" s="2">
        <v>2.7120050023439E13</v>
      </c>
      <c r="J4267" s="3">
        <v>2.0</v>
      </c>
      <c r="K4267" s="2" t="s">
        <v>17086</v>
      </c>
      <c r="L4267" s="2" t="s">
        <v>906</v>
      </c>
      <c r="M4267" s="2" t="s">
        <v>409</v>
      </c>
      <c r="N4267" s="2" t="s">
        <v>462</v>
      </c>
      <c r="O4267" s="3"/>
      <c r="P4267" s="2" t="s">
        <v>73</v>
      </c>
      <c r="Q4267" s="3">
        <v>720.0</v>
      </c>
      <c r="R4267" s="3">
        <v>0.5</v>
      </c>
      <c r="T4267" s="2" t="s">
        <v>15278</v>
      </c>
      <c r="U4267" s="171">
        <v>3099.0</v>
      </c>
      <c r="V4267" s="172">
        <v>46126.0</v>
      </c>
      <c r="W4267" s="3">
        <v>365.82000000000005</v>
      </c>
      <c r="X4267" s="172">
        <v>46125.08102376157</v>
      </c>
      <c r="Y4267" s="172">
        <v>46114.14376944445</v>
      </c>
      <c r="Z4267" s="3">
        <v>46114.0</v>
      </c>
      <c r="AA4267" s="2" t="s">
        <v>14053</v>
      </c>
    </row>
    <row r="4268">
      <c r="A4268" s="3">
        <v>6.981001052419E12</v>
      </c>
      <c r="B4268" s="2" t="s">
        <v>17087</v>
      </c>
      <c r="C4268" s="2" t="s">
        <v>17088</v>
      </c>
      <c r="D4268" s="169">
        <v>46114.0</v>
      </c>
      <c r="E4268" s="2">
        <v>3.046618177E9</v>
      </c>
      <c r="F4268" s="2" t="s">
        <v>17089</v>
      </c>
      <c r="G4268" s="2" t="s">
        <v>368</v>
      </c>
      <c r="H4268" s="2">
        <v>249.0</v>
      </c>
      <c r="I4268" s="2">
        <v>2.8120050023433E13</v>
      </c>
      <c r="J4268" s="3">
        <v>0.0</v>
      </c>
      <c r="K4268" s="2" t="s">
        <v>17090</v>
      </c>
      <c r="L4268" s="2"/>
      <c r="M4268" s="170" t="s">
        <v>455</v>
      </c>
      <c r="N4268" s="2" t="s">
        <v>406</v>
      </c>
      <c r="O4268" s="3"/>
      <c r="P4268" s="2" t="s">
        <v>73</v>
      </c>
      <c r="Q4268" s="3">
        <v>0.0</v>
      </c>
      <c r="R4268" s="3">
        <v>0.5</v>
      </c>
      <c r="U4268" s="141"/>
      <c r="X4268" s="172">
        <v>46130.08116274305</v>
      </c>
      <c r="Y4268" s="172">
        <v>46114.26877728009</v>
      </c>
      <c r="Z4268" s="3">
        <v>46114.0</v>
      </c>
      <c r="AA4268" s="2" t="s">
        <v>14032</v>
      </c>
    </row>
    <row r="4269">
      <c r="A4269" s="3">
        <v>6.981067866371E12</v>
      </c>
      <c r="B4269" s="2" t="s">
        <v>17091</v>
      </c>
      <c r="C4269" s="2" t="s">
        <v>17092</v>
      </c>
      <c r="D4269" s="169">
        <v>46114.0</v>
      </c>
      <c r="E4269" s="2">
        <v>3.004577317E9</v>
      </c>
      <c r="F4269" s="2" t="s">
        <v>17093</v>
      </c>
      <c r="G4269" s="2" t="s">
        <v>368</v>
      </c>
      <c r="H4269" s="2">
        <v>2649.0</v>
      </c>
      <c r="I4269" s="2">
        <v>2.6120050023262E13</v>
      </c>
      <c r="J4269" s="3">
        <v>1.0</v>
      </c>
      <c r="K4269" s="2" t="s">
        <v>17094</v>
      </c>
      <c r="L4269" s="2" t="s">
        <v>17095</v>
      </c>
      <c r="M4269" s="2" t="s">
        <v>409</v>
      </c>
      <c r="N4269" s="2" t="s">
        <v>462</v>
      </c>
      <c r="O4269" s="3"/>
      <c r="P4269" s="2" t="s">
        <v>73</v>
      </c>
      <c r="Q4269" s="3">
        <v>1100.0</v>
      </c>
      <c r="R4269" s="3">
        <v>0.5</v>
      </c>
      <c r="T4269" s="2" t="s">
        <v>15010</v>
      </c>
      <c r="U4269" s="171">
        <v>2649.0</v>
      </c>
      <c r="V4269" s="172">
        <v>46119.0</v>
      </c>
      <c r="W4269" s="3">
        <v>223.82</v>
      </c>
      <c r="X4269" s="172">
        <v>46116.54120743056</v>
      </c>
      <c r="Y4269" s="172">
        <v>46114.26877728009</v>
      </c>
      <c r="Z4269" s="3">
        <v>46114.0</v>
      </c>
      <c r="AA4269" s="2" t="s">
        <v>14536</v>
      </c>
    </row>
    <row r="4270">
      <c r="A4270" s="3">
        <v>6.981129765123E12</v>
      </c>
      <c r="B4270" s="2" t="s">
        <v>17096</v>
      </c>
      <c r="C4270" s="2" t="s">
        <v>14949</v>
      </c>
      <c r="D4270" s="169">
        <v>46114.0</v>
      </c>
      <c r="E4270" s="2">
        <v>3.080311761E9</v>
      </c>
      <c r="F4270" s="2" t="s">
        <v>14950</v>
      </c>
      <c r="G4270" s="2" t="s">
        <v>493</v>
      </c>
      <c r="H4270" s="2">
        <v>0.0</v>
      </c>
      <c r="I4270" s="2"/>
      <c r="J4270" s="3">
        <v>0.0</v>
      </c>
      <c r="K4270" s="2" t="s">
        <v>17097</v>
      </c>
      <c r="L4270" s="2"/>
      <c r="M4270" s="2" t="s">
        <v>468</v>
      </c>
      <c r="N4270" s="2" t="s">
        <v>406</v>
      </c>
      <c r="O4270" s="3"/>
      <c r="P4270" s="2"/>
      <c r="Q4270" s="3">
        <v>0.0</v>
      </c>
      <c r="R4270" s="3">
        <v>0.5</v>
      </c>
      <c r="U4270" s="141"/>
      <c r="X4270" s="172"/>
      <c r="Y4270" s="172">
        <v>46114.31045197917</v>
      </c>
      <c r="Z4270" s="3">
        <v>46114.0</v>
      </c>
      <c r="AA4270" s="2" t="s">
        <v>14032</v>
      </c>
    </row>
    <row r="4271">
      <c r="A4271" s="3">
        <v>6.981188976899E12</v>
      </c>
      <c r="B4271" s="2" t="s">
        <v>17098</v>
      </c>
      <c r="C4271" s="2" t="s">
        <v>258</v>
      </c>
      <c r="D4271" s="169">
        <v>46114.0</v>
      </c>
      <c r="E4271" s="2">
        <v>3.21400499E9</v>
      </c>
      <c r="F4271" s="2" t="s">
        <v>17099</v>
      </c>
      <c r="G4271" s="2" t="s">
        <v>368</v>
      </c>
      <c r="H4271" s="2">
        <v>3348.0</v>
      </c>
      <c r="I4271" s="2">
        <v>2.4120050023261E13</v>
      </c>
      <c r="J4271" s="3">
        <v>2.0</v>
      </c>
      <c r="K4271" s="2" t="s">
        <v>259</v>
      </c>
      <c r="L4271" s="2" t="s">
        <v>27</v>
      </c>
      <c r="M4271" s="2" t="s">
        <v>14076</v>
      </c>
      <c r="N4271" s="2" t="s">
        <v>406</v>
      </c>
      <c r="O4271" s="3"/>
      <c r="P4271" s="2" t="s">
        <v>73</v>
      </c>
      <c r="Q4271" s="3">
        <v>720.0</v>
      </c>
      <c r="R4271" s="3">
        <v>0.5</v>
      </c>
      <c r="U4271" s="141"/>
      <c r="X4271" s="172">
        <v>46122.081121828705</v>
      </c>
      <c r="Y4271" s="172">
        <v>46114.352141875</v>
      </c>
      <c r="Z4271" s="3">
        <v>46114.0</v>
      </c>
      <c r="AA4271" s="2" t="s">
        <v>14032</v>
      </c>
    </row>
    <row r="4272">
      <c r="A4272" s="3">
        <v>6.981232623875E12</v>
      </c>
      <c r="B4272" s="2" t="s">
        <v>17100</v>
      </c>
      <c r="C4272" s="2" t="s">
        <v>260</v>
      </c>
      <c r="D4272" s="169">
        <v>46114.0</v>
      </c>
      <c r="E4272" s="2">
        <v>3.184594753E9</v>
      </c>
      <c r="F4272" s="2" t="s">
        <v>17101</v>
      </c>
      <c r="G4272" s="2" t="s">
        <v>678</v>
      </c>
      <c r="H4272" s="2">
        <v>3348.0</v>
      </c>
      <c r="I4272" s="2">
        <v>2.412005002326E13</v>
      </c>
      <c r="J4272" s="3">
        <v>2.0</v>
      </c>
      <c r="K4272" s="2"/>
      <c r="L4272" s="2" t="s">
        <v>27</v>
      </c>
      <c r="M4272" s="2" t="s">
        <v>14076</v>
      </c>
      <c r="N4272" s="2" t="s">
        <v>406</v>
      </c>
      <c r="O4272" s="3"/>
      <c r="P4272" s="2" t="s">
        <v>73</v>
      </c>
      <c r="Q4272" s="3">
        <v>720.0</v>
      </c>
      <c r="R4272" s="3">
        <v>0.5</v>
      </c>
      <c r="U4272" s="141"/>
      <c r="X4272" s="172">
        <v>46122.08112184028</v>
      </c>
      <c r="Y4272" s="172">
        <v>46114.393791180555</v>
      </c>
      <c r="Z4272" s="3">
        <v>46114.0</v>
      </c>
      <c r="AA4272" s="2" t="s">
        <v>14022</v>
      </c>
    </row>
    <row r="4273">
      <c r="A4273" s="3">
        <v>6.981324374275E12</v>
      </c>
      <c r="B4273" s="2" t="s">
        <v>17102</v>
      </c>
      <c r="C4273" s="2" t="s">
        <v>1141</v>
      </c>
      <c r="D4273" s="169">
        <v>46114.0</v>
      </c>
      <c r="E4273" s="2">
        <v>3.23805804E9</v>
      </c>
      <c r="F4273" s="2" t="s">
        <v>17103</v>
      </c>
      <c r="G4273" s="2" t="s">
        <v>1637</v>
      </c>
      <c r="H4273" s="2">
        <v>0.0</v>
      </c>
      <c r="I4273" s="2"/>
      <c r="J4273" s="3">
        <v>0.0</v>
      </c>
      <c r="K4273" s="2" t="s">
        <v>17104</v>
      </c>
      <c r="L4273" s="2"/>
      <c r="M4273" s="2" t="s">
        <v>468</v>
      </c>
      <c r="N4273" s="2" t="s">
        <v>406</v>
      </c>
      <c r="O4273" s="3"/>
      <c r="P4273" s="2"/>
      <c r="Q4273" s="3">
        <v>0.0</v>
      </c>
      <c r="R4273" s="3">
        <v>0.5</v>
      </c>
      <c r="U4273" s="141"/>
      <c r="X4273" s="172"/>
      <c r="Y4273" s="172">
        <v>46114.51964774306</v>
      </c>
      <c r="Z4273" s="3">
        <v>46114.0</v>
      </c>
      <c r="AA4273" s="2" t="s">
        <v>14053</v>
      </c>
    </row>
    <row r="4274">
      <c r="A4274" s="3">
        <v>6.981372084483E12</v>
      </c>
      <c r="B4274" s="2" t="s">
        <v>17105</v>
      </c>
      <c r="C4274" s="2" t="s">
        <v>17106</v>
      </c>
      <c r="D4274" s="169">
        <v>46114.0</v>
      </c>
      <c r="E4274" s="173" t="s">
        <v>17107</v>
      </c>
      <c r="F4274" s="2" t="s">
        <v>17108</v>
      </c>
      <c r="G4274" s="2" t="s">
        <v>366</v>
      </c>
      <c r="H4274" s="2">
        <v>3348.0</v>
      </c>
      <c r="I4274" s="2">
        <v>2.4120050023259E13</v>
      </c>
      <c r="J4274" s="3">
        <v>2.0</v>
      </c>
      <c r="K4274" s="2" t="s">
        <v>15531</v>
      </c>
      <c r="L4274" s="2" t="s">
        <v>1116</v>
      </c>
      <c r="M4274" s="2" t="s">
        <v>409</v>
      </c>
      <c r="N4274" s="2" t="s">
        <v>462</v>
      </c>
      <c r="O4274" s="3"/>
      <c r="P4274" s="2" t="s">
        <v>73</v>
      </c>
      <c r="Q4274" s="3">
        <v>800.0</v>
      </c>
      <c r="R4274" s="3">
        <v>0.5</v>
      </c>
      <c r="T4274" s="2" t="s">
        <v>15010</v>
      </c>
      <c r="U4274" s="171">
        <v>3348.0</v>
      </c>
      <c r="V4274" s="172">
        <v>46119.0</v>
      </c>
      <c r="W4274" s="3">
        <v>354.9</v>
      </c>
      <c r="X4274" s="172">
        <v>46118.081231979166</v>
      </c>
      <c r="Y4274" s="172">
        <v>46114.5196477662</v>
      </c>
      <c r="Z4274" s="3">
        <v>46114.0</v>
      </c>
      <c r="AA4274" s="2" t="s">
        <v>14032</v>
      </c>
    </row>
    <row r="4275">
      <c r="A4275" s="3">
        <v>6.981379326211E12</v>
      </c>
      <c r="B4275" s="2" t="s">
        <v>17109</v>
      </c>
      <c r="C4275" s="2" t="s">
        <v>261</v>
      </c>
      <c r="D4275" s="169">
        <v>46114.0</v>
      </c>
      <c r="E4275" s="2">
        <v>3.057316225E9</v>
      </c>
      <c r="F4275" s="2" t="s">
        <v>17110</v>
      </c>
      <c r="G4275" s="2" t="s">
        <v>4900</v>
      </c>
      <c r="H4275" s="2">
        <v>4098.0</v>
      </c>
      <c r="I4275" s="2">
        <v>2.112005002356E13</v>
      </c>
      <c r="J4275" s="3">
        <v>2.0</v>
      </c>
      <c r="K4275" s="2" t="s">
        <v>204</v>
      </c>
      <c r="L4275" s="2" t="s">
        <v>262</v>
      </c>
      <c r="M4275" s="2" t="s">
        <v>14076</v>
      </c>
      <c r="N4275" s="2" t="s">
        <v>406</v>
      </c>
      <c r="O4275" s="3"/>
      <c r="P4275" s="2" t="s">
        <v>73</v>
      </c>
      <c r="Q4275" s="3">
        <v>1375.0</v>
      </c>
      <c r="R4275" s="3">
        <v>0.5</v>
      </c>
      <c r="U4275" s="141"/>
      <c r="X4275" s="172">
        <v>46128.08103700231</v>
      </c>
      <c r="Y4275" s="172">
        <v>46114.5196477662</v>
      </c>
      <c r="Z4275" s="3">
        <v>46114.0</v>
      </c>
      <c r="AA4275" s="2" t="s">
        <v>14032</v>
      </c>
    </row>
    <row r="4276">
      <c r="A4276" s="3">
        <v>6.981385388291E12</v>
      </c>
      <c r="B4276" s="2" t="s">
        <v>17111</v>
      </c>
      <c r="C4276" s="2" t="s">
        <v>17112</v>
      </c>
      <c r="D4276" s="169">
        <v>46114.0</v>
      </c>
      <c r="E4276" s="2">
        <v>3.092332326E9</v>
      </c>
      <c r="F4276" s="2" t="s">
        <v>17113</v>
      </c>
      <c r="G4276" s="2" t="s">
        <v>368</v>
      </c>
      <c r="H4276" s="2">
        <v>249.0</v>
      </c>
      <c r="I4276" s="2">
        <v>2.4120050023257E13</v>
      </c>
      <c r="J4276" s="3">
        <v>0.0</v>
      </c>
      <c r="K4276" s="2" t="s">
        <v>17114</v>
      </c>
      <c r="L4276" s="2"/>
      <c r="M4276" s="170" t="s">
        <v>455</v>
      </c>
      <c r="N4276" s="2" t="s">
        <v>406</v>
      </c>
      <c r="O4276" s="3"/>
      <c r="P4276" s="2" t="s">
        <v>73</v>
      </c>
      <c r="Q4276" s="3">
        <v>0.0</v>
      </c>
      <c r="R4276" s="3">
        <v>0.5</v>
      </c>
      <c r="U4276" s="141"/>
      <c r="W4276" s="3">
        <v>117.86</v>
      </c>
      <c r="X4276" s="172">
        <v>46122.081121863426</v>
      </c>
      <c r="Y4276" s="172">
        <v>46114.5196477662</v>
      </c>
      <c r="Z4276" s="3">
        <v>46114.0</v>
      </c>
      <c r="AA4276" s="2" t="s">
        <v>14032</v>
      </c>
    </row>
    <row r="4277">
      <c r="A4277" s="3">
        <v>6.981398003971E12</v>
      </c>
      <c r="B4277" s="2" t="s">
        <v>17115</v>
      </c>
      <c r="C4277" s="2" t="s">
        <v>17116</v>
      </c>
      <c r="D4277" s="169">
        <v>46114.0</v>
      </c>
      <c r="E4277" s="2">
        <v>3.073662256E9</v>
      </c>
      <c r="F4277" s="2" t="s">
        <v>17117</v>
      </c>
      <c r="G4277" s="2" t="s">
        <v>1466</v>
      </c>
      <c r="H4277" s="2">
        <v>0.0</v>
      </c>
      <c r="I4277" s="2"/>
      <c r="J4277" s="3">
        <v>0.0</v>
      </c>
      <c r="K4277" s="2" t="s">
        <v>17118</v>
      </c>
      <c r="L4277" s="2"/>
      <c r="M4277" s="2" t="s">
        <v>468</v>
      </c>
      <c r="N4277" s="2" t="s">
        <v>406</v>
      </c>
      <c r="O4277" s="3"/>
      <c r="P4277" s="2"/>
      <c r="Q4277" s="3">
        <v>0.0</v>
      </c>
      <c r="R4277" s="3">
        <v>0.5</v>
      </c>
      <c r="U4277" s="141"/>
      <c r="X4277" s="172"/>
      <c r="Y4277" s="172">
        <v>46114.5196477662</v>
      </c>
      <c r="Z4277" s="3">
        <v>46114.0</v>
      </c>
      <c r="AA4277" s="2" t="s">
        <v>14032</v>
      </c>
    </row>
    <row r="4278">
      <c r="A4278" s="3">
        <v>6.981405802755E12</v>
      </c>
      <c r="B4278" s="2" t="s">
        <v>17119</v>
      </c>
      <c r="C4278" s="2" t="s">
        <v>263</v>
      </c>
      <c r="D4278" s="169">
        <v>46114.0</v>
      </c>
      <c r="E4278" s="173" t="s">
        <v>17120</v>
      </c>
      <c r="F4278" s="2" t="s">
        <v>17121</v>
      </c>
      <c r="G4278" s="2" t="s">
        <v>506</v>
      </c>
      <c r="H4278" s="2">
        <v>3348.0</v>
      </c>
      <c r="I4278" s="2">
        <v>2.1120050023256E13</v>
      </c>
      <c r="J4278" s="3">
        <v>2.0</v>
      </c>
      <c r="K4278" s="2" t="s">
        <v>204</v>
      </c>
      <c r="L4278" s="2" t="s">
        <v>50</v>
      </c>
      <c r="M4278" s="2" t="s">
        <v>14076</v>
      </c>
      <c r="N4278" s="2" t="s">
        <v>406</v>
      </c>
      <c r="O4278" s="3"/>
      <c r="P4278" s="2" t="s">
        <v>73</v>
      </c>
      <c r="Q4278" s="3">
        <v>720.0</v>
      </c>
      <c r="R4278" s="3">
        <v>0.5</v>
      </c>
      <c r="U4278" s="141"/>
      <c r="X4278" s="172">
        <v>46122.081121875</v>
      </c>
      <c r="Y4278" s="172">
        <v>46114.56047114583</v>
      </c>
      <c r="Z4278" s="3">
        <v>46114.0</v>
      </c>
      <c r="AA4278" s="2" t="s">
        <v>14103</v>
      </c>
    </row>
    <row r="4279">
      <c r="A4279" s="3">
        <v>6.981410095363E12</v>
      </c>
      <c r="B4279" s="2" t="s">
        <v>17122</v>
      </c>
      <c r="C4279" s="2" t="s">
        <v>17123</v>
      </c>
      <c r="D4279" s="169">
        <v>46114.0</v>
      </c>
      <c r="E4279" s="173" t="s">
        <v>17124</v>
      </c>
      <c r="F4279" s="2" t="s">
        <v>17125</v>
      </c>
      <c r="G4279" s="2" t="s">
        <v>17126</v>
      </c>
      <c r="H4279" s="2">
        <v>0.0</v>
      </c>
      <c r="I4279" s="2"/>
      <c r="J4279" s="3">
        <v>0.0</v>
      </c>
      <c r="K4279" s="2" t="s">
        <v>7545</v>
      </c>
      <c r="L4279" s="2"/>
      <c r="M4279" s="2" t="s">
        <v>468</v>
      </c>
      <c r="N4279" s="2" t="s">
        <v>406</v>
      </c>
      <c r="O4279" s="3"/>
      <c r="P4279" s="2"/>
      <c r="Q4279" s="3">
        <v>0.0</v>
      </c>
      <c r="R4279" s="3">
        <v>0.5</v>
      </c>
      <c r="U4279" s="141"/>
      <c r="X4279" s="172"/>
      <c r="Y4279" s="172">
        <v>46114.56047114583</v>
      </c>
      <c r="Z4279" s="3">
        <v>46114.0</v>
      </c>
      <c r="AA4279" s="2" t="s">
        <v>14103</v>
      </c>
    </row>
    <row r="4280">
      <c r="A4280" s="3">
        <v>6.981440274691E12</v>
      </c>
      <c r="B4280" s="2" t="s">
        <v>17127</v>
      </c>
      <c r="C4280" s="2" t="s">
        <v>17128</v>
      </c>
      <c r="D4280" s="169">
        <v>46114.0</v>
      </c>
      <c r="E4280" s="2">
        <v>3.023943537E9</v>
      </c>
      <c r="F4280" s="2" t="s">
        <v>17129</v>
      </c>
      <c r="G4280" s="2">
        <v>368.0</v>
      </c>
      <c r="H4280" s="2">
        <v>3099.0</v>
      </c>
      <c r="I4280" s="2">
        <v>2.6120050023302E13</v>
      </c>
      <c r="J4280" s="3">
        <v>2.0</v>
      </c>
      <c r="K4280" s="2" t="s">
        <v>17130</v>
      </c>
      <c r="L4280" s="2" t="s">
        <v>35</v>
      </c>
      <c r="M4280" s="2" t="s">
        <v>409</v>
      </c>
      <c r="N4280" s="2" t="s">
        <v>462</v>
      </c>
      <c r="O4280" s="3"/>
      <c r="P4280" s="2" t="s">
        <v>73</v>
      </c>
      <c r="Q4280" s="3">
        <v>980.0</v>
      </c>
      <c r="R4280" s="3">
        <v>0.5</v>
      </c>
      <c r="T4280" s="2" t="s">
        <v>15356</v>
      </c>
      <c r="U4280" s="171">
        <v>3099.0</v>
      </c>
      <c r="V4280" s="172">
        <v>46122.0</v>
      </c>
      <c r="W4280" s="3">
        <v>374.40000000000003</v>
      </c>
      <c r="X4280" s="172">
        <v>46120.08111861111</v>
      </c>
      <c r="Y4280" s="172">
        <v>46114.602124745375</v>
      </c>
      <c r="Z4280" s="3">
        <v>46114.0</v>
      </c>
      <c r="AA4280" s="2" t="s">
        <v>14041</v>
      </c>
    </row>
    <row r="4281">
      <c r="A4281" s="3">
        <v>6.981446172931E12</v>
      </c>
      <c r="B4281" s="2" t="s">
        <v>17131</v>
      </c>
      <c r="C4281" s="2" t="s">
        <v>264</v>
      </c>
      <c r="D4281" s="169">
        <v>46114.0</v>
      </c>
      <c r="E4281" s="2">
        <v>3.335366699E9</v>
      </c>
      <c r="F4281" s="2" t="s">
        <v>17132</v>
      </c>
      <c r="G4281" s="2" t="s">
        <v>506</v>
      </c>
      <c r="H4281" s="2">
        <v>2199.0</v>
      </c>
      <c r="I4281" s="2">
        <v>2.3120050023255E13</v>
      </c>
      <c r="J4281" s="3">
        <v>1.0</v>
      </c>
      <c r="K4281" s="2" t="s">
        <v>204</v>
      </c>
      <c r="L4281" s="2" t="s">
        <v>220</v>
      </c>
      <c r="M4281" s="2" t="s">
        <v>14076</v>
      </c>
      <c r="N4281" s="2" t="s">
        <v>406</v>
      </c>
      <c r="O4281" s="3"/>
      <c r="P4281" s="2" t="s">
        <v>73</v>
      </c>
      <c r="Q4281" s="3">
        <v>360.0</v>
      </c>
      <c r="R4281" s="3">
        <v>0.5</v>
      </c>
      <c r="U4281" s="141"/>
      <c r="X4281" s="172">
        <v>46122.08112188657</v>
      </c>
      <c r="Y4281" s="172">
        <v>46114.602124745375</v>
      </c>
      <c r="Z4281" s="3">
        <v>46114.0</v>
      </c>
      <c r="AA4281" s="2" t="s">
        <v>14053</v>
      </c>
    </row>
    <row r="4282">
      <c r="A4282" s="3">
        <v>6.981517213955E12</v>
      </c>
      <c r="B4282" s="2" t="s">
        <v>169</v>
      </c>
      <c r="C4282" s="2" t="s">
        <v>17133</v>
      </c>
      <c r="D4282" s="169">
        <v>46114.0</v>
      </c>
      <c r="E4282" s="2">
        <v>3.485538947E9</v>
      </c>
      <c r="F4282" s="2" t="s">
        <v>17134</v>
      </c>
      <c r="G4282" s="2" t="s">
        <v>2966</v>
      </c>
      <c r="H4282" s="2">
        <v>249.0</v>
      </c>
      <c r="I4282" s="2">
        <v>2.1120050023254E13</v>
      </c>
      <c r="J4282" s="3">
        <v>0.0</v>
      </c>
      <c r="K4282" s="2" t="s">
        <v>17135</v>
      </c>
      <c r="L4282" s="2"/>
      <c r="M4282" s="170" t="s">
        <v>455</v>
      </c>
      <c r="N4282" s="2" t="s">
        <v>406</v>
      </c>
      <c r="O4282" s="3"/>
      <c r="P4282" s="2" t="s">
        <v>73</v>
      </c>
      <c r="Q4282" s="3">
        <v>0.0</v>
      </c>
      <c r="R4282" s="3">
        <v>0.5</v>
      </c>
      <c r="U4282" s="141"/>
      <c r="W4282" s="3">
        <v>266.05</v>
      </c>
      <c r="X4282" s="172">
        <v>46129.08103364584</v>
      </c>
      <c r="Y4282" s="172">
        <v>46114.68541851852</v>
      </c>
      <c r="Z4282" s="3">
        <v>46114.0</v>
      </c>
      <c r="AA4282" s="2" t="s">
        <v>14103</v>
      </c>
    </row>
    <row r="4283">
      <c r="A4283" s="3">
        <v>6.981518885123E12</v>
      </c>
      <c r="B4283" s="2" t="s">
        <v>17136</v>
      </c>
      <c r="C4283" s="2" t="s">
        <v>17137</v>
      </c>
      <c r="D4283" s="169">
        <v>46114.0</v>
      </c>
      <c r="E4283" s="2">
        <v>9.23076447938E11</v>
      </c>
      <c r="F4283" s="2" t="s">
        <v>17138</v>
      </c>
      <c r="G4283" s="2" t="s">
        <v>855</v>
      </c>
      <c r="H4283" s="2">
        <v>249.0</v>
      </c>
      <c r="I4283" s="2">
        <v>2.5120050023253E13</v>
      </c>
      <c r="J4283" s="3">
        <v>0.0</v>
      </c>
      <c r="K4283" s="2" t="s">
        <v>17139</v>
      </c>
      <c r="L4283" s="2"/>
      <c r="M4283" s="170" t="s">
        <v>455</v>
      </c>
      <c r="N4283" s="2" t="s">
        <v>406</v>
      </c>
      <c r="O4283" s="3"/>
      <c r="P4283" s="2" t="s">
        <v>73</v>
      </c>
      <c r="Q4283" s="3">
        <v>0.0</v>
      </c>
      <c r="R4283" s="3">
        <v>0.5</v>
      </c>
      <c r="U4283" s="141"/>
      <c r="W4283" s="3">
        <v>243.08</v>
      </c>
      <c r="X4283" s="172">
        <v>46122.08112192129</v>
      </c>
      <c r="Y4283" s="172">
        <v>46114.68541851852</v>
      </c>
      <c r="Z4283" s="3">
        <v>46114.0</v>
      </c>
      <c r="AA4283" s="2" t="s">
        <v>14041</v>
      </c>
    </row>
    <row r="4284">
      <c r="A4284" s="3">
        <v>6.981546934531E12</v>
      </c>
      <c r="B4284" s="2" t="s">
        <v>17140</v>
      </c>
      <c r="C4284" s="2" t="s">
        <v>17141</v>
      </c>
      <c r="D4284" s="169">
        <v>46114.0</v>
      </c>
      <c r="E4284" s="2">
        <v>3.419493698E9</v>
      </c>
      <c r="F4284" s="2" t="s">
        <v>17142</v>
      </c>
      <c r="G4284" s="2" t="s">
        <v>17143</v>
      </c>
      <c r="H4284" s="2">
        <v>0.0</v>
      </c>
      <c r="I4284" s="2" t="s">
        <v>17144</v>
      </c>
      <c r="J4284" s="3">
        <v>0.0</v>
      </c>
      <c r="K4284" s="2" t="s">
        <v>17145</v>
      </c>
      <c r="L4284" s="2"/>
      <c r="M4284" s="170" t="s">
        <v>455</v>
      </c>
      <c r="N4284" s="2" t="s">
        <v>406</v>
      </c>
      <c r="O4284" s="3"/>
      <c r="P4284" s="2" t="s">
        <v>640</v>
      </c>
      <c r="Q4284" s="3">
        <v>0.0</v>
      </c>
      <c r="R4284" s="3">
        <v>0.5</v>
      </c>
      <c r="U4284" s="141"/>
      <c r="X4284" s="172">
        <v>46130.08269497685</v>
      </c>
      <c r="Y4284" s="172">
        <v>46114.68541851852</v>
      </c>
      <c r="Z4284" s="3">
        <v>46114.0</v>
      </c>
      <c r="AA4284" s="2" t="s">
        <v>14032</v>
      </c>
    </row>
    <row r="4285">
      <c r="A4285" s="3">
        <v>6.981550375171E12</v>
      </c>
      <c r="B4285" s="2" t="s">
        <v>17146</v>
      </c>
      <c r="C4285" s="2" t="s">
        <v>9363</v>
      </c>
      <c r="D4285" s="169">
        <v>46114.0</v>
      </c>
      <c r="E4285" s="173" t="s">
        <v>9364</v>
      </c>
      <c r="F4285" s="2" t="s">
        <v>9365</v>
      </c>
      <c r="G4285" s="2" t="s">
        <v>1619</v>
      </c>
      <c r="H4285" s="2">
        <v>97555.0</v>
      </c>
      <c r="I4285" s="2"/>
      <c r="J4285" s="3">
        <v>38.0</v>
      </c>
      <c r="K4285" s="2"/>
      <c r="L4285" s="2" t="s">
        <v>17147</v>
      </c>
      <c r="M4285" s="2" t="s">
        <v>406</v>
      </c>
      <c r="N4285" s="2" t="s">
        <v>406</v>
      </c>
      <c r="O4285" s="3"/>
      <c r="P4285" s="2"/>
      <c r="Q4285" s="3">
        <v>96070.0</v>
      </c>
      <c r="R4285" s="3">
        <v>0.5</v>
      </c>
      <c r="U4285" s="141"/>
      <c r="X4285" s="172"/>
      <c r="Y4285" s="172">
        <v>46114.68541851852</v>
      </c>
      <c r="Z4285" s="3">
        <v>46114.0</v>
      </c>
      <c r="AA4285" s="2" t="s">
        <v>14026</v>
      </c>
    </row>
    <row r="4286">
      <c r="A4286" s="3">
        <v>6.981578195203E12</v>
      </c>
      <c r="B4286" s="2" t="s">
        <v>17148</v>
      </c>
      <c r="C4286" s="2" t="s">
        <v>17149</v>
      </c>
      <c r="D4286" s="169">
        <v>46114.0</v>
      </c>
      <c r="E4286" s="2">
        <v>3.214010112E9</v>
      </c>
      <c r="F4286" s="2" t="s">
        <v>17150</v>
      </c>
      <c r="G4286" s="2" t="s">
        <v>368</v>
      </c>
      <c r="H4286" s="2">
        <v>3099.0</v>
      </c>
      <c r="I4286" s="2">
        <v>2.4120050023252E13</v>
      </c>
      <c r="J4286" s="3">
        <v>2.0</v>
      </c>
      <c r="K4286" s="2" t="s">
        <v>17151</v>
      </c>
      <c r="L4286" s="2" t="s">
        <v>926</v>
      </c>
      <c r="M4286" s="2" t="s">
        <v>409</v>
      </c>
      <c r="N4286" s="2" t="s">
        <v>462</v>
      </c>
      <c r="O4286" s="3"/>
      <c r="P4286" s="2" t="s">
        <v>73</v>
      </c>
      <c r="Q4286" s="3">
        <v>980.0</v>
      </c>
      <c r="R4286" s="3">
        <v>0.5</v>
      </c>
      <c r="T4286" s="2" t="s">
        <v>15356</v>
      </c>
      <c r="U4286" s="171">
        <v>3099.0</v>
      </c>
      <c r="V4286" s="172">
        <v>46122.0</v>
      </c>
      <c r="W4286" s="3">
        <v>256.55</v>
      </c>
      <c r="X4286" s="172">
        <v>46120.08111865741</v>
      </c>
      <c r="Y4286" s="172">
        <v>46114.72709357639</v>
      </c>
      <c r="Z4286" s="3">
        <v>46114.0</v>
      </c>
      <c r="AA4286" s="2" t="s">
        <v>14041</v>
      </c>
    </row>
    <row r="4287">
      <c r="A4287" s="3">
        <v>6.981603164419E12</v>
      </c>
      <c r="B4287" s="2" t="s">
        <v>17152</v>
      </c>
      <c r="C4287" s="2" t="s">
        <v>17153</v>
      </c>
      <c r="D4287" s="169">
        <v>46114.0</v>
      </c>
      <c r="E4287" s="2">
        <v>3.008498393E9</v>
      </c>
      <c r="F4287" s="2" t="s">
        <v>17154</v>
      </c>
      <c r="G4287" s="2" t="s">
        <v>17155</v>
      </c>
      <c r="H4287" s="2">
        <v>3348.0</v>
      </c>
      <c r="I4287" s="2">
        <v>2.8120050023432E13</v>
      </c>
      <c r="J4287" s="3">
        <v>2.0</v>
      </c>
      <c r="K4287" s="2" t="s">
        <v>17156</v>
      </c>
      <c r="L4287" s="2" t="s">
        <v>228</v>
      </c>
      <c r="M4287" s="2" t="s">
        <v>409</v>
      </c>
      <c r="N4287" s="2" t="s">
        <v>462</v>
      </c>
      <c r="O4287" s="3"/>
      <c r="P4287" s="2" t="s">
        <v>73</v>
      </c>
      <c r="Q4287" s="3">
        <v>720.0</v>
      </c>
      <c r="R4287" s="3">
        <v>0.5</v>
      </c>
      <c r="T4287" s="2" t="s">
        <v>15278</v>
      </c>
      <c r="U4287" s="171">
        <v>3348.0</v>
      </c>
      <c r="V4287" s="172">
        <v>46126.0</v>
      </c>
      <c r="W4287" s="3">
        <v>262.90999999999997</v>
      </c>
      <c r="X4287" s="172">
        <v>46124.08155675926</v>
      </c>
      <c r="Y4287" s="172">
        <v>46114.72709357639</v>
      </c>
      <c r="Z4287" s="3">
        <v>46114.0</v>
      </c>
      <c r="AA4287" s="2" t="s">
        <v>14032</v>
      </c>
    </row>
    <row r="4288">
      <c r="A4288" s="3">
        <v>6.981660377347E12</v>
      </c>
      <c r="B4288" s="2" t="s">
        <v>17157</v>
      </c>
      <c r="C4288" s="2" t="s">
        <v>17158</v>
      </c>
      <c r="D4288" s="169">
        <v>46114.0</v>
      </c>
      <c r="E4288" s="2">
        <v>3.450517141E9</v>
      </c>
      <c r="F4288" s="2" t="s">
        <v>17159</v>
      </c>
      <c r="G4288" s="2" t="s">
        <v>493</v>
      </c>
      <c r="H4288" s="2">
        <v>0.0</v>
      </c>
      <c r="I4288" s="2"/>
      <c r="J4288" s="3">
        <v>0.0</v>
      </c>
      <c r="K4288" s="2" t="s">
        <v>17160</v>
      </c>
      <c r="L4288" s="2"/>
      <c r="M4288" s="2" t="s">
        <v>468</v>
      </c>
      <c r="N4288" s="2" t="s">
        <v>406</v>
      </c>
      <c r="O4288" s="3"/>
      <c r="P4288" s="2"/>
      <c r="Q4288" s="3">
        <v>0.0</v>
      </c>
      <c r="R4288" s="3">
        <v>0.5</v>
      </c>
      <c r="U4288" s="141"/>
      <c r="X4288" s="172"/>
      <c r="Y4288" s="172">
        <v>46114.76876608796</v>
      </c>
      <c r="Z4288" s="3">
        <v>46114.0</v>
      </c>
      <c r="AA4288" s="2" t="s">
        <v>14103</v>
      </c>
    </row>
    <row r="4289">
      <c r="A4289" s="3">
        <v>6.981703368963E12</v>
      </c>
      <c r="B4289" s="2" t="s">
        <v>17161</v>
      </c>
      <c r="C4289" s="2" t="s">
        <v>265</v>
      </c>
      <c r="D4289" s="169">
        <v>46114.0</v>
      </c>
      <c r="E4289" s="2">
        <v>3.345896509E9</v>
      </c>
      <c r="F4289" s="2" t="s">
        <v>17162</v>
      </c>
      <c r="G4289" s="2" t="s">
        <v>366</v>
      </c>
      <c r="H4289" s="2">
        <v>3348.0</v>
      </c>
      <c r="I4289" s="2">
        <v>2.8120050023299E13</v>
      </c>
      <c r="J4289" s="3">
        <v>2.0</v>
      </c>
      <c r="K4289" s="2" t="s">
        <v>204</v>
      </c>
      <c r="L4289" s="2" t="s">
        <v>27</v>
      </c>
      <c r="M4289" s="2" t="s">
        <v>14076</v>
      </c>
      <c r="N4289" s="2" t="s">
        <v>406</v>
      </c>
      <c r="O4289" s="3"/>
      <c r="P4289" s="2" t="s">
        <v>73</v>
      </c>
      <c r="Q4289" s="3">
        <v>720.0</v>
      </c>
      <c r="R4289" s="3">
        <v>0.5</v>
      </c>
      <c r="U4289" s="141"/>
      <c r="X4289" s="172">
        <v>46122.081121979165</v>
      </c>
      <c r="Y4289" s="172">
        <v>46114.810476203704</v>
      </c>
      <c r="Z4289" s="3">
        <v>46114.0</v>
      </c>
      <c r="AA4289" s="2" t="s">
        <v>14032</v>
      </c>
    </row>
    <row r="4290">
      <c r="A4290" s="3">
        <v>6.981792006403E12</v>
      </c>
      <c r="B4290" s="2" t="s">
        <v>17163</v>
      </c>
      <c r="C4290" s="2" t="s">
        <v>266</v>
      </c>
      <c r="D4290" s="169">
        <v>46114.0</v>
      </c>
      <c r="E4290" s="2">
        <v>3.142163962E9</v>
      </c>
      <c r="F4290" s="2" t="s">
        <v>17164</v>
      </c>
      <c r="G4290" s="2" t="s">
        <v>493</v>
      </c>
      <c r="H4290" s="2">
        <v>2199.0</v>
      </c>
      <c r="I4290" s="2">
        <v>2.912005002325E13</v>
      </c>
      <c r="J4290" s="3">
        <v>1.0</v>
      </c>
      <c r="K4290" s="2" t="s">
        <v>204</v>
      </c>
      <c r="L4290" s="2" t="s">
        <v>220</v>
      </c>
      <c r="M4290" s="2" t="s">
        <v>14076</v>
      </c>
      <c r="N4290" s="2" t="s">
        <v>406</v>
      </c>
      <c r="O4290" s="3"/>
      <c r="P4290" s="2" t="s">
        <v>73</v>
      </c>
      <c r="Q4290" s="3">
        <v>360.0</v>
      </c>
      <c r="R4290" s="3">
        <v>0.5</v>
      </c>
      <c r="U4290" s="141"/>
      <c r="X4290" s="172">
        <v>46122.08112199074</v>
      </c>
      <c r="Y4290" s="172">
        <v>46114.85209490741</v>
      </c>
      <c r="Z4290" s="3">
        <v>46114.0</v>
      </c>
      <c r="AA4290" s="2" t="s">
        <v>14032</v>
      </c>
    </row>
    <row r="4291">
      <c r="A4291" s="3">
        <v>6.981867536643E12</v>
      </c>
      <c r="B4291" s="2" t="s">
        <v>17165</v>
      </c>
      <c r="C4291" s="2" t="s">
        <v>17166</v>
      </c>
      <c r="D4291" s="169">
        <v>46114.0</v>
      </c>
      <c r="E4291" s="2">
        <v>3.325500422E9</v>
      </c>
      <c r="F4291" s="2" t="s">
        <v>17167</v>
      </c>
      <c r="G4291" s="2" t="s">
        <v>493</v>
      </c>
      <c r="H4291" s="2">
        <v>3348.0</v>
      </c>
      <c r="I4291" s="2">
        <v>2.7120050023249E13</v>
      </c>
      <c r="J4291" s="3">
        <v>2.0</v>
      </c>
      <c r="K4291" s="2" t="s">
        <v>15355</v>
      </c>
      <c r="L4291" s="2" t="s">
        <v>2906</v>
      </c>
      <c r="M4291" s="2" t="s">
        <v>409</v>
      </c>
      <c r="N4291" s="2" t="s">
        <v>462</v>
      </c>
      <c r="O4291" s="3"/>
      <c r="P4291" s="2" t="s">
        <v>73</v>
      </c>
      <c r="Q4291" s="3">
        <v>800.0</v>
      </c>
      <c r="R4291" s="3">
        <v>0.5</v>
      </c>
      <c r="T4291" s="2" t="s">
        <v>15356</v>
      </c>
      <c r="U4291" s="171">
        <v>3348.0</v>
      </c>
      <c r="V4291" s="172">
        <v>46122.0</v>
      </c>
      <c r="W4291" s="3">
        <v>369.62999999999994</v>
      </c>
      <c r="X4291" s="172">
        <v>46120.08116524306</v>
      </c>
      <c r="Y4291" s="172">
        <v>46114.89380991898</v>
      </c>
      <c r="Z4291" s="3">
        <v>46114.0</v>
      </c>
      <c r="AA4291" s="2" t="s">
        <v>14032</v>
      </c>
    </row>
    <row r="4292">
      <c r="A4292" s="3">
        <v>6.981945819395E12</v>
      </c>
      <c r="B4292" s="2" t="s">
        <v>17168</v>
      </c>
      <c r="C4292" s="2" t="s">
        <v>17169</v>
      </c>
      <c r="D4292" s="169">
        <v>46114.0</v>
      </c>
      <c r="E4292" s="2">
        <v>3.445547375E9</v>
      </c>
      <c r="F4292" s="2" t="s">
        <v>17170</v>
      </c>
      <c r="G4292" s="2" t="s">
        <v>17171</v>
      </c>
      <c r="H4292" s="2">
        <v>2649.0</v>
      </c>
      <c r="I4292" s="2">
        <v>2.5120050023298E13</v>
      </c>
      <c r="J4292" s="3">
        <v>1.0</v>
      </c>
      <c r="K4292" s="2" t="s">
        <v>17172</v>
      </c>
      <c r="L4292" s="2" t="s">
        <v>17173</v>
      </c>
      <c r="M4292" s="2" t="s">
        <v>409</v>
      </c>
      <c r="N4292" s="2" t="s">
        <v>462</v>
      </c>
      <c r="O4292" s="3"/>
      <c r="P4292" s="2" t="s">
        <v>73</v>
      </c>
      <c r="Q4292" s="3">
        <v>1100.0</v>
      </c>
      <c r="R4292" s="3">
        <v>0.5</v>
      </c>
      <c r="T4292" s="2" t="s">
        <v>15010</v>
      </c>
      <c r="U4292" s="171">
        <v>2649.0</v>
      </c>
      <c r="V4292" s="172">
        <v>46119.0</v>
      </c>
      <c r="W4292" s="3">
        <v>341.67</v>
      </c>
      <c r="X4292" s="172">
        <v>46119.08121246527</v>
      </c>
      <c r="Y4292" s="172">
        <v>46114.93541792824</v>
      </c>
      <c r="Z4292" s="3">
        <v>46114.0</v>
      </c>
      <c r="AA4292" s="2" t="s">
        <v>14041</v>
      </c>
    </row>
    <row r="4293">
      <c r="A4293" s="3">
        <v>6.982208618755E12</v>
      </c>
      <c r="B4293" s="2" t="s">
        <v>17174</v>
      </c>
      <c r="C4293" s="2" t="s">
        <v>267</v>
      </c>
      <c r="D4293" s="169">
        <v>46115.0</v>
      </c>
      <c r="E4293" s="2">
        <v>3.333063073E9</v>
      </c>
      <c r="F4293" s="2" t="s">
        <v>17175</v>
      </c>
      <c r="G4293" s="2" t="s">
        <v>17176</v>
      </c>
      <c r="H4293" s="2">
        <v>3348.0</v>
      </c>
      <c r="I4293" s="2">
        <v>2.8120050023279E13</v>
      </c>
      <c r="J4293" s="3">
        <v>2.0</v>
      </c>
      <c r="K4293" s="2" t="s">
        <v>241</v>
      </c>
      <c r="L4293" s="2" t="s">
        <v>27</v>
      </c>
      <c r="M4293" s="2" t="s">
        <v>14076</v>
      </c>
      <c r="N4293" s="2" t="s">
        <v>406</v>
      </c>
      <c r="O4293" s="3"/>
      <c r="P4293" s="2" t="s">
        <v>73</v>
      </c>
      <c r="Q4293" s="3">
        <v>720.0</v>
      </c>
      <c r="R4293" s="3">
        <v>0.5</v>
      </c>
      <c r="U4293" s="141"/>
      <c r="X4293" s="172">
        <v>46122.08116739584</v>
      </c>
      <c r="Y4293" s="172">
        <v>46115.06043121528</v>
      </c>
      <c r="Z4293" s="3">
        <v>46115.0</v>
      </c>
      <c r="AA4293" s="2" t="s">
        <v>14032</v>
      </c>
    </row>
    <row r="4294">
      <c r="A4294" s="3">
        <v>6.982286639363E12</v>
      </c>
      <c r="B4294" s="2" t="s">
        <v>17177</v>
      </c>
      <c r="C4294" s="2" t="s">
        <v>17178</v>
      </c>
      <c r="D4294" s="169">
        <v>46115.0</v>
      </c>
      <c r="E4294" s="2">
        <v>3.024900219E9</v>
      </c>
      <c r="F4294" s="2" t="s">
        <v>17179</v>
      </c>
      <c r="G4294" s="2" t="s">
        <v>368</v>
      </c>
      <c r="H4294" s="2">
        <v>0.0</v>
      </c>
      <c r="I4294" s="2"/>
      <c r="J4294" s="3">
        <v>0.0</v>
      </c>
      <c r="K4294" s="2" t="s">
        <v>17180</v>
      </c>
      <c r="L4294" s="2"/>
      <c r="M4294" s="2" t="s">
        <v>468</v>
      </c>
      <c r="N4294" s="2" t="s">
        <v>406</v>
      </c>
      <c r="O4294" s="3"/>
      <c r="P4294" s="2"/>
      <c r="Q4294" s="3">
        <v>0.0</v>
      </c>
      <c r="R4294" s="3">
        <v>0.5</v>
      </c>
      <c r="U4294" s="141"/>
      <c r="X4294" s="172"/>
      <c r="Y4294" s="172">
        <v>46115.10215140047</v>
      </c>
      <c r="Z4294" s="3">
        <v>46115.0</v>
      </c>
      <c r="AA4294" s="2" t="s">
        <v>14032</v>
      </c>
    </row>
    <row r="4295">
      <c r="A4295" s="3">
        <v>6.982305480963E12</v>
      </c>
      <c r="B4295" s="2" t="s">
        <v>17181</v>
      </c>
      <c r="C4295" s="2" t="s">
        <v>20</v>
      </c>
      <c r="D4295" s="169">
        <v>46115.0</v>
      </c>
      <c r="E4295" s="2">
        <v>3.439195889E9</v>
      </c>
      <c r="F4295" s="2" t="s">
        <v>17182</v>
      </c>
      <c r="G4295" s="2" t="s">
        <v>1012</v>
      </c>
      <c r="H4295" s="2">
        <v>3348.0</v>
      </c>
      <c r="I4295" s="2">
        <v>2.6120050023431E13</v>
      </c>
      <c r="J4295" s="3">
        <v>2.0</v>
      </c>
      <c r="K4295" s="2" t="s">
        <v>15277</v>
      </c>
      <c r="L4295" s="2" t="s">
        <v>40</v>
      </c>
      <c r="M4295" s="2" t="s">
        <v>409</v>
      </c>
      <c r="N4295" s="2" t="s">
        <v>462</v>
      </c>
      <c r="O4295" s="3"/>
      <c r="P4295" s="2" t="s">
        <v>73</v>
      </c>
      <c r="Q4295" s="3">
        <v>720.0</v>
      </c>
      <c r="R4295" s="3">
        <v>0.5</v>
      </c>
      <c r="T4295" s="2" t="s">
        <v>15278</v>
      </c>
      <c r="U4295" s="171">
        <v>3348.0</v>
      </c>
      <c r="V4295" s="172">
        <v>46126.0</v>
      </c>
      <c r="W4295" s="3">
        <v>391.9</v>
      </c>
      <c r="X4295" s="172">
        <v>46126.08126172454</v>
      </c>
      <c r="Y4295" s="172">
        <v>46115.10215141204</v>
      </c>
      <c r="Z4295" s="3">
        <v>46115.0</v>
      </c>
      <c r="AA4295" s="2" t="s">
        <v>14103</v>
      </c>
    </row>
    <row r="4296">
      <c r="A4296" s="3">
        <v>6.982430392579E12</v>
      </c>
      <c r="B4296" s="2" t="s">
        <v>17183</v>
      </c>
      <c r="C4296" s="2" t="s">
        <v>3690</v>
      </c>
      <c r="D4296" s="169">
        <v>46115.0</v>
      </c>
      <c r="E4296" s="2">
        <v>3.238605889E9</v>
      </c>
      <c r="F4296" s="2" t="s">
        <v>17184</v>
      </c>
      <c r="G4296" s="2" t="s">
        <v>781</v>
      </c>
      <c r="H4296" s="2">
        <v>0.0</v>
      </c>
      <c r="I4296" s="2"/>
      <c r="J4296" s="3">
        <v>0.0</v>
      </c>
      <c r="K4296" s="2" t="s">
        <v>17185</v>
      </c>
      <c r="L4296" s="2"/>
      <c r="M4296" s="2" t="s">
        <v>468</v>
      </c>
      <c r="N4296" s="2" t="s">
        <v>406</v>
      </c>
      <c r="O4296" s="3"/>
      <c r="P4296" s="2"/>
      <c r="Q4296" s="3">
        <v>0.0</v>
      </c>
      <c r="R4296" s="3">
        <v>0.5</v>
      </c>
      <c r="U4296" s="141"/>
      <c r="X4296" s="172"/>
      <c r="Y4296" s="172">
        <v>46115.18541947917</v>
      </c>
      <c r="Z4296" s="3">
        <v>46115.0</v>
      </c>
      <c r="AA4296" s="2" t="s">
        <v>14022</v>
      </c>
    </row>
    <row r="4297">
      <c r="A4297" s="3">
        <v>6.982541836547E12</v>
      </c>
      <c r="B4297" s="2" t="s">
        <v>17186</v>
      </c>
      <c r="C4297" s="2" t="s">
        <v>268</v>
      </c>
      <c r="D4297" s="169">
        <v>46115.0</v>
      </c>
      <c r="E4297" s="2">
        <v>3.346126178E9</v>
      </c>
      <c r="F4297" s="2" t="s">
        <v>17187</v>
      </c>
      <c r="G4297" s="2" t="s">
        <v>781</v>
      </c>
      <c r="H4297" s="2">
        <v>3348.0</v>
      </c>
      <c r="I4297" s="2">
        <v>2.1120050023247E13</v>
      </c>
      <c r="J4297" s="3">
        <v>2.0</v>
      </c>
      <c r="K4297" s="2" t="s">
        <v>204</v>
      </c>
      <c r="L4297" s="2" t="s">
        <v>27</v>
      </c>
      <c r="M4297" s="2" t="s">
        <v>14076</v>
      </c>
      <c r="N4297" s="2" t="s">
        <v>406</v>
      </c>
      <c r="O4297" s="3"/>
      <c r="P4297" s="2" t="s">
        <v>73</v>
      </c>
      <c r="Q4297" s="3">
        <v>720.0</v>
      </c>
      <c r="R4297" s="3">
        <v>0.5</v>
      </c>
      <c r="U4297" s="141"/>
      <c r="X4297" s="172">
        <v>46122.08116798611</v>
      </c>
      <c r="Y4297" s="172">
        <v>46115.26875633102</v>
      </c>
      <c r="Z4297" s="3">
        <v>46115.0</v>
      </c>
      <c r="AA4297" s="2" t="s">
        <v>14032</v>
      </c>
    </row>
    <row r="4298">
      <c r="A4298" s="3">
        <v>6.982596985091E12</v>
      </c>
      <c r="B4298" s="2" t="s">
        <v>17188</v>
      </c>
      <c r="C4298" s="2" t="s">
        <v>17189</v>
      </c>
      <c r="D4298" s="169">
        <v>46115.0</v>
      </c>
      <c r="E4298" s="2">
        <v>3.4758984E9</v>
      </c>
      <c r="F4298" s="2" t="s">
        <v>17190</v>
      </c>
      <c r="G4298" s="2" t="s">
        <v>366</v>
      </c>
      <c r="H4298" s="2">
        <v>3348.0</v>
      </c>
      <c r="I4298" s="2">
        <v>2.912005002343E13</v>
      </c>
      <c r="J4298" s="3">
        <v>2.0</v>
      </c>
      <c r="K4298" s="2" t="s">
        <v>204</v>
      </c>
      <c r="L4298" s="2" t="s">
        <v>275</v>
      </c>
      <c r="M4298" s="2" t="s">
        <v>17191</v>
      </c>
      <c r="N4298" s="2" t="s">
        <v>406</v>
      </c>
      <c r="O4298" s="3"/>
      <c r="P4298" s="2" t="s">
        <v>73</v>
      </c>
      <c r="Q4298" s="3">
        <v>800.0</v>
      </c>
      <c r="R4298" s="3">
        <v>0.5</v>
      </c>
      <c r="U4298" s="141"/>
      <c r="X4298" s="172">
        <v>46132.08103055556</v>
      </c>
      <c r="Y4298" s="172">
        <v>46115.31041773148</v>
      </c>
      <c r="Z4298" s="3">
        <v>46115.0</v>
      </c>
      <c r="AA4298" s="2" t="s">
        <v>14053</v>
      </c>
    </row>
    <row r="4299">
      <c r="A4299" s="3">
        <v>6.982633849091E12</v>
      </c>
      <c r="B4299" s="2" t="s">
        <v>168</v>
      </c>
      <c r="C4299" s="2" t="s">
        <v>17192</v>
      </c>
      <c r="D4299" s="169">
        <v>46115.0</v>
      </c>
      <c r="E4299" s="2">
        <v>3.264604323E9</v>
      </c>
      <c r="F4299" s="2" t="s">
        <v>17193</v>
      </c>
      <c r="G4299" s="2" t="s">
        <v>368</v>
      </c>
      <c r="H4299" s="2">
        <v>249.0</v>
      </c>
      <c r="I4299" s="2">
        <v>2.3120050023351E13</v>
      </c>
      <c r="J4299" s="3">
        <v>0.0</v>
      </c>
      <c r="K4299" s="2" t="s">
        <v>17194</v>
      </c>
      <c r="L4299" s="2"/>
      <c r="M4299" s="170" t="s">
        <v>455</v>
      </c>
      <c r="N4299" s="2" t="s">
        <v>406</v>
      </c>
      <c r="O4299" s="3"/>
      <c r="P4299" s="2" t="s">
        <v>73</v>
      </c>
      <c r="Q4299" s="3">
        <v>0.0</v>
      </c>
      <c r="R4299" s="3">
        <v>0.5</v>
      </c>
      <c r="U4299" s="141"/>
      <c r="W4299" s="3">
        <v>128.99</v>
      </c>
      <c r="X4299" s="172">
        <v>46128.08103716435</v>
      </c>
      <c r="Y4299" s="172">
        <v>46115.3520872338</v>
      </c>
      <c r="Z4299" s="3">
        <v>46115.0</v>
      </c>
      <c r="AA4299" s="2" t="s">
        <v>14022</v>
      </c>
    </row>
    <row r="4300">
      <c r="A4300" s="3">
        <v>6.982644498691E12</v>
      </c>
      <c r="B4300" s="2" t="s">
        <v>17195</v>
      </c>
      <c r="C4300" s="2" t="s">
        <v>7879</v>
      </c>
      <c r="D4300" s="169">
        <v>46115.0</v>
      </c>
      <c r="E4300" s="2">
        <v>3.434521583E9</v>
      </c>
      <c r="F4300" s="2" t="s">
        <v>17196</v>
      </c>
      <c r="G4300" s="2" t="s">
        <v>8731</v>
      </c>
      <c r="H4300" s="2">
        <v>3348.0</v>
      </c>
      <c r="I4300" s="2">
        <v>2.0120050023429E13</v>
      </c>
      <c r="J4300" s="3">
        <v>2.0</v>
      </c>
      <c r="K4300" s="2" t="s">
        <v>15277</v>
      </c>
      <c r="L4300" s="2" t="s">
        <v>40</v>
      </c>
      <c r="M4300" s="2" t="s">
        <v>409</v>
      </c>
      <c r="N4300" s="2" t="s">
        <v>462</v>
      </c>
      <c r="O4300" s="3"/>
      <c r="P4300" s="2" t="s">
        <v>73</v>
      </c>
      <c r="Q4300" s="3">
        <v>720.0</v>
      </c>
      <c r="R4300" s="3">
        <v>0.5</v>
      </c>
      <c r="T4300" s="2" t="s">
        <v>15278</v>
      </c>
      <c r="U4300" s="171">
        <v>3348.0</v>
      </c>
      <c r="V4300" s="172">
        <v>46126.0</v>
      </c>
      <c r="W4300" s="3">
        <v>375.78</v>
      </c>
      <c r="X4300" s="172">
        <v>46126.08126466435</v>
      </c>
      <c r="Y4300" s="172">
        <v>46115.3520872338</v>
      </c>
      <c r="Z4300" s="3">
        <v>46115.0</v>
      </c>
      <c r="AA4300" s="2" t="s">
        <v>14032</v>
      </c>
    </row>
    <row r="4301">
      <c r="A4301" s="3">
        <v>6.982740574467E12</v>
      </c>
      <c r="B4301" s="2" t="s">
        <v>17197</v>
      </c>
      <c r="C4301" s="2" t="s">
        <v>17198</v>
      </c>
      <c r="D4301" s="169">
        <v>46115.0</v>
      </c>
      <c r="E4301" s="2">
        <v>3.071252716E9</v>
      </c>
      <c r="F4301" s="2" t="s">
        <v>17199</v>
      </c>
      <c r="G4301" s="2" t="s">
        <v>506</v>
      </c>
      <c r="H4301" s="2">
        <v>3348.0</v>
      </c>
      <c r="I4301" s="2">
        <v>2.8120050023244E13</v>
      </c>
      <c r="J4301" s="3">
        <v>2.0</v>
      </c>
      <c r="K4301" s="2" t="s">
        <v>15355</v>
      </c>
      <c r="L4301" s="2" t="s">
        <v>2324</v>
      </c>
      <c r="M4301" s="2" t="s">
        <v>409</v>
      </c>
      <c r="N4301" s="2" t="s">
        <v>462</v>
      </c>
      <c r="O4301" s="3"/>
      <c r="P4301" s="2" t="s">
        <v>73</v>
      </c>
      <c r="Q4301" s="3">
        <v>720.0</v>
      </c>
      <c r="R4301" s="3">
        <v>0.5</v>
      </c>
      <c r="T4301" s="2" t="s">
        <v>15356</v>
      </c>
      <c r="U4301" s="171">
        <v>3348.0</v>
      </c>
      <c r="V4301" s="172">
        <v>46122.0</v>
      </c>
      <c r="W4301" s="3">
        <v>354.9</v>
      </c>
      <c r="X4301" s="172">
        <v>46121.08106736111</v>
      </c>
      <c r="Y4301" s="172">
        <v>46115.4354385301</v>
      </c>
      <c r="Z4301" s="3">
        <v>46115.0</v>
      </c>
      <c r="AA4301" s="2" t="s">
        <v>14032</v>
      </c>
    </row>
    <row r="4302">
      <c r="A4302" s="3">
        <v>6.982808502531E12</v>
      </c>
      <c r="B4302" s="2" t="s">
        <v>17200</v>
      </c>
      <c r="C4302" s="2" t="s">
        <v>17201</v>
      </c>
      <c r="D4302" s="169">
        <v>46115.0</v>
      </c>
      <c r="E4302" s="173" t="s">
        <v>17202</v>
      </c>
      <c r="F4302" s="2" t="s">
        <v>17203</v>
      </c>
      <c r="G4302" s="2" t="s">
        <v>17204</v>
      </c>
      <c r="H4302" s="2">
        <v>0.0</v>
      </c>
      <c r="I4302" s="2"/>
      <c r="J4302" s="3">
        <v>0.0</v>
      </c>
      <c r="K4302" s="2" t="s">
        <v>8446</v>
      </c>
      <c r="L4302" s="2"/>
      <c r="M4302" s="2" t="s">
        <v>468</v>
      </c>
      <c r="N4302" s="2" t="s">
        <v>406</v>
      </c>
      <c r="O4302" s="3"/>
      <c r="P4302" s="2"/>
      <c r="Q4302" s="3">
        <v>0.0</v>
      </c>
      <c r="R4302" s="3">
        <v>0.5</v>
      </c>
      <c r="U4302" s="141"/>
      <c r="X4302" s="172"/>
      <c r="Y4302" s="172">
        <v>46115.47715614583</v>
      </c>
      <c r="Z4302" s="3">
        <v>46115.0</v>
      </c>
      <c r="AA4302" s="2" t="s">
        <v>14103</v>
      </c>
    </row>
    <row r="4303">
      <c r="A4303" s="3">
        <v>6.982815645955E12</v>
      </c>
      <c r="B4303" s="2" t="s">
        <v>17205</v>
      </c>
      <c r="C4303" s="2" t="s">
        <v>11344</v>
      </c>
      <c r="D4303" s="169">
        <v>46115.0</v>
      </c>
      <c r="E4303" s="2">
        <v>3.422777815E9</v>
      </c>
      <c r="F4303" s="2" t="s">
        <v>17206</v>
      </c>
      <c r="G4303" s="2" t="s">
        <v>17204</v>
      </c>
      <c r="H4303" s="2">
        <v>3348.0</v>
      </c>
      <c r="I4303" s="2">
        <v>2.9120050023297E13</v>
      </c>
      <c r="J4303" s="3">
        <v>2.0</v>
      </c>
      <c r="K4303" s="2" t="s">
        <v>15277</v>
      </c>
      <c r="L4303" s="2" t="s">
        <v>50</v>
      </c>
      <c r="M4303" s="2" t="s">
        <v>409</v>
      </c>
      <c r="N4303" s="2" t="s">
        <v>462</v>
      </c>
      <c r="O4303" s="3"/>
      <c r="P4303" s="2" t="s">
        <v>73</v>
      </c>
      <c r="Q4303" s="3">
        <v>720.0</v>
      </c>
      <c r="R4303" s="3">
        <v>0.5</v>
      </c>
      <c r="T4303" s="2" t="s">
        <v>15278</v>
      </c>
      <c r="U4303" s="171">
        <v>3348.0</v>
      </c>
      <c r="V4303" s="172">
        <v>46126.0</v>
      </c>
      <c r="W4303" s="3">
        <v>391.9</v>
      </c>
      <c r="X4303" s="172">
        <v>46123.08109545139</v>
      </c>
      <c r="Y4303" s="172">
        <v>46115.47715614583</v>
      </c>
      <c r="Z4303" s="3">
        <v>46115.0</v>
      </c>
      <c r="AA4303" s="2" t="s">
        <v>14103</v>
      </c>
    </row>
    <row r="4304">
      <c r="A4304" s="3">
        <v>6.982861848835E12</v>
      </c>
      <c r="B4304" s="2" t="s">
        <v>17207</v>
      </c>
      <c r="C4304" s="2" t="s">
        <v>17208</v>
      </c>
      <c r="D4304" s="169">
        <v>46115.0</v>
      </c>
      <c r="E4304" s="2">
        <v>3.064001638E9</v>
      </c>
      <c r="F4304" s="2" t="s">
        <v>17209</v>
      </c>
      <c r="G4304" s="2" t="s">
        <v>368</v>
      </c>
      <c r="H4304" s="2">
        <v>1899.0</v>
      </c>
      <c r="I4304" s="2">
        <v>2.6120050023637E13</v>
      </c>
      <c r="J4304" s="3">
        <v>1.0</v>
      </c>
      <c r="K4304" s="2" t="s">
        <v>17210</v>
      </c>
      <c r="L4304" s="2" t="s">
        <v>8971</v>
      </c>
      <c r="M4304" s="2" t="s">
        <v>409</v>
      </c>
      <c r="N4304" s="2" t="s">
        <v>406</v>
      </c>
      <c r="O4304" s="3"/>
      <c r="P4304" s="2" t="s">
        <v>73</v>
      </c>
      <c r="Q4304" s="3">
        <v>550.0</v>
      </c>
      <c r="R4304" s="3">
        <v>0.5</v>
      </c>
      <c r="U4304" s="141"/>
      <c r="X4304" s="172">
        <v>46131.08096201389</v>
      </c>
      <c r="Y4304" s="172">
        <v>46115.56040861111</v>
      </c>
      <c r="Z4304" s="3">
        <v>46115.0</v>
      </c>
      <c r="AA4304" s="2" t="s">
        <v>14041</v>
      </c>
    </row>
    <row r="4305">
      <c r="A4305" s="3">
        <v>6.982865912067E12</v>
      </c>
      <c r="B4305" s="2" t="s">
        <v>17211</v>
      </c>
      <c r="C4305" s="2" t="s">
        <v>269</v>
      </c>
      <c r="D4305" s="169">
        <v>46115.0</v>
      </c>
      <c r="E4305" s="173" t="s">
        <v>17212</v>
      </c>
      <c r="F4305" s="2" t="s">
        <v>17213</v>
      </c>
      <c r="G4305" s="2" t="s">
        <v>6581</v>
      </c>
      <c r="H4305" s="2">
        <v>3698.0</v>
      </c>
      <c r="I4305" s="2">
        <v>2.9120050023242E13</v>
      </c>
      <c r="J4305" s="3">
        <v>2.0</v>
      </c>
      <c r="K4305" s="2" t="s">
        <v>270</v>
      </c>
      <c r="L4305" s="2" t="s">
        <v>271</v>
      </c>
      <c r="M4305" s="2" t="s">
        <v>14076</v>
      </c>
      <c r="N4305" s="2" t="s">
        <v>406</v>
      </c>
      <c r="O4305" s="3"/>
      <c r="P4305" s="2" t="s">
        <v>73</v>
      </c>
      <c r="Q4305" s="3">
        <v>1010.0</v>
      </c>
      <c r="R4305" s="3">
        <v>0.5</v>
      </c>
      <c r="U4305" s="141"/>
      <c r="X4305" s="172">
        <v>46122.08116804398</v>
      </c>
      <c r="Y4305" s="172">
        <v>46115.56040861111</v>
      </c>
      <c r="Z4305" s="3">
        <v>46115.0</v>
      </c>
      <c r="AA4305" s="2" t="s">
        <v>14026</v>
      </c>
    </row>
    <row r="4306">
      <c r="A4306" s="3">
        <v>6.982867616003E12</v>
      </c>
      <c r="B4306" s="2" t="s">
        <v>17214</v>
      </c>
      <c r="C4306" s="2" t="s">
        <v>17215</v>
      </c>
      <c r="D4306" s="169">
        <v>46115.0</v>
      </c>
      <c r="E4306" s="173" t="s">
        <v>17216</v>
      </c>
      <c r="F4306" s="2" t="s">
        <v>17217</v>
      </c>
      <c r="G4306" s="2" t="s">
        <v>541</v>
      </c>
      <c r="H4306" s="2">
        <v>3100.0</v>
      </c>
      <c r="I4306" s="2">
        <v>2.5120050023241E13</v>
      </c>
      <c r="J4306" s="3">
        <v>2.0</v>
      </c>
      <c r="K4306" s="2" t="s">
        <v>16439</v>
      </c>
      <c r="L4306" s="2" t="s">
        <v>17218</v>
      </c>
      <c r="M4306" s="2" t="s">
        <v>409</v>
      </c>
      <c r="N4306" s="2" t="s">
        <v>462</v>
      </c>
      <c r="O4306" s="3"/>
      <c r="P4306" s="2" t="s">
        <v>73</v>
      </c>
      <c r="Q4306" s="3">
        <v>800.0</v>
      </c>
      <c r="R4306" s="3">
        <v>0.5</v>
      </c>
      <c r="T4306" s="2" t="s">
        <v>15010</v>
      </c>
      <c r="U4306" s="171">
        <v>3100.0</v>
      </c>
      <c r="V4306" s="172">
        <v>46119.0</v>
      </c>
      <c r="W4306" s="3">
        <v>344.98</v>
      </c>
      <c r="X4306" s="172">
        <v>46118.08123590278</v>
      </c>
      <c r="Y4306" s="172">
        <v>46115.56040861111</v>
      </c>
      <c r="Z4306" s="3">
        <v>46115.0</v>
      </c>
      <c r="AA4306" s="2" t="s">
        <v>14026</v>
      </c>
    </row>
    <row r="4307">
      <c r="A4307" s="3">
        <v>6.982869123331E12</v>
      </c>
      <c r="B4307" s="2" t="s">
        <v>17219</v>
      </c>
      <c r="C4307" s="2" t="s">
        <v>17220</v>
      </c>
      <c r="D4307" s="169">
        <v>46115.0</v>
      </c>
      <c r="E4307" s="173" t="s">
        <v>17221</v>
      </c>
      <c r="F4307" s="2" t="s">
        <v>17222</v>
      </c>
      <c r="G4307" s="2" t="s">
        <v>368</v>
      </c>
      <c r="H4307" s="2">
        <v>3100.0</v>
      </c>
      <c r="I4307" s="2">
        <v>2.712005002324E13</v>
      </c>
      <c r="J4307" s="3">
        <v>2.0</v>
      </c>
      <c r="K4307" s="2" t="s">
        <v>17223</v>
      </c>
      <c r="L4307" s="2" t="s">
        <v>906</v>
      </c>
      <c r="M4307" s="2" t="s">
        <v>409</v>
      </c>
      <c r="N4307" s="2" t="s">
        <v>462</v>
      </c>
      <c r="O4307" s="3"/>
      <c r="P4307" s="2" t="s">
        <v>73</v>
      </c>
      <c r="Q4307" s="3">
        <v>720.0</v>
      </c>
      <c r="R4307" s="3">
        <v>0.5</v>
      </c>
      <c r="T4307" s="2" t="s">
        <v>15010</v>
      </c>
      <c r="U4307" s="171">
        <v>3100.0</v>
      </c>
      <c r="V4307" s="172">
        <v>46119.0</v>
      </c>
      <c r="W4307" s="3">
        <v>241.86</v>
      </c>
      <c r="X4307" s="172">
        <v>46116.66640899306</v>
      </c>
      <c r="Y4307" s="172">
        <v>46115.56040861111</v>
      </c>
      <c r="Z4307" s="3">
        <v>46115.0</v>
      </c>
      <c r="AA4307" s="2" t="s">
        <v>14026</v>
      </c>
    </row>
    <row r="4308">
      <c r="A4308" s="3">
        <v>6.982873317635E12</v>
      </c>
      <c r="B4308" s="2" t="s">
        <v>17224</v>
      </c>
      <c r="C4308" s="2" t="s">
        <v>17225</v>
      </c>
      <c r="D4308" s="169">
        <v>46115.0</v>
      </c>
      <c r="E4308" s="173" t="s">
        <v>17226</v>
      </c>
      <c r="F4308" s="2" t="s">
        <v>17227</v>
      </c>
      <c r="G4308" s="2" t="s">
        <v>16432</v>
      </c>
      <c r="H4308" s="2">
        <v>6600.0</v>
      </c>
      <c r="I4308" s="2">
        <v>2.8120050023239E13</v>
      </c>
      <c r="J4308" s="3">
        <v>4.0</v>
      </c>
      <c r="K4308" s="2" t="s">
        <v>17228</v>
      </c>
      <c r="L4308" s="2" t="s">
        <v>17229</v>
      </c>
      <c r="M4308" s="2" t="s">
        <v>409</v>
      </c>
      <c r="N4308" s="2" t="s">
        <v>462</v>
      </c>
      <c r="O4308" s="3"/>
      <c r="P4308" s="2" t="s">
        <v>73</v>
      </c>
      <c r="Q4308" s="3">
        <v>2200.0</v>
      </c>
      <c r="R4308" s="3">
        <v>0.5</v>
      </c>
      <c r="T4308" s="2" t="s">
        <v>15010</v>
      </c>
      <c r="U4308" s="171">
        <v>6600.0</v>
      </c>
      <c r="V4308" s="172">
        <v>46119.0</v>
      </c>
      <c r="W4308" s="3">
        <v>610.2</v>
      </c>
      <c r="X4308" s="172">
        <v>46119.08121304398</v>
      </c>
      <c r="Y4308" s="172">
        <v>46115.56040861111</v>
      </c>
      <c r="Z4308" s="3">
        <v>46115.0</v>
      </c>
      <c r="AA4308" s="2" t="s">
        <v>14026</v>
      </c>
    </row>
    <row r="4309">
      <c r="A4309" s="3">
        <v>6.982879740163E12</v>
      </c>
      <c r="B4309" s="2" t="s">
        <v>17230</v>
      </c>
      <c r="C4309" s="2" t="s">
        <v>272</v>
      </c>
      <c r="D4309" s="169">
        <v>46115.0</v>
      </c>
      <c r="E4309" s="173" t="s">
        <v>17231</v>
      </c>
      <c r="F4309" s="2" t="s">
        <v>17232</v>
      </c>
      <c r="G4309" s="2" t="s">
        <v>17233</v>
      </c>
      <c r="H4309" s="2">
        <v>3348.0</v>
      </c>
      <c r="I4309" s="2">
        <v>1.73012419967E11</v>
      </c>
      <c r="J4309" s="3">
        <v>2.0</v>
      </c>
      <c r="K4309" s="2" t="s">
        <v>274</v>
      </c>
      <c r="L4309" s="2" t="s">
        <v>275</v>
      </c>
      <c r="M4309" s="2" t="s">
        <v>16769</v>
      </c>
      <c r="N4309" s="2" t="s">
        <v>406</v>
      </c>
      <c r="O4309" s="3"/>
      <c r="P4309" s="2" t="s">
        <v>501</v>
      </c>
      <c r="Q4309" s="3">
        <v>800.0</v>
      </c>
      <c r="R4309" s="3">
        <v>0.5</v>
      </c>
      <c r="U4309" s="141"/>
      <c r="X4309" s="172">
        <v>46126.08325471065</v>
      </c>
      <c r="Y4309" s="172">
        <v>46115.56040861111</v>
      </c>
      <c r="Z4309" s="3">
        <v>46115.0</v>
      </c>
      <c r="AA4309" s="2" t="s">
        <v>14032</v>
      </c>
    </row>
    <row r="4310">
      <c r="A4310" s="3">
        <v>6.982919684355E12</v>
      </c>
      <c r="B4310" s="2" t="s">
        <v>17234</v>
      </c>
      <c r="C4310" s="2" t="s">
        <v>17235</v>
      </c>
      <c r="D4310" s="169">
        <v>46115.0</v>
      </c>
      <c r="E4310" s="2">
        <v>3.47494981E9</v>
      </c>
      <c r="F4310" s="2" t="s">
        <v>17236</v>
      </c>
      <c r="G4310" s="2">
        <v>48355.0</v>
      </c>
      <c r="H4310" s="2">
        <v>3348.0</v>
      </c>
      <c r="I4310" s="2"/>
      <c r="J4310" s="3">
        <v>2.0</v>
      </c>
      <c r="K4310" s="2" t="s">
        <v>7809</v>
      </c>
      <c r="L4310" s="2" t="s">
        <v>50</v>
      </c>
      <c r="M4310" s="2" t="s">
        <v>406</v>
      </c>
      <c r="N4310" s="2" t="s">
        <v>406</v>
      </c>
      <c r="O4310" s="3"/>
      <c r="P4310" s="2"/>
      <c r="Q4310" s="3">
        <v>720.0</v>
      </c>
      <c r="R4310" s="3">
        <v>0.5</v>
      </c>
      <c r="U4310" s="141"/>
      <c r="X4310" s="172"/>
      <c r="Y4310" s="172">
        <v>46115.60209331018</v>
      </c>
      <c r="Z4310" s="3">
        <v>46115.0</v>
      </c>
      <c r="AA4310" s="2" t="s">
        <v>14032</v>
      </c>
    </row>
    <row r="4311">
      <c r="A4311" s="3">
        <v>6.982933184771E12</v>
      </c>
      <c r="B4311" s="2" t="s">
        <v>17237</v>
      </c>
      <c r="C4311" s="2" t="s">
        <v>17238</v>
      </c>
      <c r="D4311" s="169">
        <v>46115.0</v>
      </c>
      <c r="E4311" s="2">
        <v>3.002272157E9</v>
      </c>
      <c r="F4311" s="2" t="s">
        <v>17239</v>
      </c>
      <c r="G4311" s="2" t="s">
        <v>693</v>
      </c>
      <c r="H4311" s="2">
        <v>3099.0</v>
      </c>
      <c r="I4311" s="2">
        <v>2.6120050023296E13</v>
      </c>
      <c r="J4311" s="3">
        <v>2.0</v>
      </c>
      <c r="K4311" s="2" t="s">
        <v>17130</v>
      </c>
      <c r="L4311" s="2" t="s">
        <v>16</v>
      </c>
      <c r="M4311" s="2" t="s">
        <v>409</v>
      </c>
      <c r="N4311" s="2" t="s">
        <v>462</v>
      </c>
      <c r="O4311" s="3"/>
      <c r="P4311" s="2" t="s">
        <v>73</v>
      </c>
      <c r="Q4311" s="3">
        <v>980.0</v>
      </c>
      <c r="R4311" s="3">
        <v>0.5</v>
      </c>
      <c r="T4311" s="2" t="s">
        <v>15356</v>
      </c>
      <c r="U4311" s="171">
        <v>3099.0</v>
      </c>
      <c r="V4311" s="172">
        <v>46122.0</v>
      </c>
      <c r="W4311" s="3">
        <v>359.67</v>
      </c>
      <c r="X4311" s="172">
        <v>46120.081165509255</v>
      </c>
      <c r="Y4311" s="172">
        <v>46115.60209331018</v>
      </c>
      <c r="Z4311" s="3">
        <v>46115.0</v>
      </c>
      <c r="AA4311" s="2" t="s">
        <v>14103</v>
      </c>
    </row>
    <row r="4312">
      <c r="A4312" s="3">
        <v>6.982977782019E12</v>
      </c>
      <c r="B4312" s="2" t="s">
        <v>167</v>
      </c>
      <c r="C4312" s="2" t="s">
        <v>17240</v>
      </c>
      <c r="D4312" s="169">
        <v>46115.0</v>
      </c>
      <c r="E4312" s="2">
        <v>3.468194431E9</v>
      </c>
      <c r="F4312" s="2" t="s">
        <v>17241</v>
      </c>
      <c r="G4312" s="2" t="s">
        <v>17242</v>
      </c>
      <c r="H4312" s="2">
        <v>249.0</v>
      </c>
      <c r="I4312" s="2">
        <v>2.9120050023295E13</v>
      </c>
      <c r="J4312" s="3">
        <v>0.0</v>
      </c>
      <c r="K4312" s="2" t="s">
        <v>17243</v>
      </c>
      <c r="L4312" s="2"/>
      <c r="M4312" s="170" t="s">
        <v>455</v>
      </c>
      <c r="N4312" s="2" t="s">
        <v>406</v>
      </c>
      <c r="O4312" s="3"/>
      <c r="P4312" s="2" t="s">
        <v>73</v>
      </c>
      <c r="Q4312" s="3">
        <v>0.0</v>
      </c>
      <c r="R4312" s="3">
        <v>0.5</v>
      </c>
      <c r="U4312" s="141"/>
      <c r="W4312" s="3">
        <v>117.86</v>
      </c>
      <c r="X4312" s="172">
        <v>46128.08103729167</v>
      </c>
      <c r="Y4312" s="172">
        <v>46115.64379253473</v>
      </c>
      <c r="Z4312" s="3">
        <v>46115.0</v>
      </c>
      <c r="AA4312" s="2" t="s">
        <v>14032</v>
      </c>
    </row>
    <row r="4313">
      <c r="A4313" s="3">
        <v>6.982998950147E12</v>
      </c>
      <c r="B4313" s="2" t="s">
        <v>17244</v>
      </c>
      <c r="C4313" s="2" t="s">
        <v>508</v>
      </c>
      <c r="D4313" s="169">
        <v>46115.0</v>
      </c>
      <c r="E4313" s="2">
        <v>3.09674442E9</v>
      </c>
      <c r="F4313" s="2" t="s">
        <v>15488</v>
      </c>
      <c r="G4313" s="2" t="s">
        <v>366</v>
      </c>
      <c r="H4313" s="2">
        <v>1499.0</v>
      </c>
      <c r="I4313" s="2">
        <v>2.3120050023294E13</v>
      </c>
      <c r="J4313" s="3">
        <v>1.0</v>
      </c>
      <c r="K4313" s="2" t="s">
        <v>17245</v>
      </c>
      <c r="L4313" s="2" t="s">
        <v>16246</v>
      </c>
      <c r="M4313" s="2" t="s">
        <v>409</v>
      </c>
      <c r="N4313" s="2" t="s">
        <v>462</v>
      </c>
      <c r="O4313" s="3"/>
      <c r="P4313" s="2" t="s">
        <v>73</v>
      </c>
      <c r="Q4313" s="3">
        <v>750.0</v>
      </c>
      <c r="R4313" s="3">
        <v>0.5</v>
      </c>
      <c r="U4313" s="141"/>
      <c r="X4313" s="172">
        <v>46118.08123607639</v>
      </c>
      <c r="Y4313" s="172">
        <v>46115.68543675926</v>
      </c>
      <c r="Z4313" s="3">
        <v>46115.0</v>
      </c>
      <c r="AA4313" s="2" t="s">
        <v>14026</v>
      </c>
    </row>
    <row r="4314">
      <c r="A4314" s="3">
        <v>6.983004913923E12</v>
      </c>
      <c r="B4314" s="2" t="s">
        <v>17246</v>
      </c>
      <c r="C4314" s="2" t="s">
        <v>276</v>
      </c>
      <c r="D4314" s="169">
        <v>46115.0</v>
      </c>
      <c r="E4314" s="2">
        <v>3.009637533E9</v>
      </c>
      <c r="F4314" s="2" t="s">
        <v>17247</v>
      </c>
      <c r="G4314" s="2" t="s">
        <v>506</v>
      </c>
      <c r="H4314" s="2">
        <v>3348.0</v>
      </c>
      <c r="I4314" s="2">
        <v>2.7120050023293E13</v>
      </c>
      <c r="J4314" s="3">
        <v>2.0</v>
      </c>
      <c r="K4314" s="2"/>
      <c r="L4314" s="2" t="s">
        <v>50</v>
      </c>
      <c r="M4314" s="2" t="s">
        <v>14076</v>
      </c>
      <c r="N4314" s="2" t="s">
        <v>406</v>
      </c>
      <c r="O4314" s="3"/>
      <c r="P4314" s="2" t="s">
        <v>73</v>
      </c>
      <c r="Q4314" s="3">
        <v>720.0</v>
      </c>
      <c r="R4314" s="3">
        <v>0.5</v>
      </c>
      <c r="U4314" s="141"/>
      <c r="X4314" s="172">
        <v>46122.08116806713</v>
      </c>
      <c r="Y4314" s="172">
        <v>46115.68543675926</v>
      </c>
      <c r="Z4314" s="3">
        <v>46115.0</v>
      </c>
      <c r="AA4314" s="2" t="s">
        <v>14032</v>
      </c>
    </row>
    <row r="4315">
      <c r="A4315" s="3">
        <v>6.983012155651E12</v>
      </c>
      <c r="B4315" s="2" t="s">
        <v>17248</v>
      </c>
      <c r="C4315" s="2" t="s">
        <v>17249</v>
      </c>
      <c r="D4315" s="169">
        <v>46115.0</v>
      </c>
      <c r="E4315" s="173" t="s">
        <v>17250</v>
      </c>
      <c r="F4315" s="2" t="s">
        <v>17251</v>
      </c>
      <c r="G4315" s="2" t="s">
        <v>368</v>
      </c>
      <c r="H4315" s="2">
        <v>0.0</v>
      </c>
      <c r="I4315" s="2">
        <v>2.3120050023278E13</v>
      </c>
      <c r="J4315" s="3">
        <v>0.0</v>
      </c>
      <c r="K4315" s="2" t="s">
        <v>17252</v>
      </c>
      <c r="L4315" s="2"/>
      <c r="M4315" s="170" t="s">
        <v>455</v>
      </c>
      <c r="N4315" s="2" t="s">
        <v>406</v>
      </c>
      <c r="O4315" s="3"/>
      <c r="P4315" s="2" t="s">
        <v>73</v>
      </c>
      <c r="Q4315" s="3">
        <v>0.0</v>
      </c>
      <c r="R4315" s="3">
        <v>0.5</v>
      </c>
      <c r="U4315" s="141"/>
      <c r="W4315" s="3">
        <v>117.86</v>
      </c>
      <c r="X4315" s="172">
        <v>46126.08126697916</v>
      </c>
      <c r="Y4315" s="172">
        <v>46115.68543675926</v>
      </c>
      <c r="Z4315" s="3">
        <v>46115.0</v>
      </c>
      <c r="AA4315" s="2" t="s">
        <v>14026</v>
      </c>
    </row>
    <row r="4316">
      <c r="A4316" s="3">
        <v>6.983172718851E12</v>
      </c>
      <c r="B4316" s="2" t="s">
        <v>17253</v>
      </c>
      <c r="C4316" s="2" t="s">
        <v>17254</v>
      </c>
      <c r="D4316" s="169">
        <v>46115.0</v>
      </c>
      <c r="E4316" s="2">
        <v>3.018777117E9</v>
      </c>
      <c r="F4316" s="2" t="s">
        <v>17255</v>
      </c>
      <c r="G4316" s="2" t="s">
        <v>1044</v>
      </c>
      <c r="H4316" s="2">
        <v>1899.0</v>
      </c>
      <c r="I4316" s="2">
        <v>2.312005002335E13</v>
      </c>
      <c r="J4316" s="3">
        <v>1.0</v>
      </c>
      <c r="K4316" s="2" t="s">
        <v>17256</v>
      </c>
      <c r="L4316" s="2" t="s">
        <v>17257</v>
      </c>
      <c r="M4316" s="2" t="s">
        <v>409</v>
      </c>
      <c r="N4316" s="2" t="s">
        <v>462</v>
      </c>
      <c r="O4316" s="3"/>
      <c r="P4316" s="2" t="s">
        <v>73</v>
      </c>
      <c r="Q4316" s="3">
        <v>550.0</v>
      </c>
      <c r="R4316" s="3">
        <v>0.5</v>
      </c>
      <c r="T4316" s="2" t="s">
        <v>15278</v>
      </c>
      <c r="U4316" s="171">
        <v>1899.0</v>
      </c>
      <c r="V4316" s="172">
        <v>46126.0</v>
      </c>
      <c r="W4316" s="3">
        <v>317.82000000000005</v>
      </c>
      <c r="X4316" s="172">
        <v>46124.081581782404</v>
      </c>
      <c r="Y4316" s="172">
        <v>46115.81042577546</v>
      </c>
      <c r="Z4316" s="3">
        <v>46115.0</v>
      </c>
      <c r="AA4316" s="2" t="s">
        <v>14032</v>
      </c>
    </row>
    <row r="4317">
      <c r="A4317" s="3">
        <v>6.983196770563E12</v>
      </c>
      <c r="B4317" s="2" t="s">
        <v>17258</v>
      </c>
      <c r="C4317" s="2" t="s">
        <v>17259</v>
      </c>
      <c r="D4317" s="169">
        <v>46115.0</v>
      </c>
      <c r="E4317" s="2">
        <v>3.057983701E9</v>
      </c>
      <c r="F4317" s="2" t="s">
        <v>17260</v>
      </c>
      <c r="G4317" s="2" t="s">
        <v>368</v>
      </c>
      <c r="H4317" s="2">
        <v>1449.0</v>
      </c>
      <c r="I4317" s="2">
        <v>2.7120050023349E13</v>
      </c>
      <c r="J4317" s="3">
        <v>1.0</v>
      </c>
      <c r="K4317" s="2" t="s">
        <v>17261</v>
      </c>
      <c r="L4317" s="2" t="s">
        <v>17262</v>
      </c>
      <c r="M4317" s="2" t="s">
        <v>409</v>
      </c>
      <c r="N4317" s="2" t="s">
        <v>462</v>
      </c>
      <c r="O4317" s="3"/>
      <c r="P4317" s="2" t="s">
        <v>73</v>
      </c>
      <c r="Q4317" s="3">
        <v>550.0</v>
      </c>
      <c r="R4317" s="3">
        <v>0.5</v>
      </c>
      <c r="T4317" s="2" t="s">
        <v>15356</v>
      </c>
      <c r="U4317" s="171">
        <v>1449.0</v>
      </c>
      <c r="V4317" s="172">
        <v>46122.0</v>
      </c>
      <c r="W4317" s="3">
        <v>186.95</v>
      </c>
      <c r="X4317" s="172">
        <v>46121.08106748843</v>
      </c>
      <c r="Y4317" s="172">
        <v>46115.81042577546</v>
      </c>
      <c r="Z4317" s="3">
        <v>46115.0</v>
      </c>
      <c r="AA4317" s="2" t="s">
        <v>14032</v>
      </c>
    </row>
    <row r="4318">
      <c r="A4318" s="3">
        <v>6.983207944451E12</v>
      </c>
      <c r="B4318" s="2" t="s">
        <v>17263</v>
      </c>
      <c r="C4318" s="2" t="s">
        <v>17264</v>
      </c>
      <c r="D4318" s="169">
        <v>46115.0</v>
      </c>
      <c r="E4318" s="173" t="s">
        <v>17265</v>
      </c>
      <c r="F4318" s="2" t="s">
        <v>17266</v>
      </c>
      <c r="G4318" s="2" t="s">
        <v>506</v>
      </c>
      <c r="H4318" s="2">
        <v>3099.0</v>
      </c>
      <c r="I4318" s="2">
        <v>2.6120050023292E13</v>
      </c>
      <c r="J4318" s="3">
        <v>2.0</v>
      </c>
      <c r="K4318" s="2" t="s">
        <v>17267</v>
      </c>
      <c r="L4318" s="2" t="s">
        <v>17268</v>
      </c>
      <c r="M4318" s="2" t="s">
        <v>409</v>
      </c>
      <c r="N4318" s="2" t="s">
        <v>462</v>
      </c>
      <c r="O4318" s="3"/>
      <c r="P4318" s="2" t="s">
        <v>73</v>
      </c>
      <c r="Q4318" s="3">
        <v>720.0</v>
      </c>
      <c r="R4318" s="3">
        <v>0.5</v>
      </c>
      <c r="T4318" s="2" t="s">
        <v>15356</v>
      </c>
      <c r="U4318" s="171">
        <v>3099.0</v>
      </c>
      <c r="V4318" s="172">
        <v>46122.0</v>
      </c>
      <c r="W4318" s="3">
        <v>344.94</v>
      </c>
      <c r="X4318" s="172">
        <v>46121.081067499996</v>
      </c>
      <c r="Y4318" s="172">
        <v>46115.81042577546</v>
      </c>
      <c r="Z4318" s="3">
        <v>46115.0</v>
      </c>
      <c r="AA4318" s="2" t="s">
        <v>14026</v>
      </c>
    </row>
    <row r="4319">
      <c r="A4319" s="3">
        <v>6.983280361731E12</v>
      </c>
      <c r="B4319" s="2" t="s">
        <v>17269</v>
      </c>
      <c r="C4319" s="2" t="s">
        <v>11092</v>
      </c>
      <c r="D4319" s="169">
        <v>46115.0</v>
      </c>
      <c r="E4319" s="2">
        <v>3.008114341E9</v>
      </c>
      <c r="F4319" s="2" t="s">
        <v>11093</v>
      </c>
      <c r="G4319" s="2" t="s">
        <v>2725</v>
      </c>
      <c r="H4319" s="2">
        <v>1549.0</v>
      </c>
      <c r="I4319" s="2" t="s">
        <v>17270</v>
      </c>
      <c r="J4319" s="3">
        <v>1.0</v>
      </c>
      <c r="K4319" s="2" t="s">
        <v>17271</v>
      </c>
      <c r="L4319" s="2" t="s">
        <v>9345</v>
      </c>
      <c r="M4319" s="2" t="s">
        <v>406</v>
      </c>
      <c r="N4319" s="2" t="s">
        <v>462</v>
      </c>
      <c r="O4319" s="3"/>
      <c r="P4319" s="2"/>
      <c r="Q4319" s="3">
        <v>400.0</v>
      </c>
      <c r="R4319" s="3">
        <v>0.5</v>
      </c>
      <c r="U4319" s="141"/>
      <c r="X4319" s="172"/>
      <c r="Y4319" s="172">
        <v>46115.8521146412</v>
      </c>
      <c r="Z4319" s="3">
        <v>46115.0</v>
      </c>
      <c r="AA4319" s="2" t="s">
        <v>14026</v>
      </c>
    </row>
    <row r="4320">
      <c r="A4320" s="3">
        <v>6.983299662083E12</v>
      </c>
      <c r="B4320" s="2" t="s">
        <v>17272</v>
      </c>
      <c r="C4320" s="2" t="s">
        <v>17273</v>
      </c>
      <c r="D4320" s="169">
        <v>46115.0</v>
      </c>
      <c r="E4320" s="2">
        <v>3.072477857E9</v>
      </c>
      <c r="F4320" s="2" t="s">
        <v>17274</v>
      </c>
      <c r="G4320" s="2" t="s">
        <v>368</v>
      </c>
      <c r="H4320" s="2">
        <v>1848.0</v>
      </c>
      <c r="I4320" s="2">
        <v>2.0120050023291E13</v>
      </c>
      <c r="J4320" s="3">
        <v>1.0</v>
      </c>
      <c r="K4320" s="2" t="s">
        <v>17275</v>
      </c>
      <c r="L4320" s="2" t="s">
        <v>16969</v>
      </c>
      <c r="M4320" s="2" t="s">
        <v>409</v>
      </c>
      <c r="N4320" s="2" t="s">
        <v>462</v>
      </c>
      <c r="O4320" s="3"/>
      <c r="P4320" s="2" t="s">
        <v>73</v>
      </c>
      <c r="Q4320" s="3">
        <v>650.0</v>
      </c>
      <c r="R4320" s="3">
        <v>0.5</v>
      </c>
      <c r="T4320" s="2" t="s">
        <v>15010</v>
      </c>
      <c r="U4320" s="171">
        <v>1848.0</v>
      </c>
      <c r="V4320" s="172">
        <v>46119.0</v>
      </c>
      <c r="W4320" s="3">
        <v>191.78</v>
      </c>
      <c r="X4320" s="172">
        <v>46119.081213171296</v>
      </c>
      <c r="Y4320" s="172">
        <v>46115.89375113426</v>
      </c>
      <c r="Z4320" s="3">
        <v>46115.0</v>
      </c>
      <c r="AA4320" s="2" t="s">
        <v>14053</v>
      </c>
    </row>
    <row r="4321">
      <c r="A4321" s="3">
        <v>6.983327252739E12</v>
      </c>
      <c r="B4321" s="2" t="s">
        <v>17276</v>
      </c>
      <c r="C4321" s="2" t="s">
        <v>17277</v>
      </c>
      <c r="D4321" s="169">
        <v>46115.0</v>
      </c>
      <c r="E4321" s="2">
        <v>3.032255023E9</v>
      </c>
      <c r="F4321" s="2" t="s">
        <v>17278</v>
      </c>
      <c r="G4321" s="2" t="s">
        <v>493</v>
      </c>
      <c r="H4321" s="2">
        <v>3048.0</v>
      </c>
      <c r="I4321" s="2">
        <v>2.812005002329E13</v>
      </c>
      <c r="J4321" s="3">
        <v>2.0</v>
      </c>
      <c r="K4321" s="2" t="s">
        <v>17279</v>
      </c>
      <c r="L4321" s="2" t="s">
        <v>17280</v>
      </c>
      <c r="M4321" s="2" t="s">
        <v>409</v>
      </c>
      <c r="N4321" s="2" t="s">
        <v>462</v>
      </c>
      <c r="O4321" s="3"/>
      <c r="P4321" s="2" t="s">
        <v>73</v>
      </c>
      <c r="Q4321" s="3">
        <v>1200.0</v>
      </c>
      <c r="R4321" s="3">
        <v>0.5</v>
      </c>
      <c r="T4321" s="2" t="s">
        <v>15010</v>
      </c>
      <c r="U4321" s="171">
        <v>3048.0</v>
      </c>
      <c r="V4321" s="172">
        <v>46119.0</v>
      </c>
      <c r="W4321" s="3">
        <v>372.35999999999996</v>
      </c>
      <c r="X4321" s="172">
        <v>46120.08116565972</v>
      </c>
      <c r="Y4321" s="172">
        <v>46115.89375113426</v>
      </c>
      <c r="Z4321" s="3">
        <v>46115.0</v>
      </c>
      <c r="AA4321" s="2" t="s">
        <v>14053</v>
      </c>
    </row>
    <row r="4322">
      <c r="A4322" s="3">
        <v>6.983369031939E12</v>
      </c>
      <c r="B4322" s="2" t="s">
        <v>17281</v>
      </c>
      <c r="C4322" s="2" t="s">
        <v>17282</v>
      </c>
      <c r="D4322" s="169">
        <v>46115.0</v>
      </c>
      <c r="E4322" s="2">
        <v>3.257511938E9</v>
      </c>
      <c r="F4322" s="2" t="s">
        <v>17283</v>
      </c>
      <c r="G4322" s="2" t="s">
        <v>688</v>
      </c>
      <c r="H4322" s="2">
        <v>0.0</v>
      </c>
      <c r="I4322" s="2"/>
      <c r="J4322" s="3">
        <v>0.0</v>
      </c>
      <c r="K4322" s="2" t="s">
        <v>17284</v>
      </c>
      <c r="L4322" s="2"/>
      <c r="M4322" s="2" t="s">
        <v>468</v>
      </c>
      <c r="N4322" s="2" t="s">
        <v>406</v>
      </c>
      <c r="O4322" s="3"/>
      <c r="P4322" s="2"/>
      <c r="Q4322" s="3">
        <v>0.0</v>
      </c>
      <c r="R4322" s="3">
        <v>0.5</v>
      </c>
      <c r="U4322" s="141"/>
      <c r="X4322" s="172"/>
      <c r="Y4322" s="172">
        <v>46115.89375113426</v>
      </c>
      <c r="Z4322" s="3">
        <v>46115.0</v>
      </c>
      <c r="AA4322" s="2" t="s">
        <v>14053</v>
      </c>
    </row>
    <row r="4323">
      <c r="A4323" s="3">
        <v>6.983369163011E12</v>
      </c>
      <c r="B4323" s="2" t="s">
        <v>17285</v>
      </c>
      <c r="C4323" s="2" t="s">
        <v>17286</v>
      </c>
      <c r="D4323" s="169">
        <v>46115.0</v>
      </c>
      <c r="E4323" s="2">
        <v>3.021436901E9</v>
      </c>
      <c r="F4323" s="2" t="s">
        <v>17287</v>
      </c>
      <c r="G4323" s="2" t="s">
        <v>993</v>
      </c>
      <c r="H4323" s="2">
        <v>0.0</v>
      </c>
      <c r="I4323" s="2"/>
      <c r="J4323" s="3">
        <v>0.0</v>
      </c>
      <c r="K4323" s="2" t="s">
        <v>17288</v>
      </c>
      <c r="L4323" s="2"/>
      <c r="M4323" s="2" t="s">
        <v>468</v>
      </c>
      <c r="N4323" s="2" t="s">
        <v>406</v>
      </c>
      <c r="O4323" s="3"/>
      <c r="P4323" s="2"/>
      <c r="Q4323" s="3">
        <v>0.0</v>
      </c>
      <c r="R4323" s="3">
        <v>0.5</v>
      </c>
      <c r="U4323" s="141"/>
      <c r="X4323" s="172"/>
      <c r="Y4323" s="172">
        <v>46115.89375113426</v>
      </c>
      <c r="Z4323" s="3">
        <v>46115.0</v>
      </c>
      <c r="AA4323" s="2" t="s">
        <v>14103</v>
      </c>
    </row>
    <row r="4324">
      <c r="A4324" s="3">
        <v>6.983415103747E12</v>
      </c>
      <c r="B4324" s="2" t="s">
        <v>17289</v>
      </c>
      <c r="C4324" s="2" t="s">
        <v>17290</v>
      </c>
      <c r="D4324" s="169">
        <v>46115.0</v>
      </c>
      <c r="E4324" s="2">
        <v>3.204141505E9</v>
      </c>
      <c r="F4324" s="2" t="s">
        <v>17291</v>
      </c>
      <c r="G4324" s="2" t="s">
        <v>368</v>
      </c>
      <c r="H4324" s="2">
        <v>3398.0</v>
      </c>
      <c r="I4324" s="2">
        <v>2.5120050023289E13</v>
      </c>
      <c r="J4324" s="3">
        <v>2.0</v>
      </c>
      <c r="K4324" s="2" t="s">
        <v>17292</v>
      </c>
      <c r="L4324" s="2" t="s">
        <v>1116</v>
      </c>
      <c r="M4324" s="2" t="s">
        <v>409</v>
      </c>
      <c r="N4324" s="2" t="s">
        <v>462</v>
      </c>
      <c r="O4324" s="3"/>
      <c r="P4324" s="2" t="s">
        <v>73</v>
      </c>
      <c r="Q4324" s="3">
        <v>800.0</v>
      </c>
      <c r="R4324" s="3">
        <v>0.5</v>
      </c>
      <c r="T4324" s="2" t="s">
        <v>15010</v>
      </c>
      <c r="U4324" s="171">
        <v>3398.0</v>
      </c>
      <c r="V4324" s="172">
        <v>46119.0</v>
      </c>
      <c r="W4324" s="3">
        <v>253.77999999999997</v>
      </c>
      <c r="X4324" s="172">
        <v>46119.08126756945</v>
      </c>
      <c r="Y4324" s="172">
        <v>46115.93543449074</v>
      </c>
      <c r="Z4324" s="3">
        <v>46115.0</v>
      </c>
      <c r="AA4324" s="2" t="s">
        <v>14103</v>
      </c>
    </row>
    <row r="4325">
      <c r="A4325" s="3">
        <v>6.983462846723E12</v>
      </c>
      <c r="B4325" s="2" t="s">
        <v>17293</v>
      </c>
      <c r="C4325" s="2" t="s">
        <v>17294</v>
      </c>
      <c r="D4325" s="169">
        <v>46115.0</v>
      </c>
      <c r="E4325" s="2">
        <v>3.47609217E9</v>
      </c>
      <c r="F4325" s="2" t="s">
        <v>17295</v>
      </c>
      <c r="G4325" s="2" t="s">
        <v>2543</v>
      </c>
      <c r="H4325" s="2">
        <v>4999.0</v>
      </c>
      <c r="I4325" s="2">
        <v>2.6120050023288E13</v>
      </c>
      <c r="J4325" s="3">
        <v>2.0</v>
      </c>
      <c r="K4325" s="2" t="s">
        <v>17296</v>
      </c>
      <c r="L4325" s="2" t="s">
        <v>17297</v>
      </c>
      <c r="M4325" s="2" t="s">
        <v>409</v>
      </c>
      <c r="N4325" s="2" t="s">
        <v>462</v>
      </c>
      <c r="O4325" s="3"/>
      <c r="P4325" s="2" t="s">
        <v>73</v>
      </c>
      <c r="Q4325" s="3">
        <v>1950.0</v>
      </c>
      <c r="R4325" s="3">
        <v>0.5</v>
      </c>
      <c r="T4325" s="2" t="s">
        <v>15010</v>
      </c>
      <c r="U4325" s="171">
        <v>4999.0</v>
      </c>
      <c r="V4325" s="172">
        <v>46119.0</v>
      </c>
      <c r="W4325" s="3">
        <v>443.04</v>
      </c>
      <c r="X4325" s="172">
        <v>46119.081267581016</v>
      </c>
      <c r="Y4325" s="172">
        <v>46115.97709231482</v>
      </c>
      <c r="Z4325" s="3">
        <v>46115.0</v>
      </c>
      <c r="AA4325" s="2" t="s">
        <v>14041</v>
      </c>
    </row>
    <row r="4326">
      <c r="A4326" s="3">
        <v>6.983553188099E12</v>
      </c>
      <c r="B4326" s="2" t="s">
        <v>17298</v>
      </c>
      <c r="C4326" s="2" t="s">
        <v>17299</v>
      </c>
      <c r="D4326" s="169">
        <v>46115.0</v>
      </c>
      <c r="E4326" s="2">
        <v>3.00153045E9</v>
      </c>
      <c r="F4326" s="2" t="s">
        <v>17300</v>
      </c>
      <c r="G4326" s="2" t="s">
        <v>1323</v>
      </c>
      <c r="H4326" s="2">
        <v>3398.0</v>
      </c>
      <c r="I4326" s="2">
        <v>2.8120050023428E13</v>
      </c>
      <c r="J4326" s="3">
        <v>2.0</v>
      </c>
      <c r="K4326" s="2" t="s">
        <v>17301</v>
      </c>
      <c r="L4326" s="2" t="s">
        <v>275</v>
      </c>
      <c r="M4326" s="2" t="s">
        <v>409</v>
      </c>
      <c r="N4326" s="2" t="s">
        <v>462</v>
      </c>
      <c r="O4326" s="3"/>
      <c r="P4326" s="2" t="s">
        <v>73</v>
      </c>
      <c r="Q4326" s="3">
        <v>800.0</v>
      </c>
      <c r="R4326" s="3">
        <v>0.5</v>
      </c>
      <c r="T4326" s="2" t="s">
        <v>15278</v>
      </c>
      <c r="U4326" s="171">
        <v>3398.0</v>
      </c>
      <c r="V4326" s="172">
        <v>46126.0</v>
      </c>
      <c r="W4326" s="3">
        <v>377.78</v>
      </c>
      <c r="X4326" s="172">
        <v>46124.08158449074</v>
      </c>
      <c r="Y4326" s="172">
        <v>46116.01878341435</v>
      </c>
      <c r="Z4326" s="3">
        <v>46115.0</v>
      </c>
      <c r="AA4326" s="2" t="s">
        <v>14103</v>
      </c>
    </row>
    <row r="4327">
      <c r="A4327" s="3">
        <v>6.983664599299E12</v>
      </c>
      <c r="B4327" s="2" t="s">
        <v>17302</v>
      </c>
      <c r="C4327" s="2" t="s">
        <v>277</v>
      </c>
      <c r="D4327" s="169">
        <v>46116.0</v>
      </c>
      <c r="E4327" s="2">
        <v>3.371279552E9</v>
      </c>
      <c r="F4327" s="2" t="s">
        <v>17303</v>
      </c>
      <c r="G4327" s="2" t="s">
        <v>17304</v>
      </c>
      <c r="H4327" s="2">
        <v>3398.0</v>
      </c>
      <c r="I4327" s="2">
        <v>2.2120050023286E13</v>
      </c>
      <c r="J4327" s="3">
        <v>2.0</v>
      </c>
      <c r="K4327" s="2" t="s">
        <v>204</v>
      </c>
      <c r="L4327" s="2" t="s">
        <v>27</v>
      </c>
      <c r="M4327" s="2" t="s">
        <v>14076</v>
      </c>
      <c r="N4327" s="2" t="s">
        <v>406</v>
      </c>
      <c r="O4327" s="3"/>
      <c r="P4327" s="2" t="s">
        <v>73</v>
      </c>
      <c r="Q4327" s="3">
        <v>720.0</v>
      </c>
      <c r="R4327" s="3">
        <v>0.5</v>
      </c>
      <c r="U4327" s="141"/>
      <c r="X4327" s="172">
        <v>46122.08116810185</v>
      </c>
      <c r="Y4327" s="172">
        <v>46116.0604346412</v>
      </c>
      <c r="Z4327" s="3">
        <v>46116.0</v>
      </c>
      <c r="AA4327" s="2" t="s">
        <v>14053</v>
      </c>
    </row>
    <row r="4328">
      <c r="A4328" s="3">
        <v>6.983671415043E12</v>
      </c>
      <c r="B4328" s="2" t="s">
        <v>17305</v>
      </c>
      <c r="C4328" s="2" t="s">
        <v>4994</v>
      </c>
      <c r="D4328" s="169">
        <v>46116.0</v>
      </c>
      <c r="E4328" s="2">
        <v>3.471926482E9</v>
      </c>
      <c r="F4328" s="2" t="s">
        <v>17306</v>
      </c>
      <c r="G4328" s="2" t="s">
        <v>4425</v>
      </c>
      <c r="H4328" s="2">
        <v>1898.0</v>
      </c>
      <c r="I4328" s="2" t="s">
        <v>17307</v>
      </c>
      <c r="J4328" s="3">
        <v>1.0</v>
      </c>
      <c r="K4328" s="2" t="s">
        <v>17308</v>
      </c>
      <c r="L4328" s="2" t="s">
        <v>17309</v>
      </c>
      <c r="M4328" s="2" t="s">
        <v>409</v>
      </c>
      <c r="N4328" s="2" t="s">
        <v>406</v>
      </c>
      <c r="O4328" s="3"/>
      <c r="P4328" s="2" t="s">
        <v>640</v>
      </c>
      <c r="Q4328" s="3">
        <v>650.0</v>
      </c>
      <c r="R4328" s="3">
        <v>0.5</v>
      </c>
      <c r="U4328" s="141"/>
      <c r="X4328" s="172">
        <v>46123.08340447917</v>
      </c>
      <c r="Y4328" s="172">
        <v>46116.0604346412</v>
      </c>
      <c r="Z4328" s="3">
        <v>46116.0</v>
      </c>
      <c r="AA4328" s="2" t="s">
        <v>14032</v>
      </c>
    </row>
    <row r="4329">
      <c r="A4329" s="3">
        <v>6.983854752003E12</v>
      </c>
      <c r="B4329" s="2" t="s">
        <v>17310</v>
      </c>
      <c r="C4329" s="2" t="s">
        <v>17311</v>
      </c>
      <c r="D4329" s="169">
        <v>46116.0</v>
      </c>
      <c r="E4329" s="2">
        <v>3.219096232E9</v>
      </c>
      <c r="F4329" s="2" t="s">
        <v>17312</v>
      </c>
      <c r="G4329" s="2" t="s">
        <v>781</v>
      </c>
      <c r="H4329" s="2">
        <v>3398.0</v>
      </c>
      <c r="I4329" s="2">
        <v>2.4120050023427E13</v>
      </c>
      <c r="J4329" s="3">
        <v>2.0</v>
      </c>
      <c r="K4329" s="2" t="s">
        <v>17313</v>
      </c>
      <c r="L4329" s="2" t="s">
        <v>296</v>
      </c>
      <c r="M4329" s="2" t="s">
        <v>409</v>
      </c>
      <c r="N4329" s="2" t="s">
        <v>462</v>
      </c>
      <c r="O4329" s="3"/>
      <c r="P4329" s="2" t="s">
        <v>73</v>
      </c>
      <c r="Q4329" s="3">
        <v>720.0</v>
      </c>
      <c r="R4329" s="3">
        <v>0.5</v>
      </c>
      <c r="T4329" s="2" t="s">
        <v>15278</v>
      </c>
      <c r="U4329" s="171">
        <v>3398.0</v>
      </c>
      <c r="V4329" s="172">
        <v>46126.0</v>
      </c>
      <c r="W4329" s="3">
        <v>393.9</v>
      </c>
      <c r="X4329" s="172">
        <v>46126.0812681713</v>
      </c>
      <c r="Y4329" s="172">
        <v>46116.185404606484</v>
      </c>
      <c r="Z4329" s="3">
        <v>46116.0</v>
      </c>
      <c r="AA4329" s="2" t="s">
        <v>14103</v>
      </c>
    </row>
    <row r="4330">
      <c r="A4330" s="3">
        <v>6.983861600515E12</v>
      </c>
      <c r="B4330" s="2" t="s">
        <v>17314</v>
      </c>
      <c r="C4330" s="2" t="s">
        <v>17315</v>
      </c>
      <c r="D4330" s="169">
        <v>46116.0</v>
      </c>
      <c r="E4330" s="2">
        <v>3.224282722E9</v>
      </c>
      <c r="F4330" s="2" t="s">
        <v>17316</v>
      </c>
      <c r="G4330" s="2" t="s">
        <v>368</v>
      </c>
      <c r="H4330" s="2">
        <v>3398.0</v>
      </c>
      <c r="I4330" s="2">
        <v>2.6120050023284E13</v>
      </c>
      <c r="J4330" s="3">
        <v>2.0</v>
      </c>
      <c r="K4330" s="2" t="s">
        <v>17317</v>
      </c>
      <c r="L4330" s="2" t="s">
        <v>22</v>
      </c>
      <c r="M4330" s="2" t="s">
        <v>409</v>
      </c>
      <c r="N4330" s="2" t="s">
        <v>462</v>
      </c>
      <c r="O4330" s="3"/>
      <c r="P4330" s="2" t="s">
        <v>73</v>
      </c>
      <c r="Q4330" s="3">
        <v>800.0</v>
      </c>
      <c r="R4330" s="3">
        <v>0.5</v>
      </c>
      <c r="T4330" s="2" t="s">
        <v>15010</v>
      </c>
      <c r="U4330" s="171">
        <v>3398.0</v>
      </c>
      <c r="V4330" s="172">
        <v>46119.0</v>
      </c>
      <c r="W4330" s="3">
        <v>253.77999999999997</v>
      </c>
      <c r="X4330" s="172">
        <v>46119.0812677662</v>
      </c>
      <c r="Y4330" s="172">
        <v>46116.185404606484</v>
      </c>
      <c r="Z4330" s="3">
        <v>46116.0</v>
      </c>
      <c r="AA4330" s="2" t="s">
        <v>14022</v>
      </c>
    </row>
    <row r="4331">
      <c r="A4331" s="3">
        <v>6.984104706307E12</v>
      </c>
      <c r="B4331" s="2" t="s">
        <v>17318</v>
      </c>
      <c r="C4331" s="2" t="s">
        <v>17319</v>
      </c>
      <c r="D4331" s="169">
        <v>46116.0</v>
      </c>
      <c r="E4331" s="2">
        <v>3.120403029E9</v>
      </c>
      <c r="F4331" s="175" t="s">
        <v>17320</v>
      </c>
      <c r="G4331" s="2" t="s">
        <v>368</v>
      </c>
      <c r="H4331" s="2">
        <v>3398.0</v>
      </c>
      <c r="I4331" s="2">
        <v>2.6120050023348E13</v>
      </c>
      <c r="J4331" s="3">
        <v>2.0</v>
      </c>
      <c r="K4331" s="2" t="s">
        <v>17321</v>
      </c>
      <c r="L4331" s="2" t="s">
        <v>234</v>
      </c>
      <c r="M4331" s="2" t="s">
        <v>409</v>
      </c>
      <c r="N4331" s="2" t="s">
        <v>462</v>
      </c>
      <c r="O4331" s="3"/>
      <c r="P4331" s="2" t="s">
        <v>73</v>
      </c>
      <c r="Q4331" s="3">
        <v>800.0</v>
      </c>
      <c r="R4331" s="3">
        <v>0.5</v>
      </c>
      <c r="T4331" s="2" t="s">
        <v>15356</v>
      </c>
      <c r="U4331" s="171">
        <v>3398.0</v>
      </c>
      <c r="V4331" s="172">
        <v>46122.0</v>
      </c>
      <c r="W4331" s="3">
        <v>264.90999999999997</v>
      </c>
      <c r="X4331" s="172">
        <v>46122.081168171295</v>
      </c>
      <c r="Y4331" s="172">
        <v>46116.39375304398</v>
      </c>
      <c r="Z4331" s="3">
        <v>46116.0</v>
      </c>
      <c r="AA4331" s="2" t="s">
        <v>14103</v>
      </c>
    </row>
    <row r="4332">
      <c r="A4332" s="3">
        <v>6.984116175107E12</v>
      </c>
      <c r="B4332" s="2" t="s">
        <v>17322</v>
      </c>
      <c r="C4332" s="2" t="s">
        <v>247</v>
      </c>
      <c r="D4332" s="169">
        <v>46116.0</v>
      </c>
      <c r="E4332" s="173" t="s">
        <v>11808</v>
      </c>
      <c r="F4332" s="2" t="s">
        <v>17323</v>
      </c>
      <c r="G4332" s="2" t="s">
        <v>506</v>
      </c>
      <c r="H4332" s="2">
        <v>2849.0</v>
      </c>
      <c r="I4332" s="2">
        <v>2.9120050023347E13</v>
      </c>
      <c r="J4332" s="3">
        <v>1.0</v>
      </c>
      <c r="K4332" s="2" t="s">
        <v>17324</v>
      </c>
      <c r="L4332" s="2" t="s">
        <v>1289</v>
      </c>
      <c r="M4332" s="2" t="s">
        <v>409</v>
      </c>
      <c r="N4332" s="2" t="s">
        <v>462</v>
      </c>
      <c r="O4332" s="3"/>
      <c r="P4332" s="2" t="s">
        <v>73</v>
      </c>
      <c r="Q4332" s="3">
        <v>850.0</v>
      </c>
      <c r="R4332" s="3">
        <v>0.5</v>
      </c>
      <c r="T4332" s="2" t="s">
        <v>15356</v>
      </c>
      <c r="U4332" s="171">
        <v>2849.0</v>
      </c>
      <c r="V4332" s="172">
        <v>46122.0</v>
      </c>
      <c r="W4332" s="3">
        <v>355.82000000000005</v>
      </c>
      <c r="X4332" s="172">
        <v>46122.08116818287</v>
      </c>
      <c r="Y4332" s="172">
        <v>46116.435448854165</v>
      </c>
      <c r="Z4332" s="3">
        <v>46116.0</v>
      </c>
      <c r="AA4332" s="2" t="s">
        <v>14032</v>
      </c>
    </row>
    <row r="4333">
      <c r="A4333" s="3">
        <v>6.984220803331E12</v>
      </c>
      <c r="B4333" s="2" t="s">
        <v>17325</v>
      </c>
      <c r="C4333" s="2" t="s">
        <v>11441</v>
      </c>
      <c r="D4333" s="169">
        <v>46116.0</v>
      </c>
      <c r="E4333" s="2">
        <v>3.008460393E9</v>
      </c>
      <c r="F4333" s="2" t="s">
        <v>17326</v>
      </c>
      <c r="G4333" s="2" t="s">
        <v>368</v>
      </c>
      <c r="H4333" s="2">
        <v>299.0</v>
      </c>
      <c r="I4333" s="2">
        <v>2.5120050023283E13</v>
      </c>
      <c r="J4333" s="3">
        <v>0.0</v>
      </c>
      <c r="K4333" s="2" t="s">
        <v>17327</v>
      </c>
      <c r="L4333" s="2"/>
      <c r="M4333" s="170" t="s">
        <v>455</v>
      </c>
      <c r="N4333" s="2" t="s">
        <v>406</v>
      </c>
      <c r="O4333" s="3"/>
      <c r="P4333" s="2" t="s">
        <v>73</v>
      </c>
      <c r="Q4333" s="3">
        <v>0.0</v>
      </c>
      <c r="R4333" s="3">
        <v>0.5</v>
      </c>
      <c r="U4333" s="141"/>
      <c r="W4333" s="3">
        <v>117.86</v>
      </c>
      <c r="X4333" s="172">
        <v>46126.081268368056</v>
      </c>
      <c r="Y4333" s="172">
        <v>46116.51876502315</v>
      </c>
      <c r="Z4333" s="3">
        <v>46116.0</v>
      </c>
      <c r="AA4333" s="2" t="s">
        <v>14032</v>
      </c>
    </row>
    <row r="4334">
      <c r="A4334" s="3">
        <v>6.984222834947E12</v>
      </c>
      <c r="B4334" s="2" t="s">
        <v>17328</v>
      </c>
      <c r="C4334" s="2" t="s">
        <v>5704</v>
      </c>
      <c r="D4334" s="169">
        <v>46116.0</v>
      </c>
      <c r="E4334" s="173" t="s">
        <v>17329</v>
      </c>
      <c r="F4334" s="2" t="s">
        <v>17330</v>
      </c>
      <c r="G4334" s="2" t="s">
        <v>368</v>
      </c>
      <c r="H4334" s="2">
        <v>3398.0</v>
      </c>
      <c r="I4334" s="2">
        <v>2.5120050023426E13</v>
      </c>
      <c r="J4334" s="3">
        <v>2.0</v>
      </c>
      <c r="K4334" s="2" t="s">
        <v>17313</v>
      </c>
      <c r="L4334" s="2" t="s">
        <v>40</v>
      </c>
      <c r="M4334" s="2" t="s">
        <v>409</v>
      </c>
      <c r="N4334" s="2" t="s">
        <v>462</v>
      </c>
      <c r="O4334" s="3"/>
      <c r="P4334" s="2" t="s">
        <v>73</v>
      </c>
      <c r="Q4334" s="3">
        <v>720.0</v>
      </c>
      <c r="R4334" s="3">
        <v>0.5</v>
      </c>
      <c r="T4334" s="2" t="s">
        <v>15278</v>
      </c>
      <c r="U4334" s="171">
        <v>3398.0</v>
      </c>
      <c r="V4334" s="172">
        <v>46126.0</v>
      </c>
      <c r="W4334" s="3">
        <v>264.90999999999997</v>
      </c>
      <c r="X4334" s="172">
        <v>46124.08158903936</v>
      </c>
      <c r="Y4334" s="172">
        <v>46116.51876502315</v>
      </c>
      <c r="Z4334" s="3">
        <v>46116.0</v>
      </c>
      <c r="AA4334" s="2" t="s">
        <v>14103</v>
      </c>
    </row>
    <row r="4335">
      <c r="A4335" s="3">
        <v>6.984237383939E12</v>
      </c>
      <c r="B4335" s="2" t="s">
        <v>17331</v>
      </c>
      <c r="C4335" s="2" t="s">
        <v>17332</v>
      </c>
      <c r="D4335" s="169">
        <v>46116.0</v>
      </c>
      <c r="E4335" s="2">
        <v>3.036379856E9</v>
      </c>
      <c r="F4335" s="2" t="s">
        <v>17333</v>
      </c>
      <c r="G4335" s="2" t="s">
        <v>17334</v>
      </c>
      <c r="H4335" s="2">
        <v>0.0</v>
      </c>
      <c r="I4335" s="2"/>
      <c r="J4335" s="3">
        <v>0.0</v>
      </c>
      <c r="K4335" s="2" t="s">
        <v>17335</v>
      </c>
      <c r="L4335" s="2"/>
      <c r="M4335" s="2" t="s">
        <v>468</v>
      </c>
      <c r="N4335" s="2" t="s">
        <v>406</v>
      </c>
      <c r="O4335" s="3"/>
      <c r="P4335" s="2"/>
      <c r="Q4335" s="3">
        <v>0.0</v>
      </c>
      <c r="R4335" s="3">
        <v>0.5</v>
      </c>
      <c r="U4335" s="141"/>
      <c r="X4335" s="172"/>
      <c r="Y4335" s="172">
        <v>46116.51876502315</v>
      </c>
      <c r="Z4335" s="3">
        <v>46116.0</v>
      </c>
      <c r="AA4335" s="2" t="s">
        <v>14053</v>
      </c>
    </row>
    <row r="4336">
      <c r="A4336" s="3">
        <v>6.984269955331E12</v>
      </c>
      <c r="B4336" s="2" t="s">
        <v>17336</v>
      </c>
      <c r="C4336" s="2" t="s">
        <v>17337</v>
      </c>
      <c r="D4336" s="169">
        <v>46116.0</v>
      </c>
      <c r="E4336" s="2">
        <v>3.166286285E9</v>
      </c>
      <c r="F4336" s="2" t="s">
        <v>17338</v>
      </c>
      <c r="G4336" s="2" t="s">
        <v>17339</v>
      </c>
      <c r="H4336" s="2">
        <v>299.0</v>
      </c>
      <c r="I4336" s="2">
        <v>2.1120050023399E13</v>
      </c>
      <c r="J4336" s="3">
        <v>0.0</v>
      </c>
      <c r="K4336" s="2" t="s">
        <v>204</v>
      </c>
      <c r="L4336" s="2"/>
      <c r="M4336" s="170" t="s">
        <v>455</v>
      </c>
      <c r="N4336" s="2" t="s">
        <v>406</v>
      </c>
      <c r="O4336" s="3"/>
      <c r="P4336" s="2" t="s">
        <v>73</v>
      </c>
      <c r="Q4336" s="3">
        <v>0.0</v>
      </c>
      <c r="R4336" s="3">
        <v>0.5</v>
      </c>
      <c r="U4336" s="141"/>
      <c r="X4336" s="172">
        <v>46130.0812200463</v>
      </c>
      <c r="Y4336" s="172">
        <v>46116.560444675924</v>
      </c>
      <c r="Z4336" s="3">
        <v>46116.0</v>
      </c>
      <c r="AA4336" s="2" t="s">
        <v>14041</v>
      </c>
    </row>
    <row r="4337">
      <c r="A4337" s="3">
        <v>6.984277983491E12</v>
      </c>
      <c r="B4337" s="2" t="s">
        <v>17340</v>
      </c>
      <c r="C4337" s="2" t="s">
        <v>367</v>
      </c>
      <c r="D4337" s="169">
        <v>46116.0</v>
      </c>
      <c r="E4337" s="173" t="s">
        <v>17341</v>
      </c>
      <c r="F4337" s="2" t="s">
        <v>17342</v>
      </c>
      <c r="G4337" s="2" t="s">
        <v>368</v>
      </c>
      <c r="H4337" s="2">
        <v>299.0</v>
      </c>
      <c r="I4337" s="2">
        <v>2.3120050023425E13</v>
      </c>
      <c r="J4337" s="3">
        <v>0.0</v>
      </c>
      <c r="K4337" s="2" t="s">
        <v>369</v>
      </c>
      <c r="L4337" s="2"/>
      <c r="M4337" s="170" t="s">
        <v>455</v>
      </c>
      <c r="N4337" s="2" t="s">
        <v>406</v>
      </c>
      <c r="O4337" s="3"/>
      <c r="P4337" s="2" t="s">
        <v>73</v>
      </c>
      <c r="Q4337" s="3">
        <v>0.0</v>
      </c>
      <c r="R4337" s="3">
        <v>0.5</v>
      </c>
      <c r="U4337" s="141"/>
      <c r="X4337" s="172">
        <v>46131.08100641204</v>
      </c>
      <c r="Y4337" s="172">
        <v>46116.5604446875</v>
      </c>
      <c r="Z4337" s="3">
        <v>46116.0</v>
      </c>
      <c r="AA4337" s="2" t="s">
        <v>14026</v>
      </c>
    </row>
    <row r="4338">
      <c r="A4338" s="3">
        <v>6.984284832003E12</v>
      </c>
      <c r="B4338" s="2" t="s">
        <v>17343</v>
      </c>
      <c r="C4338" s="175" t="s">
        <v>17344</v>
      </c>
      <c r="D4338" s="169">
        <v>46116.0</v>
      </c>
      <c r="E4338" s="173" t="s">
        <v>17345</v>
      </c>
      <c r="F4338" s="175" t="s">
        <v>17346</v>
      </c>
      <c r="G4338" s="175" t="s">
        <v>17347</v>
      </c>
      <c r="H4338" s="2">
        <v>0.0</v>
      </c>
      <c r="I4338" s="2"/>
      <c r="J4338" s="3">
        <v>0.0</v>
      </c>
      <c r="K4338" s="2" t="s">
        <v>17348</v>
      </c>
      <c r="L4338" s="2"/>
      <c r="M4338" s="2" t="s">
        <v>468</v>
      </c>
      <c r="N4338" s="2" t="s">
        <v>406</v>
      </c>
      <c r="O4338" s="3"/>
      <c r="P4338" s="2"/>
      <c r="Q4338" s="3">
        <v>0.0</v>
      </c>
      <c r="R4338" s="3">
        <v>0.5</v>
      </c>
      <c r="U4338" s="141"/>
      <c r="X4338" s="172"/>
      <c r="Y4338" s="172">
        <v>46116.60212300926</v>
      </c>
      <c r="Z4338" s="3">
        <v>46116.0</v>
      </c>
      <c r="AA4338" s="2" t="s">
        <v>14026</v>
      </c>
    </row>
    <row r="4339">
      <c r="A4339" s="3">
        <v>6.984318845187E12</v>
      </c>
      <c r="B4339" s="2" t="s">
        <v>17349</v>
      </c>
      <c r="C4339" s="2" t="s">
        <v>11315</v>
      </c>
      <c r="D4339" s="169">
        <v>46116.0</v>
      </c>
      <c r="E4339" s="173" t="s">
        <v>17350</v>
      </c>
      <c r="F4339" s="2" t="s">
        <v>17351</v>
      </c>
      <c r="G4339" s="2" t="s">
        <v>374</v>
      </c>
      <c r="H4339" s="2">
        <v>1898.0</v>
      </c>
      <c r="I4339" s="2">
        <v>2.0120050023346E13</v>
      </c>
      <c r="J4339" s="3">
        <v>1.0</v>
      </c>
      <c r="K4339" s="2" t="s">
        <v>17352</v>
      </c>
      <c r="L4339" s="2" t="s">
        <v>253</v>
      </c>
      <c r="M4339" s="2" t="s">
        <v>409</v>
      </c>
      <c r="N4339" s="2" t="s">
        <v>462</v>
      </c>
      <c r="O4339" s="3"/>
      <c r="P4339" s="2" t="s">
        <v>73</v>
      </c>
      <c r="Q4339" s="3">
        <v>650.0</v>
      </c>
      <c r="R4339" s="3">
        <v>0.5</v>
      </c>
      <c r="T4339" s="2" t="s">
        <v>15356</v>
      </c>
      <c r="U4339" s="171">
        <v>1898.0</v>
      </c>
      <c r="V4339" s="172">
        <v>46122.0</v>
      </c>
      <c r="W4339" s="3">
        <v>317.78</v>
      </c>
      <c r="X4339" s="172">
        <v>46121.08110469907</v>
      </c>
      <c r="Y4339" s="172">
        <v>46116.60212300926</v>
      </c>
      <c r="Z4339" s="3">
        <v>46116.0</v>
      </c>
      <c r="AA4339" s="2" t="s">
        <v>14032</v>
      </c>
    </row>
    <row r="4340">
      <c r="A4340" s="3">
        <v>6.984349057283E12</v>
      </c>
      <c r="B4340" s="2" t="s">
        <v>17353</v>
      </c>
      <c r="C4340" s="2" t="s">
        <v>17354</v>
      </c>
      <c r="D4340" s="169">
        <v>46116.0</v>
      </c>
      <c r="E4340" s="2">
        <v>3.012211944E9</v>
      </c>
      <c r="F4340" s="2" t="s">
        <v>17355</v>
      </c>
      <c r="G4340" s="2" t="s">
        <v>17356</v>
      </c>
      <c r="H4340" s="2">
        <v>4998.0</v>
      </c>
      <c r="I4340" s="2">
        <v>2.5120050023345E13</v>
      </c>
      <c r="J4340" s="3">
        <v>3.0</v>
      </c>
      <c r="K4340" s="2" t="s">
        <v>17357</v>
      </c>
      <c r="L4340" s="2" t="s">
        <v>17358</v>
      </c>
      <c r="M4340" s="2" t="s">
        <v>409</v>
      </c>
      <c r="N4340" s="2" t="s">
        <v>462</v>
      </c>
      <c r="O4340" s="3"/>
      <c r="P4340" s="2" t="s">
        <v>73</v>
      </c>
      <c r="Q4340" s="3">
        <v>1650.0</v>
      </c>
      <c r="R4340" s="3">
        <v>0.5</v>
      </c>
      <c r="T4340" s="2" t="s">
        <v>15278</v>
      </c>
      <c r="U4340" s="171">
        <v>4998.0</v>
      </c>
      <c r="V4340" s="172">
        <v>46126.0</v>
      </c>
      <c r="W4340" s="3">
        <v>474.03</v>
      </c>
      <c r="X4340" s="172">
        <v>46126.08126939815</v>
      </c>
      <c r="Y4340" s="172">
        <v>46116.64374630787</v>
      </c>
      <c r="Z4340" s="3">
        <v>46116.0</v>
      </c>
      <c r="AA4340" s="2" t="s">
        <v>14022</v>
      </c>
    </row>
    <row r="4341">
      <c r="A4341" s="3">
        <v>6.984364589315E12</v>
      </c>
      <c r="B4341" s="2" t="s">
        <v>17359</v>
      </c>
      <c r="C4341" s="2" t="s">
        <v>17360</v>
      </c>
      <c r="D4341" s="169">
        <v>46116.0</v>
      </c>
      <c r="E4341" s="2">
        <v>3.019158742E9</v>
      </c>
      <c r="F4341" s="2" t="s">
        <v>17361</v>
      </c>
      <c r="G4341" s="2" t="s">
        <v>368</v>
      </c>
      <c r="H4341" s="2">
        <v>3398.0</v>
      </c>
      <c r="I4341" s="2">
        <v>2.0120050023344E13</v>
      </c>
      <c r="J4341" s="3">
        <v>2.0</v>
      </c>
      <c r="K4341" s="2" t="s">
        <v>17321</v>
      </c>
      <c r="L4341" s="2" t="s">
        <v>906</v>
      </c>
      <c r="M4341" s="2" t="s">
        <v>409</v>
      </c>
      <c r="N4341" s="2" t="s">
        <v>462</v>
      </c>
      <c r="O4341" s="3"/>
      <c r="P4341" s="2" t="s">
        <v>73</v>
      </c>
      <c r="Q4341" s="3">
        <v>720.0</v>
      </c>
      <c r="R4341" s="3">
        <v>0.5</v>
      </c>
      <c r="T4341" s="2" t="s">
        <v>15356</v>
      </c>
      <c r="U4341" s="171">
        <v>3398.0</v>
      </c>
      <c r="V4341" s="172">
        <v>46122.0</v>
      </c>
      <c r="W4341" s="3">
        <v>264.90999999999997</v>
      </c>
      <c r="X4341" s="172">
        <v>46121.08110471065</v>
      </c>
      <c r="Y4341" s="172">
        <v>46116.685442789356</v>
      </c>
      <c r="Z4341" s="3">
        <v>46116.0</v>
      </c>
      <c r="AA4341" s="2" t="s">
        <v>14032</v>
      </c>
    </row>
    <row r="4342">
      <c r="A4342" s="3">
        <v>6.984434909443E12</v>
      </c>
      <c r="B4342" s="2" t="s">
        <v>17362</v>
      </c>
      <c r="C4342" s="2" t="s">
        <v>17363</v>
      </c>
      <c r="D4342" s="169">
        <v>46116.0</v>
      </c>
      <c r="E4342" s="2">
        <v>3.452029913E9</v>
      </c>
      <c r="F4342" s="2" t="s">
        <v>17364</v>
      </c>
      <c r="G4342" s="2" t="s">
        <v>17365</v>
      </c>
      <c r="H4342" s="2">
        <v>0.0</v>
      </c>
      <c r="I4342" s="2"/>
      <c r="J4342" s="3">
        <v>0.0</v>
      </c>
      <c r="K4342" s="2" t="s">
        <v>17366</v>
      </c>
      <c r="L4342" s="2"/>
      <c r="M4342" s="2" t="s">
        <v>468</v>
      </c>
      <c r="N4342" s="2" t="s">
        <v>406</v>
      </c>
      <c r="O4342" s="3"/>
      <c r="P4342" s="2"/>
      <c r="Q4342" s="3">
        <v>0.0</v>
      </c>
      <c r="R4342" s="3">
        <v>0.5</v>
      </c>
      <c r="U4342" s="141"/>
      <c r="X4342" s="172"/>
      <c r="Y4342" s="172">
        <v>46116.72711295139</v>
      </c>
      <c r="Z4342" s="3">
        <v>46116.0</v>
      </c>
      <c r="AA4342" s="2" t="s">
        <v>14022</v>
      </c>
    </row>
    <row r="4343">
      <c r="A4343" s="3">
        <v>6.984484258051E12</v>
      </c>
      <c r="B4343" s="2" t="s">
        <v>17367</v>
      </c>
      <c r="C4343" s="2" t="s">
        <v>17368</v>
      </c>
      <c r="D4343" s="169">
        <v>46116.0</v>
      </c>
      <c r="E4343" s="2">
        <v>3.325650356E9</v>
      </c>
      <c r="F4343" s="2" t="s">
        <v>17369</v>
      </c>
      <c r="G4343" s="2" t="s">
        <v>366</v>
      </c>
      <c r="H4343" s="2">
        <v>12850.0</v>
      </c>
      <c r="I4343" s="2">
        <v>2.7120050023378E13</v>
      </c>
      <c r="J4343" s="3">
        <v>7.0</v>
      </c>
      <c r="K4343" s="173" t="s">
        <v>17370</v>
      </c>
      <c r="L4343" s="2" t="s">
        <v>17371</v>
      </c>
      <c r="M4343" s="2" t="s">
        <v>409</v>
      </c>
      <c r="N4343" s="2" t="s">
        <v>462</v>
      </c>
      <c r="O4343" s="3"/>
      <c r="P4343" s="2" t="s">
        <v>73</v>
      </c>
      <c r="Q4343" s="3">
        <v>5825.0</v>
      </c>
      <c r="R4343" s="3">
        <v>0.5</v>
      </c>
      <c r="T4343" s="2" t="s">
        <v>15278</v>
      </c>
      <c r="U4343" s="171">
        <v>12850.0</v>
      </c>
      <c r="V4343" s="172">
        <v>46126.0</v>
      </c>
      <c r="W4343" s="3">
        <v>1118.65</v>
      </c>
      <c r="X4343" s="172">
        <v>46123.081099143514</v>
      </c>
      <c r="Y4343" s="172">
        <v>46116.768773171294</v>
      </c>
      <c r="Z4343" s="3">
        <v>46116.0</v>
      </c>
      <c r="AA4343" s="2" t="s">
        <v>14032</v>
      </c>
    </row>
    <row r="4344">
      <c r="A4344" s="3">
        <v>6.984499462403E12</v>
      </c>
      <c r="B4344" s="2" t="s">
        <v>17372</v>
      </c>
      <c r="C4344" s="2" t="s">
        <v>278</v>
      </c>
      <c r="D4344" s="169">
        <v>46116.0</v>
      </c>
      <c r="E4344" s="2">
        <v>3.3253033E9</v>
      </c>
      <c r="F4344" s="2" t="s">
        <v>17373</v>
      </c>
      <c r="G4344" s="2" t="s">
        <v>366</v>
      </c>
      <c r="H4344" s="2">
        <v>3398.0</v>
      </c>
      <c r="I4344" s="2">
        <v>2.012005002334E13</v>
      </c>
      <c r="J4344" s="3">
        <v>2.0</v>
      </c>
      <c r="K4344" s="2" t="s">
        <v>204</v>
      </c>
      <c r="L4344" s="2" t="s">
        <v>50</v>
      </c>
      <c r="M4344" s="2" t="s">
        <v>14076</v>
      </c>
      <c r="N4344" s="2" t="s">
        <v>406</v>
      </c>
      <c r="O4344" s="3"/>
      <c r="P4344" s="2" t="s">
        <v>73</v>
      </c>
      <c r="Q4344" s="3">
        <v>720.0</v>
      </c>
      <c r="R4344" s="3">
        <v>0.5</v>
      </c>
      <c r="U4344" s="141"/>
      <c r="X4344" s="172">
        <v>46122.081168310186</v>
      </c>
      <c r="Y4344" s="172">
        <v>46116.76877318287</v>
      </c>
      <c r="Z4344" s="3">
        <v>46116.0</v>
      </c>
      <c r="AA4344" s="2" t="s">
        <v>14053</v>
      </c>
    </row>
    <row r="4345">
      <c r="A4345" s="3">
        <v>6.984551399683E12</v>
      </c>
      <c r="B4345" s="2" t="s">
        <v>17374</v>
      </c>
      <c r="C4345" s="2" t="s">
        <v>279</v>
      </c>
      <c r="D4345" s="169">
        <v>46116.0</v>
      </c>
      <c r="E4345" s="173" t="s">
        <v>17375</v>
      </c>
      <c r="F4345" s="2" t="s">
        <v>11774</v>
      </c>
      <c r="G4345" s="2" t="s">
        <v>506</v>
      </c>
      <c r="H4345" s="2">
        <v>4199.0</v>
      </c>
      <c r="I4345" s="2">
        <v>2.3120050023339E13</v>
      </c>
      <c r="J4345" s="3">
        <v>2.0</v>
      </c>
      <c r="K4345" s="2" t="s">
        <v>204</v>
      </c>
      <c r="L4345" s="2" t="s">
        <v>280</v>
      </c>
      <c r="M4345" s="2" t="s">
        <v>14076</v>
      </c>
      <c r="N4345" s="2" t="s">
        <v>406</v>
      </c>
      <c r="O4345" s="3"/>
      <c r="P4345" s="2" t="s">
        <v>73</v>
      </c>
      <c r="Q4345" s="3">
        <v>720.0</v>
      </c>
      <c r="R4345" s="3">
        <v>0.5</v>
      </c>
      <c r="U4345" s="141"/>
      <c r="X4345" s="172">
        <v>46122.08116832176</v>
      </c>
      <c r="Y4345" s="172">
        <v>46116.81041931713</v>
      </c>
      <c r="Z4345" s="3">
        <v>46116.0</v>
      </c>
      <c r="AA4345" s="2" t="s">
        <v>14053</v>
      </c>
    </row>
    <row r="4346">
      <c r="A4346" s="3">
        <v>6.984607138051E12</v>
      </c>
      <c r="B4346" s="2" t="s">
        <v>17376</v>
      </c>
      <c r="C4346" s="2" t="s">
        <v>17377</v>
      </c>
      <c r="D4346" s="169">
        <v>46116.0</v>
      </c>
      <c r="E4346" s="173" t="s">
        <v>17378</v>
      </c>
      <c r="F4346" s="2" t="s">
        <v>17379</v>
      </c>
      <c r="G4346" s="2" t="s">
        <v>368</v>
      </c>
      <c r="H4346" s="2">
        <v>4997.0</v>
      </c>
      <c r="I4346" s="2">
        <v>2.1120050023424E13</v>
      </c>
      <c r="J4346" s="3">
        <v>3.0</v>
      </c>
      <c r="K4346" s="2" t="s">
        <v>17380</v>
      </c>
      <c r="L4346" s="2" t="s">
        <v>17381</v>
      </c>
      <c r="M4346" s="2" t="s">
        <v>409</v>
      </c>
      <c r="N4346" s="2" t="s">
        <v>462</v>
      </c>
      <c r="O4346" s="3"/>
      <c r="P4346" s="2" t="s">
        <v>73</v>
      </c>
      <c r="Q4346" s="3">
        <v>1370.0</v>
      </c>
      <c r="R4346" s="3">
        <v>0.5</v>
      </c>
      <c r="T4346" s="2" t="s">
        <v>15278</v>
      </c>
      <c r="U4346" s="171">
        <v>4997.0</v>
      </c>
      <c r="V4346" s="172">
        <v>46126.0</v>
      </c>
      <c r="W4346" s="3">
        <v>345.0</v>
      </c>
      <c r="X4346" s="172">
        <v>46124.081596759264</v>
      </c>
      <c r="Y4346" s="172">
        <v>46116.85209634259</v>
      </c>
      <c r="Z4346" s="3">
        <v>46116.0</v>
      </c>
      <c r="AA4346" s="2" t="s">
        <v>14032</v>
      </c>
    </row>
    <row r="4347">
      <c r="A4347" s="3">
        <v>6.984691450115E12</v>
      </c>
      <c r="B4347" s="2" t="s">
        <v>17382</v>
      </c>
      <c r="C4347" s="2" t="s">
        <v>17383</v>
      </c>
      <c r="D4347" s="169">
        <v>46116.0</v>
      </c>
      <c r="E4347" s="173" t="s">
        <v>17384</v>
      </c>
      <c r="F4347" s="2" t="s">
        <v>17385</v>
      </c>
      <c r="G4347" s="2" t="s">
        <v>1395</v>
      </c>
      <c r="H4347" s="2">
        <v>3398.0</v>
      </c>
      <c r="I4347" s="2">
        <v>2.1120050023337E13</v>
      </c>
      <c r="J4347" s="3">
        <v>2.0</v>
      </c>
      <c r="K4347" s="2" t="s">
        <v>204</v>
      </c>
      <c r="L4347" s="2" t="s">
        <v>1258</v>
      </c>
      <c r="M4347" s="2" t="s">
        <v>15328</v>
      </c>
      <c r="N4347" s="2" t="s">
        <v>406</v>
      </c>
      <c r="O4347" s="3"/>
      <c r="P4347" s="2" t="s">
        <v>73</v>
      </c>
      <c r="Q4347" s="3">
        <v>800.0</v>
      </c>
      <c r="R4347" s="3">
        <v>0.5</v>
      </c>
      <c r="U4347" s="141"/>
      <c r="X4347" s="172">
        <v>46131.081006458335</v>
      </c>
      <c r="Y4347" s="172">
        <v>46116.893783101856</v>
      </c>
      <c r="Z4347" s="3">
        <v>46116.0</v>
      </c>
      <c r="AA4347" s="2" t="s">
        <v>14103</v>
      </c>
    </row>
    <row r="4348">
      <c r="A4348" s="3">
        <v>6.984901492995E12</v>
      </c>
      <c r="B4348" s="2" t="s">
        <v>17386</v>
      </c>
      <c r="C4348" s="2" t="s">
        <v>281</v>
      </c>
      <c r="D4348" s="169">
        <v>46116.0</v>
      </c>
      <c r="E4348" s="2">
        <v>3.285117117E9</v>
      </c>
      <c r="F4348" s="2" t="s">
        <v>17387</v>
      </c>
      <c r="G4348" s="2" t="s">
        <v>781</v>
      </c>
      <c r="H4348" s="2">
        <v>3398.0</v>
      </c>
      <c r="I4348" s="2">
        <v>2.3120050023336E13</v>
      </c>
      <c r="J4348" s="3">
        <v>2.0</v>
      </c>
      <c r="K4348" s="2" t="s">
        <v>204</v>
      </c>
      <c r="L4348" s="2" t="s">
        <v>27</v>
      </c>
      <c r="M4348" s="2" t="s">
        <v>14076</v>
      </c>
      <c r="N4348" s="2" t="s">
        <v>406</v>
      </c>
      <c r="O4348" s="3"/>
      <c r="P4348" s="2" t="s">
        <v>73</v>
      </c>
      <c r="Q4348" s="3">
        <v>720.0</v>
      </c>
      <c r="R4348" s="3">
        <v>0.5</v>
      </c>
      <c r="U4348" s="141"/>
      <c r="X4348" s="172">
        <v>46122.081168379635</v>
      </c>
      <c r="Y4348" s="172">
        <v>46118.092950543985</v>
      </c>
      <c r="Z4348" s="3">
        <v>46116.0</v>
      </c>
      <c r="AA4348" s="2" t="s">
        <v>14053</v>
      </c>
    </row>
    <row r="4349">
      <c r="A4349" s="3">
        <v>6.984935506179E12</v>
      </c>
      <c r="B4349" s="2" t="s">
        <v>17388</v>
      </c>
      <c r="C4349" s="2" t="s">
        <v>282</v>
      </c>
      <c r="D4349" s="169">
        <v>46116.0</v>
      </c>
      <c r="E4349" s="2">
        <v>3.32531103E9</v>
      </c>
      <c r="F4349" s="2" t="s">
        <v>17389</v>
      </c>
      <c r="G4349" s="2" t="s">
        <v>506</v>
      </c>
      <c r="H4349" s="2">
        <v>3398.0</v>
      </c>
      <c r="I4349" s="2">
        <v>2.1120050023335E13</v>
      </c>
      <c r="J4349" s="3">
        <v>2.0</v>
      </c>
      <c r="K4349" s="2" t="s">
        <v>204</v>
      </c>
      <c r="L4349" s="2" t="s">
        <v>27</v>
      </c>
      <c r="M4349" s="2" t="s">
        <v>14076</v>
      </c>
      <c r="N4349" s="2" t="s">
        <v>406</v>
      </c>
      <c r="O4349" s="3"/>
      <c r="P4349" s="2" t="s">
        <v>73</v>
      </c>
      <c r="Q4349" s="3">
        <v>720.0</v>
      </c>
      <c r="R4349" s="3">
        <v>0.5</v>
      </c>
      <c r="U4349" s="141"/>
      <c r="X4349" s="172">
        <v>46122.081168599536</v>
      </c>
      <c r="Y4349" s="172">
        <v>46118.092950543985</v>
      </c>
      <c r="Z4349" s="3">
        <v>46116.0</v>
      </c>
      <c r="AA4349" s="2" t="s">
        <v>14053</v>
      </c>
    </row>
    <row r="4350">
      <c r="A4350" s="3">
        <v>6.984988721411E12</v>
      </c>
      <c r="B4350" s="2" t="s">
        <v>17390</v>
      </c>
      <c r="C4350" s="2" t="s">
        <v>283</v>
      </c>
      <c r="D4350" s="169">
        <v>46117.0</v>
      </c>
      <c r="E4350" s="2">
        <v>3.18015429E9</v>
      </c>
      <c r="F4350" s="2" t="s">
        <v>15310</v>
      </c>
      <c r="G4350" s="2" t="s">
        <v>506</v>
      </c>
      <c r="H4350" s="2">
        <v>3398.0</v>
      </c>
      <c r="I4350" s="2">
        <v>2.1120050023332E13</v>
      </c>
      <c r="J4350" s="3">
        <v>2.0</v>
      </c>
      <c r="K4350" s="2" t="s">
        <v>204</v>
      </c>
      <c r="L4350" s="2" t="s">
        <v>50</v>
      </c>
      <c r="M4350" s="2" t="s">
        <v>14076</v>
      </c>
      <c r="N4350" s="2" t="s">
        <v>406</v>
      </c>
      <c r="O4350" s="3"/>
      <c r="P4350" s="2" t="s">
        <v>73</v>
      </c>
      <c r="Q4350" s="3">
        <v>720.0</v>
      </c>
      <c r="R4350" s="3">
        <v>0.5</v>
      </c>
      <c r="U4350" s="141"/>
      <c r="X4350" s="172">
        <v>46122.08116862268</v>
      </c>
      <c r="Y4350" s="172">
        <v>46118.092950543985</v>
      </c>
      <c r="Z4350" s="3">
        <v>46117.0</v>
      </c>
      <c r="AA4350" s="2" t="s">
        <v>14032</v>
      </c>
    </row>
    <row r="4351">
      <c r="A4351" s="3">
        <v>6.985008775427E12</v>
      </c>
      <c r="B4351" s="2" t="s">
        <v>166</v>
      </c>
      <c r="C4351" s="175" t="s">
        <v>17391</v>
      </c>
      <c r="D4351" s="169">
        <v>46117.0</v>
      </c>
      <c r="E4351" s="2">
        <v>3.055708979E9</v>
      </c>
      <c r="F4351" s="2" t="s">
        <v>17392</v>
      </c>
      <c r="G4351" s="2" t="s">
        <v>8812</v>
      </c>
      <c r="H4351" s="2">
        <v>299.0</v>
      </c>
      <c r="I4351" s="2">
        <v>2.1120050023398E13</v>
      </c>
      <c r="J4351" s="3">
        <v>0.0</v>
      </c>
      <c r="K4351" s="2" t="s">
        <v>17393</v>
      </c>
      <c r="L4351" s="2"/>
      <c r="M4351" s="170" t="s">
        <v>455</v>
      </c>
      <c r="N4351" s="2" t="s">
        <v>406</v>
      </c>
      <c r="O4351" s="3"/>
      <c r="P4351" s="2" t="s">
        <v>73</v>
      </c>
      <c r="Q4351" s="3">
        <v>0.0</v>
      </c>
      <c r="R4351" s="3">
        <v>0.5</v>
      </c>
      <c r="U4351" s="141"/>
      <c r="W4351" s="3">
        <v>241.86</v>
      </c>
      <c r="X4351" s="172">
        <v>46128.08103780093</v>
      </c>
      <c r="Y4351" s="172">
        <v>46118.092950543985</v>
      </c>
      <c r="Z4351" s="3">
        <v>46117.0</v>
      </c>
      <c r="AA4351" s="2" t="s">
        <v>14022</v>
      </c>
    </row>
    <row r="4352">
      <c r="A4352" s="3">
        <v>6.985142665475E12</v>
      </c>
      <c r="B4352" s="2" t="s">
        <v>17394</v>
      </c>
      <c r="C4352" s="2" t="s">
        <v>284</v>
      </c>
      <c r="D4352" s="169">
        <v>46117.0</v>
      </c>
      <c r="E4352" s="2">
        <v>3.332378124E9</v>
      </c>
      <c r="F4352" s="2" t="s">
        <v>17395</v>
      </c>
      <c r="G4352" s="2" t="s">
        <v>493</v>
      </c>
      <c r="H4352" s="2">
        <v>3398.0</v>
      </c>
      <c r="I4352" s="2">
        <v>2.1120050023331E13</v>
      </c>
      <c r="J4352" s="3">
        <v>2.0</v>
      </c>
      <c r="K4352" s="2" t="s">
        <v>285</v>
      </c>
      <c r="L4352" s="2" t="s">
        <v>27</v>
      </c>
      <c r="M4352" s="2" t="s">
        <v>14076</v>
      </c>
      <c r="N4352" s="2" t="s">
        <v>406</v>
      </c>
      <c r="O4352" s="3"/>
      <c r="P4352" s="2" t="s">
        <v>73</v>
      </c>
      <c r="Q4352" s="3">
        <v>720.0</v>
      </c>
      <c r="R4352" s="3">
        <v>0.5</v>
      </c>
      <c r="U4352" s="141"/>
      <c r="X4352" s="172">
        <v>46122.08116864583</v>
      </c>
      <c r="Y4352" s="172">
        <v>46118.092950543985</v>
      </c>
      <c r="Z4352" s="3">
        <v>46117.0</v>
      </c>
      <c r="AA4352" s="2" t="s">
        <v>14032</v>
      </c>
    </row>
    <row r="4353">
      <c r="A4353" s="3">
        <v>6.985169338627E12</v>
      </c>
      <c r="B4353" s="2" t="s">
        <v>165</v>
      </c>
      <c r="C4353" s="2" t="s">
        <v>17396</v>
      </c>
      <c r="D4353" s="169">
        <v>46117.0</v>
      </c>
      <c r="E4353" s="2">
        <v>3.254764468E9</v>
      </c>
      <c r="F4353" s="2" t="s">
        <v>17397</v>
      </c>
      <c r="G4353" s="2" t="s">
        <v>366</v>
      </c>
      <c r="H4353" s="2">
        <v>299.0</v>
      </c>
      <c r="I4353" s="2">
        <v>2.912005002333E13</v>
      </c>
      <c r="J4353" s="3">
        <v>0.0</v>
      </c>
      <c r="K4353" s="2" t="s">
        <v>17398</v>
      </c>
      <c r="L4353" s="2"/>
      <c r="M4353" s="170" t="s">
        <v>455</v>
      </c>
      <c r="N4353" s="2" t="s">
        <v>406</v>
      </c>
      <c r="O4353" s="3"/>
      <c r="P4353" s="2" t="s">
        <v>73</v>
      </c>
      <c r="Q4353" s="3">
        <v>0.0</v>
      </c>
      <c r="R4353" s="3">
        <v>0.5</v>
      </c>
      <c r="U4353" s="141"/>
      <c r="W4353" s="3">
        <v>241.86</v>
      </c>
      <c r="X4353" s="172">
        <v>46129.0810346412</v>
      </c>
      <c r="Y4353" s="172">
        <v>46118.092950543985</v>
      </c>
      <c r="Z4353" s="3">
        <v>46117.0</v>
      </c>
      <c r="AA4353" s="2" t="s">
        <v>14032</v>
      </c>
    </row>
    <row r="4354">
      <c r="A4354" s="3">
        <v>6.985202696451E12</v>
      </c>
      <c r="B4354" s="2" t="s">
        <v>17399</v>
      </c>
      <c r="C4354" s="2" t="s">
        <v>17400</v>
      </c>
      <c r="D4354" s="169">
        <v>46117.0</v>
      </c>
      <c r="E4354" s="2">
        <v>3.008246841E9</v>
      </c>
      <c r="F4354" s="2" t="s">
        <v>17401</v>
      </c>
      <c r="G4354" s="2" t="s">
        <v>493</v>
      </c>
      <c r="H4354" s="2">
        <v>1898.0</v>
      </c>
      <c r="I4354" s="2">
        <v>2.6120050023329E13</v>
      </c>
      <c r="J4354" s="3">
        <v>1.0</v>
      </c>
      <c r="K4354" s="2" t="s">
        <v>17402</v>
      </c>
      <c r="L4354" s="2" t="s">
        <v>17077</v>
      </c>
      <c r="M4354" s="2" t="s">
        <v>409</v>
      </c>
      <c r="N4354" s="2" t="s">
        <v>462</v>
      </c>
      <c r="O4354" s="3"/>
      <c r="P4354" s="2" t="s">
        <v>73</v>
      </c>
      <c r="Q4354" s="3">
        <v>650.0</v>
      </c>
      <c r="R4354" s="3">
        <v>0.5</v>
      </c>
      <c r="T4354" s="2" t="s">
        <v>15356</v>
      </c>
      <c r="U4354" s="171">
        <v>1898.0</v>
      </c>
      <c r="V4354" s="172">
        <v>46122.0</v>
      </c>
      <c r="W4354" s="3">
        <v>333.9</v>
      </c>
      <c r="X4354" s="172">
        <v>46121.08110476852</v>
      </c>
      <c r="Y4354" s="172">
        <v>46118.092950543985</v>
      </c>
      <c r="Z4354" s="3">
        <v>46117.0</v>
      </c>
      <c r="AA4354" s="2" t="s">
        <v>14103</v>
      </c>
    </row>
    <row r="4355">
      <c r="A4355" s="3">
        <v>6.985331310851E12</v>
      </c>
      <c r="B4355" s="2" t="s">
        <v>17403</v>
      </c>
      <c r="C4355" s="2" t="s">
        <v>286</v>
      </c>
      <c r="D4355" s="169">
        <v>46117.0</v>
      </c>
      <c r="E4355" s="2">
        <v>3.218666978E9</v>
      </c>
      <c r="F4355" s="2" t="s">
        <v>17404</v>
      </c>
      <c r="G4355" s="2" t="s">
        <v>374</v>
      </c>
      <c r="H4355" s="2">
        <v>3398.0</v>
      </c>
      <c r="I4355" s="2">
        <v>2.6120050023328E13</v>
      </c>
      <c r="J4355" s="3">
        <v>2.0</v>
      </c>
      <c r="K4355" s="2" t="s">
        <v>223</v>
      </c>
      <c r="L4355" s="2" t="s">
        <v>27</v>
      </c>
      <c r="M4355" s="2" t="s">
        <v>14076</v>
      </c>
      <c r="N4355" s="2" t="s">
        <v>406</v>
      </c>
      <c r="O4355" s="3"/>
      <c r="P4355" s="2" t="s">
        <v>73</v>
      </c>
      <c r="Q4355" s="3">
        <v>720.0</v>
      </c>
      <c r="R4355" s="3">
        <v>0.5</v>
      </c>
      <c r="U4355" s="141"/>
      <c r="X4355" s="172">
        <v>46122.08116886574</v>
      </c>
      <c r="Y4355" s="172">
        <v>46118.092950555554</v>
      </c>
      <c r="Z4355" s="3">
        <v>46117.0</v>
      </c>
      <c r="AA4355" s="2" t="s">
        <v>14032</v>
      </c>
    </row>
    <row r="4356">
      <c r="A4356" s="3">
        <v>6.985458974979E12</v>
      </c>
      <c r="B4356" s="2" t="s">
        <v>17405</v>
      </c>
      <c r="C4356" s="2" t="s">
        <v>17406</v>
      </c>
      <c r="D4356" s="169">
        <v>46117.0</v>
      </c>
      <c r="E4356" s="2">
        <v>3.348676217E9</v>
      </c>
      <c r="F4356" s="2" t="s">
        <v>17407</v>
      </c>
      <c r="G4356" s="2" t="s">
        <v>2807</v>
      </c>
      <c r="H4356" s="2">
        <v>3149.0</v>
      </c>
      <c r="I4356" s="2" t="s">
        <v>17408</v>
      </c>
      <c r="J4356" s="3">
        <v>2.0</v>
      </c>
      <c r="K4356" s="2" t="s">
        <v>241</v>
      </c>
      <c r="L4356" s="2" t="s">
        <v>926</v>
      </c>
      <c r="M4356" s="2" t="s">
        <v>409</v>
      </c>
      <c r="N4356" s="2" t="s">
        <v>406</v>
      </c>
      <c r="O4356" s="3"/>
      <c r="P4356" s="2" t="s">
        <v>640</v>
      </c>
      <c r="Q4356" s="3">
        <v>980.0</v>
      </c>
      <c r="R4356" s="3">
        <v>0.5</v>
      </c>
      <c r="U4356" s="141"/>
      <c r="X4356" s="172">
        <v>46127.08343560185</v>
      </c>
      <c r="Y4356" s="172">
        <v>46118.092950555554</v>
      </c>
      <c r="Z4356" s="3">
        <v>46117.0</v>
      </c>
      <c r="AA4356" s="2" t="s">
        <v>14103</v>
      </c>
    </row>
    <row r="4357">
      <c r="A4357" s="3">
        <v>6.985462612227E12</v>
      </c>
      <c r="B4357" s="2" t="s">
        <v>17409</v>
      </c>
      <c r="C4357" s="2" t="s">
        <v>266</v>
      </c>
      <c r="D4357" s="169">
        <v>46117.0</v>
      </c>
      <c r="E4357" s="2">
        <v>3.142163962E9</v>
      </c>
      <c r="F4357" s="2" t="s">
        <v>17410</v>
      </c>
      <c r="G4357" s="2" t="s">
        <v>493</v>
      </c>
      <c r="H4357" s="2">
        <v>0.0</v>
      </c>
      <c r="I4357" s="2"/>
      <c r="J4357" s="3">
        <v>0.0</v>
      </c>
      <c r="K4357" s="2" t="s">
        <v>8446</v>
      </c>
      <c r="L4357" s="2"/>
      <c r="M4357" s="2" t="s">
        <v>468</v>
      </c>
      <c r="N4357" s="2" t="s">
        <v>406</v>
      </c>
      <c r="O4357" s="3"/>
      <c r="P4357" s="2"/>
      <c r="Q4357" s="3">
        <v>0.0</v>
      </c>
      <c r="R4357" s="3">
        <v>0.5</v>
      </c>
      <c r="U4357" s="141"/>
      <c r="X4357" s="172"/>
      <c r="Y4357" s="172">
        <v>46118.092950555554</v>
      </c>
      <c r="Z4357" s="3">
        <v>46117.0</v>
      </c>
      <c r="AA4357" s="2" t="s">
        <v>14032</v>
      </c>
    </row>
    <row r="4358">
      <c r="A4358" s="3">
        <v>6.985463595267E12</v>
      </c>
      <c r="B4358" s="2" t="s">
        <v>17411</v>
      </c>
      <c r="C4358" s="2" t="s">
        <v>17412</v>
      </c>
      <c r="D4358" s="169">
        <v>46117.0</v>
      </c>
      <c r="E4358" s="2">
        <v>3.02456721E9</v>
      </c>
      <c r="F4358" s="2" t="s">
        <v>17413</v>
      </c>
      <c r="G4358" s="2" t="s">
        <v>688</v>
      </c>
      <c r="H4358" s="2">
        <v>0.0</v>
      </c>
      <c r="I4358" s="2"/>
      <c r="J4358" s="3">
        <v>0.0</v>
      </c>
      <c r="K4358" s="2" t="s">
        <v>17414</v>
      </c>
      <c r="L4358" s="2"/>
      <c r="M4358" s="2" t="s">
        <v>468</v>
      </c>
      <c r="N4358" s="2" t="s">
        <v>406</v>
      </c>
      <c r="O4358" s="3"/>
      <c r="P4358" s="2"/>
      <c r="Q4358" s="3">
        <v>0.0</v>
      </c>
      <c r="R4358" s="3">
        <v>0.5</v>
      </c>
      <c r="U4358" s="141"/>
      <c r="X4358" s="172"/>
      <c r="Y4358" s="172">
        <v>46118.092950555554</v>
      </c>
      <c r="Z4358" s="3">
        <v>46117.0</v>
      </c>
      <c r="AA4358" s="2" t="s">
        <v>14032</v>
      </c>
    </row>
    <row r="4359">
      <c r="A4359" s="3">
        <v>6.985570517251E12</v>
      </c>
      <c r="B4359" s="2" t="s">
        <v>17415</v>
      </c>
      <c r="C4359" s="2" t="s">
        <v>17416</v>
      </c>
      <c r="D4359" s="169">
        <v>46117.0</v>
      </c>
      <c r="E4359" s="2">
        <v>3.128539607E9</v>
      </c>
      <c r="F4359" s="2" t="s">
        <v>17417</v>
      </c>
      <c r="G4359" s="2" t="s">
        <v>366</v>
      </c>
      <c r="H4359" s="2">
        <v>3149.0</v>
      </c>
      <c r="I4359" s="2">
        <v>2.3120050023327E13</v>
      </c>
      <c r="J4359" s="3">
        <v>2.0</v>
      </c>
      <c r="K4359" s="2" t="s">
        <v>17418</v>
      </c>
      <c r="L4359" s="2" t="s">
        <v>16</v>
      </c>
      <c r="M4359" s="2" t="s">
        <v>409</v>
      </c>
      <c r="N4359" s="2" t="s">
        <v>462</v>
      </c>
      <c r="O4359" s="3"/>
      <c r="P4359" s="2" t="s">
        <v>73</v>
      </c>
      <c r="Q4359" s="3">
        <v>980.0</v>
      </c>
      <c r="R4359" s="3">
        <v>0.5</v>
      </c>
      <c r="T4359" s="2" t="s">
        <v>15356</v>
      </c>
      <c r="U4359" s="171">
        <v>3149.0</v>
      </c>
      <c r="V4359" s="172">
        <v>46122.0</v>
      </c>
      <c r="W4359" s="3">
        <v>367.82000000000005</v>
      </c>
      <c r="X4359" s="172">
        <v>46122.08116914352</v>
      </c>
      <c r="Y4359" s="172">
        <v>46118.092950555554</v>
      </c>
      <c r="Z4359" s="3">
        <v>46117.0</v>
      </c>
      <c r="AA4359" s="2" t="s">
        <v>14022</v>
      </c>
    </row>
    <row r="4360">
      <c r="A4360" s="3">
        <v>6.985601810691E12</v>
      </c>
      <c r="B4360" s="2" t="s">
        <v>17419</v>
      </c>
      <c r="C4360" s="2" t="s">
        <v>17420</v>
      </c>
      <c r="D4360" s="169">
        <v>46117.0</v>
      </c>
      <c r="E4360" s="2">
        <v>3.33078886E9</v>
      </c>
      <c r="F4360" s="2" t="s">
        <v>17421</v>
      </c>
      <c r="G4360" s="2" t="s">
        <v>506</v>
      </c>
      <c r="H4360" s="2">
        <v>1898.0</v>
      </c>
      <c r="I4360" s="2">
        <v>2.4120050023326E13</v>
      </c>
      <c r="J4360" s="3">
        <v>1.0</v>
      </c>
      <c r="K4360" s="2" t="s">
        <v>17402</v>
      </c>
      <c r="L4360" s="2" t="s">
        <v>17077</v>
      </c>
      <c r="M4360" s="2" t="s">
        <v>409</v>
      </c>
      <c r="N4360" s="2" t="s">
        <v>462</v>
      </c>
      <c r="O4360" s="3"/>
      <c r="P4360" s="2" t="s">
        <v>73</v>
      </c>
      <c r="Q4360" s="3">
        <v>650.0</v>
      </c>
      <c r="R4360" s="3">
        <v>0.5</v>
      </c>
      <c r="T4360" s="2" t="s">
        <v>15356</v>
      </c>
      <c r="U4360" s="171">
        <v>1898.0</v>
      </c>
      <c r="V4360" s="172">
        <v>46122.0</v>
      </c>
      <c r="W4360" s="3">
        <v>317.78</v>
      </c>
      <c r="X4360" s="172">
        <v>46121.081104791665</v>
      </c>
      <c r="Y4360" s="172">
        <v>46118.092950555554</v>
      </c>
      <c r="Z4360" s="3">
        <v>46117.0</v>
      </c>
      <c r="AA4360" s="2" t="s">
        <v>14103</v>
      </c>
    </row>
    <row r="4361">
      <c r="A4361" s="3">
        <v>6.985604333827E12</v>
      </c>
      <c r="B4361" s="2" t="s">
        <v>164</v>
      </c>
      <c r="C4361" s="2" t="s">
        <v>17422</v>
      </c>
      <c r="D4361" s="169">
        <v>46117.0</v>
      </c>
      <c r="E4361" s="2">
        <v>3.109324794E9</v>
      </c>
      <c r="F4361" s="2" t="s">
        <v>17423</v>
      </c>
      <c r="G4361" s="2" t="s">
        <v>506</v>
      </c>
      <c r="H4361" s="2">
        <v>299.0</v>
      </c>
      <c r="I4361" s="2">
        <v>2.1120050023325E13</v>
      </c>
      <c r="J4361" s="3">
        <v>0.0</v>
      </c>
      <c r="K4361" s="2" t="s">
        <v>17424</v>
      </c>
      <c r="L4361" s="2"/>
      <c r="M4361" s="170" t="s">
        <v>455</v>
      </c>
      <c r="N4361" s="2" t="s">
        <v>406</v>
      </c>
      <c r="O4361" s="3"/>
      <c r="P4361" s="2" t="s">
        <v>73</v>
      </c>
      <c r="Q4361" s="3">
        <v>0.0</v>
      </c>
      <c r="R4361" s="3">
        <v>0.5</v>
      </c>
      <c r="U4361" s="141"/>
      <c r="W4361" s="3">
        <v>241.86</v>
      </c>
      <c r="X4361" s="172">
        <v>46129.081034664356</v>
      </c>
      <c r="Y4361" s="172">
        <v>46118.092950555554</v>
      </c>
      <c r="Z4361" s="3">
        <v>46117.0</v>
      </c>
      <c r="AA4361" s="2" t="s">
        <v>14022</v>
      </c>
    </row>
    <row r="4362">
      <c r="A4362" s="3">
        <v>6.985625927939E12</v>
      </c>
      <c r="B4362" s="2" t="s">
        <v>17425</v>
      </c>
      <c r="C4362" s="2" t="s">
        <v>17426</v>
      </c>
      <c r="D4362" s="169">
        <v>46117.0</v>
      </c>
      <c r="E4362" s="2">
        <v>3.04240404E9</v>
      </c>
      <c r="F4362" s="2" t="s">
        <v>17427</v>
      </c>
      <c r="G4362" s="2" t="s">
        <v>2543</v>
      </c>
      <c r="H4362" s="2">
        <v>7548.0</v>
      </c>
      <c r="I4362" s="2">
        <v>2.0120050023324E13</v>
      </c>
      <c r="J4362" s="3">
        <v>5.0</v>
      </c>
      <c r="K4362" s="2" t="s">
        <v>17428</v>
      </c>
      <c r="L4362" s="2" t="s">
        <v>17429</v>
      </c>
      <c r="M4362" s="2" t="s">
        <v>409</v>
      </c>
      <c r="N4362" s="2" t="s">
        <v>462</v>
      </c>
      <c r="O4362" s="3"/>
      <c r="P4362" s="2" t="s">
        <v>73</v>
      </c>
      <c r="Q4362" s="3">
        <v>2350.0</v>
      </c>
      <c r="R4362" s="3">
        <v>0.5</v>
      </c>
      <c r="T4362" s="2" t="s">
        <v>15356</v>
      </c>
      <c r="U4362" s="171">
        <v>7548.0</v>
      </c>
      <c r="V4362" s="172">
        <v>46122.0</v>
      </c>
      <c r="W4362" s="3">
        <v>680.83</v>
      </c>
      <c r="X4362" s="172">
        <v>46120.08116666667</v>
      </c>
      <c r="Y4362" s="172">
        <v>46118.092950555554</v>
      </c>
      <c r="Z4362" s="3">
        <v>46117.0</v>
      </c>
      <c r="AA4362" s="2" t="s">
        <v>14032</v>
      </c>
    </row>
    <row r="4363">
      <c r="A4363" s="3">
        <v>6.985645261059E12</v>
      </c>
      <c r="B4363" s="2" t="s">
        <v>17430</v>
      </c>
      <c r="C4363" s="2" t="s">
        <v>287</v>
      </c>
      <c r="D4363" s="169">
        <v>46117.0</v>
      </c>
      <c r="E4363" s="2">
        <v>3.405504836E9</v>
      </c>
      <c r="F4363" s="2" t="s">
        <v>17431</v>
      </c>
      <c r="G4363" s="2" t="s">
        <v>3148</v>
      </c>
      <c r="H4363" s="2">
        <v>3398.0</v>
      </c>
      <c r="I4363" s="2">
        <v>2.1120050023323E13</v>
      </c>
      <c r="J4363" s="3">
        <v>2.0</v>
      </c>
      <c r="K4363" s="2" t="s">
        <v>204</v>
      </c>
      <c r="L4363" s="2" t="s">
        <v>27</v>
      </c>
      <c r="M4363" s="2" t="s">
        <v>14076</v>
      </c>
      <c r="N4363" s="2" t="s">
        <v>406</v>
      </c>
      <c r="O4363" s="3"/>
      <c r="P4363" s="2" t="s">
        <v>73</v>
      </c>
      <c r="Q4363" s="3">
        <v>720.0</v>
      </c>
      <c r="R4363" s="3">
        <v>0.5</v>
      </c>
      <c r="U4363" s="141"/>
      <c r="X4363" s="172">
        <v>46122.08116916667</v>
      </c>
      <c r="Y4363" s="172">
        <v>46118.092950555554</v>
      </c>
      <c r="Z4363" s="3">
        <v>46117.0</v>
      </c>
      <c r="AA4363" s="2" t="s">
        <v>14053</v>
      </c>
    </row>
    <row r="4364">
      <c r="A4364" s="3">
        <v>6.985675079939E12</v>
      </c>
      <c r="B4364" s="2" t="s">
        <v>17432</v>
      </c>
      <c r="C4364" s="2" t="s">
        <v>17433</v>
      </c>
      <c r="D4364" s="169">
        <v>46117.0</v>
      </c>
      <c r="E4364" s="2">
        <v>3.0576531E9</v>
      </c>
      <c r="F4364" s="2" t="s">
        <v>17434</v>
      </c>
      <c r="G4364" s="2" t="s">
        <v>368</v>
      </c>
      <c r="H4364" s="2">
        <v>1499.0</v>
      </c>
      <c r="I4364" s="2">
        <v>2.2120050023322E13</v>
      </c>
      <c r="J4364" s="3">
        <v>1.0</v>
      </c>
      <c r="K4364" s="2" t="s">
        <v>17435</v>
      </c>
      <c r="L4364" s="2" t="s">
        <v>17436</v>
      </c>
      <c r="M4364" s="2" t="s">
        <v>409</v>
      </c>
      <c r="N4364" s="2" t="s">
        <v>462</v>
      </c>
      <c r="O4364" s="3"/>
      <c r="P4364" s="2" t="s">
        <v>73</v>
      </c>
      <c r="Q4364" s="3">
        <v>550.0</v>
      </c>
      <c r="R4364" s="3">
        <v>0.5</v>
      </c>
      <c r="T4364" s="2" t="s">
        <v>15356</v>
      </c>
      <c r="U4364" s="171">
        <v>1499.0</v>
      </c>
      <c r="V4364" s="172">
        <v>46122.0</v>
      </c>
      <c r="W4364" s="3">
        <v>188.95</v>
      </c>
      <c r="X4364" s="172">
        <v>46121.08110480324</v>
      </c>
      <c r="Y4364" s="172">
        <v>46118.092950555554</v>
      </c>
      <c r="Z4364" s="3">
        <v>46117.0</v>
      </c>
      <c r="AA4364" s="2" t="s">
        <v>14022</v>
      </c>
    </row>
    <row r="4365">
      <c r="A4365" s="3">
        <v>6.985687236867E12</v>
      </c>
      <c r="B4365" s="2" t="s">
        <v>17437</v>
      </c>
      <c r="C4365" s="2" t="s">
        <v>17438</v>
      </c>
      <c r="D4365" s="169">
        <v>46117.0</v>
      </c>
      <c r="E4365" s="2">
        <v>3.008281982E9</v>
      </c>
      <c r="F4365" s="2" t="s">
        <v>17439</v>
      </c>
      <c r="G4365" s="2" t="s">
        <v>17440</v>
      </c>
      <c r="H4365" s="2">
        <v>4997.0</v>
      </c>
      <c r="I4365" s="2">
        <v>1.73012441589E11</v>
      </c>
      <c r="J4365" s="3">
        <v>3.0</v>
      </c>
      <c r="K4365" s="2" t="s">
        <v>204</v>
      </c>
      <c r="L4365" s="2" t="s">
        <v>17441</v>
      </c>
      <c r="M4365" s="2" t="s">
        <v>409</v>
      </c>
      <c r="N4365" s="2" t="s">
        <v>406</v>
      </c>
      <c r="O4365" s="3"/>
      <c r="P4365" s="2" t="s">
        <v>501</v>
      </c>
      <c r="Q4365" s="3">
        <v>1370.0</v>
      </c>
      <c r="R4365" s="3">
        <v>0.5</v>
      </c>
      <c r="U4365" s="141"/>
      <c r="X4365" s="172">
        <v>46126.08341641204</v>
      </c>
      <c r="Y4365" s="172">
        <v>46118.092950555554</v>
      </c>
      <c r="Z4365" s="3">
        <v>46117.0</v>
      </c>
      <c r="AA4365" s="2" t="s">
        <v>14032</v>
      </c>
    </row>
    <row r="4366">
      <c r="A4366" s="3">
        <v>6.985704210691E12</v>
      </c>
      <c r="B4366" s="2" t="s">
        <v>17442</v>
      </c>
      <c r="C4366" s="2" t="s">
        <v>17443</v>
      </c>
      <c r="D4366" s="169">
        <v>46117.0</v>
      </c>
      <c r="E4366" s="2">
        <v>3.125166422E9</v>
      </c>
      <c r="F4366" s="2" t="s">
        <v>17444</v>
      </c>
      <c r="G4366" s="2" t="s">
        <v>17445</v>
      </c>
      <c r="H4366" s="2">
        <v>3398.0</v>
      </c>
      <c r="I4366" s="2">
        <v>2.9120050023321E13</v>
      </c>
      <c r="J4366" s="3">
        <v>2.0</v>
      </c>
      <c r="K4366" s="2" t="s">
        <v>17321</v>
      </c>
      <c r="L4366" s="2" t="s">
        <v>1116</v>
      </c>
      <c r="M4366" s="2" t="s">
        <v>409</v>
      </c>
      <c r="N4366" s="2" t="s">
        <v>462</v>
      </c>
      <c r="O4366" s="3"/>
      <c r="P4366" s="2" t="s">
        <v>73</v>
      </c>
      <c r="Q4366" s="3">
        <v>800.0</v>
      </c>
      <c r="R4366" s="3">
        <v>0.5</v>
      </c>
      <c r="T4366" s="2" t="s">
        <v>15356</v>
      </c>
      <c r="U4366" s="171">
        <v>3398.0</v>
      </c>
      <c r="V4366" s="172">
        <v>46122.0</v>
      </c>
      <c r="W4366" s="3">
        <v>393.9</v>
      </c>
      <c r="X4366" s="172">
        <v>46121.08110481482</v>
      </c>
      <c r="Y4366" s="172">
        <v>46118.092950555554</v>
      </c>
      <c r="Z4366" s="3">
        <v>46117.0</v>
      </c>
      <c r="AA4366" s="2" t="s">
        <v>14032</v>
      </c>
    </row>
    <row r="4367">
      <c r="A4367" s="3">
        <v>6.985713189123E12</v>
      </c>
      <c r="B4367" s="2" t="s">
        <v>17446</v>
      </c>
      <c r="C4367" s="2" t="s">
        <v>288</v>
      </c>
      <c r="D4367" s="169">
        <v>46117.0</v>
      </c>
      <c r="E4367" s="2">
        <v>3.33740228E9</v>
      </c>
      <c r="F4367" s="2" t="s">
        <v>17447</v>
      </c>
      <c r="G4367" s="2" t="s">
        <v>6165</v>
      </c>
      <c r="H4367" s="2">
        <v>2249.0</v>
      </c>
      <c r="I4367" s="2">
        <v>2.112005002332E13</v>
      </c>
      <c r="J4367" s="3">
        <v>1.0</v>
      </c>
      <c r="K4367" s="2" t="s">
        <v>204</v>
      </c>
      <c r="L4367" s="2" t="s">
        <v>243</v>
      </c>
      <c r="M4367" s="2" t="s">
        <v>14076</v>
      </c>
      <c r="N4367" s="2" t="s">
        <v>406</v>
      </c>
      <c r="O4367" s="3"/>
      <c r="P4367" s="2" t="s">
        <v>73</v>
      </c>
      <c r="Q4367" s="3">
        <v>360.0</v>
      </c>
      <c r="R4367" s="3">
        <v>0.5</v>
      </c>
      <c r="U4367" s="141"/>
      <c r="X4367" s="172">
        <v>46122.081169212965</v>
      </c>
      <c r="Y4367" s="172">
        <v>46118.092950555554</v>
      </c>
      <c r="Z4367" s="3">
        <v>46117.0</v>
      </c>
      <c r="AA4367" s="2" t="s">
        <v>14032</v>
      </c>
    </row>
    <row r="4368">
      <c r="A4368" s="3">
        <v>6.985713647875E12</v>
      </c>
      <c r="B4368" s="2" t="s">
        <v>17448</v>
      </c>
      <c r="C4368" s="2" t="s">
        <v>17449</v>
      </c>
      <c r="D4368" s="169">
        <v>46117.0</v>
      </c>
      <c r="E4368" s="2">
        <v>3.11185213E9</v>
      </c>
      <c r="F4368" s="2" t="s">
        <v>17450</v>
      </c>
      <c r="G4368" s="2" t="s">
        <v>17451</v>
      </c>
      <c r="H4368" s="2">
        <v>3398.0</v>
      </c>
      <c r="I4368" s="2"/>
      <c r="J4368" s="3">
        <v>2.0</v>
      </c>
      <c r="K4368" s="2" t="s">
        <v>204</v>
      </c>
      <c r="L4368" s="2" t="s">
        <v>27</v>
      </c>
      <c r="M4368" s="2" t="s">
        <v>406</v>
      </c>
      <c r="N4368" s="2" t="s">
        <v>406</v>
      </c>
      <c r="O4368" s="3"/>
      <c r="P4368" s="2"/>
      <c r="Q4368" s="3">
        <v>720.0</v>
      </c>
      <c r="R4368" s="3">
        <v>0.5</v>
      </c>
      <c r="U4368" s="141"/>
      <c r="X4368" s="172"/>
      <c r="Y4368" s="172">
        <v>46118.092950694445</v>
      </c>
      <c r="Z4368" s="3">
        <v>46117.0</v>
      </c>
      <c r="AA4368" s="2" t="s">
        <v>14032</v>
      </c>
    </row>
    <row r="4369">
      <c r="A4369" s="3">
        <v>6.985715253507E12</v>
      </c>
      <c r="B4369" s="2" t="s">
        <v>17452</v>
      </c>
      <c r="C4369" s="2" t="s">
        <v>17449</v>
      </c>
      <c r="D4369" s="169">
        <v>46117.0</v>
      </c>
      <c r="E4369" s="2">
        <v>3.11185213E9</v>
      </c>
      <c r="F4369" s="2" t="s">
        <v>17453</v>
      </c>
      <c r="G4369" s="2" t="s">
        <v>855</v>
      </c>
      <c r="H4369" s="2">
        <v>0.0</v>
      </c>
      <c r="I4369" s="2"/>
      <c r="J4369" s="3">
        <v>0.0</v>
      </c>
      <c r="K4369" s="2" t="s">
        <v>8446</v>
      </c>
      <c r="L4369" s="2"/>
      <c r="M4369" s="2" t="s">
        <v>468</v>
      </c>
      <c r="N4369" s="2" t="s">
        <v>406</v>
      </c>
      <c r="O4369" s="3"/>
      <c r="P4369" s="2"/>
      <c r="Q4369" s="3">
        <v>0.0</v>
      </c>
      <c r="R4369" s="3">
        <v>0.5</v>
      </c>
      <c r="U4369" s="141"/>
      <c r="X4369" s="172"/>
      <c r="Y4369" s="172">
        <v>46118.092950694445</v>
      </c>
      <c r="Z4369" s="3">
        <v>46117.0</v>
      </c>
      <c r="AA4369" s="2" t="s">
        <v>14032</v>
      </c>
    </row>
    <row r="4370">
      <c r="A4370" s="3">
        <v>6.985790062851E12</v>
      </c>
      <c r="B4370" s="2" t="s">
        <v>17454</v>
      </c>
      <c r="C4370" s="2" t="s">
        <v>17455</v>
      </c>
      <c r="D4370" s="169">
        <v>46117.0</v>
      </c>
      <c r="E4370" s="2">
        <v>3.55423935E9</v>
      </c>
      <c r="F4370" s="2" t="s">
        <v>17456</v>
      </c>
      <c r="G4370" s="2" t="s">
        <v>1180</v>
      </c>
      <c r="H4370" s="2">
        <v>1499.0</v>
      </c>
      <c r="I4370" s="2"/>
      <c r="J4370" s="3">
        <v>1.0</v>
      </c>
      <c r="K4370" s="2" t="s">
        <v>204</v>
      </c>
      <c r="L4370" s="2" t="s">
        <v>255</v>
      </c>
      <c r="M4370" s="2" t="s">
        <v>406</v>
      </c>
      <c r="N4370" s="2" t="s">
        <v>406</v>
      </c>
      <c r="O4370" s="3"/>
      <c r="P4370" s="2"/>
      <c r="Q4370" s="3">
        <v>550.0</v>
      </c>
      <c r="R4370" s="3">
        <v>0.5</v>
      </c>
      <c r="U4370" s="141"/>
      <c r="X4370" s="172"/>
      <c r="Y4370" s="172">
        <v>46118.092950694445</v>
      </c>
      <c r="Z4370" s="3">
        <v>46117.0</v>
      </c>
      <c r="AA4370" s="2" t="s">
        <v>14032</v>
      </c>
    </row>
    <row r="4371">
      <c r="A4371" s="3">
        <v>6.985824010499E12</v>
      </c>
      <c r="B4371" s="2" t="s">
        <v>17457</v>
      </c>
      <c r="C4371" s="2" t="s">
        <v>17458</v>
      </c>
      <c r="D4371" s="169">
        <v>46117.0</v>
      </c>
      <c r="E4371" s="173" t="s">
        <v>17459</v>
      </c>
      <c r="F4371" s="2" t="s">
        <v>17460</v>
      </c>
      <c r="G4371" s="2" t="s">
        <v>368</v>
      </c>
      <c r="H4371" s="2">
        <v>3398.0</v>
      </c>
      <c r="I4371" s="2">
        <v>2.6120050023423E13</v>
      </c>
      <c r="J4371" s="3">
        <v>2.0</v>
      </c>
      <c r="K4371" s="2" t="s">
        <v>17313</v>
      </c>
      <c r="L4371" s="2" t="s">
        <v>275</v>
      </c>
      <c r="M4371" s="2" t="s">
        <v>409</v>
      </c>
      <c r="N4371" s="2" t="s">
        <v>462</v>
      </c>
      <c r="O4371" s="3"/>
      <c r="P4371" s="2" t="s">
        <v>73</v>
      </c>
      <c r="Q4371" s="3">
        <v>800.0</v>
      </c>
      <c r="R4371" s="3">
        <v>0.5</v>
      </c>
      <c r="T4371" s="2" t="s">
        <v>15278</v>
      </c>
      <c r="U4371" s="171">
        <v>3398.0</v>
      </c>
      <c r="V4371" s="172">
        <v>46126.0</v>
      </c>
      <c r="W4371" s="3">
        <v>264.90999999999997</v>
      </c>
      <c r="X4371" s="172">
        <v>46124.08171853009</v>
      </c>
      <c r="Y4371" s="172">
        <v>46118.092950694445</v>
      </c>
      <c r="Z4371" s="3">
        <v>46117.0</v>
      </c>
      <c r="AA4371" s="2" t="s">
        <v>14032</v>
      </c>
    </row>
    <row r="4372">
      <c r="A4372" s="3">
        <v>6.985852059907E12</v>
      </c>
      <c r="B4372" s="2" t="s">
        <v>17461</v>
      </c>
      <c r="C4372" s="2" t="s">
        <v>17462</v>
      </c>
      <c r="D4372" s="169">
        <v>46117.0</v>
      </c>
      <c r="E4372" s="2">
        <v>3.214800833E9</v>
      </c>
      <c r="F4372" s="2" t="s">
        <v>17463</v>
      </c>
      <c r="G4372" s="2" t="s">
        <v>368</v>
      </c>
      <c r="H4372" s="2">
        <v>4997.0</v>
      </c>
      <c r="I4372" s="2">
        <v>2.8120050023318E13</v>
      </c>
      <c r="J4372" s="3">
        <v>3.0</v>
      </c>
      <c r="K4372" s="2" t="s">
        <v>17464</v>
      </c>
      <c r="L4372" s="2" t="s">
        <v>16708</v>
      </c>
      <c r="M4372" s="2" t="s">
        <v>409</v>
      </c>
      <c r="N4372" s="2" t="s">
        <v>462</v>
      </c>
      <c r="O4372" s="3"/>
      <c r="P4372" s="2" t="s">
        <v>73</v>
      </c>
      <c r="Q4372" s="3">
        <v>1450.0</v>
      </c>
      <c r="R4372" s="3">
        <v>0.5</v>
      </c>
      <c r="T4372" s="2" t="s">
        <v>15356</v>
      </c>
      <c r="U4372" s="171">
        <v>4997.0</v>
      </c>
      <c r="V4372" s="172">
        <v>46122.0</v>
      </c>
      <c r="W4372" s="3">
        <v>345.0</v>
      </c>
      <c r="X4372" s="172">
        <v>46121.081104826386</v>
      </c>
      <c r="Y4372" s="172">
        <v>46118.092950694445</v>
      </c>
      <c r="Z4372" s="3">
        <v>46117.0</v>
      </c>
      <c r="AA4372" s="2" t="s">
        <v>14053</v>
      </c>
    </row>
    <row r="4373">
      <c r="A4373" s="3">
        <v>6.985890038019E12</v>
      </c>
      <c r="B4373" s="2" t="s">
        <v>17465</v>
      </c>
      <c r="C4373" s="2" t="s">
        <v>17466</v>
      </c>
      <c r="D4373" s="169">
        <v>46117.0</v>
      </c>
      <c r="E4373" s="2">
        <v>3.21404048E9</v>
      </c>
      <c r="F4373" s="2" t="s">
        <v>17467</v>
      </c>
      <c r="G4373" s="2" t="s">
        <v>368</v>
      </c>
      <c r="H4373" s="2">
        <v>0.0</v>
      </c>
      <c r="I4373" s="2"/>
      <c r="J4373" s="3">
        <v>0.0</v>
      </c>
      <c r="K4373" s="2" t="s">
        <v>17468</v>
      </c>
      <c r="L4373" s="2"/>
      <c r="M4373" s="2" t="s">
        <v>468</v>
      </c>
      <c r="N4373" s="2" t="s">
        <v>406</v>
      </c>
      <c r="O4373" s="3"/>
      <c r="P4373" s="2"/>
      <c r="Q4373" s="3">
        <v>0.0</v>
      </c>
      <c r="R4373" s="3">
        <v>0.5</v>
      </c>
      <c r="U4373" s="141"/>
      <c r="X4373" s="172"/>
      <c r="Y4373" s="172">
        <v>46118.092950694445</v>
      </c>
      <c r="Z4373" s="3">
        <v>46117.0</v>
      </c>
      <c r="AA4373" s="2" t="s">
        <v>14103</v>
      </c>
    </row>
    <row r="4374">
      <c r="A4374" s="3">
        <v>6.985922380035E12</v>
      </c>
      <c r="B4374" s="2" t="s">
        <v>163</v>
      </c>
      <c r="C4374" s="2" t="s">
        <v>17469</v>
      </c>
      <c r="D4374" s="169">
        <v>46117.0</v>
      </c>
      <c r="E4374" s="2">
        <v>3.24641964E9</v>
      </c>
      <c r="F4374" s="175" t="s">
        <v>17470</v>
      </c>
      <c r="G4374" s="175" t="s">
        <v>17471</v>
      </c>
      <c r="H4374" s="2">
        <v>0.0</v>
      </c>
      <c r="I4374" s="2">
        <v>2.4120050023422E13</v>
      </c>
      <c r="J4374" s="3">
        <v>0.0</v>
      </c>
      <c r="K4374" s="2" t="s">
        <v>17472</v>
      </c>
      <c r="L4374" s="2"/>
      <c r="M4374" s="170" t="s">
        <v>455</v>
      </c>
      <c r="N4374" s="2" t="s">
        <v>406</v>
      </c>
      <c r="O4374" s="3"/>
      <c r="P4374" s="2" t="s">
        <v>73</v>
      </c>
      <c r="Q4374" s="3">
        <v>0.0</v>
      </c>
      <c r="R4374" s="3">
        <v>0.5</v>
      </c>
      <c r="U4374" s="141"/>
      <c r="W4374" s="3">
        <v>378.90999999999997</v>
      </c>
      <c r="X4374" s="172">
        <v>46129.08103469908</v>
      </c>
      <c r="Y4374" s="172">
        <v>46118.092950694445</v>
      </c>
      <c r="Z4374" s="3">
        <v>46117.0</v>
      </c>
      <c r="AA4374" s="2" t="s">
        <v>14032</v>
      </c>
    </row>
    <row r="4375">
      <c r="A4375" s="3">
        <v>6.985923363075E12</v>
      </c>
      <c r="B4375" s="2" t="s">
        <v>17473</v>
      </c>
      <c r="C4375" s="2" t="s">
        <v>6523</v>
      </c>
      <c r="D4375" s="169">
        <v>46117.0</v>
      </c>
      <c r="E4375" s="2">
        <v>3.45484059E9</v>
      </c>
      <c r="F4375" s="2" t="s">
        <v>17474</v>
      </c>
      <c r="G4375" s="2" t="s">
        <v>672</v>
      </c>
      <c r="H4375" s="2">
        <v>3149.0</v>
      </c>
      <c r="I4375" s="2">
        <v>2.7120050023316E13</v>
      </c>
      <c r="J4375" s="3">
        <v>2.0</v>
      </c>
      <c r="K4375" s="2" t="s">
        <v>17418</v>
      </c>
      <c r="L4375" s="2" t="s">
        <v>16</v>
      </c>
      <c r="M4375" s="2" t="s">
        <v>409</v>
      </c>
      <c r="N4375" s="2" t="s">
        <v>462</v>
      </c>
      <c r="O4375" s="3"/>
      <c r="P4375" s="2" t="s">
        <v>73</v>
      </c>
      <c r="Q4375" s="3">
        <v>980.0</v>
      </c>
      <c r="R4375" s="3">
        <v>0.5</v>
      </c>
      <c r="T4375" s="2" t="s">
        <v>15356</v>
      </c>
      <c r="U4375" s="171">
        <v>3149.0</v>
      </c>
      <c r="V4375" s="172">
        <v>46122.0</v>
      </c>
      <c r="W4375" s="3">
        <v>383.94000000000005</v>
      </c>
      <c r="X4375" s="172">
        <v>46122.08116927084</v>
      </c>
      <c r="Y4375" s="172">
        <v>46118.092950694445</v>
      </c>
      <c r="Z4375" s="3">
        <v>46117.0</v>
      </c>
      <c r="AA4375" s="2" t="s">
        <v>14032</v>
      </c>
    </row>
    <row r="4376">
      <c r="A4376" s="3">
        <v>6.985938501891E12</v>
      </c>
      <c r="B4376" s="2" t="s">
        <v>17475</v>
      </c>
      <c r="C4376" s="2" t="s">
        <v>1336</v>
      </c>
      <c r="D4376" s="169">
        <v>46117.0</v>
      </c>
      <c r="E4376" s="2">
        <v>3.284503951E9</v>
      </c>
      <c r="F4376" s="2" t="s">
        <v>17476</v>
      </c>
      <c r="G4376" s="2" t="s">
        <v>368</v>
      </c>
      <c r="H4376" s="2">
        <v>299.0</v>
      </c>
      <c r="I4376" s="2">
        <v>2.5120050023315E13</v>
      </c>
      <c r="J4376" s="3">
        <v>0.0</v>
      </c>
      <c r="K4376" s="2" t="s">
        <v>17477</v>
      </c>
      <c r="L4376" s="2"/>
      <c r="M4376" s="170" t="s">
        <v>455</v>
      </c>
      <c r="N4376" s="2" t="s">
        <v>406</v>
      </c>
      <c r="O4376" s="3"/>
      <c r="P4376" s="2" t="s">
        <v>73</v>
      </c>
      <c r="Q4376" s="3">
        <v>0.0</v>
      </c>
      <c r="R4376" s="3">
        <v>0.5</v>
      </c>
      <c r="U4376" s="141"/>
      <c r="W4376" s="3">
        <v>128.99</v>
      </c>
      <c r="X4376" s="172">
        <v>46126.081279872684</v>
      </c>
      <c r="Y4376" s="172">
        <v>46118.092950694445</v>
      </c>
      <c r="Z4376" s="3">
        <v>46117.0</v>
      </c>
      <c r="AA4376" s="2" t="s">
        <v>14032</v>
      </c>
    </row>
    <row r="4377">
      <c r="A4377" s="3">
        <v>6.985963143427E12</v>
      </c>
      <c r="B4377" s="2" t="s">
        <v>17478</v>
      </c>
      <c r="C4377" s="2" t="s">
        <v>17112</v>
      </c>
      <c r="D4377" s="169">
        <v>46117.0</v>
      </c>
      <c r="E4377" s="173" t="s">
        <v>17479</v>
      </c>
      <c r="F4377" s="2" t="s">
        <v>17480</v>
      </c>
      <c r="G4377" s="2" t="s">
        <v>4425</v>
      </c>
      <c r="H4377" s="2">
        <v>2149.0</v>
      </c>
      <c r="I4377" s="2">
        <v>2.8120050023314E13</v>
      </c>
      <c r="J4377" s="3">
        <v>1.0</v>
      </c>
      <c r="K4377" s="2" t="s">
        <v>17481</v>
      </c>
      <c r="L4377" s="2" t="s">
        <v>3222</v>
      </c>
      <c r="M4377" s="2" t="s">
        <v>409</v>
      </c>
      <c r="N4377" s="2" t="s">
        <v>462</v>
      </c>
      <c r="O4377" s="3"/>
      <c r="P4377" s="2" t="s">
        <v>73</v>
      </c>
      <c r="Q4377" s="3">
        <v>490.0</v>
      </c>
      <c r="R4377" s="3">
        <v>0.5</v>
      </c>
      <c r="T4377" s="2" t="s">
        <v>15356</v>
      </c>
      <c r="U4377" s="171">
        <v>2149.0</v>
      </c>
      <c r="V4377" s="172">
        <v>46122.0</v>
      </c>
      <c r="W4377" s="3">
        <v>343.94000000000005</v>
      </c>
      <c r="X4377" s="172">
        <v>46122.08116929398</v>
      </c>
      <c r="Y4377" s="172">
        <v>46118.092950694445</v>
      </c>
      <c r="Z4377" s="3">
        <v>46117.0</v>
      </c>
      <c r="AA4377" s="2" t="s">
        <v>14103</v>
      </c>
    </row>
    <row r="4378">
      <c r="A4378" s="3">
        <v>6.986048307459E12</v>
      </c>
      <c r="B4378" s="2" t="s">
        <v>17482</v>
      </c>
      <c r="C4378" s="2" t="s">
        <v>289</v>
      </c>
      <c r="D4378" s="169">
        <v>46117.0</v>
      </c>
      <c r="E4378" s="2">
        <v>3.006253632E9</v>
      </c>
      <c r="F4378" s="2" t="s">
        <v>17483</v>
      </c>
      <c r="G4378" s="2" t="s">
        <v>993</v>
      </c>
      <c r="H4378" s="2">
        <v>5049.0</v>
      </c>
      <c r="I4378" s="2">
        <v>2.1120050023313E13</v>
      </c>
      <c r="J4378" s="3">
        <v>3.0</v>
      </c>
      <c r="K4378" s="2" t="s">
        <v>290</v>
      </c>
      <c r="L4378" s="2" t="s">
        <v>291</v>
      </c>
      <c r="M4378" s="2" t="s">
        <v>14076</v>
      </c>
      <c r="N4378" s="2" t="s">
        <v>406</v>
      </c>
      <c r="O4378" s="3"/>
      <c r="P4378" s="2" t="s">
        <v>73</v>
      </c>
      <c r="Q4378" s="3">
        <v>1245.0</v>
      </c>
      <c r="R4378" s="3">
        <v>0.5</v>
      </c>
      <c r="U4378" s="141"/>
      <c r="X4378" s="172">
        <v>46122.08116931713</v>
      </c>
      <c r="Y4378" s="172">
        <v>46118.092950694445</v>
      </c>
      <c r="Z4378" s="3">
        <v>46117.0</v>
      </c>
      <c r="AA4378" s="2" t="s">
        <v>14032</v>
      </c>
    </row>
    <row r="4379">
      <c r="A4379" s="3">
        <v>6.986080026883E12</v>
      </c>
      <c r="B4379" s="2" t="s">
        <v>17484</v>
      </c>
      <c r="C4379" s="2" t="s">
        <v>17485</v>
      </c>
      <c r="D4379" s="169">
        <v>46117.0</v>
      </c>
      <c r="E4379" s="2">
        <v>3.10457101E9</v>
      </c>
      <c r="F4379" s="2" t="s">
        <v>17486</v>
      </c>
      <c r="G4379" s="2" t="s">
        <v>368</v>
      </c>
      <c r="H4379" s="2">
        <v>4049.0</v>
      </c>
      <c r="I4379" s="2">
        <v>2.4120050023421E13</v>
      </c>
      <c r="J4379" s="3">
        <v>2.0</v>
      </c>
      <c r="K4379" s="2" t="s">
        <v>17487</v>
      </c>
      <c r="L4379" s="2" t="s">
        <v>17488</v>
      </c>
      <c r="M4379" s="2" t="s">
        <v>409</v>
      </c>
      <c r="N4379" s="2" t="s">
        <v>462</v>
      </c>
      <c r="O4379" s="3"/>
      <c r="P4379" s="2" t="s">
        <v>73</v>
      </c>
      <c r="Q4379" s="3">
        <v>720.0</v>
      </c>
      <c r="R4379" s="3">
        <v>0.5</v>
      </c>
      <c r="T4379" s="2" t="s">
        <v>15278</v>
      </c>
      <c r="U4379" s="171">
        <v>4049.0</v>
      </c>
      <c r="V4379" s="172">
        <v>46126.0</v>
      </c>
      <c r="W4379" s="3">
        <v>290.95000000000005</v>
      </c>
      <c r="X4379" s="172">
        <v>46124.081725104166</v>
      </c>
      <c r="Y4379" s="172">
        <v>46118.092950694445</v>
      </c>
      <c r="Z4379" s="3">
        <v>46117.0</v>
      </c>
      <c r="AA4379" s="2" t="s">
        <v>14053</v>
      </c>
    </row>
    <row r="4380">
      <c r="A4380" s="3">
        <v>6.986083860739E12</v>
      </c>
      <c r="B4380" s="2" t="s">
        <v>17489</v>
      </c>
      <c r="C4380" s="2" t="s">
        <v>17485</v>
      </c>
      <c r="D4380" s="169">
        <v>46117.0</v>
      </c>
      <c r="E4380" s="2">
        <v>3.014730317E9</v>
      </c>
      <c r="F4380" s="2" t="s">
        <v>17490</v>
      </c>
      <c r="G4380" s="2" t="s">
        <v>17491</v>
      </c>
      <c r="H4380" s="2">
        <v>0.0</v>
      </c>
      <c r="I4380" s="2"/>
      <c r="J4380" s="3">
        <v>0.0</v>
      </c>
      <c r="K4380" s="2" t="s">
        <v>17492</v>
      </c>
      <c r="L4380" s="2"/>
      <c r="M4380" s="2" t="s">
        <v>468</v>
      </c>
      <c r="N4380" s="2" t="s">
        <v>406</v>
      </c>
      <c r="O4380" s="3"/>
      <c r="P4380" s="2"/>
      <c r="Q4380" s="3">
        <v>0.0</v>
      </c>
      <c r="R4380" s="3">
        <v>0.5</v>
      </c>
      <c r="U4380" s="141"/>
      <c r="X4380" s="172"/>
      <c r="Y4380" s="172">
        <v>46118.092950694445</v>
      </c>
      <c r="Z4380" s="3">
        <v>46117.0</v>
      </c>
      <c r="AA4380" s="2" t="s">
        <v>14053</v>
      </c>
    </row>
    <row r="4381">
      <c r="A4381" s="3">
        <v>6.986102833411E12</v>
      </c>
      <c r="B4381" s="2" t="s">
        <v>17493</v>
      </c>
      <c r="C4381" s="2" t="s">
        <v>17494</v>
      </c>
      <c r="D4381" s="169">
        <v>46117.0</v>
      </c>
      <c r="E4381" s="2">
        <v>3.479371009E9</v>
      </c>
      <c r="F4381" s="2" t="s">
        <v>17495</v>
      </c>
      <c r="G4381" s="2" t="s">
        <v>506</v>
      </c>
      <c r="H4381" s="2">
        <v>0.0</v>
      </c>
      <c r="I4381" s="2"/>
      <c r="J4381" s="3">
        <v>0.0</v>
      </c>
      <c r="K4381" s="2" t="s">
        <v>8446</v>
      </c>
      <c r="L4381" s="2"/>
      <c r="M4381" s="2" t="s">
        <v>468</v>
      </c>
      <c r="N4381" s="2" t="s">
        <v>406</v>
      </c>
      <c r="O4381" s="3"/>
      <c r="P4381" s="2"/>
      <c r="Q4381" s="3">
        <v>0.0</v>
      </c>
      <c r="R4381" s="3">
        <v>0.5</v>
      </c>
      <c r="U4381" s="141"/>
      <c r="X4381" s="172"/>
      <c r="Y4381" s="172">
        <v>46118.092950694445</v>
      </c>
      <c r="Z4381" s="3">
        <v>46117.0</v>
      </c>
      <c r="AA4381" s="2" t="s">
        <v>14032</v>
      </c>
    </row>
    <row r="4382">
      <c r="A4382" s="3">
        <v>6.986139304195E12</v>
      </c>
      <c r="B4382" s="2" t="s">
        <v>17496</v>
      </c>
      <c r="C4382" s="2" t="s">
        <v>17497</v>
      </c>
      <c r="D4382" s="169">
        <v>46117.0</v>
      </c>
      <c r="E4382" s="2">
        <v>3.005371833E9</v>
      </c>
      <c r="F4382" s="2" t="s">
        <v>17498</v>
      </c>
      <c r="G4382" s="2" t="s">
        <v>17499</v>
      </c>
      <c r="H4382" s="2">
        <v>3398.0</v>
      </c>
      <c r="I4382" s="2">
        <v>2.612005002342E13</v>
      </c>
      <c r="J4382" s="3">
        <v>2.0</v>
      </c>
      <c r="K4382" s="2" t="s">
        <v>17500</v>
      </c>
      <c r="L4382" s="2" t="s">
        <v>228</v>
      </c>
      <c r="M4382" s="2" t="s">
        <v>409</v>
      </c>
      <c r="N4382" s="2" t="s">
        <v>462</v>
      </c>
      <c r="O4382" s="3"/>
      <c r="P4382" s="2" t="s">
        <v>73</v>
      </c>
      <c r="Q4382" s="3">
        <v>720.0</v>
      </c>
      <c r="R4382" s="3">
        <v>0.5</v>
      </c>
      <c r="T4382" s="2" t="s">
        <v>15278</v>
      </c>
      <c r="U4382" s="171">
        <v>3398.0</v>
      </c>
      <c r="V4382" s="172">
        <v>46126.0</v>
      </c>
      <c r="W4382" s="3">
        <v>377.78</v>
      </c>
      <c r="X4382" s="172">
        <v>46124.08172795139</v>
      </c>
      <c r="Y4382" s="172">
        <v>46118.092950694445</v>
      </c>
      <c r="Z4382" s="3">
        <v>46117.0</v>
      </c>
      <c r="AA4382" s="2" t="s">
        <v>14032</v>
      </c>
    </row>
    <row r="4383">
      <c r="A4383" s="3">
        <v>6.986158047491E12</v>
      </c>
      <c r="B4383" s="2" t="s">
        <v>145</v>
      </c>
      <c r="C4383" s="2" t="s">
        <v>17501</v>
      </c>
      <c r="D4383" s="169">
        <v>46117.0</v>
      </c>
      <c r="E4383" s="2">
        <v>3.408481852E9</v>
      </c>
      <c r="F4383" s="2" t="s">
        <v>17502</v>
      </c>
      <c r="G4383" s="2" t="s">
        <v>366</v>
      </c>
      <c r="H4383" s="2">
        <v>2249.0</v>
      </c>
      <c r="I4383" s="2">
        <v>2.2120050023342E13</v>
      </c>
      <c r="J4383" s="3">
        <v>1.0</v>
      </c>
      <c r="K4383" s="2" t="s">
        <v>17503</v>
      </c>
      <c r="L4383" s="2" t="s">
        <v>16135</v>
      </c>
      <c r="M4383" s="2" t="s">
        <v>409</v>
      </c>
      <c r="N4383" s="2" t="s">
        <v>462</v>
      </c>
      <c r="O4383" s="3"/>
      <c r="P4383" s="2" t="s">
        <v>73</v>
      </c>
      <c r="Q4383" s="3">
        <v>360.0</v>
      </c>
      <c r="R4383" s="3">
        <v>0.5</v>
      </c>
      <c r="T4383" s="2" t="s">
        <v>72</v>
      </c>
      <c r="U4383" s="171">
        <v>2249.0</v>
      </c>
      <c r="V4383" s="172">
        <v>46129.0</v>
      </c>
      <c r="W4383" s="3">
        <v>331.82000000000005</v>
      </c>
      <c r="X4383" s="172">
        <v>46128.0810380787</v>
      </c>
      <c r="Y4383" s="172">
        <v>46118.09295070602</v>
      </c>
      <c r="Z4383" s="3">
        <v>46117.0</v>
      </c>
      <c r="AA4383" s="2" t="s">
        <v>14022</v>
      </c>
    </row>
    <row r="4384">
      <c r="A4384" s="3">
        <v>6.986246029571E12</v>
      </c>
      <c r="B4384" s="2" t="s">
        <v>17504</v>
      </c>
      <c r="C4384" s="2" t="s">
        <v>17505</v>
      </c>
      <c r="D4384" s="169">
        <v>46118.0</v>
      </c>
      <c r="E4384" s="2">
        <v>3.030601008E9</v>
      </c>
      <c r="F4384" s="2" t="s">
        <v>17506</v>
      </c>
      <c r="G4384" s="2" t="s">
        <v>368</v>
      </c>
      <c r="H4384" s="2">
        <v>3149.0</v>
      </c>
      <c r="I4384" s="2">
        <v>2.3120050023311E13</v>
      </c>
      <c r="J4384" s="3">
        <v>2.0</v>
      </c>
      <c r="K4384" s="2" t="s">
        <v>17418</v>
      </c>
      <c r="L4384" s="2" t="s">
        <v>35</v>
      </c>
      <c r="M4384" s="2" t="s">
        <v>409</v>
      </c>
      <c r="N4384" s="2" t="s">
        <v>462</v>
      </c>
      <c r="O4384" s="3"/>
      <c r="P4384" s="2" t="s">
        <v>73</v>
      </c>
      <c r="Q4384" s="3">
        <v>980.0</v>
      </c>
      <c r="R4384" s="3">
        <v>0.5</v>
      </c>
      <c r="T4384" s="2" t="s">
        <v>15356</v>
      </c>
      <c r="U4384" s="171">
        <v>3149.0</v>
      </c>
      <c r="V4384" s="172">
        <v>46122.0</v>
      </c>
      <c r="W4384" s="3">
        <v>254.95</v>
      </c>
      <c r="X4384" s="172">
        <v>46120.08120361112</v>
      </c>
      <c r="Y4384" s="172">
        <v>46118.09295070602</v>
      </c>
      <c r="Z4384" s="3">
        <v>46118.0</v>
      </c>
      <c r="AA4384" s="2" t="s">
        <v>14032</v>
      </c>
    </row>
    <row r="4385">
      <c r="A4385" s="3">
        <v>6.986389750019E12</v>
      </c>
      <c r="B4385" s="2" t="s">
        <v>17507</v>
      </c>
      <c r="C4385" s="2" t="s">
        <v>17508</v>
      </c>
      <c r="D4385" s="169">
        <v>46118.0</v>
      </c>
      <c r="E4385" s="2">
        <v>3.019889101E9</v>
      </c>
      <c r="F4385" s="2" t="s">
        <v>17509</v>
      </c>
      <c r="G4385" s="2" t="s">
        <v>781</v>
      </c>
      <c r="H4385" s="2">
        <v>3449.0</v>
      </c>
      <c r="I4385" s="2">
        <v>2.9120050023497E13</v>
      </c>
      <c r="J4385" s="3">
        <v>2.0</v>
      </c>
      <c r="K4385" s="2" t="s">
        <v>17510</v>
      </c>
      <c r="L4385" s="2" t="s">
        <v>17511</v>
      </c>
      <c r="M4385" s="2" t="s">
        <v>409</v>
      </c>
      <c r="N4385" s="2" t="s">
        <v>462</v>
      </c>
      <c r="O4385" s="3"/>
      <c r="P4385" s="2" t="s">
        <v>73</v>
      </c>
      <c r="Q4385" s="3">
        <v>910.0</v>
      </c>
      <c r="R4385" s="3">
        <v>0.5</v>
      </c>
      <c r="T4385" s="2" t="s">
        <v>15278</v>
      </c>
      <c r="U4385" s="171">
        <v>3449.0</v>
      </c>
      <c r="V4385" s="172">
        <v>46126.0</v>
      </c>
      <c r="W4385" s="3">
        <v>395.94000000000005</v>
      </c>
      <c r="X4385" s="172">
        <v>46126.08128087963</v>
      </c>
      <c r="Y4385" s="172">
        <v>46119.09298918981</v>
      </c>
      <c r="Z4385" s="3">
        <v>46118.0</v>
      </c>
      <c r="AA4385" s="2" t="s">
        <v>14053</v>
      </c>
    </row>
    <row r="4386">
      <c r="A4386" s="3">
        <v>6.986517479683E12</v>
      </c>
      <c r="B4386" s="2" t="s">
        <v>17512</v>
      </c>
      <c r="C4386" s="2" t="s">
        <v>17513</v>
      </c>
      <c r="D4386" s="169">
        <v>46118.0</v>
      </c>
      <c r="E4386" s="2">
        <v>3.70611837E9</v>
      </c>
      <c r="F4386" s="2" t="s">
        <v>17514</v>
      </c>
      <c r="G4386" s="2" t="s">
        <v>688</v>
      </c>
      <c r="H4386" s="2">
        <v>0.0</v>
      </c>
      <c r="I4386" s="2"/>
      <c r="J4386" s="3">
        <v>0.0</v>
      </c>
      <c r="K4386" s="2" t="s">
        <v>17515</v>
      </c>
      <c r="L4386" s="2"/>
      <c r="M4386" s="2" t="s">
        <v>468</v>
      </c>
      <c r="N4386" s="2" t="s">
        <v>406</v>
      </c>
      <c r="O4386" s="3"/>
      <c r="P4386" s="2"/>
      <c r="Q4386" s="3">
        <v>0.0</v>
      </c>
      <c r="R4386" s="3">
        <v>0.5</v>
      </c>
      <c r="U4386" s="141"/>
      <c r="X4386" s="172"/>
      <c r="Y4386" s="172">
        <v>46119.09298918981</v>
      </c>
      <c r="Z4386" s="3">
        <v>46118.0</v>
      </c>
      <c r="AA4386" s="2" t="s">
        <v>14032</v>
      </c>
    </row>
    <row r="4387">
      <c r="A4387" s="3">
        <v>6.986719199491E12</v>
      </c>
      <c r="B4387" s="2" t="s">
        <v>17516</v>
      </c>
      <c r="C4387" s="2" t="s">
        <v>16937</v>
      </c>
      <c r="D4387" s="169">
        <v>46118.0</v>
      </c>
      <c r="E4387" s="2">
        <v>3.16069062E9</v>
      </c>
      <c r="F4387" s="2" t="s">
        <v>16938</v>
      </c>
      <c r="G4387" s="2" t="s">
        <v>374</v>
      </c>
      <c r="H4387" s="2">
        <v>0.0</v>
      </c>
      <c r="I4387" s="2"/>
      <c r="J4387" s="3">
        <v>0.0</v>
      </c>
      <c r="K4387" s="2" t="s">
        <v>17517</v>
      </c>
      <c r="L4387" s="2"/>
      <c r="M4387" s="2" t="s">
        <v>468</v>
      </c>
      <c r="N4387" s="2" t="s">
        <v>406</v>
      </c>
      <c r="O4387" s="3"/>
      <c r="P4387" s="2"/>
      <c r="Q4387" s="3">
        <v>0.0</v>
      </c>
      <c r="R4387" s="3">
        <v>0.5</v>
      </c>
      <c r="U4387" s="141"/>
      <c r="X4387" s="172"/>
      <c r="Y4387" s="172">
        <v>46119.09298918981</v>
      </c>
      <c r="Z4387" s="3">
        <v>46118.0</v>
      </c>
      <c r="AA4387" s="2" t="s">
        <v>14032</v>
      </c>
    </row>
    <row r="4388">
      <c r="A4388" s="3">
        <v>6.986740957443E12</v>
      </c>
      <c r="B4388" s="2" t="s">
        <v>17518</v>
      </c>
      <c r="C4388" s="2" t="s">
        <v>292</v>
      </c>
      <c r="D4388" s="169">
        <v>46118.0</v>
      </c>
      <c r="E4388" s="2">
        <v>3.00093377E9</v>
      </c>
      <c r="F4388" s="2" t="s">
        <v>17519</v>
      </c>
      <c r="G4388" s="2" t="s">
        <v>945</v>
      </c>
      <c r="H4388" s="2">
        <v>3398.0</v>
      </c>
      <c r="I4388" s="2">
        <v>2.0120050023309E13</v>
      </c>
      <c r="J4388" s="3">
        <v>2.0</v>
      </c>
      <c r="K4388" s="2" t="s">
        <v>204</v>
      </c>
      <c r="L4388" s="2" t="s">
        <v>27</v>
      </c>
      <c r="M4388" s="2" t="s">
        <v>14076</v>
      </c>
      <c r="N4388" s="2" t="s">
        <v>406</v>
      </c>
      <c r="O4388" s="3"/>
      <c r="P4388" s="2" t="s">
        <v>73</v>
      </c>
      <c r="Q4388" s="3">
        <v>720.0</v>
      </c>
      <c r="R4388" s="3">
        <v>0.5</v>
      </c>
      <c r="U4388" s="141"/>
      <c r="X4388" s="172">
        <v>46122.08125361111</v>
      </c>
      <c r="Y4388" s="172">
        <v>46119.09298918981</v>
      </c>
      <c r="Z4388" s="3">
        <v>46118.0</v>
      </c>
      <c r="AA4388" s="2" t="s">
        <v>14053</v>
      </c>
    </row>
    <row r="4389">
      <c r="A4389" s="3">
        <v>6.986749968643E12</v>
      </c>
      <c r="B4389" s="2" t="s">
        <v>17520</v>
      </c>
      <c r="C4389" s="2" t="s">
        <v>17494</v>
      </c>
      <c r="D4389" s="169">
        <v>46118.0</v>
      </c>
      <c r="E4389" s="2">
        <v>3.479371009E9</v>
      </c>
      <c r="F4389" s="2" t="s">
        <v>17495</v>
      </c>
      <c r="G4389" s="2" t="s">
        <v>506</v>
      </c>
      <c r="H4389" s="2">
        <v>3398.0</v>
      </c>
      <c r="I4389" s="2">
        <v>2.7120050023419E13</v>
      </c>
      <c r="J4389" s="3">
        <v>2.0</v>
      </c>
      <c r="K4389" s="2" t="s">
        <v>17313</v>
      </c>
      <c r="L4389" s="2" t="s">
        <v>275</v>
      </c>
      <c r="M4389" s="2" t="s">
        <v>409</v>
      </c>
      <c r="N4389" s="2" t="s">
        <v>462</v>
      </c>
      <c r="O4389" s="3"/>
      <c r="P4389" s="2" t="s">
        <v>73</v>
      </c>
      <c r="Q4389" s="3">
        <v>800.0</v>
      </c>
      <c r="R4389" s="3">
        <v>0.5</v>
      </c>
      <c r="T4389" s="2" t="s">
        <v>15278</v>
      </c>
      <c r="U4389" s="171">
        <v>3398.0</v>
      </c>
      <c r="V4389" s="172">
        <v>46126.0</v>
      </c>
      <c r="W4389" s="3">
        <v>377.78</v>
      </c>
      <c r="X4389" s="172">
        <v>46126.08128164352</v>
      </c>
      <c r="Y4389" s="172">
        <v>46119.09298918981</v>
      </c>
      <c r="Z4389" s="3">
        <v>46118.0</v>
      </c>
      <c r="AA4389" s="2" t="s">
        <v>14032</v>
      </c>
    </row>
    <row r="4390">
      <c r="A4390" s="3">
        <v>6.986791026947E12</v>
      </c>
      <c r="B4390" s="2" t="s">
        <v>17521</v>
      </c>
      <c r="C4390" s="2" t="s">
        <v>17522</v>
      </c>
      <c r="D4390" s="169">
        <v>46118.0</v>
      </c>
      <c r="E4390" s="2">
        <v>3.146513673E9</v>
      </c>
      <c r="F4390" s="2" t="s">
        <v>17523</v>
      </c>
      <c r="G4390" s="2" t="s">
        <v>2905</v>
      </c>
      <c r="H4390" s="2">
        <v>1949.0</v>
      </c>
      <c r="I4390" s="2">
        <v>2.3120050023307E13</v>
      </c>
      <c r="J4390" s="3">
        <v>1.0</v>
      </c>
      <c r="K4390" s="2" t="s">
        <v>17524</v>
      </c>
      <c r="L4390" s="2" t="s">
        <v>17525</v>
      </c>
      <c r="M4390" s="2" t="s">
        <v>409</v>
      </c>
      <c r="N4390" s="2" t="s">
        <v>462</v>
      </c>
      <c r="O4390" s="3"/>
      <c r="P4390" s="2" t="s">
        <v>73</v>
      </c>
      <c r="Q4390" s="3">
        <v>550.0</v>
      </c>
      <c r="R4390" s="3">
        <v>0.5</v>
      </c>
      <c r="T4390" s="2" t="s">
        <v>15356</v>
      </c>
      <c r="U4390" s="171">
        <v>1949.0</v>
      </c>
      <c r="V4390" s="172">
        <v>46122.0</v>
      </c>
      <c r="W4390" s="3">
        <v>319.82000000000005</v>
      </c>
      <c r="X4390" s="172">
        <v>46121.081104930556</v>
      </c>
      <c r="Y4390" s="172">
        <v>46119.09298918981</v>
      </c>
      <c r="Z4390" s="3">
        <v>46118.0</v>
      </c>
      <c r="AA4390" s="2" t="s">
        <v>14041</v>
      </c>
    </row>
    <row r="4391">
      <c r="A4391" s="3">
        <v>6.986835820803E12</v>
      </c>
      <c r="B4391" s="2" t="s">
        <v>17526</v>
      </c>
      <c r="C4391" s="2" t="s">
        <v>294</v>
      </c>
      <c r="D4391" s="169">
        <v>46118.0</v>
      </c>
      <c r="E4391" s="2">
        <v>3.496393035E9</v>
      </c>
      <c r="F4391" s="2" t="s">
        <v>17527</v>
      </c>
      <c r="G4391" s="2" t="s">
        <v>11084</v>
      </c>
      <c r="H4391" s="2">
        <v>3398.0</v>
      </c>
      <c r="I4391" s="2" t="s">
        <v>293</v>
      </c>
      <c r="J4391" s="3">
        <v>2.0</v>
      </c>
      <c r="K4391" s="2" t="s">
        <v>295</v>
      </c>
      <c r="L4391" s="2" t="s">
        <v>296</v>
      </c>
      <c r="M4391" s="2" t="s">
        <v>14978</v>
      </c>
      <c r="N4391" s="2" t="s">
        <v>406</v>
      </c>
      <c r="O4391" s="3"/>
      <c r="P4391" s="2" t="s">
        <v>640</v>
      </c>
      <c r="Q4391" s="3">
        <v>720.0</v>
      </c>
      <c r="R4391" s="3">
        <v>0.5</v>
      </c>
      <c r="U4391" s="141"/>
      <c r="X4391" s="172">
        <v>46128.08280476852</v>
      </c>
      <c r="Y4391" s="172">
        <v>46119.09298918981</v>
      </c>
      <c r="Z4391" s="3">
        <v>46118.0</v>
      </c>
      <c r="AA4391" s="2" t="s">
        <v>14032</v>
      </c>
    </row>
    <row r="4392">
      <c r="A4392" s="3">
        <v>6.986866655491E12</v>
      </c>
      <c r="B4392" s="2" t="s">
        <v>17528</v>
      </c>
      <c r="C4392" s="2" t="s">
        <v>17529</v>
      </c>
      <c r="D4392" s="169">
        <v>46118.0</v>
      </c>
      <c r="E4392" s="2">
        <v>3.3454048E9</v>
      </c>
      <c r="F4392" s="2" t="s">
        <v>17530</v>
      </c>
      <c r="G4392" s="2" t="s">
        <v>17531</v>
      </c>
      <c r="H4392" s="2">
        <v>0.0</v>
      </c>
      <c r="I4392" s="2">
        <v>2.6120050023306E13</v>
      </c>
      <c r="J4392" s="3">
        <v>0.0</v>
      </c>
      <c r="K4392" s="2" t="s">
        <v>17532</v>
      </c>
      <c r="L4392" s="2"/>
      <c r="M4392" s="2" t="s">
        <v>468</v>
      </c>
      <c r="N4392" s="2" t="s">
        <v>406</v>
      </c>
      <c r="O4392" s="3"/>
      <c r="P4392" s="2" t="s">
        <v>73</v>
      </c>
      <c r="Q4392" s="3">
        <v>0.0</v>
      </c>
      <c r="R4392" s="3">
        <v>0.5</v>
      </c>
      <c r="U4392" s="141"/>
      <c r="X4392" s="172">
        <v>46122.08125368056</v>
      </c>
      <c r="Y4392" s="172">
        <v>46119.09298918981</v>
      </c>
      <c r="Z4392" s="3">
        <v>46118.0</v>
      </c>
      <c r="AA4392" s="2" t="s">
        <v>14041</v>
      </c>
    </row>
    <row r="4393">
      <c r="A4393" s="3">
        <v>6.986912563459E12</v>
      </c>
      <c r="B4393" s="2" t="s">
        <v>17533</v>
      </c>
      <c r="C4393" s="2" t="s">
        <v>17534</v>
      </c>
      <c r="D4393" s="169">
        <v>46118.0</v>
      </c>
      <c r="E4393" s="2">
        <v>3.326500568E9</v>
      </c>
      <c r="F4393" s="2" t="s">
        <v>17535</v>
      </c>
      <c r="G4393" s="2" t="s">
        <v>374</v>
      </c>
      <c r="H4393" s="2">
        <v>3398.0</v>
      </c>
      <c r="I4393" s="2">
        <v>2.1120050023377E13</v>
      </c>
      <c r="J4393" s="3">
        <v>2.0</v>
      </c>
      <c r="K4393" s="2" t="s">
        <v>17321</v>
      </c>
      <c r="L4393" s="2" t="s">
        <v>22</v>
      </c>
      <c r="M4393" s="2" t="s">
        <v>409</v>
      </c>
      <c r="N4393" s="2" t="s">
        <v>462</v>
      </c>
      <c r="O4393" s="3"/>
      <c r="P4393" s="2" t="s">
        <v>73</v>
      </c>
      <c r="Q4393" s="3">
        <v>800.0</v>
      </c>
      <c r="R4393" s="3">
        <v>0.5</v>
      </c>
      <c r="T4393" s="2" t="s">
        <v>15356</v>
      </c>
      <c r="U4393" s="171">
        <v>3398.0</v>
      </c>
      <c r="V4393" s="172">
        <v>46122.0</v>
      </c>
      <c r="W4393" s="3">
        <v>377.78</v>
      </c>
      <c r="X4393" s="172">
        <v>46121.08115372685</v>
      </c>
      <c r="Y4393" s="172">
        <v>46119.09298918981</v>
      </c>
      <c r="Z4393" s="3">
        <v>46118.0</v>
      </c>
      <c r="AA4393" s="2" t="s">
        <v>14032</v>
      </c>
    </row>
    <row r="4394">
      <c r="A4394" s="3">
        <v>6.986936582403E12</v>
      </c>
      <c r="B4394" s="2" t="s">
        <v>144</v>
      </c>
      <c r="C4394" s="2" t="s">
        <v>17536</v>
      </c>
      <c r="D4394" s="169">
        <v>46118.0</v>
      </c>
      <c r="E4394" s="2">
        <v>3.332294441E9</v>
      </c>
      <c r="F4394" s="2" t="s">
        <v>17537</v>
      </c>
      <c r="G4394" s="2" t="s">
        <v>493</v>
      </c>
      <c r="H4394" s="2">
        <v>5297.0</v>
      </c>
      <c r="I4394" s="2">
        <v>2.0120050023418E13</v>
      </c>
      <c r="J4394" s="3">
        <v>3.0</v>
      </c>
      <c r="K4394" s="2" t="s">
        <v>17538</v>
      </c>
      <c r="L4394" s="2" t="s">
        <v>7323</v>
      </c>
      <c r="M4394" s="2" t="s">
        <v>409</v>
      </c>
      <c r="N4394" s="2" t="s">
        <v>462</v>
      </c>
      <c r="O4394" s="3"/>
      <c r="P4394" s="2" t="s">
        <v>73</v>
      </c>
      <c r="Q4394" s="3">
        <v>1450.0</v>
      </c>
      <c r="R4394" s="3">
        <v>0.5</v>
      </c>
      <c r="T4394" s="2" t="s">
        <v>72</v>
      </c>
      <c r="U4394" s="171">
        <v>5297.0</v>
      </c>
      <c r="V4394" s="172">
        <v>46129.0</v>
      </c>
      <c r="W4394" s="3">
        <v>485.99</v>
      </c>
      <c r="X4394" s="172">
        <v>46127.0810755787</v>
      </c>
      <c r="Y4394" s="172">
        <v>46119.09298918981</v>
      </c>
      <c r="Z4394" s="3">
        <v>46118.0</v>
      </c>
      <c r="AA4394" s="2" t="s">
        <v>14022</v>
      </c>
    </row>
    <row r="4395">
      <c r="A4395" s="3">
        <v>6.986970497283E12</v>
      </c>
      <c r="B4395" s="2" t="s">
        <v>17539</v>
      </c>
      <c r="C4395" s="2" t="s">
        <v>17540</v>
      </c>
      <c r="D4395" s="169">
        <v>46118.0</v>
      </c>
      <c r="E4395" s="2">
        <v>3.335370437E9</v>
      </c>
      <c r="F4395" s="2" t="s">
        <v>17541</v>
      </c>
      <c r="G4395" s="2" t="s">
        <v>5987</v>
      </c>
      <c r="H4395" s="2">
        <v>3398.0</v>
      </c>
      <c r="I4395" s="2">
        <v>2.2120050023376E13</v>
      </c>
      <c r="J4395" s="3">
        <v>2.0</v>
      </c>
      <c r="K4395" s="2" t="s">
        <v>17542</v>
      </c>
      <c r="L4395" s="2" t="s">
        <v>906</v>
      </c>
      <c r="M4395" s="2" t="s">
        <v>409</v>
      </c>
      <c r="N4395" s="2" t="s">
        <v>462</v>
      </c>
      <c r="O4395" s="3"/>
      <c r="P4395" s="2" t="s">
        <v>73</v>
      </c>
      <c r="Q4395" s="3">
        <v>720.0</v>
      </c>
      <c r="R4395" s="3">
        <v>0.5</v>
      </c>
      <c r="T4395" s="2" t="s">
        <v>15278</v>
      </c>
      <c r="U4395" s="171">
        <v>3398.0</v>
      </c>
      <c r="V4395" s="172">
        <v>46126.0</v>
      </c>
      <c r="W4395" s="3">
        <v>377.78</v>
      </c>
      <c r="X4395" s="172">
        <v>46125.08107384259</v>
      </c>
      <c r="Y4395" s="172">
        <v>46119.09298918981</v>
      </c>
      <c r="Z4395" s="3">
        <v>46118.0</v>
      </c>
      <c r="AA4395" s="2" t="s">
        <v>14032</v>
      </c>
    </row>
    <row r="4396">
      <c r="A4396" s="3">
        <v>6.986979410179E12</v>
      </c>
      <c r="B4396" s="2" t="s">
        <v>17543</v>
      </c>
      <c r="C4396" s="2" t="s">
        <v>17544</v>
      </c>
      <c r="D4396" s="169">
        <v>46118.0</v>
      </c>
      <c r="E4396" s="2">
        <v>3.132084909E9</v>
      </c>
      <c r="F4396" s="2" t="s">
        <v>17545</v>
      </c>
      <c r="G4396" s="2" t="s">
        <v>493</v>
      </c>
      <c r="H4396" s="2">
        <v>3149.0</v>
      </c>
      <c r="I4396" s="2">
        <v>2.5120050023375E13</v>
      </c>
      <c r="J4396" s="3">
        <v>2.0</v>
      </c>
      <c r="K4396" s="2" t="s">
        <v>17418</v>
      </c>
      <c r="L4396" s="2" t="s">
        <v>926</v>
      </c>
      <c r="M4396" s="2" t="s">
        <v>409</v>
      </c>
      <c r="N4396" s="2" t="s">
        <v>462</v>
      </c>
      <c r="O4396" s="3"/>
      <c r="P4396" s="2" t="s">
        <v>73</v>
      </c>
      <c r="Q4396" s="3">
        <v>980.0</v>
      </c>
      <c r="R4396" s="3">
        <v>0.5</v>
      </c>
      <c r="T4396" s="2" t="s">
        <v>15356</v>
      </c>
      <c r="U4396" s="171">
        <v>3149.0</v>
      </c>
      <c r="V4396" s="172">
        <v>46122.0</v>
      </c>
      <c r="W4396" s="3">
        <v>400.07000000000005</v>
      </c>
      <c r="X4396" s="172">
        <v>46122.08125369213</v>
      </c>
      <c r="Y4396" s="172">
        <v>46119.09298918981</v>
      </c>
      <c r="Z4396" s="3">
        <v>46118.0</v>
      </c>
      <c r="AA4396" s="2" t="s">
        <v>14041</v>
      </c>
    </row>
    <row r="4397">
      <c r="A4397" s="3">
        <v>6.987005722883E12</v>
      </c>
      <c r="B4397" s="2" t="s">
        <v>17546</v>
      </c>
      <c r="C4397" s="2" t="s">
        <v>17547</v>
      </c>
      <c r="D4397" s="169">
        <v>46118.0</v>
      </c>
      <c r="E4397" s="2">
        <v>3.080088698E9</v>
      </c>
      <c r="F4397" s="2" t="s">
        <v>17548</v>
      </c>
      <c r="G4397" s="2" t="s">
        <v>945</v>
      </c>
      <c r="H4397" s="2">
        <v>1898.0</v>
      </c>
      <c r="I4397" s="2">
        <v>2.0120050023374E13</v>
      </c>
      <c r="J4397" s="3">
        <v>1.0</v>
      </c>
      <c r="K4397" s="2" t="s">
        <v>17402</v>
      </c>
      <c r="L4397" s="2" t="s">
        <v>17549</v>
      </c>
      <c r="M4397" s="2" t="s">
        <v>409</v>
      </c>
      <c r="N4397" s="2" t="s">
        <v>462</v>
      </c>
      <c r="O4397" s="3"/>
      <c r="P4397" s="2" t="s">
        <v>73</v>
      </c>
      <c r="Q4397" s="3">
        <v>650.0</v>
      </c>
      <c r="R4397" s="3">
        <v>0.5</v>
      </c>
      <c r="T4397" s="2" t="s">
        <v>15356</v>
      </c>
      <c r="U4397" s="171">
        <v>1898.0</v>
      </c>
      <c r="V4397" s="172">
        <v>46122.0</v>
      </c>
      <c r="W4397" s="3">
        <v>333.9</v>
      </c>
      <c r="X4397" s="172">
        <v>46122.08125371528</v>
      </c>
      <c r="Y4397" s="172">
        <v>46119.09298918981</v>
      </c>
      <c r="Z4397" s="3">
        <v>46118.0</v>
      </c>
      <c r="AA4397" s="2" t="s">
        <v>14032</v>
      </c>
    </row>
    <row r="4398">
      <c r="A4398" s="3">
        <v>6.987017486595E12</v>
      </c>
      <c r="B4398" s="2" t="s">
        <v>17550</v>
      </c>
      <c r="C4398" s="2" t="s">
        <v>17551</v>
      </c>
      <c r="D4398" s="169">
        <v>46118.0</v>
      </c>
      <c r="E4398" s="2">
        <v>3.212069948E9</v>
      </c>
      <c r="F4398" s="2" t="s">
        <v>17552</v>
      </c>
      <c r="G4398" s="2" t="s">
        <v>493</v>
      </c>
      <c r="H4398" s="2">
        <v>3398.0</v>
      </c>
      <c r="I4398" s="2">
        <v>2.8120050023417E13</v>
      </c>
      <c r="J4398" s="3">
        <v>2.0</v>
      </c>
      <c r="K4398" s="2" t="s">
        <v>17553</v>
      </c>
      <c r="L4398" s="2" t="s">
        <v>296</v>
      </c>
      <c r="M4398" s="2" t="s">
        <v>15124</v>
      </c>
      <c r="N4398" s="2" t="s">
        <v>406</v>
      </c>
      <c r="O4398" s="3"/>
      <c r="P4398" s="2" t="s">
        <v>73</v>
      </c>
      <c r="Q4398" s="3">
        <v>720.0</v>
      </c>
      <c r="R4398" s="3">
        <v>0.5</v>
      </c>
      <c r="U4398" s="141"/>
      <c r="X4398" s="172">
        <v>46131.0810065625</v>
      </c>
      <c r="Y4398" s="172">
        <v>46119.09298918981</v>
      </c>
      <c r="Z4398" s="3">
        <v>46118.0</v>
      </c>
      <c r="AA4398" s="2" t="s">
        <v>14032</v>
      </c>
    </row>
    <row r="4399">
      <c r="A4399" s="3">
        <v>6.987032822019E12</v>
      </c>
      <c r="B4399" s="2" t="s">
        <v>17554</v>
      </c>
      <c r="C4399" s="2" t="s">
        <v>17555</v>
      </c>
      <c r="D4399" s="169">
        <v>46118.0</v>
      </c>
      <c r="E4399" s="2">
        <v>3.368363786E9</v>
      </c>
      <c r="F4399" s="2" t="s">
        <v>17556</v>
      </c>
      <c r="G4399" s="2" t="s">
        <v>16735</v>
      </c>
      <c r="H4399" s="2">
        <v>299.0</v>
      </c>
      <c r="I4399" s="2">
        <v>2.4120050023373E13</v>
      </c>
      <c r="J4399" s="3">
        <v>0.0</v>
      </c>
      <c r="K4399" s="2" t="s">
        <v>204</v>
      </c>
      <c r="L4399" s="2"/>
      <c r="M4399" s="2" t="s">
        <v>409</v>
      </c>
      <c r="N4399" s="2" t="s">
        <v>462</v>
      </c>
      <c r="O4399" s="3"/>
      <c r="P4399" s="2" t="s">
        <v>73</v>
      </c>
      <c r="Q4399" s="3">
        <v>0.0</v>
      </c>
      <c r="R4399" s="3">
        <v>0.5</v>
      </c>
      <c r="U4399" s="141"/>
      <c r="X4399" s="172">
        <v>46122.08125376157</v>
      </c>
      <c r="Y4399" s="172">
        <v>46119.09298918981</v>
      </c>
      <c r="Z4399" s="3">
        <v>46118.0</v>
      </c>
      <c r="AA4399" s="2" t="s">
        <v>14022</v>
      </c>
    </row>
    <row r="4400">
      <c r="A4400" s="3">
        <v>6.987052581123E12</v>
      </c>
      <c r="B4400" s="2" t="s">
        <v>17557</v>
      </c>
      <c r="C4400" s="2" t="s">
        <v>297</v>
      </c>
      <c r="D4400" s="169">
        <v>46118.0</v>
      </c>
      <c r="E4400" s="173" t="s">
        <v>17558</v>
      </c>
      <c r="F4400" s="2" t="s">
        <v>17559</v>
      </c>
      <c r="G4400" s="2" t="s">
        <v>368</v>
      </c>
      <c r="H4400" s="2">
        <v>6198.0</v>
      </c>
      <c r="I4400" s="2">
        <v>2.6120050023381E13</v>
      </c>
      <c r="J4400" s="3">
        <v>4.0</v>
      </c>
      <c r="K4400" s="2" t="s">
        <v>298</v>
      </c>
      <c r="L4400" s="2" t="s">
        <v>299</v>
      </c>
      <c r="M4400" s="2" t="s">
        <v>14076</v>
      </c>
      <c r="N4400" s="2" t="s">
        <v>406</v>
      </c>
      <c r="O4400" s="3"/>
      <c r="P4400" s="2" t="s">
        <v>73</v>
      </c>
      <c r="Q4400" s="3">
        <v>1600.0</v>
      </c>
      <c r="R4400" s="3">
        <v>0.5</v>
      </c>
      <c r="U4400" s="141"/>
      <c r="X4400" s="172">
        <v>46121.08115384259</v>
      </c>
      <c r="Y4400" s="172">
        <v>46119.09298918981</v>
      </c>
      <c r="Z4400" s="3">
        <v>46118.0</v>
      </c>
      <c r="AA4400" s="2" t="s">
        <v>14032</v>
      </c>
    </row>
    <row r="4401">
      <c r="A4401" s="3">
        <v>6.987090886915E12</v>
      </c>
      <c r="B4401" s="2" t="s">
        <v>162</v>
      </c>
      <c r="C4401" s="2" t="s">
        <v>17560</v>
      </c>
      <c r="D4401" s="169">
        <v>46118.0</v>
      </c>
      <c r="E4401" s="2">
        <v>3.219448897E9</v>
      </c>
      <c r="F4401" s="2" t="s">
        <v>17561</v>
      </c>
      <c r="G4401" s="2" t="s">
        <v>368</v>
      </c>
      <c r="H4401" s="2">
        <v>299.0</v>
      </c>
      <c r="I4401" s="2">
        <v>2.1120050023397E13</v>
      </c>
      <c r="J4401" s="3">
        <v>0.0</v>
      </c>
      <c r="K4401" s="2" t="s">
        <v>17562</v>
      </c>
      <c r="L4401" s="2"/>
      <c r="M4401" s="170" t="s">
        <v>455</v>
      </c>
      <c r="N4401" s="2" t="s">
        <v>406</v>
      </c>
      <c r="O4401" s="3"/>
      <c r="P4401" s="2" t="s">
        <v>73</v>
      </c>
      <c r="Q4401" s="3">
        <v>0.0</v>
      </c>
      <c r="R4401" s="3">
        <v>0.5</v>
      </c>
      <c r="U4401" s="141"/>
      <c r="W4401" s="3">
        <v>128.99</v>
      </c>
      <c r="X4401" s="172">
        <v>46128.08108902778</v>
      </c>
      <c r="Y4401" s="172">
        <v>46119.09298920139</v>
      </c>
      <c r="Z4401" s="3">
        <v>46118.0</v>
      </c>
      <c r="AA4401" s="2" t="s">
        <v>14032</v>
      </c>
    </row>
    <row r="4402">
      <c r="A4402" s="3">
        <v>6.987228643587E12</v>
      </c>
      <c r="B4402" s="2" t="s">
        <v>17563</v>
      </c>
      <c r="C4402" s="2" t="s">
        <v>15165</v>
      </c>
      <c r="D4402" s="169">
        <v>46118.0</v>
      </c>
      <c r="E4402" s="173" t="s">
        <v>17564</v>
      </c>
      <c r="F4402" s="2" t="s">
        <v>17565</v>
      </c>
      <c r="G4402" s="2" t="s">
        <v>917</v>
      </c>
      <c r="H4402" s="2">
        <v>3398.0</v>
      </c>
      <c r="I4402" s="2"/>
      <c r="J4402" s="3">
        <v>2.0</v>
      </c>
      <c r="K4402" s="2" t="s">
        <v>204</v>
      </c>
      <c r="L4402" s="2" t="s">
        <v>50</v>
      </c>
      <c r="M4402" s="2" t="s">
        <v>406</v>
      </c>
      <c r="N4402" s="2" t="s">
        <v>406</v>
      </c>
      <c r="O4402" s="3"/>
      <c r="P4402" s="2"/>
      <c r="Q4402" s="3">
        <v>720.0</v>
      </c>
      <c r="R4402" s="3">
        <v>0.5</v>
      </c>
      <c r="U4402" s="141"/>
      <c r="X4402" s="172"/>
      <c r="Y4402" s="172">
        <v>46119.09298920139</v>
      </c>
      <c r="Z4402" s="3">
        <v>46118.0</v>
      </c>
      <c r="AA4402" s="2" t="s">
        <v>14041</v>
      </c>
    </row>
    <row r="4403">
      <c r="A4403" s="3">
        <v>6.987308499203E12</v>
      </c>
      <c r="B4403" s="2" t="s">
        <v>17566</v>
      </c>
      <c r="C4403" s="2" t="s">
        <v>17567</v>
      </c>
      <c r="D4403" s="169">
        <v>46118.0</v>
      </c>
      <c r="E4403" s="2">
        <v>3.02327727E9</v>
      </c>
      <c r="F4403" s="2" t="s">
        <v>17568</v>
      </c>
      <c r="G4403" s="2" t="s">
        <v>17569</v>
      </c>
      <c r="H4403" s="2">
        <v>2349.0</v>
      </c>
      <c r="I4403" s="2">
        <v>1.73012628423E11</v>
      </c>
      <c r="J4403" s="3">
        <v>1.0</v>
      </c>
      <c r="K4403" s="2" t="s">
        <v>17570</v>
      </c>
      <c r="L4403" s="2" t="s">
        <v>17571</v>
      </c>
      <c r="M4403" s="2" t="s">
        <v>15037</v>
      </c>
      <c r="N4403" s="2" t="s">
        <v>406</v>
      </c>
      <c r="O4403" s="3"/>
      <c r="P4403" s="2" t="s">
        <v>501</v>
      </c>
      <c r="Q4403" s="3">
        <v>750.0</v>
      </c>
      <c r="R4403" s="3">
        <v>0.5</v>
      </c>
      <c r="U4403" s="141"/>
      <c r="X4403" s="172">
        <v>46131.0825015625</v>
      </c>
      <c r="Y4403" s="172">
        <v>46119.09298920139</v>
      </c>
      <c r="Z4403" s="3">
        <v>46118.0</v>
      </c>
      <c r="AA4403" s="2" t="s">
        <v>14053</v>
      </c>
    </row>
    <row r="4404">
      <c r="A4404" s="3">
        <v>6.987384783107E12</v>
      </c>
      <c r="B4404" s="2" t="s">
        <v>17572</v>
      </c>
      <c r="C4404" s="2" t="s">
        <v>17573</v>
      </c>
      <c r="D4404" s="169">
        <v>46118.0</v>
      </c>
      <c r="E4404" s="2">
        <v>3.325547366E9</v>
      </c>
      <c r="F4404" s="2" t="s">
        <v>17574</v>
      </c>
      <c r="G4404" s="2" t="s">
        <v>366</v>
      </c>
      <c r="H4404" s="2">
        <v>2699.0</v>
      </c>
      <c r="I4404" s="2">
        <v>2.2120050023372E13</v>
      </c>
      <c r="J4404" s="3">
        <v>2.0</v>
      </c>
      <c r="K4404" s="2" t="s">
        <v>17575</v>
      </c>
      <c r="L4404" s="2" t="s">
        <v>17576</v>
      </c>
      <c r="M4404" s="2" t="s">
        <v>409</v>
      </c>
      <c r="N4404" s="2" t="s">
        <v>462</v>
      </c>
      <c r="O4404" s="3"/>
      <c r="P4404" s="2" t="s">
        <v>73</v>
      </c>
      <c r="Q4404" s="3">
        <v>1100.0</v>
      </c>
      <c r="R4404" s="3">
        <v>0.5</v>
      </c>
      <c r="T4404" s="2" t="s">
        <v>15356</v>
      </c>
      <c r="U4404" s="171">
        <v>2699.0</v>
      </c>
      <c r="V4404" s="172">
        <v>46122.0</v>
      </c>
      <c r="W4404" s="3">
        <v>349.82000000000005</v>
      </c>
      <c r="X4404" s="172">
        <v>46122.081253807875</v>
      </c>
      <c r="Y4404" s="172">
        <v>46119.09298920139</v>
      </c>
      <c r="Z4404" s="3">
        <v>46118.0</v>
      </c>
      <c r="AA4404" s="2" t="s">
        <v>14022</v>
      </c>
    </row>
    <row r="4405">
      <c r="A4405" s="3">
        <v>6.987597152515E12</v>
      </c>
      <c r="B4405" s="2" t="s">
        <v>17577</v>
      </c>
      <c r="C4405" s="2" t="s">
        <v>17578</v>
      </c>
      <c r="D4405" s="169">
        <v>46119.0</v>
      </c>
      <c r="E4405" s="2">
        <v>3.204703142E9</v>
      </c>
      <c r="F4405" s="2" t="s">
        <v>17579</v>
      </c>
      <c r="G4405" s="2" t="s">
        <v>368</v>
      </c>
      <c r="H4405" s="2">
        <v>3149.0</v>
      </c>
      <c r="I4405" s="2">
        <v>2.7120050023396E13</v>
      </c>
      <c r="J4405" s="3">
        <v>2.0</v>
      </c>
      <c r="K4405" s="2" t="s">
        <v>17418</v>
      </c>
      <c r="L4405" s="2" t="s">
        <v>16</v>
      </c>
      <c r="M4405" s="2" t="s">
        <v>409</v>
      </c>
      <c r="N4405" s="2" t="s">
        <v>462</v>
      </c>
      <c r="O4405" s="3"/>
      <c r="P4405" s="2" t="s">
        <v>73</v>
      </c>
      <c r="Q4405" s="3">
        <v>980.0</v>
      </c>
      <c r="R4405" s="3">
        <v>0.5</v>
      </c>
      <c r="T4405" s="2" t="s">
        <v>15356</v>
      </c>
      <c r="U4405" s="171">
        <v>3149.0</v>
      </c>
      <c r="V4405" s="172">
        <v>46122.0</v>
      </c>
      <c r="W4405" s="3">
        <v>254.95</v>
      </c>
      <c r="X4405" s="172">
        <v>46122.08125383102</v>
      </c>
      <c r="Y4405" s="172">
        <v>46119.09298920139</v>
      </c>
      <c r="Z4405" s="3">
        <v>46119.0</v>
      </c>
      <c r="AA4405" s="2" t="s">
        <v>14053</v>
      </c>
    </row>
    <row r="4406">
      <c r="A4406" s="3">
        <v>6.987610784003E12</v>
      </c>
      <c r="B4406" s="2" t="s">
        <v>17580</v>
      </c>
      <c r="C4406" s="2" t="s">
        <v>306</v>
      </c>
      <c r="D4406" s="169">
        <v>46119.0</v>
      </c>
      <c r="E4406" s="2">
        <v>3.105151617E9</v>
      </c>
      <c r="F4406" s="2" t="s">
        <v>17581</v>
      </c>
      <c r="G4406" s="2" t="s">
        <v>493</v>
      </c>
      <c r="H4406" s="2">
        <v>3398.0</v>
      </c>
      <c r="I4406" s="2">
        <v>2.3120050023392E13</v>
      </c>
      <c r="J4406" s="3">
        <v>2.0</v>
      </c>
      <c r="K4406" s="2" t="s">
        <v>17582</v>
      </c>
      <c r="L4406" s="2" t="s">
        <v>27</v>
      </c>
      <c r="M4406" s="2" t="s">
        <v>409</v>
      </c>
      <c r="N4406" s="2" t="s">
        <v>462</v>
      </c>
      <c r="O4406" s="3"/>
      <c r="P4406" s="2" t="s">
        <v>73</v>
      </c>
      <c r="Q4406" s="3">
        <v>720.0</v>
      </c>
      <c r="R4406" s="3">
        <v>0.5</v>
      </c>
      <c r="T4406" s="2" t="s">
        <v>15278</v>
      </c>
      <c r="U4406" s="171">
        <v>3398.0</v>
      </c>
      <c r="V4406" s="172">
        <v>46126.0</v>
      </c>
      <c r="W4406" s="3">
        <v>393.9</v>
      </c>
      <c r="X4406" s="172">
        <v>46123.08115056713</v>
      </c>
      <c r="Y4406" s="172">
        <v>46119.09298920139</v>
      </c>
      <c r="Z4406" s="3">
        <v>46119.0</v>
      </c>
      <c r="AA4406" s="2" t="s">
        <v>14022</v>
      </c>
    </row>
    <row r="4407">
      <c r="A4407" s="3">
        <v>6.987617763587E12</v>
      </c>
      <c r="B4407" s="2" t="s">
        <v>161</v>
      </c>
      <c r="C4407" s="2" t="s">
        <v>17583</v>
      </c>
      <c r="D4407" s="169">
        <v>46119.0</v>
      </c>
      <c r="E4407" s="2">
        <v>3.069164123E9</v>
      </c>
      <c r="F4407" s="2" t="s">
        <v>17584</v>
      </c>
      <c r="G4407" s="2" t="s">
        <v>368</v>
      </c>
      <c r="H4407" s="2">
        <v>299.0</v>
      </c>
      <c r="I4407" s="2">
        <v>2.012005002338E13</v>
      </c>
      <c r="J4407" s="3">
        <v>0.0</v>
      </c>
      <c r="K4407" s="2" t="s">
        <v>17585</v>
      </c>
      <c r="L4407" s="2"/>
      <c r="M4407" s="170" t="s">
        <v>455</v>
      </c>
      <c r="N4407" s="2" t="s">
        <v>406</v>
      </c>
      <c r="O4407" s="3"/>
      <c r="P4407" s="2" t="s">
        <v>73</v>
      </c>
      <c r="Q4407" s="3">
        <v>0.0</v>
      </c>
      <c r="R4407" s="3">
        <v>0.5</v>
      </c>
      <c r="U4407" s="141"/>
      <c r="W4407" s="3">
        <v>128.99</v>
      </c>
      <c r="X4407" s="172">
        <v>46127.081076435185</v>
      </c>
      <c r="Y4407" s="172">
        <v>46119.09298920139</v>
      </c>
      <c r="Z4407" s="3">
        <v>46119.0</v>
      </c>
      <c r="AA4407" s="2" t="s">
        <v>14032</v>
      </c>
    </row>
    <row r="4408">
      <c r="A4408" s="3">
        <v>6.987676320003E12</v>
      </c>
      <c r="B4408" s="2" t="s">
        <v>17586</v>
      </c>
      <c r="C4408" s="2" t="s">
        <v>17587</v>
      </c>
      <c r="D4408" s="169">
        <v>46119.0</v>
      </c>
      <c r="E4408" s="173" t="s">
        <v>17588</v>
      </c>
      <c r="F4408" s="2" t="s">
        <v>17589</v>
      </c>
      <c r="G4408" s="2" t="s">
        <v>17590</v>
      </c>
      <c r="H4408" s="2">
        <v>1499.0</v>
      </c>
      <c r="I4408" s="2">
        <v>2.0120050023371E13</v>
      </c>
      <c r="J4408" s="3">
        <v>1.0</v>
      </c>
      <c r="K4408" s="2" t="s">
        <v>17435</v>
      </c>
      <c r="L4408" s="2" t="s">
        <v>17591</v>
      </c>
      <c r="M4408" s="2" t="s">
        <v>409</v>
      </c>
      <c r="N4408" s="2" t="s">
        <v>462</v>
      </c>
      <c r="O4408" s="3"/>
      <c r="P4408" s="2" t="s">
        <v>73</v>
      </c>
      <c r="Q4408" s="3">
        <v>550.0</v>
      </c>
      <c r="R4408" s="3">
        <v>0.5</v>
      </c>
      <c r="T4408" s="2" t="s">
        <v>15356</v>
      </c>
      <c r="U4408" s="171">
        <v>1499.0</v>
      </c>
      <c r="V4408" s="172">
        <v>46122.0</v>
      </c>
      <c r="W4408" s="3">
        <v>301.82000000000005</v>
      </c>
      <c r="X4408" s="172">
        <v>46122.08125391204</v>
      </c>
      <c r="Y4408" s="172">
        <v>46119.09298920139</v>
      </c>
      <c r="Z4408" s="3">
        <v>46119.0</v>
      </c>
      <c r="AA4408" s="2" t="s">
        <v>14053</v>
      </c>
    </row>
    <row r="4409">
      <c r="A4409" s="3">
        <v>6.987680350467E12</v>
      </c>
      <c r="B4409" s="2" t="s">
        <v>17592</v>
      </c>
      <c r="C4409" s="2" t="s">
        <v>17593</v>
      </c>
      <c r="D4409" s="169">
        <v>46119.0</v>
      </c>
      <c r="E4409" s="2">
        <v>3.069007277E9</v>
      </c>
      <c r="F4409" s="2" t="s">
        <v>17594</v>
      </c>
      <c r="G4409" s="2" t="s">
        <v>4186</v>
      </c>
      <c r="H4409" s="2">
        <v>3398.0</v>
      </c>
      <c r="I4409" s="2"/>
      <c r="J4409" s="3">
        <v>2.0</v>
      </c>
      <c r="K4409" s="2" t="s">
        <v>17595</v>
      </c>
      <c r="L4409" s="2" t="s">
        <v>50</v>
      </c>
      <c r="M4409" s="2" t="s">
        <v>406</v>
      </c>
      <c r="N4409" s="2" t="s">
        <v>406</v>
      </c>
      <c r="O4409" s="3"/>
      <c r="P4409" s="2"/>
      <c r="Q4409" s="3">
        <v>720.0</v>
      </c>
      <c r="R4409" s="3">
        <v>0.5</v>
      </c>
      <c r="U4409" s="141"/>
      <c r="X4409" s="172"/>
      <c r="Y4409" s="172">
        <v>46119.09298920139</v>
      </c>
      <c r="Z4409" s="3">
        <v>46119.0</v>
      </c>
      <c r="AA4409" s="2" t="s">
        <v>14032</v>
      </c>
    </row>
    <row r="4410">
      <c r="A4410" s="3">
        <v>6.987690737923E12</v>
      </c>
      <c r="B4410" s="2" t="s">
        <v>17596</v>
      </c>
      <c r="C4410" s="2" t="s">
        <v>300</v>
      </c>
      <c r="D4410" s="169">
        <v>46119.0</v>
      </c>
      <c r="E4410" s="2">
        <v>3.238101695E9</v>
      </c>
      <c r="F4410" s="2" t="s">
        <v>17597</v>
      </c>
      <c r="G4410" s="2" t="s">
        <v>493</v>
      </c>
      <c r="H4410" s="2">
        <v>1499.0</v>
      </c>
      <c r="I4410" s="2">
        <v>2.3120050023496E13</v>
      </c>
      <c r="J4410" s="3">
        <v>1.0</v>
      </c>
      <c r="K4410" s="2" t="s">
        <v>204</v>
      </c>
      <c r="L4410" s="2" t="s">
        <v>301</v>
      </c>
      <c r="M4410" s="2" t="s">
        <v>14076</v>
      </c>
      <c r="N4410" s="2" t="s">
        <v>406</v>
      </c>
      <c r="O4410" s="3"/>
      <c r="P4410" s="2" t="s">
        <v>73</v>
      </c>
      <c r="Q4410" s="3">
        <v>550.0</v>
      </c>
      <c r="R4410" s="3">
        <v>0.5</v>
      </c>
      <c r="U4410" s="141"/>
      <c r="X4410" s="172">
        <v>46128.08108905093</v>
      </c>
      <c r="Y4410" s="172">
        <v>46119.09298920139</v>
      </c>
      <c r="Z4410" s="3">
        <v>46119.0</v>
      </c>
      <c r="AA4410" s="2" t="s">
        <v>14032</v>
      </c>
    </row>
    <row r="4411">
      <c r="A4411" s="3">
        <v>6.987698340099E12</v>
      </c>
      <c r="B4411" s="2" t="s">
        <v>17598</v>
      </c>
      <c r="C4411" s="2" t="s">
        <v>6292</v>
      </c>
      <c r="D4411" s="169">
        <v>46119.0</v>
      </c>
      <c r="E4411" s="2">
        <v>3.316114444E9</v>
      </c>
      <c r="F4411" s="2" t="s">
        <v>17599</v>
      </c>
      <c r="G4411" s="2" t="s">
        <v>366</v>
      </c>
      <c r="H4411" s="2">
        <v>4997.0</v>
      </c>
      <c r="I4411" s="2">
        <v>2.7120050023362E13</v>
      </c>
      <c r="J4411" s="3">
        <v>3.0</v>
      </c>
      <c r="K4411" s="2" t="s">
        <v>17464</v>
      </c>
      <c r="L4411" s="2" t="s">
        <v>17600</v>
      </c>
      <c r="M4411" s="2" t="s">
        <v>409</v>
      </c>
      <c r="N4411" s="2" t="s">
        <v>462</v>
      </c>
      <c r="O4411" s="3"/>
      <c r="P4411" s="2" t="s">
        <v>73</v>
      </c>
      <c r="Q4411" s="3">
        <v>1370.0</v>
      </c>
      <c r="R4411" s="3">
        <v>0.5</v>
      </c>
      <c r="T4411" s="2" t="s">
        <v>15356</v>
      </c>
      <c r="U4411" s="171">
        <v>4997.0</v>
      </c>
      <c r="V4411" s="172">
        <v>46122.0</v>
      </c>
      <c r="W4411" s="3">
        <v>465.93</v>
      </c>
      <c r="X4411" s="172">
        <v>46122.08125394676</v>
      </c>
      <c r="Y4411" s="172">
        <v>46119.09298920139</v>
      </c>
      <c r="Z4411" s="3">
        <v>46119.0</v>
      </c>
      <c r="AA4411" s="2" t="s">
        <v>14022</v>
      </c>
    </row>
    <row r="4412">
      <c r="A4412" s="3">
        <v>6.987774558467E12</v>
      </c>
      <c r="B4412" s="2" t="s">
        <v>160</v>
      </c>
      <c r="C4412" s="2" t="s">
        <v>17601</v>
      </c>
      <c r="D4412" s="169">
        <v>46119.0</v>
      </c>
      <c r="E4412" s="2">
        <v>3.466677065E9</v>
      </c>
      <c r="F4412" s="2" t="s">
        <v>17602</v>
      </c>
      <c r="G4412" s="2" t="s">
        <v>688</v>
      </c>
      <c r="H4412" s="2">
        <v>299.0</v>
      </c>
      <c r="I4412" s="2">
        <v>2.112005002337E13</v>
      </c>
      <c r="J4412" s="3">
        <v>0.0</v>
      </c>
      <c r="K4412" s="2" t="s">
        <v>17603</v>
      </c>
      <c r="L4412" s="2"/>
      <c r="M4412" s="170" t="s">
        <v>455</v>
      </c>
      <c r="N4412" s="2" t="s">
        <v>406</v>
      </c>
      <c r="O4412" s="3"/>
      <c r="P4412" s="2" t="s">
        <v>73</v>
      </c>
      <c r="Q4412" s="3">
        <v>0.0</v>
      </c>
      <c r="R4412" s="3">
        <v>0.5</v>
      </c>
      <c r="U4412" s="141"/>
      <c r="W4412" s="3">
        <v>266.05</v>
      </c>
      <c r="X4412" s="172">
        <v>46128.081089074076</v>
      </c>
      <c r="Y4412" s="172">
        <v>46120.09298223379</v>
      </c>
      <c r="Z4412" s="3">
        <v>46119.0</v>
      </c>
      <c r="AA4412" s="2" t="s">
        <v>14032</v>
      </c>
    </row>
    <row r="4413">
      <c r="A4413" s="3">
        <v>6.987817582851E12</v>
      </c>
      <c r="B4413" s="2" t="s">
        <v>17604</v>
      </c>
      <c r="C4413" s="2" t="s">
        <v>17605</v>
      </c>
      <c r="D4413" s="169">
        <v>46119.0</v>
      </c>
      <c r="E4413" s="2">
        <v>3.21868078E9</v>
      </c>
      <c r="F4413" s="2" t="s">
        <v>17606</v>
      </c>
      <c r="G4413" s="2" t="s">
        <v>933</v>
      </c>
      <c r="H4413" s="2">
        <v>5000.0</v>
      </c>
      <c r="I4413" s="2">
        <v>2.3120050023361E13</v>
      </c>
      <c r="J4413" s="3">
        <v>2.0</v>
      </c>
      <c r="K4413" s="2" t="s">
        <v>16926</v>
      </c>
      <c r="L4413" s="2" t="s">
        <v>17607</v>
      </c>
      <c r="M4413" s="2" t="s">
        <v>409</v>
      </c>
      <c r="N4413" s="2" t="s">
        <v>462</v>
      </c>
      <c r="O4413" s="3"/>
      <c r="P4413" s="2" t="s">
        <v>73</v>
      </c>
      <c r="Q4413" s="3">
        <v>1760.0</v>
      </c>
      <c r="R4413" s="3">
        <v>0.5</v>
      </c>
      <c r="T4413" s="2" t="s">
        <v>15356</v>
      </c>
      <c r="U4413" s="171">
        <v>5000.0</v>
      </c>
      <c r="V4413" s="172">
        <v>46122.0</v>
      </c>
      <c r="W4413" s="3">
        <v>466.05</v>
      </c>
      <c r="X4413" s="172">
        <v>46122.08125407407</v>
      </c>
      <c r="Y4413" s="172">
        <v>46120.09298223379</v>
      </c>
      <c r="Z4413" s="3">
        <v>46119.0</v>
      </c>
      <c r="AA4413" s="2" t="s">
        <v>14032</v>
      </c>
    </row>
    <row r="4414">
      <c r="A4414" s="3">
        <v>6.987845206275E12</v>
      </c>
      <c r="B4414" s="2" t="s">
        <v>159</v>
      </c>
      <c r="C4414" s="2" t="s">
        <v>13496</v>
      </c>
      <c r="D4414" s="169">
        <v>46119.0</v>
      </c>
      <c r="E4414" s="2">
        <v>3.058955632E9</v>
      </c>
      <c r="F4414" s="2" t="s">
        <v>17608</v>
      </c>
      <c r="G4414" s="2" t="s">
        <v>781</v>
      </c>
      <c r="H4414" s="2">
        <v>299.0</v>
      </c>
      <c r="I4414" s="2">
        <v>2.2120050023369E13</v>
      </c>
      <c r="J4414" s="3">
        <v>0.0</v>
      </c>
      <c r="K4414" s="2" t="s">
        <v>17609</v>
      </c>
      <c r="L4414" s="2"/>
      <c r="M4414" s="170" t="s">
        <v>455</v>
      </c>
      <c r="N4414" s="2" t="s">
        <v>406</v>
      </c>
      <c r="O4414" s="3"/>
      <c r="P4414" s="2" t="s">
        <v>73</v>
      </c>
      <c r="Q4414" s="3">
        <v>0.0</v>
      </c>
      <c r="R4414" s="3">
        <v>0.5</v>
      </c>
      <c r="U4414" s="141"/>
      <c r="W4414" s="3">
        <v>257.98</v>
      </c>
      <c r="X4414" s="172">
        <v>46129.08103494213</v>
      </c>
      <c r="Y4414" s="172">
        <v>46120.09298223379</v>
      </c>
      <c r="Z4414" s="3">
        <v>46119.0</v>
      </c>
      <c r="AA4414" s="2" t="s">
        <v>14022</v>
      </c>
    </row>
    <row r="4415">
      <c r="A4415" s="3">
        <v>6.987878727939E12</v>
      </c>
      <c r="B4415" s="2" t="s">
        <v>17610</v>
      </c>
      <c r="C4415" s="2" t="s">
        <v>302</v>
      </c>
      <c r="D4415" s="169">
        <v>46119.0</v>
      </c>
      <c r="E4415" s="2">
        <v>3.335445877E9</v>
      </c>
      <c r="F4415" s="2" t="s">
        <v>17611</v>
      </c>
      <c r="G4415" s="2" t="s">
        <v>541</v>
      </c>
      <c r="H4415" s="2">
        <v>2249.0</v>
      </c>
      <c r="I4415" s="2">
        <v>2.912005002336E13</v>
      </c>
      <c r="J4415" s="3">
        <v>1.0</v>
      </c>
      <c r="K4415" s="2" t="s">
        <v>204</v>
      </c>
      <c r="L4415" s="2" t="s">
        <v>243</v>
      </c>
      <c r="M4415" s="2" t="s">
        <v>14076</v>
      </c>
      <c r="N4415" s="2" t="s">
        <v>406</v>
      </c>
      <c r="O4415" s="3"/>
      <c r="P4415" s="2" t="s">
        <v>73</v>
      </c>
      <c r="Q4415" s="3">
        <v>360.0</v>
      </c>
      <c r="R4415" s="3">
        <v>0.5</v>
      </c>
      <c r="U4415" s="141"/>
      <c r="X4415" s="172">
        <v>46122.08125478009</v>
      </c>
      <c r="Y4415" s="172">
        <v>46120.09298223379</v>
      </c>
      <c r="Z4415" s="3">
        <v>46119.0</v>
      </c>
      <c r="AA4415" s="2" t="s">
        <v>14032</v>
      </c>
    </row>
    <row r="4416">
      <c r="A4416" s="3">
        <v>6.987926241539E12</v>
      </c>
      <c r="B4416" s="2" t="s">
        <v>17612</v>
      </c>
      <c r="C4416" s="2" t="s">
        <v>8413</v>
      </c>
      <c r="D4416" s="169">
        <v>46119.0</v>
      </c>
      <c r="E4416" s="2">
        <v>3.170095192E9</v>
      </c>
      <c r="F4416" s="2" t="s">
        <v>17613</v>
      </c>
      <c r="G4416" s="2" t="s">
        <v>3826</v>
      </c>
      <c r="H4416" s="2">
        <v>0.0</v>
      </c>
      <c r="I4416" s="2"/>
      <c r="J4416" s="3">
        <v>0.0</v>
      </c>
      <c r="K4416" s="2" t="s">
        <v>8402</v>
      </c>
      <c r="L4416" s="2"/>
      <c r="M4416" s="2" t="s">
        <v>468</v>
      </c>
      <c r="N4416" s="2" t="s">
        <v>406</v>
      </c>
      <c r="O4416" s="3"/>
      <c r="P4416" s="2"/>
      <c r="Q4416" s="3">
        <v>0.0</v>
      </c>
      <c r="R4416" s="3">
        <v>0.5</v>
      </c>
      <c r="U4416" s="141"/>
      <c r="X4416" s="172"/>
      <c r="Y4416" s="172">
        <v>46120.09298223379</v>
      </c>
      <c r="Z4416" s="3">
        <v>46119.0</v>
      </c>
      <c r="AA4416" s="2" t="s">
        <v>14536</v>
      </c>
    </row>
    <row r="4417">
      <c r="A4417" s="3">
        <v>6.987954815235E12</v>
      </c>
      <c r="B4417" s="2" t="s">
        <v>158</v>
      </c>
      <c r="C4417" s="2" t="s">
        <v>17614</v>
      </c>
      <c r="D4417" s="169">
        <v>46119.0</v>
      </c>
      <c r="E4417" s="2">
        <v>3.064641627E9</v>
      </c>
      <c r="F4417" s="2" t="s">
        <v>17615</v>
      </c>
      <c r="G4417" s="2" t="s">
        <v>17616</v>
      </c>
      <c r="H4417" s="2">
        <v>299.0</v>
      </c>
      <c r="I4417" s="2">
        <v>2.5120050023391E13</v>
      </c>
      <c r="J4417" s="3">
        <v>0.0</v>
      </c>
      <c r="K4417" s="2" t="s">
        <v>17617</v>
      </c>
      <c r="L4417" s="2"/>
      <c r="M4417" s="170" t="s">
        <v>455</v>
      </c>
      <c r="N4417" s="2" t="s">
        <v>406</v>
      </c>
      <c r="O4417" s="3"/>
      <c r="P4417" s="2" t="s">
        <v>73</v>
      </c>
      <c r="Q4417" s="3">
        <v>0.0</v>
      </c>
      <c r="R4417" s="3">
        <v>0.5</v>
      </c>
      <c r="U4417" s="141"/>
      <c r="W4417" s="3">
        <v>128.99</v>
      </c>
      <c r="X4417" s="172">
        <v>46128.08108913194</v>
      </c>
      <c r="Y4417" s="172">
        <v>46120.09298223379</v>
      </c>
      <c r="Z4417" s="3">
        <v>46119.0</v>
      </c>
      <c r="AA4417" s="2" t="s">
        <v>14032</v>
      </c>
    </row>
    <row r="4418">
      <c r="A4418" s="3">
        <v>6.987966906627E12</v>
      </c>
      <c r="B4418" s="2" t="s">
        <v>17618</v>
      </c>
      <c r="C4418" s="2" t="s">
        <v>17619</v>
      </c>
      <c r="D4418" s="169">
        <v>46119.0</v>
      </c>
      <c r="E4418" s="2">
        <v>3.454239242E9</v>
      </c>
      <c r="F4418" s="2" t="s">
        <v>17620</v>
      </c>
      <c r="G4418" s="2" t="s">
        <v>368</v>
      </c>
      <c r="H4418" s="2">
        <v>3398.0</v>
      </c>
      <c r="I4418" s="2">
        <v>2.8120050023358E13</v>
      </c>
      <c r="J4418" s="3">
        <v>2.0</v>
      </c>
      <c r="K4418" s="2" t="s">
        <v>17321</v>
      </c>
      <c r="L4418" s="2" t="s">
        <v>906</v>
      </c>
      <c r="M4418" s="2" t="s">
        <v>409</v>
      </c>
      <c r="N4418" s="2" t="s">
        <v>462</v>
      </c>
      <c r="O4418" s="3"/>
      <c r="P4418" s="2" t="s">
        <v>73</v>
      </c>
      <c r="Q4418" s="3">
        <v>720.0</v>
      </c>
      <c r="R4418" s="3">
        <v>0.5</v>
      </c>
      <c r="T4418" s="2" t="s">
        <v>15356</v>
      </c>
      <c r="U4418" s="171">
        <v>3398.0</v>
      </c>
      <c r="V4418" s="172">
        <v>46122.0</v>
      </c>
      <c r="W4418" s="3">
        <v>264.90999999999997</v>
      </c>
      <c r="X4418" s="172">
        <v>46121.08115398148</v>
      </c>
      <c r="Y4418" s="172">
        <v>46120.09298223379</v>
      </c>
      <c r="Z4418" s="3">
        <v>46119.0</v>
      </c>
      <c r="AA4418" s="2" t="s">
        <v>14032</v>
      </c>
    </row>
    <row r="4419">
      <c r="A4419" s="3">
        <v>6.988011471107E12</v>
      </c>
      <c r="B4419" s="2" t="s">
        <v>17621</v>
      </c>
      <c r="C4419" s="2" t="s">
        <v>17622</v>
      </c>
      <c r="D4419" s="169">
        <v>46119.0</v>
      </c>
      <c r="E4419" s="2">
        <v>3.333962754E9</v>
      </c>
      <c r="F4419" s="2" t="s">
        <v>17623</v>
      </c>
      <c r="G4419" s="2" t="s">
        <v>493</v>
      </c>
      <c r="H4419" s="2">
        <v>1798.0</v>
      </c>
      <c r="I4419" s="2">
        <v>2.0120050023357E13</v>
      </c>
      <c r="J4419" s="3">
        <v>1.0</v>
      </c>
      <c r="K4419" s="2" t="s">
        <v>17624</v>
      </c>
      <c r="L4419" s="2" t="s">
        <v>17262</v>
      </c>
      <c r="M4419" s="2" t="s">
        <v>409</v>
      </c>
      <c r="N4419" s="2" t="s">
        <v>462</v>
      </c>
      <c r="O4419" s="3"/>
      <c r="P4419" s="2" t="s">
        <v>73</v>
      </c>
      <c r="Q4419" s="3">
        <v>550.0</v>
      </c>
      <c r="R4419" s="3">
        <v>0.5</v>
      </c>
      <c r="T4419" s="2" t="s">
        <v>15356</v>
      </c>
      <c r="U4419" s="171">
        <v>1798.0</v>
      </c>
      <c r="V4419" s="172">
        <v>46122.0</v>
      </c>
      <c r="W4419" s="3">
        <v>329.9</v>
      </c>
      <c r="X4419" s="172">
        <v>46122.08125481481</v>
      </c>
      <c r="Y4419" s="172">
        <v>46120.09298223379</v>
      </c>
      <c r="Z4419" s="3">
        <v>46119.0</v>
      </c>
      <c r="AA4419" s="2" t="s">
        <v>14053</v>
      </c>
    </row>
    <row r="4420">
      <c r="A4420" s="3">
        <v>6.988043780355E12</v>
      </c>
      <c r="B4420" s="2" t="s">
        <v>17625</v>
      </c>
      <c r="C4420" s="2" t="s">
        <v>17626</v>
      </c>
      <c r="D4420" s="169">
        <v>46119.0</v>
      </c>
      <c r="E4420" s="2">
        <v>3.007872061E9</v>
      </c>
      <c r="F4420" s="2" t="s">
        <v>17627</v>
      </c>
      <c r="G4420" s="2" t="s">
        <v>461</v>
      </c>
      <c r="H4420" s="2">
        <v>3398.0</v>
      </c>
      <c r="I4420" s="2">
        <v>2.4120050023356E13</v>
      </c>
      <c r="J4420" s="3">
        <v>2.0</v>
      </c>
      <c r="K4420" s="2" t="s">
        <v>17313</v>
      </c>
      <c r="L4420" s="2" t="s">
        <v>1116</v>
      </c>
      <c r="M4420" s="2" t="s">
        <v>409</v>
      </c>
      <c r="N4420" s="2" t="s">
        <v>462</v>
      </c>
      <c r="O4420" s="3"/>
      <c r="P4420" s="2" t="s">
        <v>73</v>
      </c>
      <c r="Q4420" s="3">
        <v>800.0</v>
      </c>
      <c r="R4420" s="3">
        <v>0.5</v>
      </c>
      <c r="T4420" s="2" t="s">
        <v>15278</v>
      </c>
      <c r="U4420" s="171">
        <v>3398.0</v>
      </c>
      <c r="V4420" s="172">
        <v>46126.0</v>
      </c>
      <c r="W4420" s="3">
        <v>377.78</v>
      </c>
      <c r="X4420" s="172">
        <v>46123.081150937505</v>
      </c>
      <c r="Y4420" s="172">
        <v>46120.09298223379</v>
      </c>
      <c r="Z4420" s="3">
        <v>46119.0</v>
      </c>
      <c r="AA4420" s="2" t="s">
        <v>14022</v>
      </c>
    </row>
    <row r="4421">
      <c r="A4421" s="3">
        <v>6.988097257731E12</v>
      </c>
      <c r="B4421" s="2" t="s">
        <v>17628</v>
      </c>
      <c r="C4421" s="2" t="s">
        <v>303</v>
      </c>
      <c r="D4421" s="169">
        <v>46119.0</v>
      </c>
      <c r="E4421" s="2">
        <v>3.060812672E9</v>
      </c>
      <c r="F4421" s="2" t="s">
        <v>17629</v>
      </c>
      <c r="G4421" s="2" t="s">
        <v>1044</v>
      </c>
      <c r="H4421" s="2">
        <v>3297.0</v>
      </c>
      <c r="I4421" s="2">
        <v>2.3120050023355E13</v>
      </c>
      <c r="J4421" s="3">
        <v>2.0</v>
      </c>
      <c r="K4421" s="2" t="s">
        <v>204</v>
      </c>
      <c r="L4421" s="2" t="s">
        <v>304</v>
      </c>
      <c r="M4421" s="2" t="s">
        <v>14076</v>
      </c>
      <c r="N4421" s="2" t="s">
        <v>406</v>
      </c>
      <c r="O4421" s="3"/>
      <c r="P4421" s="2" t="s">
        <v>73</v>
      </c>
      <c r="Q4421" s="3">
        <v>1100.0</v>
      </c>
      <c r="R4421" s="3">
        <v>0.5</v>
      </c>
      <c r="U4421" s="141"/>
      <c r="X4421" s="172">
        <v>46122.08125483796</v>
      </c>
      <c r="Y4421" s="172">
        <v>46120.09298223379</v>
      </c>
      <c r="Z4421" s="3">
        <v>46119.0</v>
      </c>
      <c r="AA4421" s="2" t="s">
        <v>14032</v>
      </c>
    </row>
    <row r="4422">
      <c r="A4422" s="3">
        <v>6.988165480707E12</v>
      </c>
      <c r="B4422" s="2" t="s">
        <v>17630</v>
      </c>
      <c r="C4422" s="2" t="s">
        <v>799</v>
      </c>
      <c r="D4422" s="169">
        <v>46119.0</v>
      </c>
      <c r="E4422" s="2">
        <v>3.47362275E9</v>
      </c>
      <c r="F4422" s="2" t="s">
        <v>17631</v>
      </c>
      <c r="G4422" s="2" t="s">
        <v>366</v>
      </c>
      <c r="H4422" s="2">
        <v>3297.0</v>
      </c>
      <c r="I4422" s="2">
        <v>2.6120050023354E13</v>
      </c>
      <c r="J4422" s="3">
        <v>2.0</v>
      </c>
      <c r="K4422" s="2" t="s">
        <v>17632</v>
      </c>
      <c r="L4422" s="2" t="s">
        <v>17633</v>
      </c>
      <c r="M4422" s="2" t="s">
        <v>409</v>
      </c>
      <c r="N4422" s="2" t="s">
        <v>462</v>
      </c>
      <c r="O4422" s="3"/>
      <c r="P4422" s="2" t="s">
        <v>73</v>
      </c>
      <c r="Q4422" s="3">
        <v>1100.0</v>
      </c>
      <c r="R4422" s="3">
        <v>0.5</v>
      </c>
      <c r="T4422" s="2" t="s">
        <v>15356</v>
      </c>
      <c r="U4422" s="171">
        <v>3297.0</v>
      </c>
      <c r="V4422" s="172">
        <v>46122.0</v>
      </c>
      <c r="W4422" s="3">
        <v>373.74</v>
      </c>
      <c r="X4422" s="172">
        <v>46122.08125484954</v>
      </c>
      <c r="Y4422" s="172">
        <v>46120.09298223379</v>
      </c>
      <c r="Z4422" s="3">
        <v>46119.0</v>
      </c>
      <c r="AA4422" s="2" t="s">
        <v>14032</v>
      </c>
    </row>
    <row r="4423">
      <c r="A4423" s="3">
        <v>6.988193169667E12</v>
      </c>
      <c r="B4423" s="2" t="s">
        <v>143</v>
      </c>
      <c r="C4423" s="2" t="s">
        <v>17634</v>
      </c>
      <c r="D4423" s="169">
        <v>46119.0</v>
      </c>
      <c r="E4423" s="2">
        <v>3.713066773E9</v>
      </c>
      <c r="F4423" s="2" t="s">
        <v>17635</v>
      </c>
      <c r="G4423" s="2" t="s">
        <v>3295</v>
      </c>
      <c r="H4423" s="2">
        <v>3398.0</v>
      </c>
      <c r="I4423" s="2">
        <v>2.7120050023416E13</v>
      </c>
      <c r="J4423" s="3">
        <v>2.0</v>
      </c>
      <c r="K4423" s="2" t="s">
        <v>17636</v>
      </c>
      <c r="L4423" s="2" t="s">
        <v>228</v>
      </c>
      <c r="M4423" s="2" t="s">
        <v>409</v>
      </c>
      <c r="N4423" s="2" t="s">
        <v>462</v>
      </c>
      <c r="O4423" s="3"/>
      <c r="P4423" s="2" t="s">
        <v>73</v>
      </c>
      <c r="Q4423" s="3">
        <v>720.0</v>
      </c>
      <c r="R4423" s="3">
        <v>0.5</v>
      </c>
      <c r="T4423" s="2" t="s">
        <v>72</v>
      </c>
      <c r="U4423" s="171">
        <v>3398.0</v>
      </c>
      <c r="V4423" s="172">
        <v>46129.0</v>
      </c>
      <c r="W4423" s="3">
        <v>393.9</v>
      </c>
      <c r="X4423" s="172">
        <v>46127.081076539354</v>
      </c>
      <c r="Y4423" s="172">
        <v>46120.09298223379</v>
      </c>
      <c r="Z4423" s="3">
        <v>46119.0</v>
      </c>
      <c r="AA4423" s="2" t="s">
        <v>14032</v>
      </c>
    </row>
    <row r="4424">
      <c r="A4424" s="3">
        <v>6.988199821571E12</v>
      </c>
      <c r="B4424" s="2" t="s">
        <v>17637</v>
      </c>
      <c r="C4424" s="2" t="s">
        <v>305</v>
      </c>
      <c r="D4424" s="169">
        <v>46119.0</v>
      </c>
      <c r="E4424" s="2">
        <v>3.241724784E9</v>
      </c>
      <c r="F4424" s="2" t="s">
        <v>17638</v>
      </c>
      <c r="G4424" s="2" t="s">
        <v>506</v>
      </c>
      <c r="H4424" s="2">
        <v>1798.0</v>
      </c>
      <c r="I4424" s="2">
        <v>2.4120050023352E13</v>
      </c>
      <c r="J4424" s="3">
        <v>1.0</v>
      </c>
      <c r="K4424" s="2" t="s">
        <v>204</v>
      </c>
      <c r="L4424" s="2" t="s">
        <v>301</v>
      </c>
      <c r="M4424" s="2" t="s">
        <v>14076</v>
      </c>
      <c r="N4424" s="2" t="s">
        <v>406</v>
      </c>
      <c r="O4424" s="3"/>
      <c r="P4424" s="2" t="s">
        <v>73</v>
      </c>
      <c r="Q4424" s="3">
        <v>550.0</v>
      </c>
      <c r="R4424" s="3">
        <v>0.5</v>
      </c>
      <c r="U4424" s="141"/>
      <c r="X4424" s="172">
        <v>46122.0812549074</v>
      </c>
      <c r="Y4424" s="172">
        <v>46120.09298223379</v>
      </c>
      <c r="Z4424" s="3">
        <v>46119.0</v>
      </c>
      <c r="AA4424" s="2" t="s">
        <v>14103</v>
      </c>
    </row>
    <row r="4425">
      <c r="A4425" s="3">
        <v>6.988208013571E12</v>
      </c>
      <c r="B4425" s="2" t="s">
        <v>17639</v>
      </c>
      <c r="C4425" s="2" t="s">
        <v>17640</v>
      </c>
      <c r="D4425" s="169">
        <v>46119.0</v>
      </c>
      <c r="E4425" s="2">
        <v>3.09211339E9</v>
      </c>
      <c r="F4425" s="2" t="s">
        <v>17641</v>
      </c>
      <c r="G4425" s="2" t="s">
        <v>493</v>
      </c>
      <c r="H4425" s="2">
        <v>3149.0</v>
      </c>
      <c r="I4425" s="2">
        <v>2.1120050023341E13</v>
      </c>
      <c r="J4425" s="3">
        <v>2.0</v>
      </c>
      <c r="K4425" s="2" t="s">
        <v>17418</v>
      </c>
      <c r="L4425" s="2" t="s">
        <v>35</v>
      </c>
      <c r="M4425" s="2" t="s">
        <v>409</v>
      </c>
      <c r="N4425" s="2" t="s">
        <v>462</v>
      </c>
      <c r="O4425" s="3"/>
      <c r="P4425" s="2" t="s">
        <v>73</v>
      </c>
      <c r="Q4425" s="3">
        <v>980.0</v>
      </c>
      <c r="R4425" s="3">
        <v>0.5</v>
      </c>
      <c r="T4425" s="2" t="s">
        <v>15356</v>
      </c>
      <c r="U4425" s="171">
        <v>3149.0</v>
      </c>
      <c r="V4425" s="172">
        <v>46122.0</v>
      </c>
      <c r="W4425" s="3">
        <v>383.94000000000005</v>
      </c>
      <c r="X4425" s="172">
        <v>46122.08125491899</v>
      </c>
      <c r="Y4425" s="172">
        <v>46120.09298223379</v>
      </c>
      <c r="Z4425" s="3">
        <v>46119.0</v>
      </c>
      <c r="AA4425" s="2" t="s">
        <v>14022</v>
      </c>
    </row>
    <row r="4426">
      <c r="A4426" s="3">
        <v>6.988249563395E12</v>
      </c>
      <c r="B4426" s="2" t="s">
        <v>157</v>
      </c>
      <c r="C4426" s="2" t="s">
        <v>17642</v>
      </c>
      <c r="D4426" s="169">
        <v>46119.0</v>
      </c>
      <c r="E4426" s="173" t="s">
        <v>17643</v>
      </c>
      <c r="F4426" s="2" t="s">
        <v>17644</v>
      </c>
      <c r="G4426" s="2" t="s">
        <v>8263</v>
      </c>
      <c r="H4426" s="2">
        <v>250.0</v>
      </c>
      <c r="I4426" s="2">
        <v>2.7120050023368E13</v>
      </c>
      <c r="J4426" s="3">
        <v>0.0</v>
      </c>
      <c r="K4426" s="2" t="s">
        <v>17645</v>
      </c>
      <c r="L4426" s="2"/>
      <c r="M4426" s="170" t="s">
        <v>455</v>
      </c>
      <c r="N4426" s="2" t="s">
        <v>406</v>
      </c>
      <c r="O4426" s="3"/>
      <c r="P4426" s="2" t="s">
        <v>73</v>
      </c>
      <c r="Q4426" s="3">
        <v>0.0</v>
      </c>
      <c r="R4426" s="3">
        <v>0.5</v>
      </c>
      <c r="U4426" s="141"/>
      <c r="W4426" s="3">
        <v>241.86</v>
      </c>
      <c r="X4426" s="172">
        <v>46129.08108614583</v>
      </c>
      <c r="Y4426" s="172">
        <v>46120.09298223379</v>
      </c>
      <c r="Z4426" s="3">
        <v>46119.0</v>
      </c>
      <c r="AA4426" s="2" t="s">
        <v>14026</v>
      </c>
    </row>
    <row r="4427">
      <c r="A4427" s="3">
        <v>6.988251037955E12</v>
      </c>
      <c r="B4427" s="2" t="s">
        <v>17646</v>
      </c>
      <c r="C4427" s="2" t="s">
        <v>17647</v>
      </c>
      <c r="D4427" s="169">
        <v>46119.0</v>
      </c>
      <c r="E4427" s="173" t="s">
        <v>17648</v>
      </c>
      <c r="F4427" s="2" t="s">
        <v>17649</v>
      </c>
      <c r="G4427" s="2" t="s">
        <v>688</v>
      </c>
      <c r="H4427" s="2">
        <v>1949.0</v>
      </c>
      <c r="I4427" s="2">
        <v>2.3120050023367E13</v>
      </c>
      <c r="J4427" s="3">
        <v>1.0</v>
      </c>
      <c r="K4427" s="2" t="s">
        <v>17650</v>
      </c>
      <c r="L4427" s="2" t="s">
        <v>13012</v>
      </c>
      <c r="M4427" s="2" t="s">
        <v>409</v>
      </c>
      <c r="N4427" s="2" t="s">
        <v>462</v>
      </c>
      <c r="O4427" s="3"/>
      <c r="P4427" s="2" t="s">
        <v>73</v>
      </c>
      <c r="Q4427" s="3">
        <v>550.0</v>
      </c>
      <c r="R4427" s="3">
        <v>0.5</v>
      </c>
      <c r="T4427" s="2" t="s">
        <v>15356</v>
      </c>
      <c r="U4427" s="171">
        <v>1949.0</v>
      </c>
      <c r="V4427" s="172">
        <v>46122.0</v>
      </c>
      <c r="W4427" s="3">
        <v>319.82000000000005</v>
      </c>
      <c r="X4427" s="172">
        <v>46122.081255</v>
      </c>
      <c r="Y4427" s="172">
        <v>46120.09298223379</v>
      </c>
      <c r="Z4427" s="3">
        <v>46119.0</v>
      </c>
      <c r="AA4427" s="2" t="s">
        <v>14026</v>
      </c>
    </row>
    <row r="4428">
      <c r="A4428" s="3">
        <v>6.988259983619E12</v>
      </c>
      <c r="B4428" s="2" t="s">
        <v>17651</v>
      </c>
      <c r="C4428" s="2" t="s">
        <v>17652</v>
      </c>
      <c r="D4428" s="169">
        <v>46119.0</v>
      </c>
      <c r="E4428" s="2">
        <v>3.120849802E9</v>
      </c>
      <c r="F4428" s="2" t="s">
        <v>17653</v>
      </c>
      <c r="G4428" s="2" t="s">
        <v>8229</v>
      </c>
      <c r="H4428" s="2">
        <v>2249.0</v>
      </c>
      <c r="I4428" s="2">
        <v>2.1120050023366E13</v>
      </c>
      <c r="J4428" s="3">
        <v>1.0</v>
      </c>
      <c r="K4428" s="2" t="s">
        <v>17654</v>
      </c>
      <c r="L4428" s="2" t="s">
        <v>326</v>
      </c>
      <c r="M4428" s="2" t="s">
        <v>409</v>
      </c>
      <c r="N4428" s="2" t="s">
        <v>462</v>
      </c>
      <c r="O4428" s="3"/>
      <c r="P4428" s="2" t="s">
        <v>73</v>
      </c>
      <c r="Q4428" s="3">
        <v>360.0</v>
      </c>
      <c r="R4428" s="3">
        <v>0.5</v>
      </c>
      <c r="T4428" s="2" t="s">
        <v>15278</v>
      </c>
      <c r="U4428" s="171">
        <v>2249.0</v>
      </c>
      <c r="V4428" s="172">
        <v>46126.0</v>
      </c>
      <c r="W4428" s="3">
        <v>347.94000000000005</v>
      </c>
      <c r="X4428" s="172">
        <v>46126.081372395834</v>
      </c>
      <c r="Y4428" s="172">
        <v>46120.09298223379</v>
      </c>
      <c r="Z4428" s="3">
        <v>46119.0</v>
      </c>
      <c r="AA4428" s="2" t="s">
        <v>14032</v>
      </c>
    </row>
    <row r="4429">
      <c r="A4429" s="3">
        <v>6.988260114691E12</v>
      </c>
      <c r="B4429" s="2" t="s">
        <v>17655</v>
      </c>
      <c r="C4429" s="2" t="s">
        <v>17656</v>
      </c>
      <c r="D4429" s="169">
        <v>46119.0</v>
      </c>
      <c r="E4429" s="2">
        <v>3.238101695E9</v>
      </c>
      <c r="F4429" s="2" t="s">
        <v>17657</v>
      </c>
      <c r="G4429" s="2" t="s">
        <v>493</v>
      </c>
      <c r="H4429" s="2">
        <v>0.0</v>
      </c>
      <c r="I4429" s="2"/>
      <c r="J4429" s="3">
        <v>0.0</v>
      </c>
      <c r="K4429" s="2" t="s">
        <v>8446</v>
      </c>
      <c r="L4429" s="2"/>
      <c r="M4429" s="2" t="s">
        <v>468</v>
      </c>
      <c r="N4429" s="2" t="s">
        <v>406</v>
      </c>
      <c r="O4429" s="3"/>
      <c r="P4429" s="2"/>
      <c r="Q4429" s="3">
        <v>0.0</v>
      </c>
      <c r="R4429" s="3">
        <v>0.5</v>
      </c>
      <c r="U4429" s="141"/>
      <c r="X4429" s="172"/>
      <c r="Y4429" s="172">
        <v>46120.09298223379</v>
      </c>
      <c r="Z4429" s="3">
        <v>46119.0</v>
      </c>
      <c r="AA4429" s="2" t="s">
        <v>14022</v>
      </c>
    </row>
    <row r="4430">
      <c r="A4430" s="3">
        <v>6.988268765443E12</v>
      </c>
      <c r="B4430" s="2" t="s">
        <v>17658</v>
      </c>
      <c r="C4430" s="2" t="s">
        <v>17659</v>
      </c>
      <c r="D4430" s="169">
        <v>46119.0</v>
      </c>
      <c r="E4430" s="2">
        <v>3.368869982E9</v>
      </c>
      <c r="F4430" s="2" t="s">
        <v>17660</v>
      </c>
      <c r="G4430" s="2" t="s">
        <v>366</v>
      </c>
      <c r="H4430" s="2">
        <v>299.0</v>
      </c>
      <c r="I4430" s="2">
        <v>2.8120050023379E13</v>
      </c>
      <c r="J4430" s="3">
        <v>0.0</v>
      </c>
      <c r="K4430" s="2" t="s">
        <v>17661</v>
      </c>
      <c r="L4430" s="2"/>
      <c r="M4430" s="170" t="s">
        <v>455</v>
      </c>
      <c r="N4430" s="2" t="s">
        <v>406</v>
      </c>
      <c r="O4430" s="3"/>
      <c r="P4430" s="2" t="s">
        <v>73</v>
      </c>
      <c r="Q4430" s="3">
        <v>0.0</v>
      </c>
      <c r="R4430" s="3">
        <v>0.5</v>
      </c>
      <c r="U4430" s="141"/>
      <c r="X4430" s="172">
        <v>46130.08122314815</v>
      </c>
      <c r="Y4430" s="172">
        <v>46120.09298223379</v>
      </c>
      <c r="Z4430" s="3">
        <v>46119.0</v>
      </c>
      <c r="AA4430" s="2" t="s">
        <v>14032</v>
      </c>
    </row>
    <row r="4431">
      <c r="A4431" s="3">
        <v>6.988278825219E12</v>
      </c>
      <c r="B4431" s="2" t="s">
        <v>17662</v>
      </c>
      <c r="C4431" s="2" t="s">
        <v>12233</v>
      </c>
      <c r="D4431" s="169">
        <v>46119.0</v>
      </c>
      <c r="E4431" s="2">
        <v>3.331039363E9</v>
      </c>
      <c r="F4431" s="2" t="s">
        <v>12234</v>
      </c>
      <c r="G4431" s="2" t="s">
        <v>945</v>
      </c>
      <c r="H4431" s="2">
        <v>3149.0</v>
      </c>
      <c r="I4431" s="2">
        <v>2.4120050023365E13</v>
      </c>
      <c r="J4431" s="3">
        <v>2.0</v>
      </c>
      <c r="K4431" s="2" t="s">
        <v>17418</v>
      </c>
      <c r="L4431" s="2" t="s">
        <v>35</v>
      </c>
      <c r="M4431" s="2" t="s">
        <v>409</v>
      </c>
      <c r="N4431" s="2" t="s">
        <v>462</v>
      </c>
      <c r="O4431" s="3"/>
      <c r="P4431" s="2" t="s">
        <v>73</v>
      </c>
      <c r="Q4431" s="3">
        <v>980.0</v>
      </c>
      <c r="R4431" s="3">
        <v>0.5</v>
      </c>
      <c r="T4431" s="2" t="s">
        <v>15356</v>
      </c>
      <c r="U4431" s="171">
        <v>3149.0</v>
      </c>
      <c r="V4431" s="172">
        <v>46122.0</v>
      </c>
      <c r="W4431" s="3">
        <v>383.94000000000005</v>
      </c>
      <c r="X4431" s="172">
        <v>46122.08125510417</v>
      </c>
      <c r="Y4431" s="172">
        <v>46120.09298223379</v>
      </c>
      <c r="Z4431" s="3">
        <v>46119.0</v>
      </c>
      <c r="AA4431" s="2" t="s">
        <v>14032</v>
      </c>
    </row>
    <row r="4432">
      <c r="A4432" s="3">
        <v>6.988283838723E12</v>
      </c>
      <c r="B4432" s="2" t="s">
        <v>17663</v>
      </c>
      <c r="C4432" s="2" t="s">
        <v>306</v>
      </c>
      <c r="D4432" s="169">
        <v>46119.0</v>
      </c>
      <c r="E4432" s="2">
        <v>3.016082227E9</v>
      </c>
      <c r="F4432" s="2" t="s">
        <v>17664</v>
      </c>
      <c r="G4432" s="2" t="s">
        <v>17665</v>
      </c>
      <c r="H4432" s="2">
        <v>1798.0</v>
      </c>
      <c r="I4432" s="2">
        <v>2.9120050023359E13</v>
      </c>
      <c r="J4432" s="3">
        <v>1.0</v>
      </c>
      <c r="K4432" s="2" t="s">
        <v>204</v>
      </c>
      <c r="L4432" s="2" t="s">
        <v>307</v>
      </c>
      <c r="M4432" s="2" t="s">
        <v>14076</v>
      </c>
      <c r="N4432" s="2" t="s">
        <v>406</v>
      </c>
      <c r="O4432" s="3"/>
      <c r="P4432" s="2" t="s">
        <v>73</v>
      </c>
      <c r="Q4432" s="3">
        <v>550.0</v>
      </c>
      <c r="R4432" s="3">
        <v>0.5</v>
      </c>
      <c r="U4432" s="141"/>
      <c r="X4432" s="172">
        <v>46122.08125513889</v>
      </c>
      <c r="Y4432" s="172">
        <v>46120.09298223379</v>
      </c>
      <c r="Z4432" s="3">
        <v>46119.0</v>
      </c>
      <c r="AA4432" s="2" t="s">
        <v>14022</v>
      </c>
    </row>
    <row r="4433">
      <c r="A4433" s="3">
        <v>6.988302876931E12</v>
      </c>
      <c r="B4433" s="2" t="s">
        <v>17666</v>
      </c>
      <c r="C4433" s="2" t="s">
        <v>17667</v>
      </c>
      <c r="D4433" s="169">
        <v>46119.0</v>
      </c>
      <c r="E4433" s="2">
        <v>3.219225402E9</v>
      </c>
      <c r="F4433" s="2" t="s">
        <v>17668</v>
      </c>
      <c r="G4433" s="2" t="s">
        <v>493</v>
      </c>
      <c r="H4433" s="2">
        <v>1798.0</v>
      </c>
      <c r="I4433" s="2"/>
      <c r="J4433" s="3">
        <v>1.0</v>
      </c>
      <c r="K4433" s="2" t="s">
        <v>241</v>
      </c>
      <c r="L4433" s="2" t="s">
        <v>17669</v>
      </c>
      <c r="M4433" s="2" t="s">
        <v>406</v>
      </c>
      <c r="N4433" s="2" t="s">
        <v>406</v>
      </c>
      <c r="O4433" s="3"/>
      <c r="P4433" s="2"/>
      <c r="Q4433" s="3">
        <v>550.0</v>
      </c>
      <c r="R4433" s="3">
        <v>0.5</v>
      </c>
      <c r="U4433" s="141"/>
      <c r="X4433" s="172"/>
      <c r="Y4433" s="172">
        <v>46120.09298223379</v>
      </c>
      <c r="Z4433" s="3">
        <v>46119.0</v>
      </c>
      <c r="AA4433" s="2" t="s">
        <v>14053</v>
      </c>
    </row>
    <row r="4434">
      <c r="A4434" s="3">
        <v>6.988310446339E12</v>
      </c>
      <c r="B4434" s="2" t="s">
        <v>17670</v>
      </c>
      <c r="C4434" s="2" t="s">
        <v>300</v>
      </c>
      <c r="D4434" s="169">
        <v>46119.0</v>
      </c>
      <c r="E4434" s="2">
        <v>3.238101695E9</v>
      </c>
      <c r="F4434" s="2" t="s">
        <v>17657</v>
      </c>
      <c r="G4434" s="2" t="s">
        <v>493</v>
      </c>
      <c r="H4434" s="2">
        <v>0.0</v>
      </c>
      <c r="I4434" s="2"/>
      <c r="J4434" s="3">
        <v>0.0</v>
      </c>
      <c r="K4434" s="2" t="s">
        <v>8446</v>
      </c>
      <c r="L4434" s="2"/>
      <c r="M4434" s="2" t="s">
        <v>468</v>
      </c>
      <c r="N4434" s="2" t="s">
        <v>406</v>
      </c>
      <c r="O4434" s="3"/>
      <c r="P4434" s="2"/>
      <c r="Q4434" s="3">
        <v>0.0</v>
      </c>
      <c r="R4434" s="3">
        <v>0.5</v>
      </c>
      <c r="U4434" s="141"/>
      <c r="X4434" s="172"/>
      <c r="Y4434" s="172">
        <v>46120.09298223379</v>
      </c>
      <c r="Z4434" s="3">
        <v>46119.0</v>
      </c>
      <c r="AA4434" s="2" t="s">
        <v>14022</v>
      </c>
    </row>
    <row r="4435">
      <c r="A4435" s="3">
        <v>6.988335415555E12</v>
      </c>
      <c r="B4435" s="2" t="s">
        <v>17671</v>
      </c>
      <c r="C4435" s="2" t="s">
        <v>17672</v>
      </c>
      <c r="D4435" s="169">
        <v>46119.0</v>
      </c>
      <c r="E4435" s="2">
        <v>3.365597212E9</v>
      </c>
      <c r="F4435" s="175" t="s">
        <v>17673</v>
      </c>
      <c r="G4435" s="175" t="s">
        <v>17674</v>
      </c>
      <c r="H4435" s="2">
        <v>0.0</v>
      </c>
      <c r="I4435" s="2"/>
      <c r="J4435" s="3">
        <v>0.0</v>
      </c>
      <c r="K4435" s="2" t="s">
        <v>17675</v>
      </c>
      <c r="L4435" s="2"/>
      <c r="M4435" s="2" t="s">
        <v>468</v>
      </c>
      <c r="N4435" s="2" t="s">
        <v>406</v>
      </c>
      <c r="O4435" s="3"/>
      <c r="P4435" s="2"/>
      <c r="Q4435" s="3">
        <v>0.0</v>
      </c>
      <c r="R4435" s="3">
        <v>0.5</v>
      </c>
      <c r="U4435" s="141"/>
      <c r="X4435" s="172"/>
      <c r="Y4435" s="172">
        <v>46120.09298223379</v>
      </c>
      <c r="Z4435" s="3">
        <v>46119.0</v>
      </c>
      <c r="AA4435" s="2" t="s">
        <v>14032</v>
      </c>
    </row>
    <row r="4436">
      <c r="A4436" s="3">
        <v>6.988337152259E12</v>
      </c>
      <c r="B4436" s="2" t="s">
        <v>156</v>
      </c>
      <c r="C4436" s="2" t="s">
        <v>17676</v>
      </c>
      <c r="D4436" s="169">
        <v>46119.0</v>
      </c>
      <c r="E4436" s="173" t="s">
        <v>17677</v>
      </c>
      <c r="F4436" s="2" t="s">
        <v>17678</v>
      </c>
      <c r="G4436" s="2" t="s">
        <v>17679</v>
      </c>
      <c r="H4436" s="2">
        <v>299.0</v>
      </c>
      <c r="I4436" s="2">
        <v>2.2120050023395E13</v>
      </c>
      <c r="J4436" s="3">
        <v>0.0</v>
      </c>
      <c r="K4436" s="2" t="s">
        <v>17680</v>
      </c>
      <c r="L4436" s="2"/>
      <c r="M4436" s="170" t="s">
        <v>455</v>
      </c>
      <c r="N4436" s="2" t="s">
        <v>406</v>
      </c>
      <c r="O4436" s="3"/>
      <c r="P4436" s="2" t="s">
        <v>73</v>
      </c>
      <c r="Q4436" s="3">
        <v>0.0</v>
      </c>
      <c r="R4436" s="3">
        <v>0.5</v>
      </c>
      <c r="U4436" s="141"/>
      <c r="W4436" s="3">
        <v>241.86</v>
      </c>
      <c r="X4436" s="172">
        <v>46128.08108921297</v>
      </c>
      <c r="Y4436" s="172">
        <v>46120.09298223379</v>
      </c>
      <c r="Z4436" s="3">
        <v>46119.0</v>
      </c>
      <c r="AA4436" s="2" t="s">
        <v>14032</v>
      </c>
    </row>
    <row r="4437">
      <c r="A4437" s="3">
        <v>6.988373295363E12</v>
      </c>
      <c r="B4437" s="2" t="s">
        <v>17681</v>
      </c>
      <c r="C4437" s="2" t="s">
        <v>308</v>
      </c>
      <c r="D4437" s="169">
        <v>46119.0</v>
      </c>
      <c r="E4437" s="2">
        <v>3.152555355E9</v>
      </c>
      <c r="F4437" s="2" t="s">
        <v>17682</v>
      </c>
      <c r="G4437" s="2" t="s">
        <v>15477</v>
      </c>
      <c r="H4437" s="2">
        <v>6298.0</v>
      </c>
      <c r="I4437" s="2">
        <v>2.1120050023394E13</v>
      </c>
      <c r="J4437" s="3">
        <v>4.0</v>
      </c>
      <c r="K4437" s="2" t="s">
        <v>241</v>
      </c>
      <c r="L4437" s="2" t="s">
        <v>309</v>
      </c>
      <c r="M4437" s="2" t="s">
        <v>14076</v>
      </c>
      <c r="N4437" s="2" t="s">
        <v>406</v>
      </c>
      <c r="O4437" s="3"/>
      <c r="P4437" s="2" t="s">
        <v>73</v>
      </c>
      <c r="Q4437" s="3">
        <v>2200.0</v>
      </c>
      <c r="R4437" s="3">
        <v>0.5</v>
      </c>
      <c r="U4437" s="141"/>
      <c r="X4437" s="172">
        <v>46122.08125559028</v>
      </c>
      <c r="Y4437" s="172">
        <v>46120.09298224537</v>
      </c>
      <c r="Z4437" s="3">
        <v>46119.0</v>
      </c>
      <c r="AA4437" s="2" t="s">
        <v>14032</v>
      </c>
    </row>
    <row r="4438">
      <c r="A4438" s="3">
        <v>6.988397052163E12</v>
      </c>
      <c r="B4438" s="2" t="s">
        <v>17683</v>
      </c>
      <c r="C4438" s="2" t="s">
        <v>17684</v>
      </c>
      <c r="D4438" s="169">
        <v>46119.0</v>
      </c>
      <c r="E4438" s="173" t="s">
        <v>17685</v>
      </c>
      <c r="F4438" s="2" t="s">
        <v>17686</v>
      </c>
      <c r="G4438" s="2" t="s">
        <v>493</v>
      </c>
      <c r="H4438" s="2">
        <v>2517.0</v>
      </c>
      <c r="I4438" s="2">
        <v>2.0120050023607E13</v>
      </c>
      <c r="J4438" s="3">
        <v>2.0</v>
      </c>
      <c r="K4438" s="2" t="s">
        <v>17687</v>
      </c>
      <c r="L4438" s="2" t="s">
        <v>17688</v>
      </c>
      <c r="M4438" s="2" t="s">
        <v>409</v>
      </c>
      <c r="N4438" s="2" t="s">
        <v>406</v>
      </c>
      <c r="O4438" s="3"/>
      <c r="P4438" s="2" t="s">
        <v>73</v>
      </c>
      <c r="Q4438" s="3">
        <v>1100.0</v>
      </c>
      <c r="R4438" s="3">
        <v>0.5</v>
      </c>
      <c r="U4438" s="141"/>
      <c r="X4438" s="172">
        <v>46130.081223333334</v>
      </c>
      <c r="Y4438" s="172">
        <v>46120.09298224537</v>
      </c>
      <c r="Z4438" s="3">
        <v>46119.0</v>
      </c>
      <c r="AA4438" s="2" t="s">
        <v>14026</v>
      </c>
    </row>
    <row r="4439">
      <c r="A4439" s="3">
        <v>6.988500009219E12</v>
      </c>
      <c r="B4439" s="2" t="s">
        <v>17689</v>
      </c>
      <c r="C4439" s="2" t="s">
        <v>17690</v>
      </c>
      <c r="D4439" s="169">
        <v>46119.0</v>
      </c>
      <c r="E4439" s="2">
        <v>3.249484542E9</v>
      </c>
      <c r="F4439" s="2" t="s">
        <v>17691</v>
      </c>
      <c r="G4439" s="2" t="s">
        <v>368</v>
      </c>
      <c r="H4439" s="2">
        <v>3398.0</v>
      </c>
      <c r="I4439" s="2"/>
      <c r="J4439" s="3">
        <v>2.0</v>
      </c>
      <c r="K4439" s="2" t="s">
        <v>204</v>
      </c>
      <c r="L4439" s="2" t="s">
        <v>27</v>
      </c>
      <c r="M4439" s="2" t="s">
        <v>406</v>
      </c>
      <c r="N4439" s="2" t="s">
        <v>406</v>
      </c>
      <c r="O4439" s="3"/>
      <c r="P4439" s="2"/>
      <c r="Q4439" s="3">
        <v>720.0</v>
      </c>
      <c r="R4439" s="3">
        <v>0.5</v>
      </c>
      <c r="U4439" s="141"/>
      <c r="X4439" s="172"/>
      <c r="Y4439" s="172">
        <v>46120.09298224537</v>
      </c>
      <c r="Z4439" s="3">
        <v>46119.0</v>
      </c>
      <c r="AA4439" s="2" t="s">
        <v>14022</v>
      </c>
    </row>
    <row r="4440">
      <c r="A4440" s="3">
        <v>6.988747964675E12</v>
      </c>
      <c r="B4440" s="2" t="s">
        <v>17692</v>
      </c>
      <c r="C4440" s="2" t="s">
        <v>17693</v>
      </c>
      <c r="D4440" s="169">
        <v>46119.0</v>
      </c>
      <c r="E4440" s="2">
        <v>3.333177424E9</v>
      </c>
      <c r="F4440" s="2" t="s">
        <v>17694</v>
      </c>
      <c r="G4440" s="2" t="s">
        <v>993</v>
      </c>
      <c r="H4440" s="2">
        <v>3398.0</v>
      </c>
      <c r="I4440" s="2">
        <v>1.73012628327E11</v>
      </c>
      <c r="J4440" s="3">
        <v>2.0</v>
      </c>
      <c r="K4440" s="2" t="s">
        <v>7745</v>
      </c>
      <c r="L4440" s="2" t="s">
        <v>234</v>
      </c>
      <c r="M4440" s="2" t="s">
        <v>409</v>
      </c>
      <c r="N4440" s="2" t="s">
        <v>406</v>
      </c>
      <c r="O4440" s="3"/>
      <c r="P4440" s="2" t="s">
        <v>501</v>
      </c>
      <c r="Q4440" s="3">
        <v>800.0</v>
      </c>
      <c r="R4440" s="3">
        <v>0.5</v>
      </c>
      <c r="U4440" s="141"/>
      <c r="X4440" s="172">
        <v>46126.08341861111</v>
      </c>
      <c r="Y4440" s="172">
        <v>46120.09298224537</v>
      </c>
      <c r="Z4440" s="3">
        <v>46119.0</v>
      </c>
      <c r="AA4440" s="2" t="s">
        <v>14032</v>
      </c>
    </row>
    <row r="4441">
      <c r="A4441" s="3">
        <v>6.988765659395E12</v>
      </c>
      <c r="B4441" s="2" t="s">
        <v>17695</v>
      </c>
      <c r="C4441" s="2" t="s">
        <v>3690</v>
      </c>
      <c r="D4441" s="169">
        <v>46119.0</v>
      </c>
      <c r="E4441" s="173" t="s">
        <v>17696</v>
      </c>
      <c r="F4441" s="2" t="s">
        <v>17697</v>
      </c>
      <c r="G4441" s="2" t="s">
        <v>917</v>
      </c>
      <c r="H4441" s="2">
        <v>0.0</v>
      </c>
      <c r="I4441" s="2"/>
      <c r="J4441" s="3">
        <v>0.0</v>
      </c>
      <c r="K4441" s="2" t="s">
        <v>17698</v>
      </c>
      <c r="L4441" s="2"/>
      <c r="M4441" s="2" t="s">
        <v>468</v>
      </c>
      <c r="N4441" s="2" t="s">
        <v>406</v>
      </c>
      <c r="O4441" s="3"/>
      <c r="P4441" s="2"/>
      <c r="Q4441" s="3">
        <v>0.0</v>
      </c>
      <c r="R4441" s="3">
        <v>0.5</v>
      </c>
      <c r="U4441" s="141"/>
      <c r="X4441" s="172"/>
      <c r="Y4441" s="172">
        <v>46120.09298224537</v>
      </c>
      <c r="Z4441" s="3">
        <v>46119.0</v>
      </c>
      <c r="AA4441" s="2" t="s">
        <v>14032</v>
      </c>
    </row>
    <row r="4442">
      <c r="A4442" s="3">
        <v>6.988815008003E12</v>
      </c>
      <c r="B4442" s="2" t="s">
        <v>17699</v>
      </c>
      <c r="C4442" s="2" t="s">
        <v>2770</v>
      </c>
      <c r="D4442" s="169">
        <v>46119.0</v>
      </c>
      <c r="E4442" s="173" t="s">
        <v>17700</v>
      </c>
      <c r="F4442" s="2" t="s">
        <v>17701</v>
      </c>
      <c r="G4442" s="2" t="s">
        <v>2725</v>
      </c>
      <c r="H4442" s="2">
        <v>3149.0</v>
      </c>
      <c r="I4442" s="2">
        <v>2.2120050023393E13</v>
      </c>
      <c r="J4442" s="3">
        <v>2.0</v>
      </c>
      <c r="K4442" s="2" t="s">
        <v>17418</v>
      </c>
      <c r="L4442" s="2" t="s">
        <v>16</v>
      </c>
      <c r="M4442" s="2" t="s">
        <v>409</v>
      </c>
      <c r="N4442" s="2" t="s">
        <v>462</v>
      </c>
      <c r="O4442" s="3"/>
      <c r="P4442" s="2" t="s">
        <v>73</v>
      </c>
      <c r="Q4442" s="3">
        <v>980.0</v>
      </c>
      <c r="R4442" s="3">
        <v>0.5</v>
      </c>
      <c r="T4442" s="2" t="s">
        <v>15356</v>
      </c>
      <c r="U4442" s="171">
        <v>3149.0</v>
      </c>
      <c r="V4442" s="172">
        <v>46122.0</v>
      </c>
      <c r="W4442" s="3">
        <v>367.82000000000005</v>
      </c>
      <c r="X4442" s="172">
        <v>46122.08125607639</v>
      </c>
      <c r="Y4442" s="172">
        <v>46120.09298224537</v>
      </c>
      <c r="Z4442" s="3">
        <v>46119.0</v>
      </c>
      <c r="AA4442" s="2" t="s">
        <v>14032</v>
      </c>
    </row>
    <row r="4443">
      <c r="A4443" s="3">
        <v>6.988870582531E12</v>
      </c>
      <c r="B4443" s="2" t="s">
        <v>17702</v>
      </c>
      <c r="C4443" s="2" t="s">
        <v>17703</v>
      </c>
      <c r="D4443" s="169">
        <v>46119.0</v>
      </c>
      <c r="E4443" s="2">
        <v>3.006905898E9</v>
      </c>
      <c r="F4443" s="175" t="s">
        <v>17704</v>
      </c>
      <c r="G4443" s="2" t="s">
        <v>6017</v>
      </c>
      <c r="H4443" s="2">
        <v>1898.0</v>
      </c>
      <c r="I4443" s="2"/>
      <c r="J4443" s="3">
        <v>1.0</v>
      </c>
      <c r="K4443" s="2" t="s">
        <v>17705</v>
      </c>
      <c r="L4443" s="2" t="s">
        <v>253</v>
      </c>
      <c r="M4443" s="2" t="s">
        <v>406</v>
      </c>
      <c r="N4443" s="2" t="s">
        <v>406</v>
      </c>
      <c r="O4443" s="3"/>
      <c r="P4443" s="2"/>
      <c r="Q4443" s="3">
        <v>650.0</v>
      </c>
      <c r="R4443" s="3">
        <v>0.5</v>
      </c>
      <c r="U4443" s="141"/>
      <c r="X4443" s="172"/>
      <c r="Y4443" s="172">
        <v>46120.09298224537</v>
      </c>
      <c r="Z4443" s="3">
        <v>46119.0</v>
      </c>
      <c r="AA4443" s="2" t="s">
        <v>14032</v>
      </c>
    </row>
    <row r="4444">
      <c r="A4444" s="3">
        <v>6.988883394819E12</v>
      </c>
      <c r="B4444" s="2" t="s">
        <v>17706</v>
      </c>
      <c r="C4444" s="2" t="s">
        <v>17707</v>
      </c>
      <c r="D4444" s="169">
        <v>46119.0</v>
      </c>
      <c r="E4444" s="2">
        <v>3.225558566E9</v>
      </c>
      <c r="F4444" s="2" t="s">
        <v>17708</v>
      </c>
      <c r="G4444" s="2" t="s">
        <v>368</v>
      </c>
      <c r="H4444" s="2">
        <v>0.0</v>
      </c>
      <c r="I4444" s="2"/>
      <c r="J4444" s="3">
        <v>0.0</v>
      </c>
      <c r="K4444" s="2" t="s">
        <v>8402</v>
      </c>
      <c r="L4444" s="2"/>
      <c r="M4444" s="2" t="s">
        <v>468</v>
      </c>
      <c r="N4444" s="2" t="s">
        <v>406</v>
      </c>
      <c r="O4444" s="3"/>
      <c r="P4444" s="2"/>
      <c r="Q4444" s="3">
        <v>0.0</v>
      </c>
      <c r="R4444" s="3">
        <v>0.5</v>
      </c>
      <c r="U4444" s="141"/>
      <c r="X4444" s="172"/>
      <c r="Y4444" s="172">
        <v>46120.09298224537</v>
      </c>
      <c r="Z4444" s="3">
        <v>46119.0</v>
      </c>
      <c r="AA4444" s="2" t="s">
        <v>14032</v>
      </c>
    </row>
    <row r="4445">
      <c r="A4445" s="3">
        <v>6.988928188675E12</v>
      </c>
      <c r="B4445" s="2" t="s">
        <v>17709</v>
      </c>
      <c r="C4445" s="2" t="s">
        <v>17710</v>
      </c>
      <c r="D4445" s="169">
        <v>46119.0</v>
      </c>
      <c r="E4445" s="2">
        <v>3.000974439E9</v>
      </c>
      <c r="F4445" s="2" t="s">
        <v>17711</v>
      </c>
      <c r="G4445" s="2" t="s">
        <v>1016</v>
      </c>
      <c r="H4445" s="2">
        <v>1898.0</v>
      </c>
      <c r="I4445" s="2"/>
      <c r="J4445" s="3">
        <v>1.0</v>
      </c>
      <c r="K4445" s="2" t="s">
        <v>204</v>
      </c>
      <c r="L4445" s="2" t="s">
        <v>253</v>
      </c>
      <c r="M4445" s="2" t="s">
        <v>406</v>
      </c>
      <c r="N4445" s="2" t="s">
        <v>406</v>
      </c>
      <c r="O4445" s="3"/>
      <c r="P4445" s="2"/>
      <c r="Q4445" s="3">
        <v>650.0</v>
      </c>
      <c r="R4445" s="3">
        <v>0.5</v>
      </c>
      <c r="U4445" s="141"/>
      <c r="X4445" s="172"/>
      <c r="Y4445" s="172">
        <v>46120.09298224537</v>
      </c>
      <c r="Z4445" s="3">
        <v>46119.0</v>
      </c>
      <c r="AA4445" s="2" t="s">
        <v>14103</v>
      </c>
    </row>
    <row r="4446">
      <c r="A4446" s="3">
        <v>6.989005390083E12</v>
      </c>
      <c r="B4446" s="2" t="s">
        <v>17712</v>
      </c>
      <c r="C4446" s="2" t="s">
        <v>17713</v>
      </c>
      <c r="D4446" s="169">
        <v>46120.0</v>
      </c>
      <c r="E4446" s="2">
        <v>3.181542075E9</v>
      </c>
      <c r="F4446" s="2" t="s">
        <v>17714</v>
      </c>
      <c r="G4446" s="2" t="s">
        <v>781</v>
      </c>
      <c r="H4446" s="2">
        <v>3398.0</v>
      </c>
      <c r="I4446" s="2"/>
      <c r="J4446" s="3">
        <v>2.0</v>
      </c>
      <c r="K4446" s="2" t="s">
        <v>204</v>
      </c>
      <c r="L4446" s="2" t="s">
        <v>27</v>
      </c>
      <c r="M4446" s="2" t="s">
        <v>406</v>
      </c>
      <c r="N4446" s="2" t="s">
        <v>406</v>
      </c>
      <c r="O4446" s="3"/>
      <c r="P4446" s="2"/>
      <c r="Q4446" s="3">
        <v>720.0</v>
      </c>
      <c r="R4446" s="3">
        <v>0.5</v>
      </c>
      <c r="U4446" s="141"/>
      <c r="X4446" s="172"/>
      <c r="Y4446" s="172">
        <v>46120.09298224537</v>
      </c>
      <c r="Z4446" s="3">
        <v>46120.0</v>
      </c>
      <c r="AA4446" s="2" t="s">
        <v>14032</v>
      </c>
    </row>
    <row r="4447">
      <c r="A4447" s="3">
        <v>6.989019152643E12</v>
      </c>
      <c r="B4447" s="2" t="s">
        <v>17715</v>
      </c>
      <c r="C4447" s="2" t="s">
        <v>311</v>
      </c>
      <c r="D4447" s="169">
        <v>46120.0</v>
      </c>
      <c r="E4447" s="2">
        <v>3.122410378E9</v>
      </c>
      <c r="F4447" s="2" t="s">
        <v>17716</v>
      </c>
      <c r="G4447" s="2" t="s">
        <v>17717</v>
      </c>
      <c r="H4447" s="2">
        <v>3149.0</v>
      </c>
      <c r="I4447" s="2" t="s">
        <v>310</v>
      </c>
      <c r="J4447" s="3">
        <v>2.0</v>
      </c>
      <c r="K4447" s="2" t="s">
        <v>204</v>
      </c>
      <c r="L4447" s="2" t="s">
        <v>35</v>
      </c>
      <c r="M4447" s="2" t="s">
        <v>16769</v>
      </c>
      <c r="N4447" s="2" t="s">
        <v>406</v>
      </c>
      <c r="O4447" s="3"/>
      <c r="P4447" s="2" t="s">
        <v>640</v>
      </c>
      <c r="Q4447" s="3">
        <v>980.0</v>
      </c>
      <c r="R4447" s="3">
        <v>0.5</v>
      </c>
      <c r="U4447" s="141"/>
      <c r="X4447" s="172">
        <v>46128.08291028935</v>
      </c>
      <c r="Y4447" s="172">
        <v>46120.09298224537</v>
      </c>
      <c r="Z4447" s="3">
        <v>46120.0</v>
      </c>
      <c r="AA4447" s="2" t="s">
        <v>14022</v>
      </c>
    </row>
    <row r="4448">
      <c r="A4448" s="3">
        <v>6.989066961155E12</v>
      </c>
      <c r="B4448" s="2" t="s">
        <v>142</v>
      </c>
      <c r="C4448" s="2" t="s">
        <v>17718</v>
      </c>
      <c r="D4448" s="169">
        <v>46120.0</v>
      </c>
      <c r="E4448" s="2">
        <v>3.191725598E9</v>
      </c>
      <c r="F4448" s="2" t="s">
        <v>17719</v>
      </c>
      <c r="G4448" s="2" t="s">
        <v>374</v>
      </c>
      <c r="H4448" s="2">
        <v>6297.0</v>
      </c>
      <c r="I4448" s="2">
        <v>2.112005002339E13</v>
      </c>
      <c r="J4448" s="3">
        <v>4.0</v>
      </c>
      <c r="K4448" s="2" t="s">
        <v>17720</v>
      </c>
      <c r="L4448" s="2" t="s">
        <v>17721</v>
      </c>
      <c r="M4448" s="2" t="s">
        <v>409</v>
      </c>
      <c r="N4448" s="2" t="s">
        <v>462</v>
      </c>
      <c r="O4448" s="3"/>
      <c r="P4448" s="2" t="s">
        <v>73</v>
      </c>
      <c r="Q4448" s="3">
        <v>2020.0</v>
      </c>
      <c r="R4448" s="3">
        <v>0.5</v>
      </c>
      <c r="T4448" s="2" t="s">
        <v>72</v>
      </c>
      <c r="U4448" s="171">
        <v>6297.0</v>
      </c>
      <c r="V4448" s="172">
        <v>46129.0</v>
      </c>
      <c r="W4448" s="3">
        <v>630.79</v>
      </c>
      <c r="X4448" s="172">
        <v>46127.08107663195</v>
      </c>
      <c r="Y4448" s="172">
        <v>46120.09298224537</v>
      </c>
      <c r="Z4448" s="3">
        <v>46120.0</v>
      </c>
      <c r="AA4448" s="2" t="s">
        <v>14032</v>
      </c>
    </row>
    <row r="4449">
      <c r="A4449" s="3">
        <v>6.989271924995E12</v>
      </c>
      <c r="B4449" s="2" t="s">
        <v>17722</v>
      </c>
      <c r="C4449" s="2" t="s">
        <v>17723</v>
      </c>
      <c r="D4449" s="169">
        <v>46120.0</v>
      </c>
      <c r="E4449" s="173" t="s">
        <v>17724</v>
      </c>
      <c r="F4449" s="2" t="s">
        <v>17725</v>
      </c>
      <c r="G4449" s="2" t="s">
        <v>461</v>
      </c>
      <c r="H4449" s="2">
        <v>3149.0</v>
      </c>
      <c r="I4449" s="2"/>
      <c r="J4449" s="3">
        <v>2.0</v>
      </c>
      <c r="K4449" s="2" t="s">
        <v>537</v>
      </c>
      <c r="L4449" s="2" t="s">
        <v>35</v>
      </c>
      <c r="M4449" s="2" t="s">
        <v>406</v>
      </c>
      <c r="N4449" s="2" t="s">
        <v>406</v>
      </c>
      <c r="O4449" s="3"/>
      <c r="P4449" s="2"/>
      <c r="Q4449" s="3">
        <v>980.0</v>
      </c>
      <c r="R4449" s="3">
        <v>0.5</v>
      </c>
      <c r="U4449" s="141"/>
      <c r="X4449" s="172"/>
      <c r="Y4449" s="172">
        <v>46121.092949467595</v>
      </c>
      <c r="Z4449" s="3">
        <v>46120.0</v>
      </c>
      <c r="AA4449" s="2" t="s">
        <v>14032</v>
      </c>
    </row>
    <row r="4450">
      <c r="A4450" s="3">
        <v>6.989455524099E12</v>
      </c>
      <c r="B4450" s="2" t="s">
        <v>17726</v>
      </c>
      <c r="C4450" s="2" t="s">
        <v>312</v>
      </c>
      <c r="D4450" s="169">
        <v>46120.0</v>
      </c>
      <c r="E4450" s="2">
        <v>3.234112112E9</v>
      </c>
      <c r="F4450" s="2" t="s">
        <v>17727</v>
      </c>
      <c r="G4450" s="2" t="s">
        <v>1323</v>
      </c>
      <c r="H4450" s="2">
        <v>5496.0</v>
      </c>
      <c r="I4450" s="2">
        <v>2.0120050023389E13</v>
      </c>
      <c r="J4450" s="3">
        <v>4.0</v>
      </c>
      <c r="K4450" s="2" t="s">
        <v>204</v>
      </c>
      <c r="L4450" s="2" t="s">
        <v>313</v>
      </c>
      <c r="M4450" s="2" t="s">
        <v>14076</v>
      </c>
      <c r="N4450" s="2" t="s">
        <v>406</v>
      </c>
      <c r="O4450" s="3"/>
      <c r="P4450" s="2" t="s">
        <v>73</v>
      </c>
      <c r="Q4450" s="3">
        <v>2200.0</v>
      </c>
      <c r="R4450" s="3">
        <v>0.5</v>
      </c>
      <c r="U4450" s="141"/>
      <c r="X4450" s="172">
        <v>46122.08125609954</v>
      </c>
      <c r="Y4450" s="172">
        <v>46121.09294947916</v>
      </c>
      <c r="Z4450" s="3">
        <v>46120.0</v>
      </c>
      <c r="AA4450" s="2" t="s">
        <v>14053</v>
      </c>
    </row>
    <row r="4451">
      <c r="A4451" s="3">
        <v>6.989540098307E12</v>
      </c>
      <c r="B4451" s="2" t="s">
        <v>141</v>
      </c>
      <c r="C4451" s="2" t="s">
        <v>17728</v>
      </c>
      <c r="D4451" s="169">
        <v>46120.0</v>
      </c>
      <c r="E4451" s="2">
        <v>3.008206511E9</v>
      </c>
      <c r="F4451" s="2" t="s">
        <v>17729</v>
      </c>
      <c r="G4451" s="2" t="s">
        <v>493</v>
      </c>
      <c r="H4451" s="2">
        <v>3397.0</v>
      </c>
      <c r="I4451" s="2">
        <v>2.6120050023388E13</v>
      </c>
      <c r="J4451" s="3">
        <v>2.0</v>
      </c>
      <c r="K4451" s="2" t="s">
        <v>17730</v>
      </c>
      <c r="L4451" s="2" t="s">
        <v>1263</v>
      </c>
      <c r="M4451" s="2" t="s">
        <v>409</v>
      </c>
      <c r="N4451" s="2" t="s">
        <v>462</v>
      </c>
      <c r="O4451" s="3"/>
      <c r="P4451" s="2" t="s">
        <v>73</v>
      </c>
      <c r="Q4451" s="3">
        <v>720.0</v>
      </c>
      <c r="R4451" s="3">
        <v>0.5</v>
      </c>
      <c r="T4451" s="2" t="s">
        <v>72</v>
      </c>
      <c r="U4451" s="171">
        <v>3397.0</v>
      </c>
      <c r="V4451" s="172">
        <v>46129.0</v>
      </c>
      <c r="W4451" s="3">
        <v>393.86</v>
      </c>
      <c r="X4451" s="172">
        <v>46128.08108928241</v>
      </c>
      <c r="Y4451" s="172">
        <v>46121.09294947916</v>
      </c>
      <c r="Z4451" s="3">
        <v>46120.0</v>
      </c>
      <c r="AA4451" s="2" t="s">
        <v>14032</v>
      </c>
    </row>
    <row r="4452">
      <c r="A4452" s="3">
        <v>6.989643153667E12</v>
      </c>
      <c r="B4452" s="2" t="s">
        <v>17731</v>
      </c>
      <c r="C4452" s="2" t="s">
        <v>17732</v>
      </c>
      <c r="D4452" s="169">
        <v>46120.0</v>
      </c>
      <c r="E4452" s="2">
        <v>3.706585519E9</v>
      </c>
      <c r="F4452" s="2" t="s">
        <v>17733</v>
      </c>
      <c r="G4452" s="2" t="s">
        <v>3016</v>
      </c>
      <c r="H4452" s="2">
        <v>2299.0</v>
      </c>
      <c r="I4452" s="2">
        <v>2.5120050023456E13</v>
      </c>
      <c r="J4452" s="3">
        <v>2.0</v>
      </c>
      <c r="K4452" s="2" t="s">
        <v>17734</v>
      </c>
      <c r="L4452" s="2" t="s">
        <v>17735</v>
      </c>
      <c r="M4452" s="2" t="s">
        <v>409</v>
      </c>
      <c r="N4452" s="2" t="s">
        <v>462</v>
      </c>
      <c r="O4452" s="3"/>
      <c r="P4452" s="2" t="s">
        <v>73</v>
      </c>
      <c r="Q4452" s="3">
        <v>1500.0</v>
      </c>
      <c r="R4452" s="3">
        <v>0.5</v>
      </c>
      <c r="T4452" s="2" t="s">
        <v>15278</v>
      </c>
      <c r="U4452" s="171">
        <v>2299.0</v>
      </c>
      <c r="V4452" s="172">
        <v>46126.0</v>
      </c>
      <c r="W4452" s="3">
        <v>333.82000000000005</v>
      </c>
      <c r="X4452" s="172">
        <v>46126.08137649306</v>
      </c>
      <c r="Y4452" s="172">
        <v>46121.09294947916</v>
      </c>
      <c r="Z4452" s="3">
        <v>46120.0</v>
      </c>
      <c r="AA4452" s="2" t="s">
        <v>14032</v>
      </c>
    </row>
    <row r="4453">
      <c r="A4453" s="3">
        <v>6.989661798659E12</v>
      </c>
      <c r="B4453" s="2" t="s">
        <v>185</v>
      </c>
      <c r="C4453" s="2" t="s">
        <v>15193</v>
      </c>
      <c r="D4453" s="169">
        <v>46120.0</v>
      </c>
      <c r="E4453" s="2">
        <v>3.213344022E9</v>
      </c>
      <c r="F4453" s="2" t="s">
        <v>15194</v>
      </c>
      <c r="G4453" s="2" t="s">
        <v>493</v>
      </c>
      <c r="H4453" s="2">
        <v>3397.0</v>
      </c>
      <c r="I4453" s="2">
        <v>2.4120050023415E13</v>
      </c>
      <c r="J4453" s="3">
        <v>2.0</v>
      </c>
      <c r="K4453" s="2" t="s">
        <v>17736</v>
      </c>
      <c r="L4453" s="2" t="s">
        <v>40</v>
      </c>
      <c r="M4453" s="2" t="s">
        <v>409</v>
      </c>
      <c r="N4453" s="2" t="s">
        <v>406</v>
      </c>
      <c r="O4453" s="3"/>
      <c r="P4453" s="2" t="s">
        <v>73</v>
      </c>
      <c r="Q4453" s="3">
        <v>720.0</v>
      </c>
      <c r="R4453" s="3">
        <v>0.5</v>
      </c>
      <c r="U4453" s="141"/>
      <c r="X4453" s="172">
        <v>46127.08107667824</v>
      </c>
      <c r="Y4453" s="172">
        <v>46121.09294947916</v>
      </c>
      <c r="Z4453" s="3">
        <v>46120.0</v>
      </c>
      <c r="AA4453" s="2" t="s">
        <v>14026</v>
      </c>
    </row>
    <row r="4454">
      <c r="A4454" s="3">
        <v>6.989663207683E12</v>
      </c>
      <c r="B4454" s="2" t="s">
        <v>17737</v>
      </c>
      <c r="C4454" s="2" t="s">
        <v>17738</v>
      </c>
      <c r="D4454" s="169">
        <v>46120.0</v>
      </c>
      <c r="E4454" s="173" t="s">
        <v>17739</v>
      </c>
      <c r="F4454" s="2" t="s">
        <v>17740</v>
      </c>
      <c r="G4454" s="2" t="s">
        <v>17741</v>
      </c>
      <c r="H4454" s="2">
        <v>5200.0</v>
      </c>
      <c r="I4454" s="2">
        <v>2.3120050023455E13</v>
      </c>
      <c r="J4454" s="3">
        <v>3.0</v>
      </c>
      <c r="K4454" s="2" t="s">
        <v>17742</v>
      </c>
      <c r="L4454" s="2" t="s">
        <v>17743</v>
      </c>
      <c r="M4454" s="2" t="s">
        <v>409</v>
      </c>
      <c r="N4454" s="2" t="s">
        <v>462</v>
      </c>
      <c r="O4454" s="3"/>
      <c r="P4454" s="2" t="s">
        <v>73</v>
      </c>
      <c r="Q4454" s="3">
        <v>1650.0</v>
      </c>
      <c r="R4454" s="3">
        <v>0.5</v>
      </c>
      <c r="T4454" s="2" t="s">
        <v>15278</v>
      </c>
      <c r="U4454" s="171">
        <v>5200.0</v>
      </c>
      <c r="V4454" s="172">
        <v>46126.0</v>
      </c>
      <c r="W4454" s="3">
        <v>474.05</v>
      </c>
      <c r="X4454" s="172">
        <v>46126.08137824074</v>
      </c>
      <c r="Y4454" s="172">
        <v>46121.09294947916</v>
      </c>
      <c r="Z4454" s="3">
        <v>46120.0</v>
      </c>
      <c r="AA4454" s="2" t="s">
        <v>14026</v>
      </c>
    </row>
    <row r="4455">
      <c r="A4455" s="3">
        <v>6.989669400835E12</v>
      </c>
      <c r="B4455" s="2" t="s">
        <v>17744</v>
      </c>
      <c r="C4455" s="2" t="s">
        <v>17745</v>
      </c>
      <c r="D4455" s="169">
        <v>46120.0</v>
      </c>
      <c r="E4455" s="2">
        <v>3.335313288E9</v>
      </c>
      <c r="F4455" s="2" t="s">
        <v>17746</v>
      </c>
      <c r="G4455" s="2" t="s">
        <v>5987</v>
      </c>
      <c r="H4455" s="2">
        <v>2997.0</v>
      </c>
      <c r="I4455" s="2">
        <v>2.8120050023386E13</v>
      </c>
      <c r="J4455" s="3">
        <v>1.0</v>
      </c>
      <c r="K4455" s="2" t="s">
        <v>17747</v>
      </c>
      <c r="L4455" s="2" t="s">
        <v>316</v>
      </c>
      <c r="M4455" s="2" t="s">
        <v>409</v>
      </c>
      <c r="N4455" s="2" t="s">
        <v>462</v>
      </c>
      <c r="O4455" s="3"/>
      <c r="P4455" s="2" t="s">
        <v>73</v>
      </c>
      <c r="Q4455" s="3">
        <v>1300.0</v>
      </c>
      <c r="R4455" s="3">
        <v>0.5</v>
      </c>
      <c r="T4455" s="2" t="s">
        <v>15278</v>
      </c>
      <c r="U4455" s="171">
        <v>2997.0</v>
      </c>
      <c r="V4455" s="172">
        <v>46126.0</v>
      </c>
      <c r="W4455" s="3">
        <v>385.93</v>
      </c>
      <c r="X4455" s="172">
        <v>46123.081152071754</v>
      </c>
      <c r="Y4455" s="172">
        <v>46121.09294947916</v>
      </c>
      <c r="Z4455" s="3">
        <v>46120.0</v>
      </c>
      <c r="AA4455" s="2" t="s">
        <v>14022</v>
      </c>
    </row>
    <row r="4456">
      <c r="A4456" s="3">
        <v>6.989677101315E12</v>
      </c>
      <c r="B4456" s="2" t="s">
        <v>17748</v>
      </c>
      <c r="C4456" s="2" t="s">
        <v>17749</v>
      </c>
      <c r="D4456" s="169">
        <v>46120.0</v>
      </c>
      <c r="E4456" s="2">
        <v>3.264523275E9</v>
      </c>
      <c r="F4456" s="2" t="s">
        <v>17750</v>
      </c>
      <c r="G4456" s="2" t="s">
        <v>368</v>
      </c>
      <c r="H4456" s="2">
        <v>1899.0</v>
      </c>
      <c r="I4456" s="2">
        <v>2.9120050023385E13</v>
      </c>
      <c r="J4456" s="3">
        <v>1.0</v>
      </c>
      <c r="K4456" s="2" t="s">
        <v>17751</v>
      </c>
      <c r="L4456" s="2" t="s">
        <v>17752</v>
      </c>
      <c r="M4456" s="2" t="s">
        <v>409</v>
      </c>
      <c r="N4456" s="2" t="s">
        <v>462</v>
      </c>
      <c r="O4456" s="3"/>
      <c r="P4456" s="2" t="s">
        <v>73</v>
      </c>
      <c r="Q4456" s="3">
        <v>400.0</v>
      </c>
      <c r="R4456" s="3">
        <v>0.5</v>
      </c>
      <c r="T4456" s="2" t="s">
        <v>15356</v>
      </c>
      <c r="U4456" s="171">
        <v>1899.0</v>
      </c>
      <c r="V4456" s="172">
        <v>46122.0</v>
      </c>
      <c r="W4456" s="3">
        <v>204.95</v>
      </c>
      <c r="X4456" s="172">
        <v>46122.081256157406</v>
      </c>
      <c r="Y4456" s="172">
        <v>46121.09294947916</v>
      </c>
      <c r="Z4456" s="3">
        <v>46120.0</v>
      </c>
      <c r="AA4456" s="2" t="s">
        <v>14053</v>
      </c>
    </row>
    <row r="4457">
      <c r="A4457" s="3">
        <v>6.989698760963E12</v>
      </c>
      <c r="B4457" s="2" t="s">
        <v>17753</v>
      </c>
      <c r="C4457" s="2" t="s">
        <v>17754</v>
      </c>
      <c r="D4457" s="169">
        <v>46120.0</v>
      </c>
      <c r="E4457" s="173" t="s">
        <v>17755</v>
      </c>
      <c r="F4457" s="2" t="s">
        <v>17756</v>
      </c>
      <c r="G4457" s="2" t="s">
        <v>17757</v>
      </c>
      <c r="H4457" s="2">
        <v>4946.0</v>
      </c>
      <c r="I4457" s="2" t="s">
        <v>17758</v>
      </c>
      <c r="J4457" s="3">
        <v>3.0</v>
      </c>
      <c r="K4457" s="2" t="s">
        <v>17759</v>
      </c>
      <c r="L4457" s="2" t="s">
        <v>17760</v>
      </c>
      <c r="M4457" s="2" t="s">
        <v>409</v>
      </c>
      <c r="N4457" s="2" t="s">
        <v>406</v>
      </c>
      <c r="O4457" s="3"/>
      <c r="P4457" s="2" t="s">
        <v>640</v>
      </c>
      <c r="Q4457" s="3">
        <v>1220.0</v>
      </c>
      <c r="R4457" s="3">
        <v>0.5</v>
      </c>
      <c r="U4457" s="141"/>
      <c r="X4457" s="172">
        <v>46126.083353634254</v>
      </c>
      <c r="Y4457" s="172">
        <v>46121.09294947916</v>
      </c>
      <c r="Z4457" s="3">
        <v>46120.0</v>
      </c>
      <c r="AA4457" s="2" t="s">
        <v>14026</v>
      </c>
    </row>
    <row r="4458">
      <c r="A4458" s="3">
        <v>6.989698728195E12</v>
      </c>
      <c r="B4458" s="2" t="s">
        <v>17761</v>
      </c>
      <c r="C4458" s="2" t="s">
        <v>17762</v>
      </c>
      <c r="D4458" s="169">
        <v>46120.0</v>
      </c>
      <c r="E4458" s="2">
        <v>3.105936685E9</v>
      </c>
      <c r="F4458" s="2" t="s">
        <v>17763</v>
      </c>
      <c r="G4458" s="2" t="s">
        <v>506</v>
      </c>
      <c r="H4458" s="2">
        <v>3397.0</v>
      </c>
      <c r="I4458" s="2">
        <v>2.6120050023384E13</v>
      </c>
      <c r="J4458" s="3">
        <v>2.0</v>
      </c>
      <c r="K4458" s="2" t="s">
        <v>17764</v>
      </c>
      <c r="L4458" s="2" t="s">
        <v>17765</v>
      </c>
      <c r="M4458" s="2" t="s">
        <v>409</v>
      </c>
      <c r="N4458" s="2" t="s">
        <v>462</v>
      </c>
      <c r="O4458" s="3"/>
      <c r="P4458" s="2" t="s">
        <v>73</v>
      </c>
      <c r="Q4458" s="3">
        <v>800.0</v>
      </c>
      <c r="R4458" s="3">
        <v>0.5</v>
      </c>
      <c r="T4458" s="2" t="s">
        <v>15278</v>
      </c>
      <c r="U4458" s="171">
        <v>3397.0</v>
      </c>
      <c r="V4458" s="172">
        <v>46126.0</v>
      </c>
      <c r="W4458" s="3">
        <v>377.74</v>
      </c>
      <c r="X4458" s="172">
        <v>46123.08115212963</v>
      </c>
      <c r="Y4458" s="172">
        <v>46121.09294947916</v>
      </c>
      <c r="Z4458" s="3">
        <v>46120.0</v>
      </c>
      <c r="AA4458" s="2" t="s">
        <v>14032</v>
      </c>
    </row>
    <row r="4459">
      <c r="A4459" s="3">
        <v>6.989731889411E12</v>
      </c>
      <c r="B4459" s="2" t="s">
        <v>17766</v>
      </c>
      <c r="C4459" s="2" t="s">
        <v>17767</v>
      </c>
      <c r="D4459" s="169">
        <v>46120.0</v>
      </c>
      <c r="E4459" s="2">
        <v>3.43562352E9</v>
      </c>
      <c r="F4459" s="2" t="s">
        <v>17768</v>
      </c>
      <c r="G4459" s="2" t="s">
        <v>374</v>
      </c>
      <c r="H4459" s="2">
        <v>2797.0</v>
      </c>
      <c r="I4459" s="2">
        <v>2.4120050023383E13</v>
      </c>
      <c r="J4459" s="3">
        <v>2.0</v>
      </c>
      <c r="K4459" s="2" t="s">
        <v>17769</v>
      </c>
      <c r="L4459" s="2" t="s">
        <v>17770</v>
      </c>
      <c r="M4459" s="2" t="s">
        <v>409</v>
      </c>
      <c r="N4459" s="2" t="s">
        <v>462</v>
      </c>
      <c r="O4459" s="3"/>
      <c r="P4459" s="2" t="s">
        <v>73</v>
      </c>
      <c r="Q4459" s="3">
        <v>1100.0</v>
      </c>
      <c r="R4459" s="3">
        <v>0.5</v>
      </c>
      <c r="T4459" s="2" t="s">
        <v>15356</v>
      </c>
      <c r="U4459" s="171">
        <v>2797.0</v>
      </c>
      <c r="V4459" s="172">
        <v>46122.0</v>
      </c>
      <c r="W4459" s="3">
        <v>353.74</v>
      </c>
      <c r="X4459" s="172">
        <v>46122.08128138889</v>
      </c>
      <c r="Y4459" s="172">
        <v>46121.09294947916</v>
      </c>
      <c r="Z4459" s="3">
        <v>46120.0</v>
      </c>
      <c r="AA4459" s="2" t="s">
        <v>14026</v>
      </c>
    </row>
    <row r="4460">
      <c r="A4460" s="3">
        <v>6.989733986563E12</v>
      </c>
      <c r="B4460" s="2" t="s">
        <v>155</v>
      </c>
      <c r="C4460" s="2" t="s">
        <v>17771</v>
      </c>
      <c r="D4460" s="169">
        <v>46120.0</v>
      </c>
      <c r="E4460" s="173" t="s">
        <v>17772</v>
      </c>
      <c r="F4460" s="2" t="s">
        <v>17773</v>
      </c>
      <c r="G4460" s="2" t="s">
        <v>2905</v>
      </c>
      <c r="H4460" s="2">
        <v>250.0</v>
      </c>
      <c r="I4460" s="2">
        <v>2.2120050023382E13</v>
      </c>
      <c r="J4460" s="3">
        <v>0.0</v>
      </c>
      <c r="K4460" s="2" t="s">
        <v>17774</v>
      </c>
      <c r="L4460" s="2"/>
      <c r="M4460" s="170" t="s">
        <v>455</v>
      </c>
      <c r="N4460" s="2" t="s">
        <v>406</v>
      </c>
      <c r="O4460" s="3"/>
      <c r="P4460" s="2" t="s">
        <v>73</v>
      </c>
      <c r="Q4460" s="3">
        <v>0.0</v>
      </c>
      <c r="R4460" s="3">
        <v>0.5</v>
      </c>
      <c r="U4460" s="141"/>
      <c r="W4460" s="3">
        <v>241.86</v>
      </c>
      <c r="X4460" s="172">
        <v>46128.081089976855</v>
      </c>
      <c r="Y4460" s="172">
        <v>46121.09294947916</v>
      </c>
      <c r="Z4460" s="3">
        <v>46120.0</v>
      </c>
      <c r="AA4460" s="2" t="s">
        <v>14026</v>
      </c>
    </row>
    <row r="4461">
      <c r="A4461" s="3">
        <v>6.989791396099E12</v>
      </c>
      <c r="B4461" s="2" t="s">
        <v>17775</v>
      </c>
      <c r="C4461" s="2" t="s">
        <v>1646</v>
      </c>
      <c r="D4461" s="169">
        <v>46120.0</v>
      </c>
      <c r="E4461" s="2">
        <v>3.229616361E9</v>
      </c>
      <c r="F4461" s="2" t="s">
        <v>17776</v>
      </c>
      <c r="G4461" s="2" t="s">
        <v>3725</v>
      </c>
      <c r="H4461" s="2">
        <v>2997.0</v>
      </c>
      <c r="I4461" s="2">
        <v>2.8120050023486E13</v>
      </c>
      <c r="J4461" s="3">
        <v>2.0</v>
      </c>
      <c r="K4461" s="2" t="s">
        <v>17747</v>
      </c>
      <c r="L4461" s="2" t="s">
        <v>17777</v>
      </c>
      <c r="M4461" s="2" t="s">
        <v>409</v>
      </c>
      <c r="N4461" s="2" t="s">
        <v>462</v>
      </c>
      <c r="O4461" s="3"/>
      <c r="P4461" s="2" t="s">
        <v>73</v>
      </c>
      <c r="Q4461" s="3">
        <v>1300.0</v>
      </c>
      <c r="R4461" s="3">
        <v>0.5</v>
      </c>
      <c r="T4461" s="2" t="s">
        <v>15278</v>
      </c>
      <c r="U4461" s="171">
        <v>2997.0</v>
      </c>
      <c r="V4461" s="172">
        <v>46126.0</v>
      </c>
      <c r="W4461" s="3">
        <v>385.93</v>
      </c>
      <c r="X4461" s="172">
        <v>46124.08180809028</v>
      </c>
      <c r="Y4461" s="172">
        <v>46121.09294947916</v>
      </c>
      <c r="Z4461" s="3">
        <v>46120.0</v>
      </c>
      <c r="AA4461" s="2" t="s">
        <v>14022</v>
      </c>
    </row>
    <row r="4462">
      <c r="A4462" s="3">
        <v>6.989887602947E12</v>
      </c>
      <c r="B4462" s="2" t="s">
        <v>17778</v>
      </c>
      <c r="C4462" s="2" t="s">
        <v>17779</v>
      </c>
      <c r="D4462" s="169">
        <v>46120.0</v>
      </c>
      <c r="E4462" s="173" t="s">
        <v>17780</v>
      </c>
      <c r="F4462" s="2" t="s">
        <v>17781</v>
      </c>
      <c r="G4462" s="2" t="s">
        <v>541</v>
      </c>
      <c r="H4462" s="2">
        <v>6698.0</v>
      </c>
      <c r="I4462" s="2">
        <v>2.1120050023485E13</v>
      </c>
      <c r="J4462" s="3">
        <v>4.0</v>
      </c>
      <c r="K4462" s="2" t="s">
        <v>17782</v>
      </c>
      <c r="L4462" s="2" t="s">
        <v>17783</v>
      </c>
      <c r="M4462" s="2" t="s">
        <v>409</v>
      </c>
      <c r="N4462" s="2" t="s">
        <v>462</v>
      </c>
      <c r="O4462" s="3"/>
      <c r="P4462" s="2" t="s">
        <v>73</v>
      </c>
      <c r="Q4462" s="3">
        <v>1720.0</v>
      </c>
      <c r="R4462" s="3">
        <v>0.5</v>
      </c>
      <c r="T4462" s="2" t="s">
        <v>15278</v>
      </c>
      <c r="U4462" s="171">
        <v>6698.0</v>
      </c>
      <c r="V4462" s="172">
        <v>46126.0</v>
      </c>
      <c r="W4462" s="3">
        <v>533.97</v>
      </c>
      <c r="X4462" s="172">
        <v>46126.081379641204</v>
      </c>
      <c r="Y4462" s="172">
        <v>46121.09294947916</v>
      </c>
      <c r="Z4462" s="3">
        <v>46120.0</v>
      </c>
      <c r="AA4462" s="2" t="s">
        <v>14032</v>
      </c>
    </row>
    <row r="4463">
      <c r="A4463" s="3">
        <v>6.989894385923E12</v>
      </c>
      <c r="B4463" s="2" t="s">
        <v>17784</v>
      </c>
      <c r="C4463" s="2" t="s">
        <v>16269</v>
      </c>
      <c r="D4463" s="169">
        <v>46120.0</v>
      </c>
      <c r="E4463" s="2">
        <v>3.147500611E9</v>
      </c>
      <c r="F4463" s="2" t="s">
        <v>16270</v>
      </c>
      <c r="G4463" s="2" t="s">
        <v>1425</v>
      </c>
      <c r="H4463" s="2">
        <v>0.0</v>
      </c>
      <c r="I4463" s="2"/>
      <c r="J4463" s="3">
        <v>0.0</v>
      </c>
      <c r="K4463" s="2" t="s">
        <v>8402</v>
      </c>
      <c r="L4463" s="2"/>
      <c r="M4463" s="2" t="s">
        <v>468</v>
      </c>
      <c r="N4463" s="2" t="s">
        <v>406</v>
      </c>
      <c r="O4463" s="3"/>
      <c r="P4463" s="2"/>
      <c r="Q4463" s="3">
        <v>0.0</v>
      </c>
      <c r="R4463" s="3">
        <v>0.5</v>
      </c>
      <c r="U4463" s="141"/>
      <c r="X4463" s="172"/>
      <c r="Y4463" s="172">
        <v>46121.09294947916</v>
      </c>
      <c r="Z4463" s="3">
        <v>46120.0</v>
      </c>
      <c r="AA4463" s="2" t="s">
        <v>14032</v>
      </c>
    </row>
    <row r="4464">
      <c r="A4464" s="3">
        <v>6.989918470403E12</v>
      </c>
      <c r="B4464" s="2" t="s">
        <v>17785</v>
      </c>
      <c r="C4464" s="2" t="s">
        <v>17786</v>
      </c>
      <c r="D4464" s="169">
        <v>46120.0</v>
      </c>
      <c r="E4464" s="2">
        <v>3.06641923E9</v>
      </c>
      <c r="F4464" s="2" t="s">
        <v>17787</v>
      </c>
      <c r="G4464" s="2" t="s">
        <v>17788</v>
      </c>
      <c r="H4464" s="2">
        <v>2997.0</v>
      </c>
      <c r="I4464" s="2">
        <v>2.3120050023484E13</v>
      </c>
      <c r="J4464" s="3">
        <v>1.0</v>
      </c>
      <c r="K4464" s="2" t="s">
        <v>17747</v>
      </c>
      <c r="L4464" s="2" t="s">
        <v>17789</v>
      </c>
      <c r="M4464" s="2" t="s">
        <v>409</v>
      </c>
      <c r="N4464" s="2" t="s">
        <v>462</v>
      </c>
      <c r="O4464" s="3"/>
      <c r="P4464" s="2" t="s">
        <v>73</v>
      </c>
      <c r="Q4464" s="3">
        <v>1300.0</v>
      </c>
      <c r="R4464" s="3">
        <v>0.5</v>
      </c>
      <c r="T4464" s="2" t="s">
        <v>15278</v>
      </c>
      <c r="U4464" s="171">
        <v>2997.0</v>
      </c>
      <c r="V4464" s="172">
        <v>46126.0</v>
      </c>
      <c r="W4464" s="3">
        <v>265.0</v>
      </c>
      <c r="X4464" s="172">
        <v>46126.081380567135</v>
      </c>
      <c r="Y4464" s="172">
        <v>46121.09294947916</v>
      </c>
      <c r="Z4464" s="3">
        <v>46120.0</v>
      </c>
      <c r="AA4464" s="2" t="s">
        <v>14032</v>
      </c>
    </row>
    <row r="4465">
      <c r="A4465" s="3">
        <v>6.990016250115E12</v>
      </c>
      <c r="B4465" s="2" t="s">
        <v>17790</v>
      </c>
      <c r="C4465" s="2" t="s">
        <v>17791</v>
      </c>
      <c r="D4465" s="169">
        <v>46120.0</v>
      </c>
      <c r="E4465" s="2">
        <v>3.21596589E9</v>
      </c>
      <c r="F4465" s="2" t="s">
        <v>17792</v>
      </c>
      <c r="G4465" s="2" t="s">
        <v>2675</v>
      </c>
      <c r="H4465" s="2">
        <v>2098.0</v>
      </c>
      <c r="I4465" s="2">
        <v>2.8120050023438E13</v>
      </c>
      <c r="J4465" s="3">
        <v>1.0</v>
      </c>
      <c r="K4465" s="2" t="s">
        <v>17793</v>
      </c>
      <c r="L4465" s="2" t="s">
        <v>15842</v>
      </c>
      <c r="M4465" s="2" t="s">
        <v>409</v>
      </c>
      <c r="N4465" s="2" t="s">
        <v>406</v>
      </c>
      <c r="O4465" s="3"/>
      <c r="P4465" s="2" t="s">
        <v>73</v>
      </c>
      <c r="Q4465" s="3">
        <v>360.0</v>
      </c>
      <c r="R4465" s="3">
        <v>0.5</v>
      </c>
      <c r="U4465" s="141"/>
      <c r="X4465" s="172">
        <v>46126.08138074074</v>
      </c>
      <c r="Y4465" s="172">
        <v>46121.09294947916</v>
      </c>
      <c r="Z4465" s="3">
        <v>46120.0</v>
      </c>
      <c r="AA4465" s="2" t="s">
        <v>14053</v>
      </c>
    </row>
    <row r="4466">
      <c r="A4466" s="3">
        <v>6.990074085635E12</v>
      </c>
      <c r="B4466" s="2" t="s">
        <v>17794</v>
      </c>
      <c r="C4466" s="2" t="s">
        <v>17795</v>
      </c>
      <c r="D4466" s="169">
        <v>46120.0</v>
      </c>
      <c r="E4466" s="173" t="s">
        <v>17796</v>
      </c>
      <c r="F4466" s="2" t="s">
        <v>17797</v>
      </c>
      <c r="G4466" s="2" t="s">
        <v>368</v>
      </c>
      <c r="H4466" s="2">
        <v>3397.0</v>
      </c>
      <c r="I4466" s="2">
        <v>2.6120050023638E13</v>
      </c>
      <c r="J4466" s="3">
        <v>2.0</v>
      </c>
      <c r="K4466" s="2" t="s">
        <v>17798</v>
      </c>
      <c r="L4466" s="2" t="s">
        <v>27</v>
      </c>
      <c r="M4466" s="2" t="s">
        <v>409</v>
      </c>
      <c r="N4466" s="2" t="s">
        <v>406</v>
      </c>
      <c r="O4466" s="3"/>
      <c r="P4466" s="2" t="s">
        <v>73</v>
      </c>
      <c r="Q4466" s="3">
        <v>720.0</v>
      </c>
      <c r="R4466" s="3">
        <v>0.5</v>
      </c>
      <c r="U4466" s="141"/>
      <c r="X4466" s="172">
        <v>46131.08100667824</v>
      </c>
      <c r="Y4466" s="172">
        <v>46121.09294947916</v>
      </c>
      <c r="Z4466" s="3">
        <v>46120.0</v>
      </c>
      <c r="AA4466" s="2" t="s">
        <v>14026</v>
      </c>
    </row>
    <row r="4467">
      <c r="A4467" s="3">
        <v>6.990095122691E12</v>
      </c>
      <c r="B4467" s="2" t="s">
        <v>17799</v>
      </c>
      <c r="C4467" s="2" t="s">
        <v>17800</v>
      </c>
      <c r="D4467" s="169">
        <v>46120.0</v>
      </c>
      <c r="E4467" s="2">
        <v>3.104132619E9</v>
      </c>
      <c r="F4467" s="2" t="s">
        <v>17801</v>
      </c>
      <c r="G4467" s="2" t="s">
        <v>493</v>
      </c>
      <c r="H4467" s="2">
        <v>0.0</v>
      </c>
      <c r="I4467" s="2"/>
      <c r="J4467" s="3">
        <v>0.0</v>
      </c>
      <c r="K4467" s="2" t="s">
        <v>17802</v>
      </c>
      <c r="L4467" s="2"/>
      <c r="M4467" s="2" t="s">
        <v>468</v>
      </c>
      <c r="N4467" s="2" t="s">
        <v>406</v>
      </c>
      <c r="O4467" s="3"/>
      <c r="P4467" s="2"/>
      <c r="Q4467" s="3">
        <v>0.0</v>
      </c>
      <c r="R4467" s="3">
        <v>0.5</v>
      </c>
      <c r="U4467" s="141"/>
      <c r="X4467" s="172"/>
      <c r="Y4467" s="172">
        <v>46121.09294947916</v>
      </c>
      <c r="Z4467" s="3">
        <v>46120.0</v>
      </c>
      <c r="AA4467" s="2" t="s">
        <v>14053</v>
      </c>
    </row>
    <row r="4468">
      <c r="A4468" s="3">
        <v>6.990095548675E12</v>
      </c>
      <c r="B4468" s="2" t="s">
        <v>17803</v>
      </c>
      <c r="C4468" s="2" t="s">
        <v>17804</v>
      </c>
      <c r="D4468" s="169">
        <v>46120.0</v>
      </c>
      <c r="E4468" s="173" t="s">
        <v>17805</v>
      </c>
      <c r="F4468" s="2" t="s">
        <v>17806</v>
      </c>
      <c r="G4468" s="2" t="s">
        <v>368</v>
      </c>
      <c r="H4468" s="2">
        <v>2898.0</v>
      </c>
      <c r="I4468" s="2">
        <v>2.0120050023413E13</v>
      </c>
      <c r="J4468" s="3">
        <v>1.0</v>
      </c>
      <c r="K4468" s="2" t="s">
        <v>17807</v>
      </c>
      <c r="L4468" s="2" t="s">
        <v>17808</v>
      </c>
      <c r="M4468" s="2" t="s">
        <v>409</v>
      </c>
      <c r="N4468" s="2" t="s">
        <v>462</v>
      </c>
      <c r="O4468" s="3"/>
      <c r="P4468" s="2" t="s">
        <v>73</v>
      </c>
      <c r="Q4468" s="3">
        <v>950.0</v>
      </c>
      <c r="R4468" s="3">
        <v>0.5</v>
      </c>
      <c r="T4468" s="2" t="s">
        <v>15278</v>
      </c>
      <c r="U4468" s="171">
        <v>2898.0</v>
      </c>
      <c r="V4468" s="172">
        <v>46126.0</v>
      </c>
      <c r="W4468" s="3">
        <v>244.91000000000003</v>
      </c>
      <c r="X4468" s="172">
        <v>46124.08181260417</v>
      </c>
      <c r="Y4468" s="172">
        <v>46121.09294947916</v>
      </c>
      <c r="Z4468" s="3">
        <v>46120.0</v>
      </c>
      <c r="AA4468" s="2" t="s">
        <v>14053</v>
      </c>
    </row>
    <row r="4469">
      <c r="A4469" s="3">
        <v>6.990099054851E12</v>
      </c>
      <c r="B4469" s="2" t="s">
        <v>154</v>
      </c>
      <c r="C4469" s="2" t="s">
        <v>17809</v>
      </c>
      <c r="D4469" s="169">
        <v>46120.0</v>
      </c>
      <c r="E4469" s="173" t="s">
        <v>17810</v>
      </c>
      <c r="F4469" s="2" t="s">
        <v>17811</v>
      </c>
      <c r="G4469" s="2" t="s">
        <v>2725</v>
      </c>
      <c r="H4469" s="2">
        <v>250.0</v>
      </c>
      <c r="I4469" s="2">
        <v>2.7120050023414E13</v>
      </c>
      <c r="J4469" s="3">
        <v>0.0</v>
      </c>
      <c r="K4469" s="2" t="s">
        <v>17812</v>
      </c>
      <c r="L4469" s="2"/>
      <c r="M4469" s="170" t="s">
        <v>455</v>
      </c>
      <c r="N4469" s="2" t="s">
        <v>406</v>
      </c>
      <c r="O4469" s="3"/>
      <c r="P4469" s="2" t="s">
        <v>73</v>
      </c>
      <c r="Q4469" s="3">
        <v>0.0</v>
      </c>
      <c r="R4469" s="3">
        <v>0.5</v>
      </c>
      <c r="U4469" s="141"/>
      <c r="W4469" s="3">
        <v>241.86</v>
      </c>
      <c r="X4469" s="172">
        <v>46129.08108746528</v>
      </c>
      <c r="Y4469" s="172">
        <v>46121.09294947916</v>
      </c>
      <c r="Z4469" s="3">
        <v>46120.0</v>
      </c>
      <c r="AA4469" s="2" t="s">
        <v>14026</v>
      </c>
    </row>
    <row r="4470">
      <c r="A4470" s="3">
        <v>6.990146699523E12</v>
      </c>
      <c r="B4470" s="2" t="s">
        <v>17813</v>
      </c>
      <c r="C4470" s="2" t="s">
        <v>9717</v>
      </c>
      <c r="D4470" s="169">
        <v>46120.0</v>
      </c>
      <c r="E4470" s="2">
        <v>3.454082314E9</v>
      </c>
      <c r="F4470" s="2" t="s">
        <v>17814</v>
      </c>
      <c r="G4470" s="2" t="s">
        <v>17815</v>
      </c>
      <c r="H4470" s="2">
        <v>3099.0</v>
      </c>
      <c r="I4470" s="2">
        <v>2.4120050023412E13</v>
      </c>
      <c r="J4470" s="3">
        <v>2.0</v>
      </c>
      <c r="K4470" s="2"/>
      <c r="L4470" s="2" t="s">
        <v>17816</v>
      </c>
      <c r="M4470" s="2" t="s">
        <v>15124</v>
      </c>
      <c r="N4470" s="2" t="s">
        <v>406</v>
      </c>
      <c r="O4470" s="3"/>
      <c r="P4470" s="2" t="s">
        <v>73</v>
      </c>
      <c r="Q4470" s="3">
        <v>1100.0</v>
      </c>
      <c r="R4470" s="3">
        <v>0.5</v>
      </c>
      <c r="U4470" s="141"/>
      <c r="X4470" s="172">
        <v>46131.08100668981</v>
      </c>
      <c r="Y4470" s="172">
        <v>46121.09294947916</v>
      </c>
      <c r="Z4470" s="3">
        <v>46120.0</v>
      </c>
      <c r="AA4470" s="2" t="s">
        <v>14032</v>
      </c>
    </row>
    <row r="4471">
      <c r="A4471" s="3">
        <v>6.990214824195E12</v>
      </c>
      <c r="B4471" s="2" t="s">
        <v>17817</v>
      </c>
      <c r="C4471" s="2" t="s">
        <v>17818</v>
      </c>
      <c r="D4471" s="169">
        <v>46120.0</v>
      </c>
      <c r="E4471" s="2">
        <v>3.461740035E9</v>
      </c>
      <c r="F4471" s="2" t="s">
        <v>17819</v>
      </c>
      <c r="G4471" s="2" t="s">
        <v>17820</v>
      </c>
      <c r="H4471" s="2">
        <v>2098.0</v>
      </c>
      <c r="I4471" s="2" t="s">
        <v>17821</v>
      </c>
      <c r="J4471" s="3">
        <v>1.0</v>
      </c>
      <c r="K4471" s="2" t="s">
        <v>17822</v>
      </c>
      <c r="L4471" s="2" t="s">
        <v>243</v>
      </c>
      <c r="M4471" s="2" t="s">
        <v>17823</v>
      </c>
      <c r="N4471" s="2" t="s">
        <v>406</v>
      </c>
      <c r="O4471" s="3"/>
      <c r="P4471" s="2" t="s">
        <v>640</v>
      </c>
      <c r="Q4471" s="3">
        <v>360.0</v>
      </c>
      <c r="R4471" s="3">
        <v>0.5</v>
      </c>
      <c r="U4471" s="141"/>
      <c r="X4471" s="172">
        <v>46130.08280858796</v>
      </c>
      <c r="Y4471" s="172">
        <v>46121.09294947916</v>
      </c>
      <c r="Z4471" s="3">
        <v>46120.0</v>
      </c>
      <c r="AA4471" s="2" t="s">
        <v>14032</v>
      </c>
    </row>
    <row r="4472">
      <c r="A4472" s="3">
        <v>6.990242349315E12</v>
      </c>
      <c r="B4472" s="2" t="s">
        <v>17824</v>
      </c>
      <c r="C4472" s="2" t="s">
        <v>17825</v>
      </c>
      <c r="D4472" s="169">
        <v>46120.0</v>
      </c>
      <c r="E4472" s="2">
        <v>3.214609212E9</v>
      </c>
      <c r="F4472" s="2" t="s">
        <v>17826</v>
      </c>
      <c r="G4472" s="2" t="s">
        <v>368</v>
      </c>
      <c r="H4472" s="2">
        <v>0.0</v>
      </c>
      <c r="I4472" s="2"/>
      <c r="J4472" s="3">
        <v>0.0</v>
      </c>
      <c r="K4472" s="2" t="s">
        <v>17827</v>
      </c>
      <c r="L4472" s="2"/>
      <c r="M4472" s="2" t="s">
        <v>468</v>
      </c>
      <c r="N4472" s="2" t="s">
        <v>406</v>
      </c>
      <c r="O4472" s="3"/>
      <c r="P4472" s="2"/>
      <c r="Q4472" s="3">
        <v>0.0</v>
      </c>
      <c r="R4472" s="3">
        <v>0.5</v>
      </c>
      <c r="U4472" s="141"/>
      <c r="X4472" s="172"/>
      <c r="Y4472" s="172">
        <v>46121.09294947916</v>
      </c>
      <c r="Z4472" s="3">
        <v>46120.0</v>
      </c>
      <c r="AA4472" s="2" t="s">
        <v>14032</v>
      </c>
    </row>
    <row r="4473">
      <c r="A4473" s="3">
        <v>6.990274920707E12</v>
      </c>
      <c r="B4473" s="2" t="s">
        <v>17828</v>
      </c>
      <c r="C4473" s="2" t="s">
        <v>2835</v>
      </c>
      <c r="D4473" s="169">
        <v>46120.0</v>
      </c>
      <c r="E4473" s="2">
        <v>3.000962763E9</v>
      </c>
      <c r="F4473" s="2" t="s">
        <v>17829</v>
      </c>
      <c r="G4473" s="2" t="s">
        <v>1549</v>
      </c>
      <c r="H4473" s="2">
        <v>3397.0</v>
      </c>
      <c r="I4473" s="2" t="s">
        <v>17830</v>
      </c>
      <c r="J4473" s="3">
        <v>2.0</v>
      </c>
      <c r="K4473" s="2" t="s">
        <v>17831</v>
      </c>
      <c r="L4473" s="2" t="s">
        <v>11529</v>
      </c>
      <c r="M4473" s="2" t="s">
        <v>409</v>
      </c>
      <c r="N4473" s="2" t="s">
        <v>406</v>
      </c>
      <c r="O4473" s="3"/>
      <c r="P4473" s="2" t="s">
        <v>640</v>
      </c>
      <c r="Q4473" s="3">
        <v>800.0</v>
      </c>
      <c r="R4473" s="3">
        <v>0.5</v>
      </c>
      <c r="U4473" s="141"/>
      <c r="X4473" s="172">
        <v>46129.083495300925</v>
      </c>
      <c r="Y4473" s="172">
        <v>46121.09294947916</v>
      </c>
      <c r="Z4473" s="3">
        <v>46120.0</v>
      </c>
      <c r="AA4473" s="2" t="s">
        <v>14032</v>
      </c>
    </row>
    <row r="4474">
      <c r="A4474" s="3">
        <v>6.990386004227E12</v>
      </c>
      <c r="B4474" s="2" t="s">
        <v>17832</v>
      </c>
      <c r="C4474" s="2" t="s">
        <v>17833</v>
      </c>
      <c r="D4474" s="169">
        <v>46120.0</v>
      </c>
      <c r="E4474" s="2">
        <v>3.205511947E9</v>
      </c>
      <c r="F4474" s="2" t="s">
        <v>17834</v>
      </c>
      <c r="G4474" s="2" t="s">
        <v>5702</v>
      </c>
      <c r="H4474" s="2">
        <v>0.0</v>
      </c>
      <c r="I4474" s="2"/>
      <c r="J4474" s="3">
        <v>0.0</v>
      </c>
      <c r="K4474" s="2" t="s">
        <v>17835</v>
      </c>
      <c r="L4474" s="2"/>
      <c r="M4474" s="2" t="s">
        <v>468</v>
      </c>
      <c r="N4474" s="2" t="s">
        <v>406</v>
      </c>
      <c r="O4474" s="3"/>
      <c r="P4474" s="2"/>
      <c r="Q4474" s="3">
        <v>0.0</v>
      </c>
      <c r="R4474" s="3">
        <v>0.5</v>
      </c>
      <c r="U4474" s="141"/>
      <c r="X4474" s="172"/>
      <c r="Y4474" s="172">
        <v>46121.09294947916</v>
      </c>
      <c r="Z4474" s="3">
        <v>46120.0</v>
      </c>
      <c r="AA4474" s="2" t="s">
        <v>14053</v>
      </c>
    </row>
    <row r="4475">
      <c r="A4475" s="3">
        <v>6.990463107331E12</v>
      </c>
      <c r="B4475" s="2" t="s">
        <v>17836</v>
      </c>
      <c r="C4475" s="2" t="s">
        <v>314</v>
      </c>
      <c r="D4475" s="169">
        <v>46121.0</v>
      </c>
      <c r="E4475" s="2">
        <v>3.036793564E9</v>
      </c>
      <c r="F4475" s="2" t="s">
        <v>17837</v>
      </c>
      <c r="G4475" s="2" t="s">
        <v>6507</v>
      </c>
      <c r="H4475" s="2">
        <v>0.0</v>
      </c>
      <c r="I4475" s="2"/>
      <c r="J4475" s="3">
        <v>0.0</v>
      </c>
      <c r="K4475" s="2" t="s">
        <v>8446</v>
      </c>
      <c r="L4475" s="2"/>
      <c r="M4475" s="2" t="s">
        <v>468</v>
      </c>
      <c r="N4475" s="2" t="s">
        <v>406</v>
      </c>
      <c r="O4475" s="3"/>
      <c r="P4475" s="2"/>
      <c r="Q4475" s="3">
        <v>0.0</v>
      </c>
      <c r="R4475" s="3">
        <v>0.5</v>
      </c>
      <c r="U4475" s="141"/>
      <c r="X4475" s="172"/>
      <c r="Y4475" s="172">
        <v>46121.09294947916</v>
      </c>
      <c r="Z4475" s="3">
        <v>46121.0</v>
      </c>
      <c r="AA4475" s="2" t="s">
        <v>14032</v>
      </c>
    </row>
    <row r="4476">
      <c r="A4476" s="3">
        <v>6.990471725315E12</v>
      </c>
      <c r="B4476" s="2" t="s">
        <v>17838</v>
      </c>
      <c r="C4476" s="2" t="s">
        <v>9201</v>
      </c>
      <c r="D4476" s="169">
        <v>46121.0</v>
      </c>
      <c r="E4476" s="2">
        <v>3.083806219E9</v>
      </c>
      <c r="F4476" s="2" t="s">
        <v>9644</v>
      </c>
      <c r="G4476" s="2" t="s">
        <v>3295</v>
      </c>
      <c r="H4476" s="2">
        <v>1798.0</v>
      </c>
      <c r="I4476" s="2">
        <v>2.3120050023411E13</v>
      </c>
      <c r="J4476" s="3">
        <v>1.0</v>
      </c>
      <c r="K4476" s="2" t="s">
        <v>17839</v>
      </c>
      <c r="L4476" s="2" t="s">
        <v>17840</v>
      </c>
      <c r="M4476" s="2" t="s">
        <v>409</v>
      </c>
      <c r="N4476" s="2" t="s">
        <v>462</v>
      </c>
      <c r="O4476" s="3"/>
      <c r="P4476" s="2" t="s">
        <v>73</v>
      </c>
      <c r="Q4476" s="3">
        <v>550.0</v>
      </c>
      <c r="R4476" s="3">
        <v>0.5</v>
      </c>
      <c r="T4476" s="2" t="s">
        <v>15278</v>
      </c>
      <c r="U4476" s="171">
        <v>1798.0</v>
      </c>
      <c r="V4476" s="172">
        <v>46126.0</v>
      </c>
      <c r="W4476" s="3">
        <v>329.9</v>
      </c>
      <c r="X4476" s="172">
        <v>46124.081932037036</v>
      </c>
      <c r="Y4476" s="172">
        <v>46121.09294947916</v>
      </c>
      <c r="Z4476" s="3">
        <v>46121.0</v>
      </c>
      <c r="AA4476" s="2" t="s">
        <v>14053</v>
      </c>
    </row>
    <row r="4477">
      <c r="A4477" s="3">
        <v>6.990474313987E12</v>
      </c>
      <c r="B4477" s="2" t="s">
        <v>17841</v>
      </c>
      <c r="C4477" s="2" t="s">
        <v>17842</v>
      </c>
      <c r="D4477" s="169">
        <v>46121.0</v>
      </c>
      <c r="E4477" s="2">
        <v>3.20700805E9</v>
      </c>
      <c r="F4477" s="2" t="s">
        <v>17843</v>
      </c>
      <c r="G4477" s="2" t="s">
        <v>1619</v>
      </c>
      <c r="H4477" s="2">
        <v>2099.0</v>
      </c>
      <c r="I4477" s="2">
        <v>2.412005002341E13</v>
      </c>
      <c r="J4477" s="3">
        <v>1.0</v>
      </c>
      <c r="K4477" s="2" t="s">
        <v>17844</v>
      </c>
      <c r="L4477" s="2" t="s">
        <v>9630</v>
      </c>
      <c r="M4477" s="2" t="s">
        <v>409</v>
      </c>
      <c r="N4477" s="2" t="s">
        <v>462</v>
      </c>
      <c r="O4477" s="3"/>
      <c r="P4477" s="2" t="s">
        <v>73</v>
      </c>
      <c r="Q4477" s="3">
        <v>500.0</v>
      </c>
      <c r="R4477" s="3">
        <v>0.5</v>
      </c>
      <c r="T4477" s="2" t="s">
        <v>15278</v>
      </c>
      <c r="U4477" s="171">
        <v>2099.0</v>
      </c>
      <c r="V4477" s="172">
        <v>46126.0</v>
      </c>
      <c r="W4477" s="3">
        <v>212.95</v>
      </c>
      <c r="X4477" s="172">
        <v>46123.0811946412</v>
      </c>
      <c r="Y4477" s="172">
        <v>46121.09294947916</v>
      </c>
      <c r="Z4477" s="3">
        <v>46121.0</v>
      </c>
      <c r="AA4477" s="2" t="s">
        <v>14053</v>
      </c>
    </row>
    <row r="4478">
      <c r="A4478" s="3">
        <v>6.990515241219E12</v>
      </c>
      <c r="B4478" s="2" t="s">
        <v>17845</v>
      </c>
      <c r="C4478" s="2" t="s">
        <v>17846</v>
      </c>
      <c r="D4478" s="169">
        <v>46121.0</v>
      </c>
      <c r="E4478" s="2">
        <v>3.122378711E9</v>
      </c>
      <c r="F4478" s="2" t="s">
        <v>17847</v>
      </c>
      <c r="G4478" s="2" t="s">
        <v>493</v>
      </c>
      <c r="H4478" s="2">
        <v>2797.0</v>
      </c>
      <c r="I4478" s="2">
        <v>2.2120050023409E13</v>
      </c>
      <c r="J4478" s="3">
        <v>2.0</v>
      </c>
      <c r="K4478" s="2" t="s">
        <v>17848</v>
      </c>
      <c r="L4478" s="2" t="s">
        <v>17849</v>
      </c>
      <c r="M4478" s="2" t="s">
        <v>409</v>
      </c>
      <c r="N4478" s="2" t="s">
        <v>462</v>
      </c>
      <c r="O4478" s="3"/>
      <c r="P4478" s="2" t="s">
        <v>73</v>
      </c>
      <c r="Q4478" s="3">
        <v>1100.0</v>
      </c>
      <c r="R4478" s="3">
        <v>0.5</v>
      </c>
      <c r="T4478" s="2" t="s">
        <v>15278</v>
      </c>
      <c r="U4478" s="171">
        <v>2797.0</v>
      </c>
      <c r="V4478" s="172">
        <v>46126.0</v>
      </c>
      <c r="W4478" s="3">
        <v>369.86</v>
      </c>
      <c r="X4478" s="172">
        <v>46126.08138322917</v>
      </c>
      <c r="Y4478" s="172">
        <v>46121.09294947916</v>
      </c>
      <c r="Z4478" s="3">
        <v>46121.0</v>
      </c>
      <c r="AA4478" s="2" t="s">
        <v>14053</v>
      </c>
    </row>
    <row r="4479">
      <c r="A4479" s="3">
        <v>6.990515634435E12</v>
      </c>
      <c r="B4479" s="2" t="s">
        <v>140</v>
      </c>
      <c r="C4479" s="2" t="s">
        <v>17850</v>
      </c>
      <c r="D4479" s="169">
        <v>46121.0</v>
      </c>
      <c r="E4479" s="2">
        <v>3.125506268E9</v>
      </c>
      <c r="F4479" s="2" t="s">
        <v>17851</v>
      </c>
      <c r="G4479" s="2" t="s">
        <v>366</v>
      </c>
      <c r="H4479" s="2">
        <v>1798.0</v>
      </c>
      <c r="I4479" s="2">
        <v>2.9120050023408E13</v>
      </c>
      <c r="J4479" s="3">
        <v>1.0</v>
      </c>
      <c r="K4479" s="2" t="s">
        <v>17852</v>
      </c>
      <c r="L4479" s="2" t="s">
        <v>16104</v>
      </c>
      <c r="M4479" s="2" t="s">
        <v>409</v>
      </c>
      <c r="N4479" s="2" t="s">
        <v>462</v>
      </c>
      <c r="O4479" s="3"/>
      <c r="P4479" s="2" t="s">
        <v>73</v>
      </c>
      <c r="Q4479" s="3">
        <v>550.0</v>
      </c>
      <c r="R4479" s="3">
        <v>0.5</v>
      </c>
      <c r="T4479" s="2" t="s">
        <v>72</v>
      </c>
      <c r="U4479" s="171">
        <v>1798.0</v>
      </c>
      <c r="V4479" s="172">
        <v>46129.0</v>
      </c>
      <c r="W4479" s="3">
        <v>313.78</v>
      </c>
      <c r="X4479" s="172">
        <v>46128.08109008102</v>
      </c>
      <c r="Y4479" s="172">
        <v>46121.09294949074</v>
      </c>
      <c r="Z4479" s="3">
        <v>46121.0</v>
      </c>
      <c r="AA4479" s="2" t="s">
        <v>14022</v>
      </c>
    </row>
    <row r="4480">
      <c r="A4480" s="3">
        <v>6.990519763203E12</v>
      </c>
      <c r="B4480" s="2" t="s">
        <v>139</v>
      </c>
      <c r="C4480" s="2" t="s">
        <v>17853</v>
      </c>
      <c r="D4480" s="169">
        <v>46121.0</v>
      </c>
      <c r="E4480" s="173" t="s">
        <v>3269</v>
      </c>
      <c r="F4480" s="2" t="s">
        <v>17854</v>
      </c>
      <c r="G4480" s="2" t="s">
        <v>366</v>
      </c>
      <c r="H4480" s="2">
        <v>3399.0</v>
      </c>
      <c r="I4480" s="2">
        <v>2.9120050023407E13</v>
      </c>
      <c r="J4480" s="3">
        <v>2.0</v>
      </c>
      <c r="K4480" s="2" t="s">
        <v>17855</v>
      </c>
      <c r="L4480" s="2" t="s">
        <v>17856</v>
      </c>
      <c r="M4480" s="2" t="s">
        <v>409</v>
      </c>
      <c r="N4480" s="2" t="s">
        <v>462</v>
      </c>
      <c r="O4480" s="3"/>
      <c r="P4480" s="2" t="s">
        <v>73</v>
      </c>
      <c r="Q4480" s="3">
        <v>1000.0</v>
      </c>
      <c r="R4480" s="3">
        <v>0.5</v>
      </c>
      <c r="T4480" s="2" t="s">
        <v>72</v>
      </c>
      <c r="U4480" s="171">
        <v>3399.0</v>
      </c>
      <c r="V4480" s="172">
        <v>46129.0</v>
      </c>
      <c r="W4480" s="3">
        <v>377.82000000000005</v>
      </c>
      <c r="X4480" s="172">
        <v>46127.081077615745</v>
      </c>
      <c r="Y4480" s="172">
        <v>46121.09294949074</v>
      </c>
      <c r="Z4480" s="3">
        <v>46121.0</v>
      </c>
      <c r="AA4480" s="2" t="s">
        <v>14032</v>
      </c>
    </row>
    <row r="4481">
      <c r="A4481" s="3">
        <v>6.990650540291E12</v>
      </c>
      <c r="B4481" s="2" t="s">
        <v>17857</v>
      </c>
      <c r="C4481" s="2" t="s">
        <v>17858</v>
      </c>
      <c r="D4481" s="169">
        <v>46121.0</v>
      </c>
      <c r="E4481" s="2">
        <v>3.104833644E9</v>
      </c>
      <c r="F4481" s="2" t="s">
        <v>17859</v>
      </c>
      <c r="G4481" s="2" t="s">
        <v>368</v>
      </c>
      <c r="H4481" s="2">
        <v>299.0</v>
      </c>
      <c r="I4481" s="2">
        <v>2.0120050023406E13</v>
      </c>
      <c r="J4481" s="3">
        <v>0.0</v>
      </c>
      <c r="K4481" s="2"/>
      <c r="L4481" s="2"/>
      <c r="M4481" s="170" t="s">
        <v>455</v>
      </c>
      <c r="N4481" s="2" t="s">
        <v>406</v>
      </c>
      <c r="O4481" s="3"/>
      <c r="P4481" s="2" t="s">
        <v>73</v>
      </c>
      <c r="Q4481" s="3">
        <v>0.0</v>
      </c>
      <c r="R4481" s="3">
        <v>0.5</v>
      </c>
      <c r="U4481" s="141"/>
      <c r="X4481" s="172">
        <v>46130.081223692134</v>
      </c>
      <c r="Y4481" s="172">
        <v>46122.09296229167</v>
      </c>
      <c r="Z4481" s="3">
        <v>46121.0</v>
      </c>
      <c r="AA4481" s="2" t="s">
        <v>14053</v>
      </c>
    </row>
    <row r="4482">
      <c r="A4482" s="3">
        <v>6.990660993283E12</v>
      </c>
      <c r="B4482" s="2" t="s">
        <v>17860</v>
      </c>
      <c r="C4482" s="2" t="s">
        <v>17861</v>
      </c>
      <c r="D4482" s="169">
        <v>46121.0</v>
      </c>
      <c r="E4482" s="173" t="s">
        <v>17862</v>
      </c>
      <c r="F4482" s="2" t="s">
        <v>17863</v>
      </c>
      <c r="G4482" s="2" t="s">
        <v>693</v>
      </c>
      <c r="H4482" s="2">
        <v>1798.0</v>
      </c>
      <c r="I4482" s="2">
        <v>2.3120050023405E13</v>
      </c>
      <c r="J4482" s="3">
        <v>1.0</v>
      </c>
      <c r="K4482" s="2" t="s">
        <v>17839</v>
      </c>
      <c r="L4482" s="2" t="s">
        <v>16104</v>
      </c>
      <c r="M4482" s="2" t="s">
        <v>409</v>
      </c>
      <c r="N4482" s="2" t="s">
        <v>462</v>
      </c>
      <c r="O4482" s="3"/>
      <c r="P4482" s="2" t="s">
        <v>73</v>
      </c>
      <c r="Q4482" s="3">
        <v>550.0</v>
      </c>
      <c r="R4482" s="3">
        <v>0.5</v>
      </c>
      <c r="T4482" s="2" t="s">
        <v>15278</v>
      </c>
      <c r="U4482" s="171">
        <v>1798.0</v>
      </c>
      <c r="V4482" s="172">
        <v>46126.0</v>
      </c>
      <c r="W4482" s="3">
        <v>329.9</v>
      </c>
      <c r="X4482" s="172">
        <v>46126.0813862963</v>
      </c>
      <c r="Y4482" s="172">
        <v>46122.09296229167</v>
      </c>
      <c r="Z4482" s="3">
        <v>46121.0</v>
      </c>
      <c r="AA4482" s="2" t="s">
        <v>14053</v>
      </c>
    </row>
    <row r="4483">
      <c r="A4483" s="3">
        <v>6.990662959363E12</v>
      </c>
      <c r="B4483" s="2" t="s">
        <v>17864</v>
      </c>
      <c r="C4483" s="2" t="s">
        <v>370</v>
      </c>
      <c r="D4483" s="169">
        <v>46121.0</v>
      </c>
      <c r="E4483" s="2">
        <v>3.047788894E9</v>
      </c>
      <c r="F4483" s="2" t="s">
        <v>17865</v>
      </c>
      <c r="G4483" s="2" t="s">
        <v>371</v>
      </c>
      <c r="H4483" s="2">
        <v>299.0</v>
      </c>
      <c r="I4483" s="2">
        <v>2.0120050023404E13</v>
      </c>
      <c r="J4483" s="3">
        <v>0.0</v>
      </c>
      <c r="K4483" s="2" t="s">
        <v>372</v>
      </c>
      <c r="L4483" s="2"/>
      <c r="M4483" s="170" t="s">
        <v>455</v>
      </c>
      <c r="N4483" s="2" t="s">
        <v>406</v>
      </c>
      <c r="O4483" s="3"/>
      <c r="P4483" s="2" t="s">
        <v>73</v>
      </c>
      <c r="Q4483" s="3">
        <v>0.0</v>
      </c>
      <c r="R4483" s="3">
        <v>0.5</v>
      </c>
      <c r="U4483" s="141"/>
      <c r="X4483" s="172">
        <v>46131.081006712964</v>
      </c>
      <c r="Y4483" s="172">
        <v>46122.09296229167</v>
      </c>
      <c r="Z4483" s="3">
        <v>46121.0</v>
      </c>
      <c r="AA4483" s="2" t="s">
        <v>14053</v>
      </c>
    </row>
    <row r="4484">
      <c r="A4484" s="3">
        <v>6.990699299075E12</v>
      </c>
      <c r="B4484" s="2" t="s">
        <v>17866</v>
      </c>
      <c r="C4484" s="2" t="s">
        <v>17867</v>
      </c>
      <c r="D4484" s="169">
        <v>46121.0</v>
      </c>
      <c r="E4484" s="2">
        <v>3.11393876E9</v>
      </c>
      <c r="F4484" s="2" t="s">
        <v>17868</v>
      </c>
      <c r="G4484" s="2" t="s">
        <v>17869</v>
      </c>
      <c r="H4484" s="2">
        <v>2299.0</v>
      </c>
      <c r="I4484" s="2">
        <v>2.8120050023454E13</v>
      </c>
      <c r="J4484" s="3">
        <v>2.0</v>
      </c>
      <c r="K4484" s="2" t="s">
        <v>17870</v>
      </c>
      <c r="L4484" s="2" t="s">
        <v>17871</v>
      </c>
      <c r="M4484" s="2" t="s">
        <v>409</v>
      </c>
      <c r="N4484" s="2" t="s">
        <v>462</v>
      </c>
      <c r="O4484" s="3"/>
      <c r="P4484" s="2" t="s">
        <v>73</v>
      </c>
      <c r="Q4484" s="3">
        <v>1500.0</v>
      </c>
      <c r="R4484" s="3">
        <v>0.5</v>
      </c>
      <c r="T4484" s="2" t="s">
        <v>15278</v>
      </c>
      <c r="U4484" s="171">
        <v>2299.0</v>
      </c>
      <c r="V4484" s="172">
        <v>46126.0</v>
      </c>
      <c r="W4484" s="3">
        <v>349.94000000000005</v>
      </c>
      <c r="X4484" s="172">
        <v>46126.08138638889</v>
      </c>
      <c r="Y4484" s="172">
        <v>46122.09296229167</v>
      </c>
      <c r="Z4484" s="3">
        <v>46121.0</v>
      </c>
      <c r="AA4484" s="2" t="s">
        <v>14032</v>
      </c>
    </row>
    <row r="4485">
      <c r="A4485" s="3">
        <v>6.990928576771E12</v>
      </c>
      <c r="B4485" s="2" t="s">
        <v>17872</v>
      </c>
      <c r="C4485" s="2" t="s">
        <v>17873</v>
      </c>
      <c r="D4485" s="169">
        <v>46121.0</v>
      </c>
      <c r="E4485" s="173" t="s">
        <v>17874</v>
      </c>
      <c r="F4485" s="2" t="s">
        <v>17875</v>
      </c>
      <c r="G4485" s="2" t="s">
        <v>993</v>
      </c>
      <c r="H4485" s="2">
        <v>3395.0</v>
      </c>
      <c r="I4485" s="2">
        <v>2.3120050023483E13</v>
      </c>
      <c r="J4485" s="3">
        <v>2.0</v>
      </c>
      <c r="K4485" s="2" t="s">
        <v>17876</v>
      </c>
      <c r="L4485" s="2" t="s">
        <v>22</v>
      </c>
      <c r="M4485" s="2" t="s">
        <v>409</v>
      </c>
      <c r="N4485" s="2" t="s">
        <v>462</v>
      </c>
      <c r="O4485" s="3"/>
      <c r="P4485" s="2" t="s">
        <v>73</v>
      </c>
      <c r="Q4485" s="3">
        <v>800.0</v>
      </c>
      <c r="R4485" s="3">
        <v>0.5</v>
      </c>
      <c r="T4485" s="2" t="s">
        <v>15278</v>
      </c>
      <c r="U4485" s="171">
        <v>3395.0</v>
      </c>
      <c r="V4485" s="172">
        <v>46126.0</v>
      </c>
      <c r="W4485" s="3">
        <v>377.65999999999997</v>
      </c>
      <c r="X4485" s="172">
        <v>46126.08138695602</v>
      </c>
      <c r="Y4485" s="172">
        <v>46122.09296229167</v>
      </c>
      <c r="Z4485" s="3">
        <v>46121.0</v>
      </c>
      <c r="AA4485" s="2" t="s">
        <v>14103</v>
      </c>
    </row>
    <row r="4486">
      <c r="A4486" s="3">
        <v>6.990939554051E12</v>
      </c>
      <c r="B4486" s="2" t="s">
        <v>17877</v>
      </c>
      <c r="C4486" s="2" t="s">
        <v>17878</v>
      </c>
      <c r="D4486" s="169">
        <v>46121.0</v>
      </c>
      <c r="E4486" s="2">
        <v>3.205511947E9</v>
      </c>
      <c r="F4486" s="2" t="s">
        <v>17879</v>
      </c>
      <c r="G4486" s="2" t="s">
        <v>17880</v>
      </c>
      <c r="H4486" s="2">
        <v>4499.0</v>
      </c>
      <c r="I4486" s="2">
        <v>2.6120050023482E13</v>
      </c>
      <c r="J4486" s="3">
        <v>2.0</v>
      </c>
      <c r="K4486" s="2" t="s">
        <v>17881</v>
      </c>
      <c r="L4486" s="2" t="s">
        <v>17882</v>
      </c>
      <c r="M4486" s="2" t="s">
        <v>409</v>
      </c>
      <c r="N4486" s="2" t="s">
        <v>462</v>
      </c>
      <c r="O4486" s="3"/>
      <c r="P4486" s="2" t="s">
        <v>73</v>
      </c>
      <c r="Q4486" s="3">
        <v>2200.0</v>
      </c>
      <c r="R4486" s="3">
        <v>0.5</v>
      </c>
      <c r="T4486" s="2" t="s">
        <v>15278</v>
      </c>
      <c r="U4486" s="171">
        <v>4499.0</v>
      </c>
      <c r="V4486" s="172">
        <v>46126.0</v>
      </c>
      <c r="W4486" s="3">
        <v>446.01000000000005</v>
      </c>
      <c r="X4486" s="172">
        <v>46126.08138753472</v>
      </c>
      <c r="Y4486" s="172">
        <v>46122.09296229167</v>
      </c>
      <c r="Z4486" s="3">
        <v>46121.0</v>
      </c>
      <c r="AA4486" s="2" t="s">
        <v>14022</v>
      </c>
    </row>
    <row r="4487">
      <c r="A4487" s="3">
        <v>6.990962327811E12</v>
      </c>
      <c r="B4487" s="2" t="s">
        <v>17883</v>
      </c>
      <c r="C4487" s="2" t="s">
        <v>314</v>
      </c>
      <c r="D4487" s="169">
        <v>46121.0</v>
      </c>
      <c r="E4487" s="2">
        <v>3.036793564E9</v>
      </c>
      <c r="F4487" s="2" t="s">
        <v>17837</v>
      </c>
      <c r="G4487" s="2" t="s">
        <v>6507</v>
      </c>
      <c r="H4487" s="2">
        <v>2997.0</v>
      </c>
      <c r="I4487" s="2">
        <v>2.4120050023613E13</v>
      </c>
      <c r="J4487" s="3">
        <v>1.0</v>
      </c>
      <c r="K4487" s="2" t="s">
        <v>315</v>
      </c>
      <c r="L4487" s="2" t="s">
        <v>316</v>
      </c>
      <c r="M4487" s="2" t="s">
        <v>15124</v>
      </c>
      <c r="N4487" s="2" t="s">
        <v>406</v>
      </c>
      <c r="O4487" s="3"/>
      <c r="P4487" s="2" t="s">
        <v>73</v>
      </c>
      <c r="Q4487" s="3">
        <v>1300.0</v>
      </c>
      <c r="R4487" s="3">
        <v>0.5</v>
      </c>
      <c r="U4487" s="141"/>
      <c r="X4487" s="172">
        <v>46129.081088148145</v>
      </c>
      <c r="Y4487" s="172">
        <v>46122.09296229167</v>
      </c>
      <c r="Z4487" s="3">
        <v>46121.0</v>
      </c>
      <c r="AA4487" s="2" t="s">
        <v>14032</v>
      </c>
    </row>
    <row r="4488">
      <c r="A4488" s="3">
        <v>6.990969798915E12</v>
      </c>
      <c r="B4488" s="2" t="s">
        <v>17884</v>
      </c>
      <c r="C4488" s="2" t="s">
        <v>17885</v>
      </c>
      <c r="D4488" s="169">
        <v>46121.0</v>
      </c>
      <c r="E4488" s="2">
        <v>3.152222009E9</v>
      </c>
      <c r="F4488" s="2" t="s">
        <v>17886</v>
      </c>
      <c r="G4488" s="2" t="s">
        <v>3305</v>
      </c>
      <c r="H4488" s="2">
        <v>299.0</v>
      </c>
      <c r="I4488" s="2">
        <v>2.2120050023453E13</v>
      </c>
      <c r="J4488" s="3">
        <v>0.0</v>
      </c>
      <c r="K4488" s="2" t="s">
        <v>17887</v>
      </c>
      <c r="L4488" s="2"/>
      <c r="M4488" s="2" t="s">
        <v>409</v>
      </c>
      <c r="N4488" s="2" t="s">
        <v>462</v>
      </c>
      <c r="O4488" s="3"/>
      <c r="P4488" s="2" t="s">
        <v>73</v>
      </c>
      <c r="Q4488" s="3">
        <v>0.0</v>
      </c>
      <c r="R4488" s="3">
        <v>0.5</v>
      </c>
      <c r="T4488" s="2" t="s">
        <v>15278</v>
      </c>
      <c r="U4488" s="171">
        <v>299.0</v>
      </c>
      <c r="V4488" s="172">
        <v>46126.0</v>
      </c>
      <c r="W4488" s="3">
        <v>353.74</v>
      </c>
      <c r="X4488" s="172">
        <v>46126.08138878472</v>
      </c>
      <c r="Y4488" s="172">
        <v>46122.09296229167</v>
      </c>
      <c r="Z4488" s="3">
        <v>46121.0</v>
      </c>
      <c r="AA4488" s="2" t="s">
        <v>14032</v>
      </c>
    </row>
    <row r="4489">
      <c r="A4489" s="3">
        <v>6.991047328003E12</v>
      </c>
      <c r="B4489" s="2" t="s">
        <v>17888</v>
      </c>
      <c r="C4489" s="2" t="s">
        <v>17889</v>
      </c>
      <c r="D4489" s="169">
        <v>46121.0</v>
      </c>
      <c r="E4489" s="2">
        <v>3.051636923E9</v>
      </c>
      <c r="F4489" s="2" t="s">
        <v>17890</v>
      </c>
      <c r="G4489" s="2" t="s">
        <v>17891</v>
      </c>
      <c r="H4489" s="2">
        <v>3397.0</v>
      </c>
      <c r="I4489" s="2">
        <v>1.73012628209E11</v>
      </c>
      <c r="J4489" s="3">
        <v>2.0</v>
      </c>
      <c r="K4489" s="2" t="s">
        <v>204</v>
      </c>
      <c r="L4489" s="2" t="s">
        <v>1263</v>
      </c>
      <c r="M4489" s="2" t="s">
        <v>409</v>
      </c>
      <c r="N4489" s="2" t="s">
        <v>406</v>
      </c>
      <c r="O4489" s="3"/>
      <c r="P4489" s="2" t="s">
        <v>501</v>
      </c>
      <c r="Q4489" s="3">
        <v>720.0</v>
      </c>
      <c r="R4489" s="3">
        <v>0.5</v>
      </c>
      <c r="U4489" s="141"/>
      <c r="X4489" s="172">
        <v>46126.08356342593</v>
      </c>
      <c r="Y4489" s="172">
        <v>46122.09296231481</v>
      </c>
      <c r="Z4489" s="3">
        <v>46121.0</v>
      </c>
      <c r="AA4489" s="2" t="s">
        <v>14032</v>
      </c>
    </row>
    <row r="4490">
      <c r="A4490" s="3">
        <v>6.991111028995E12</v>
      </c>
      <c r="B4490" s="2" t="s">
        <v>17892</v>
      </c>
      <c r="C4490" s="2" t="s">
        <v>14071</v>
      </c>
      <c r="D4490" s="169">
        <v>46121.0</v>
      </c>
      <c r="E4490" s="173" t="s">
        <v>17893</v>
      </c>
      <c r="F4490" s="2" t="s">
        <v>17894</v>
      </c>
      <c r="G4490" s="2" t="s">
        <v>1395</v>
      </c>
      <c r="H4490" s="2">
        <v>2098.0</v>
      </c>
      <c r="I4490" s="2"/>
      <c r="J4490" s="3">
        <v>1.0</v>
      </c>
      <c r="K4490" s="2" t="s">
        <v>12424</v>
      </c>
      <c r="L4490" s="2" t="s">
        <v>220</v>
      </c>
      <c r="M4490" s="2" t="s">
        <v>406</v>
      </c>
      <c r="N4490" s="2" t="s">
        <v>406</v>
      </c>
      <c r="O4490" s="3"/>
      <c r="P4490" s="2"/>
      <c r="Q4490" s="3">
        <v>360.0</v>
      </c>
      <c r="R4490" s="3">
        <v>0.5</v>
      </c>
      <c r="U4490" s="141"/>
      <c r="X4490" s="172"/>
      <c r="Y4490" s="172">
        <v>46122.09296231481</v>
      </c>
      <c r="Z4490" s="3">
        <v>46121.0</v>
      </c>
      <c r="AA4490" s="2" t="s">
        <v>14032</v>
      </c>
    </row>
    <row r="4491">
      <c r="A4491" s="3">
        <v>6.991129772291E12</v>
      </c>
      <c r="B4491" s="2" t="s">
        <v>17895</v>
      </c>
      <c r="C4491" s="2" t="s">
        <v>17896</v>
      </c>
      <c r="D4491" s="169">
        <v>46121.0</v>
      </c>
      <c r="E4491" s="2">
        <v>3.33984455E9</v>
      </c>
      <c r="F4491" s="2" t="s">
        <v>17897</v>
      </c>
      <c r="G4491" s="2" t="s">
        <v>11783</v>
      </c>
      <c r="H4491" s="2">
        <v>3399.0</v>
      </c>
      <c r="I4491" s="2">
        <v>2.3120050023443E13</v>
      </c>
      <c r="J4491" s="3">
        <v>2.0</v>
      </c>
      <c r="K4491" s="2" t="s">
        <v>17898</v>
      </c>
      <c r="L4491" s="2" t="s">
        <v>17899</v>
      </c>
      <c r="M4491" s="2" t="s">
        <v>409</v>
      </c>
      <c r="N4491" s="2" t="s">
        <v>462</v>
      </c>
      <c r="O4491" s="3"/>
      <c r="P4491" s="2" t="s">
        <v>73</v>
      </c>
      <c r="Q4491" s="3">
        <v>860.0</v>
      </c>
      <c r="R4491" s="3">
        <v>0.5</v>
      </c>
      <c r="T4491" s="2" t="s">
        <v>15278</v>
      </c>
      <c r="U4491" s="171">
        <v>3399.0</v>
      </c>
      <c r="V4491" s="172">
        <v>46126.0</v>
      </c>
      <c r="W4491" s="3">
        <v>377.82000000000005</v>
      </c>
      <c r="X4491" s="172">
        <v>46126.08139085648</v>
      </c>
      <c r="Y4491" s="172">
        <v>46122.09296231481</v>
      </c>
      <c r="Z4491" s="3">
        <v>46121.0</v>
      </c>
      <c r="AA4491" s="2" t="s">
        <v>14103</v>
      </c>
    </row>
    <row r="4492">
      <c r="A4492" s="3">
        <v>6.991133475075E12</v>
      </c>
      <c r="B4492" s="2" t="s">
        <v>17900</v>
      </c>
      <c r="C4492" s="2" t="s">
        <v>17901</v>
      </c>
      <c r="D4492" s="169">
        <v>46121.0</v>
      </c>
      <c r="E4492" s="2">
        <v>3.000463828E9</v>
      </c>
      <c r="F4492" s="2" t="s">
        <v>17902</v>
      </c>
      <c r="G4492" s="2" t="s">
        <v>17903</v>
      </c>
      <c r="H4492" s="2">
        <v>0.0</v>
      </c>
      <c r="I4492" s="2"/>
      <c r="J4492" s="3">
        <v>0.0</v>
      </c>
      <c r="K4492" s="2" t="s">
        <v>17904</v>
      </c>
      <c r="L4492" s="2"/>
      <c r="M4492" s="2" t="s">
        <v>468</v>
      </c>
      <c r="N4492" s="2" t="s">
        <v>406</v>
      </c>
      <c r="O4492" s="3"/>
      <c r="P4492" s="2"/>
      <c r="Q4492" s="3">
        <v>0.0</v>
      </c>
      <c r="R4492" s="3">
        <v>0.5</v>
      </c>
      <c r="U4492" s="141"/>
      <c r="X4492" s="172"/>
      <c r="Y4492" s="172">
        <v>46122.09296231481</v>
      </c>
      <c r="Z4492" s="3">
        <v>46121.0</v>
      </c>
      <c r="AA4492" s="2" t="s">
        <v>14053</v>
      </c>
    </row>
    <row r="4493">
      <c r="A4493" s="3">
        <v>6.991158477059E12</v>
      </c>
      <c r="B4493" s="2" t="s">
        <v>17905</v>
      </c>
      <c r="C4493" s="2" t="s">
        <v>17906</v>
      </c>
      <c r="D4493" s="169">
        <v>46121.0</v>
      </c>
      <c r="E4493" s="2">
        <v>3.22750505E9</v>
      </c>
      <c r="F4493" s="2" t="s">
        <v>17907</v>
      </c>
      <c r="G4493" s="2" t="s">
        <v>368</v>
      </c>
      <c r="H4493" s="2">
        <v>299.0</v>
      </c>
      <c r="I4493" s="2">
        <v>2.3120050023403E13</v>
      </c>
      <c r="J4493" s="3">
        <v>0.0</v>
      </c>
      <c r="K4493" s="2"/>
      <c r="L4493" s="2"/>
      <c r="M4493" s="170" t="s">
        <v>455</v>
      </c>
      <c r="N4493" s="2" t="s">
        <v>406</v>
      </c>
      <c r="O4493" s="3"/>
      <c r="P4493" s="2" t="s">
        <v>73</v>
      </c>
      <c r="Q4493" s="3">
        <v>0.0</v>
      </c>
      <c r="R4493" s="3">
        <v>0.5</v>
      </c>
      <c r="U4493" s="141"/>
      <c r="X4493" s="172">
        <v>46130.08122386574</v>
      </c>
      <c r="Y4493" s="172">
        <v>46122.09296231481</v>
      </c>
      <c r="Z4493" s="3">
        <v>46121.0</v>
      </c>
      <c r="AA4493" s="2" t="s">
        <v>14053</v>
      </c>
    </row>
    <row r="4494">
      <c r="A4494" s="3">
        <v>6.991173058819E12</v>
      </c>
      <c r="B4494" s="2" t="s">
        <v>17908</v>
      </c>
      <c r="C4494" s="2" t="s">
        <v>17909</v>
      </c>
      <c r="D4494" s="169">
        <v>46121.0</v>
      </c>
      <c r="E4494" s="2">
        <v>3.400012067E9</v>
      </c>
      <c r="F4494" s="2" t="s">
        <v>17910</v>
      </c>
      <c r="G4494" s="2" t="s">
        <v>3739</v>
      </c>
      <c r="H4494" s="2">
        <v>2948.0</v>
      </c>
      <c r="I4494" s="2">
        <v>2.6120050023402E13</v>
      </c>
      <c r="J4494" s="3">
        <v>2.0</v>
      </c>
      <c r="K4494" s="2" t="s">
        <v>17911</v>
      </c>
      <c r="L4494" s="2" t="s">
        <v>17912</v>
      </c>
      <c r="M4494" s="2" t="s">
        <v>409</v>
      </c>
      <c r="N4494" s="2" t="s">
        <v>462</v>
      </c>
      <c r="O4494" s="3"/>
      <c r="P4494" s="2" t="s">
        <v>73</v>
      </c>
      <c r="Q4494" s="3">
        <v>1100.0</v>
      </c>
      <c r="R4494" s="3">
        <v>0.5</v>
      </c>
      <c r="T4494" s="2" t="s">
        <v>15278</v>
      </c>
      <c r="U4494" s="171">
        <v>2948.0</v>
      </c>
      <c r="V4494" s="172">
        <v>46126.0</v>
      </c>
      <c r="W4494" s="3">
        <v>359.78</v>
      </c>
      <c r="X4494" s="172">
        <v>46124.08196094907</v>
      </c>
      <c r="Y4494" s="172">
        <v>46122.09296231481</v>
      </c>
      <c r="Z4494" s="3">
        <v>46121.0</v>
      </c>
      <c r="AA4494" s="2" t="s">
        <v>14053</v>
      </c>
    </row>
    <row r="4495">
      <c r="A4495" s="3">
        <v>6.991189737731E12</v>
      </c>
      <c r="B4495" s="2" t="s">
        <v>17913</v>
      </c>
      <c r="C4495" s="2" t="s">
        <v>17063</v>
      </c>
      <c r="D4495" s="169">
        <v>46121.0</v>
      </c>
      <c r="E4495" s="2">
        <v>3.018620311E9</v>
      </c>
      <c r="F4495" s="2" t="s">
        <v>17914</v>
      </c>
      <c r="G4495" s="2" t="s">
        <v>2807</v>
      </c>
      <c r="H4495" s="2">
        <v>3397.0</v>
      </c>
      <c r="I4495" s="2">
        <v>2.6120050023401E13</v>
      </c>
      <c r="J4495" s="3">
        <v>2.0</v>
      </c>
      <c r="K4495" s="2" t="s">
        <v>17915</v>
      </c>
      <c r="L4495" s="2" t="s">
        <v>1263</v>
      </c>
      <c r="M4495" s="2" t="s">
        <v>409</v>
      </c>
      <c r="N4495" s="2" t="s">
        <v>462</v>
      </c>
      <c r="O4495" s="3"/>
      <c r="P4495" s="2" t="s">
        <v>73</v>
      </c>
      <c r="Q4495" s="3">
        <v>720.0</v>
      </c>
      <c r="R4495" s="3">
        <v>0.5</v>
      </c>
      <c r="T4495" s="2" t="s">
        <v>15278</v>
      </c>
      <c r="U4495" s="171">
        <v>3397.0</v>
      </c>
      <c r="V4495" s="172">
        <v>46126.0</v>
      </c>
      <c r="W4495" s="3">
        <v>377.74</v>
      </c>
      <c r="X4495" s="172">
        <v>46124.08196386574</v>
      </c>
      <c r="Y4495" s="172">
        <v>46122.09296232639</v>
      </c>
      <c r="Z4495" s="3">
        <v>46121.0</v>
      </c>
      <c r="AA4495" s="2" t="s">
        <v>14103</v>
      </c>
    </row>
    <row r="4496">
      <c r="A4496" s="3">
        <v>6.991190524163E12</v>
      </c>
      <c r="B4496" s="2" t="s">
        <v>17916</v>
      </c>
      <c r="C4496" s="2" t="s">
        <v>9611</v>
      </c>
      <c r="D4496" s="169">
        <v>46121.0</v>
      </c>
      <c r="E4496" s="2">
        <v>3.097434694E9</v>
      </c>
      <c r="F4496" s="2" t="s">
        <v>17917</v>
      </c>
      <c r="G4496" s="2" t="s">
        <v>368</v>
      </c>
      <c r="H4496" s="2">
        <v>3999.0</v>
      </c>
      <c r="I4496" s="2">
        <v>2.31200500234E13</v>
      </c>
      <c r="J4496" s="3">
        <v>2.0</v>
      </c>
      <c r="K4496" s="2" t="s">
        <v>17918</v>
      </c>
      <c r="L4496" s="2" t="s">
        <v>7383</v>
      </c>
      <c r="M4496" s="2" t="s">
        <v>409</v>
      </c>
      <c r="N4496" s="2" t="s">
        <v>462</v>
      </c>
      <c r="O4496" s="3"/>
      <c r="P4496" s="2" t="s">
        <v>73</v>
      </c>
      <c r="Q4496" s="3">
        <v>980.0</v>
      </c>
      <c r="R4496" s="3">
        <v>0.5</v>
      </c>
      <c r="T4496" s="2" t="s">
        <v>15278</v>
      </c>
      <c r="U4496" s="171">
        <v>3999.0</v>
      </c>
      <c r="V4496" s="172">
        <v>46126.0</v>
      </c>
      <c r="W4496" s="3">
        <v>305.08000000000004</v>
      </c>
      <c r="X4496" s="172">
        <v>46123.08119585648</v>
      </c>
      <c r="Y4496" s="172">
        <v>46122.09296232639</v>
      </c>
      <c r="Z4496" s="3">
        <v>46121.0</v>
      </c>
      <c r="AA4496" s="2" t="s">
        <v>14022</v>
      </c>
    </row>
    <row r="4497">
      <c r="A4497" s="3">
        <v>6.991220867331E12</v>
      </c>
      <c r="B4497" s="2" t="s">
        <v>17919</v>
      </c>
      <c r="C4497" s="2" t="s">
        <v>17920</v>
      </c>
      <c r="D4497" s="169">
        <v>46121.0</v>
      </c>
      <c r="E4497" s="2">
        <v>3.453115717E9</v>
      </c>
      <c r="F4497" s="2" t="s">
        <v>17921</v>
      </c>
      <c r="G4497" s="2" t="s">
        <v>493</v>
      </c>
      <c r="H4497" s="2">
        <v>3397.0</v>
      </c>
      <c r="I4497" s="2"/>
      <c r="J4497" s="3">
        <v>2.0</v>
      </c>
      <c r="K4497" s="2" t="s">
        <v>12424</v>
      </c>
      <c r="L4497" s="2" t="s">
        <v>17922</v>
      </c>
      <c r="M4497" s="2" t="s">
        <v>406</v>
      </c>
      <c r="N4497" s="2" t="s">
        <v>406</v>
      </c>
      <c r="O4497" s="3"/>
      <c r="P4497" s="2"/>
      <c r="Q4497" s="3">
        <v>720.0</v>
      </c>
      <c r="R4497" s="3">
        <v>0.5</v>
      </c>
      <c r="U4497" s="141"/>
      <c r="X4497" s="172"/>
      <c r="Y4497" s="172">
        <v>46122.09296232639</v>
      </c>
      <c r="Z4497" s="3">
        <v>46121.0</v>
      </c>
      <c r="AA4497" s="2" t="s">
        <v>14032</v>
      </c>
    </row>
    <row r="4498">
      <c r="A4498" s="3">
        <v>6.991255011587E12</v>
      </c>
      <c r="B4498" s="2" t="s">
        <v>17923</v>
      </c>
      <c r="C4498" s="2" t="s">
        <v>317</v>
      </c>
      <c r="D4498" s="169">
        <v>46121.0</v>
      </c>
      <c r="E4498" s="2">
        <v>3.261656332E9</v>
      </c>
      <c r="F4498" s="2" t="s">
        <v>17924</v>
      </c>
      <c r="G4498" s="2" t="s">
        <v>17925</v>
      </c>
      <c r="H4498" s="2">
        <v>3399.0</v>
      </c>
      <c r="I4498" s="2">
        <v>2.3120050023564E13</v>
      </c>
      <c r="J4498" s="3">
        <v>2.0</v>
      </c>
      <c r="K4498" s="2" t="s">
        <v>318</v>
      </c>
      <c r="L4498" s="2" t="s">
        <v>228</v>
      </c>
      <c r="M4498" s="2" t="s">
        <v>17</v>
      </c>
      <c r="N4498" s="2" t="s">
        <v>406</v>
      </c>
      <c r="O4498" s="3"/>
      <c r="P4498" s="2" t="s">
        <v>73</v>
      </c>
      <c r="Q4498" s="3">
        <v>720.0</v>
      </c>
      <c r="R4498" s="3">
        <v>0.5</v>
      </c>
      <c r="U4498" s="141"/>
      <c r="X4498" s="172">
        <v>46129.08108837963</v>
      </c>
      <c r="Y4498" s="172">
        <v>46122.09296232639</v>
      </c>
      <c r="Z4498" s="3">
        <v>46121.0</v>
      </c>
      <c r="AA4498" s="2" t="s">
        <v>14022</v>
      </c>
    </row>
    <row r="4499">
      <c r="A4499" s="3">
        <v>6.991280898307E12</v>
      </c>
      <c r="B4499" s="2" t="s">
        <v>138</v>
      </c>
      <c r="C4499" s="2" t="s">
        <v>17926</v>
      </c>
      <c r="D4499" s="169">
        <v>46121.0</v>
      </c>
      <c r="E4499" s="173" t="s">
        <v>17927</v>
      </c>
      <c r="F4499" s="2" t="s">
        <v>17928</v>
      </c>
      <c r="G4499" s="2" t="s">
        <v>898</v>
      </c>
      <c r="H4499" s="2">
        <v>3397.0</v>
      </c>
      <c r="I4499" s="2">
        <v>2.4120050023481E13</v>
      </c>
      <c r="J4499" s="3">
        <v>1.0</v>
      </c>
      <c r="K4499" s="2" t="s">
        <v>17730</v>
      </c>
      <c r="L4499" s="2" t="s">
        <v>15365</v>
      </c>
      <c r="M4499" s="2" t="s">
        <v>409</v>
      </c>
      <c r="N4499" s="2" t="s">
        <v>462</v>
      </c>
      <c r="O4499" s="3"/>
      <c r="P4499" s="2" t="s">
        <v>73</v>
      </c>
      <c r="Q4499" s="3">
        <v>720.0</v>
      </c>
      <c r="R4499" s="3">
        <v>0.5</v>
      </c>
      <c r="T4499" s="2" t="s">
        <v>72</v>
      </c>
      <c r="U4499" s="171">
        <v>3397.0</v>
      </c>
      <c r="V4499" s="172">
        <v>46129.0</v>
      </c>
      <c r="W4499" s="3">
        <v>377.74</v>
      </c>
      <c r="X4499" s="172">
        <v>46127.08113201389</v>
      </c>
      <c r="Y4499" s="172">
        <v>46122.09296232639</v>
      </c>
      <c r="Z4499" s="3">
        <v>46121.0</v>
      </c>
      <c r="AA4499" s="2" t="s">
        <v>14103</v>
      </c>
    </row>
    <row r="4500">
      <c r="A4500" s="3">
        <v>6.991285780739E12</v>
      </c>
      <c r="B4500" s="2" t="s">
        <v>17929</v>
      </c>
      <c r="C4500" s="2" t="s">
        <v>17930</v>
      </c>
      <c r="D4500" s="169">
        <v>46121.0</v>
      </c>
      <c r="E4500" s="2">
        <v>3.487236383E9</v>
      </c>
      <c r="F4500" s="2" t="s">
        <v>17931</v>
      </c>
      <c r="G4500" s="2" t="s">
        <v>2807</v>
      </c>
      <c r="H4500" s="2">
        <v>5196.0</v>
      </c>
      <c r="I4500" s="2">
        <v>2.912005002348E13</v>
      </c>
      <c r="J4500" s="3">
        <v>2.0</v>
      </c>
      <c r="K4500" s="2" t="s">
        <v>17932</v>
      </c>
      <c r="L4500" s="2" t="s">
        <v>17933</v>
      </c>
      <c r="M4500" s="2" t="s">
        <v>409</v>
      </c>
      <c r="N4500" s="2" t="s">
        <v>462</v>
      </c>
      <c r="O4500" s="3"/>
      <c r="P4500" s="2" t="s">
        <v>73</v>
      </c>
      <c r="Q4500" s="3">
        <v>1080.0</v>
      </c>
      <c r="R4500" s="3">
        <v>0.5</v>
      </c>
      <c r="T4500" s="2" t="s">
        <v>15278</v>
      </c>
      <c r="U4500" s="171">
        <v>5196.0</v>
      </c>
      <c r="V4500" s="172">
        <v>46126.0</v>
      </c>
      <c r="W4500" s="3">
        <v>473.89000000000004</v>
      </c>
      <c r="X4500" s="172">
        <v>46126.081391134256</v>
      </c>
      <c r="Y4500" s="172">
        <v>46122.09296232639</v>
      </c>
      <c r="Z4500" s="3">
        <v>46121.0</v>
      </c>
      <c r="AA4500" s="2" t="s">
        <v>14032</v>
      </c>
    </row>
    <row r="4501">
      <c r="A4501" s="3">
        <v>6.991308357891E12</v>
      </c>
      <c r="B4501" s="2" t="s">
        <v>17934</v>
      </c>
      <c r="C4501" s="2" t="s">
        <v>17935</v>
      </c>
      <c r="D4501" s="169">
        <v>46121.0</v>
      </c>
      <c r="E4501" s="2">
        <v>3.368434014E9</v>
      </c>
      <c r="F4501" s="2" t="s">
        <v>17936</v>
      </c>
      <c r="G4501" s="2" t="s">
        <v>506</v>
      </c>
      <c r="H4501" s="2">
        <v>2249.0</v>
      </c>
      <c r="I4501" s="2">
        <v>2.1120050023452E13</v>
      </c>
      <c r="J4501" s="3">
        <v>1.0</v>
      </c>
      <c r="K4501" s="2" t="s">
        <v>17937</v>
      </c>
      <c r="L4501" s="2" t="s">
        <v>17938</v>
      </c>
      <c r="M4501" s="2" t="s">
        <v>409</v>
      </c>
      <c r="N4501" s="2" t="s">
        <v>462</v>
      </c>
      <c r="O4501" s="3"/>
      <c r="P4501" s="2" t="s">
        <v>73</v>
      </c>
      <c r="Q4501" s="3">
        <v>480.0</v>
      </c>
      <c r="R4501" s="3">
        <v>0.5</v>
      </c>
      <c r="T4501" s="2" t="s">
        <v>15278</v>
      </c>
      <c r="U4501" s="171">
        <v>2249.0</v>
      </c>
      <c r="V4501" s="172">
        <v>46126.0</v>
      </c>
      <c r="W4501" s="3">
        <v>331.82000000000005</v>
      </c>
      <c r="X4501" s="172">
        <v>46125.08115733796</v>
      </c>
      <c r="Y4501" s="172">
        <v>46122.09296232639</v>
      </c>
      <c r="Z4501" s="3">
        <v>46121.0</v>
      </c>
      <c r="AA4501" s="2" t="s">
        <v>14103</v>
      </c>
    </row>
    <row r="4502">
      <c r="A4502" s="3">
        <v>6.991365964035E12</v>
      </c>
      <c r="B4502" s="2" t="s">
        <v>17939</v>
      </c>
      <c r="C4502" s="2" t="s">
        <v>17940</v>
      </c>
      <c r="D4502" s="169">
        <v>46121.0</v>
      </c>
      <c r="E4502" s="2">
        <v>3.454494756E9</v>
      </c>
      <c r="F4502" s="2" t="s">
        <v>17941</v>
      </c>
      <c r="G4502" s="2" t="s">
        <v>17942</v>
      </c>
      <c r="H4502" s="2">
        <v>2997.0</v>
      </c>
      <c r="I4502" s="2">
        <v>2.4120050023479E13</v>
      </c>
      <c r="J4502" s="3">
        <v>2.0</v>
      </c>
      <c r="K4502" s="2" t="s">
        <v>17943</v>
      </c>
      <c r="L4502" s="2" t="s">
        <v>17944</v>
      </c>
      <c r="M4502" s="2" t="s">
        <v>14820</v>
      </c>
      <c r="N4502" s="2" t="s">
        <v>406</v>
      </c>
      <c r="O4502" s="3"/>
      <c r="P4502" s="2" t="s">
        <v>73</v>
      </c>
      <c r="Q4502" s="3">
        <v>1300.0</v>
      </c>
      <c r="R4502" s="3">
        <v>0.5</v>
      </c>
      <c r="U4502" s="141"/>
      <c r="X4502" s="172">
        <v>46132.081113506945</v>
      </c>
      <c r="Y4502" s="172">
        <v>46122.09296232639</v>
      </c>
      <c r="Z4502" s="3">
        <v>46121.0</v>
      </c>
      <c r="AA4502" s="2" t="s">
        <v>14032</v>
      </c>
    </row>
    <row r="4503">
      <c r="A4503" s="3">
        <v>6.991551267075E12</v>
      </c>
      <c r="B4503" s="2" t="s">
        <v>17945</v>
      </c>
      <c r="C4503" s="2" t="s">
        <v>3690</v>
      </c>
      <c r="D4503" s="169">
        <v>46121.0</v>
      </c>
      <c r="E4503" s="173" t="s">
        <v>17696</v>
      </c>
      <c r="F4503" s="2" t="s">
        <v>17946</v>
      </c>
      <c r="G4503" s="2" t="s">
        <v>17947</v>
      </c>
      <c r="H4503" s="2">
        <v>3397.0</v>
      </c>
      <c r="I4503" s="2" t="s">
        <v>17948</v>
      </c>
      <c r="J4503" s="3">
        <v>2.0</v>
      </c>
      <c r="K4503" s="2" t="s">
        <v>204</v>
      </c>
      <c r="L4503" s="2" t="s">
        <v>17949</v>
      </c>
      <c r="M4503" s="2" t="s">
        <v>409</v>
      </c>
      <c r="N4503" s="2" t="s">
        <v>406</v>
      </c>
      <c r="O4503" s="3"/>
      <c r="P4503" s="2" t="s">
        <v>640</v>
      </c>
      <c r="Q4503" s="3">
        <v>720.0</v>
      </c>
      <c r="R4503" s="3">
        <v>0.5</v>
      </c>
      <c r="U4503" s="141"/>
      <c r="X4503" s="172">
        <v>46126.083502002315</v>
      </c>
      <c r="Y4503" s="172">
        <v>46122.09296232639</v>
      </c>
      <c r="Z4503" s="3">
        <v>46121.0</v>
      </c>
      <c r="AA4503" s="2" t="s">
        <v>14032</v>
      </c>
    </row>
    <row r="4504">
      <c r="A4504" s="3">
        <v>6.991776973059E12</v>
      </c>
      <c r="B4504" s="2" t="s">
        <v>17950</v>
      </c>
      <c r="C4504" s="2" t="s">
        <v>373</v>
      </c>
      <c r="D4504" s="169">
        <v>46121.0</v>
      </c>
      <c r="E4504" s="2">
        <v>3.00721398E9</v>
      </c>
      <c r="F4504" s="2" t="s">
        <v>17951</v>
      </c>
      <c r="G4504" s="2" t="s">
        <v>374</v>
      </c>
      <c r="H4504" s="2">
        <v>299.0</v>
      </c>
      <c r="I4504" s="2">
        <v>2.0120050023478E13</v>
      </c>
      <c r="J4504" s="3">
        <v>0.0</v>
      </c>
      <c r="K4504" s="2" t="s">
        <v>375</v>
      </c>
      <c r="L4504" s="2"/>
      <c r="M4504" s="170" t="s">
        <v>455</v>
      </c>
      <c r="N4504" s="2" t="s">
        <v>406</v>
      </c>
      <c r="O4504" s="3"/>
      <c r="P4504" s="2" t="s">
        <v>73</v>
      </c>
      <c r="Q4504" s="3">
        <v>0.0</v>
      </c>
      <c r="R4504" s="3">
        <v>0.5</v>
      </c>
      <c r="U4504" s="141"/>
      <c r="X4504" s="172">
        <v>46131.08100675926</v>
      </c>
      <c r="Y4504" s="172">
        <v>46122.09296232639</v>
      </c>
      <c r="Z4504" s="3">
        <v>46121.0</v>
      </c>
      <c r="AA4504" s="2" t="s">
        <v>14032</v>
      </c>
    </row>
    <row r="4505">
      <c r="A4505" s="3">
        <v>6.992085319939E12</v>
      </c>
      <c r="B4505" s="2" t="s">
        <v>17952</v>
      </c>
      <c r="C4505" s="2" t="s">
        <v>17953</v>
      </c>
      <c r="D4505" s="169">
        <v>46122.0</v>
      </c>
      <c r="E4505" s="2">
        <v>3.115793603E9</v>
      </c>
      <c r="F4505" s="2" t="s">
        <v>17954</v>
      </c>
      <c r="G4505" s="2" t="s">
        <v>366</v>
      </c>
      <c r="H4505" s="2">
        <v>3099.0</v>
      </c>
      <c r="I4505" s="2">
        <v>2.8120050023451E13</v>
      </c>
      <c r="J4505" s="3">
        <v>2.0</v>
      </c>
      <c r="K4505" s="2" t="s">
        <v>17955</v>
      </c>
      <c r="L4505" s="2" t="s">
        <v>17956</v>
      </c>
      <c r="M4505" s="2" t="s">
        <v>409</v>
      </c>
      <c r="N4505" s="2" t="s">
        <v>462</v>
      </c>
      <c r="O4505" s="3"/>
      <c r="P4505" s="2" t="s">
        <v>73</v>
      </c>
      <c r="Q4505" s="3">
        <v>1100.0</v>
      </c>
      <c r="R4505" s="3">
        <v>0.5</v>
      </c>
      <c r="T4505" s="2" t="s">
        <v>15278</v>
      </c>
      <c r="U4505" s="171">
        <v>3099.0</v>
      </c>
      <c r="V4505" s="172">
        <v>46126.0</v>
      </c>
      <c r="W4505" s="3">
        <v>390.01000000000005</v>
      </c>
      <c r="X4505" s="172">
        <v>46126.08139290509</v>
      </c>
      <c r="Y4505" s="172">
        <v>46123.09295605324</v>
      </c>
      <c r="Z4505" s="3">
        <v>46122.0</v>
      </c>
      <c r="AA4505" s="2" t="s">
        <v>14053</v>
      </c>
    </row>
    <row r="4506">
      <c r="A4506" s="3">
        <v>6.992104325379E12</v>
      </c>
      <c r="B4506" s="2" t="s">
        <v>17957</v>
      </c>
      <c r="C4506" s="2" t="s">
        <v>17958</v>
      </c>
      <c r="D4506" s="169">
        <v>46122.0</v>
      </c>
      <c r="E4506" s="2">
        <v>9.2321715612E11</v>
      </c>
      <c r="F4506" s="2" t="s">
        <v>17959</v>
      </c>
      <c r="G4506" s="2" t="s">
        <v>368</v>
      </c>
      <c r="H4506" s="2">
        <v>2099.0</v>
      </c>
      <c r="I4506" s="2">
        <v>2.1120050023442E13</v>
      </c>
      <c r="J4506" s="3">
        <v>1.0</v>
      </c>
      <c r="K4506" s="2" t="s">
        <v>17960</v>
      </c>
      <c r="L4506" s="2" t="s">
        <v>17961</v>
      </c>
      <c r="M4506" s="2" t="s">
        <v>409</v>
      </c>
      <c r="N4506" s="2" t="s">
        <v>462</v>
      </c>
      <c r="O4506" s="3"/>
      <c r="P4506" s="2" t="s">
        <v>73</v>
      </c>
      <c r="Q4506" s="3">
        <v>500.0</v>
      </c>
      <c r="R4506" s="3">
        <v>0.5</v>
      </c>
      <c r="T4506" s="2" t="s">
        <v>15278</v>
      </c>
      <c r="U4506" s="171">
        <v>2099.0</v>
      </c>
      <c r="V4506" s="172">
        <v>46126.0</v>
      </c>
      <c r="W4506" s="3">
        <v>212.95</v>
      </c>
      <c r="X4506" s="172">
        <v>46124.08197893518</v>
      </c>
      <c r="Y4506" s="172">
        <v>46123.09295605324</v>
      </c>
      <c r="Z4506" s="3">
        <v>46122.0</v>
      </c>
      <c r="AA4506" s="2" t="s">
        <v>14032</v>
      </c>
    </row>
    <row r="4507">
      <c r="A4507" s="3">
        <v>6.992365912323E12</v>
      </c>
      <c r="B4507" s="2" t="s">
        <v>17962</v>
      </c>
      <c r="C4507" s="2" t="s">
        <v>17963</v>
      </c>
      <c r="D4507" s="169">
        <v>46122.0</v>
      </c>
      <c r="E4507" s="2">
        <v>3.034629456E9</v>
      </c>
      <c r="F4507" s="2" t="s">
        <v>17964</v>
      </c>
      <c r="G4507" s="2" t="s">
        <v>855</v>
      </c>
      <c r="H4507" s="2">
        <v>2098.0</v>
      </c>
      <c r="I4507" s="2">
        <v>2.7120050023477E13</v>
      </c>
      <c r="J4507" s="3">
        <v>1.0</v>
      </c>
      <c r="K4507" s="2" t="s">
        <v>17965</v>
      </c>
      <c r="L4507" s="2" t="s">
        <v>17966</v>
      </c>
      <c r="M4507" s="2" t="s">
        <v>409</v>
      </c>
      <c r="N4507" s="2" t="s">
        <v>462</v>
      </c>
      <c r="O4507" s="3"/>
      <c r="P4507" s="2" t="s">
        <v>73</v>
      </c>
      <c r="Q4507" s="3">
        <v>400.0</v>
      </c>
      <c r="R4507" s="3">
        <v>0.5</v>
      </c>
      <c r="T4507" s="2" t="s">
        <v>15278</v>
      </c>
      <c r="U4507" s="171">
        <v>2098.0</v>
      </c>
      <c r="V4507" s="172">
        <v>46126.0</v>
      </c>
      <c r="W4507" s="3">
        <v>325.78</v>
      </c>
      <c r="X4507" s="172">
        <v>46124.08198008101</v>
      </c>
      <c r="Y4507" s="172">
        <v>46123.09295605324</v>
      </c>
      <c r="Z4507" s="3">
        <v>46122.0</v>
      </c>
      <c r="AA4507" s="2" t="s">
        <v>14053</v>
      </c>
    </row>
    <row r="4508">
      <c r="A4508" s="3">
        <v>6.992374825219E12</v>
      </c>
      <c r="B4508" s="2" t="s">
        <v>17967</v>
      </c>
      <c r="C4508" s="2" t="s">
        <v>17968</v>
      </c>
      <c r="D4508" s="169">
        <v>46122.0</v>
      </c>
      <c r="E4508" s="173" t="s">
        <v>17969</v>
      </c>
      <c r="F4508" s="2" t="s">
        <v>17970</v>
      </c>
      <c r="G4508" s="2" t="s">
        <v>368</v>
      </c>
      <c r="H4508" s="2">
        <v>2098.0</v>
      </c>
      <c r="I4508" s="2">
        <v>2.4120050023476E13</v>
      </c>
      <c r="J4508" s="3">
        <v>1.0</v>
      </c>
      <c r="K4508" s="2" t="s">
        <v>17965</v>
      </c>
      <c r="L4508" s="2" t="s">
        <v>17971</v>
      </c>
      <c r="M4508" s="2" t="s">
        <v>409</v>
      </c>
      <c r="N4508" s="2" t="s">
        <v>462</v>
      </c>
      <c r="O4508" s="3"/>
      <c r="P4508" s="2" t="s">
        <v>73</v>
      </c>
      <c r="Q4508" s="3">
        <v>400.0</v>
      </c>
      <c r="R4508" s="3">
        <v>0.5</v>
      </c>
      <c r="T4508" s="2" t="s">
        <v>15278</v>
      </c>
      <c r="U4508" s="171">
        <v>2098.0</v>
      </c>
      <c r="V4508" s="172">
        <v>46126.0</v>
      </c>
      <c r="W4508" s="3">
        <v>212.91000000000003</v>
      </c>
      <c r="X4508" s="172">
        <v>46126.081393298606</v>
      </c>
      <c r="Y4508" s="172">
        <v>46123.09295605324</v>
      </c>
      <c r="Z4508" s="3">
        <v>46122.0</v>
      </c>
      <c r="AA4508" s="2" t="s">
        <v>14032</v>
      </c>
    </row>
    <row r="4509">
      <c r="A4509" s="3">
        <v>6.992375480579E12</v>
      </c>
      <c r="B4509" s="2" t="s">
        <v>17972</v>
      </c>
      <c r="C4509" s="2" t="s">
        <v>17973</v>
      </c>
      <c r="D4509" s="169">
        <v>46122.0</v>
      </c>
      <c r="E4509" s="2">
        <v>3.018878321E9</v>
      </c>
      <c r="F4509" s="2" t="s">
        <v>17974</v>
      </c>
      <c r="G4509" s="2" t="s">
        <v>781</v>
      </c>
      <c r="H4509" s="2">
        <v>2099.0</v>
      </c>
      <c r="I4509" s="2">
        <v>2.1120050023466E13</v>
      </c>
      <c r="J4509" s="3">
        <v>1.0</v>
      </c>
      <c r="K4509" s="2" t="s">
        <v>17844</v>
      </c>
      <c r="L4509" s="2" t="s">
        <v>13625</v>
      </c>
      <c r="M4509" s="2" t="s">
        <v>409</v>
      </c>
      <c r="N4509" s="2" t="s">
        <v>462</v>
      </c>
      <c r="O4509" s="3"/>
      <c r="P4509" s="2" t="s">
        <v>73</v>
      </c>
      <c r="Q4509" s="3">
        <v>400.0</v>
      </c>
      <c r="R4509" s="3">
        <v>0.5</v>
      </c>
      <c r="T4509" s="2" t="s">
        <v>15278</v>
      </c>
      <c r="U4509" s="171">
        <v>2099.0</v>
      </c>
      <c r="V4509" s="172">
        <v>46126.0</v>
      </c>
      <c r="W4509" s="3">
        <v>341.94000000000005</v>
      </c>
      <c r="X4509" s="172">
        <v>46126.08139369213</v>
      </c>
      <c r="Y4509" s="172">
        <v>46123.09295605324</v>
      </c>
      <c r="Z4509" s="3">
        <v>46122.0</v>
      </c>
      <c r="AA4509" s="2" t="s">
        <v>14032</v>
      </c>
    </row>
    <row r="4510">
      <c r="A4510" s="3">
        <v>6.992484532483E12</v>
      </c>
      <c r="B4510" s="2" t="s">
        <v>17975</v>
      </c>
      <c r="C4510" s="2" t="s">
        <v>17976</v>
      </c>
      <c r="D4510" s="169">
        <v>46122.0</v>
      </c>
      <c r="E4510" s="2">
        <v>3.703351956E9</v>
      </c>
      <c r="F4510" s="2" t="s">
        <v>17977</v>
      </c>
      <c r="G4510" s="2" t="s">
        <v>693</v>
      </c>
      <c r="H4510" s="2">
        <v>3147.0</v>
      </c>
      <c r="I4510" s="2"/>
      <c r="J4510" s="3">
        <v>2.0</v>
      </c>
      <c r="K4510" s="2" t="s">
        <v>17978</v>
      </c>
      <c r="L4510" s="2" t="s">
        <v>27</v>
      </c>
      <c r="M4510" s="2" t="s">
        <v>406</v>
      </c>
      <c r="N4510" s="2" t="s">
        <v>406</v>
      </c>
      <c r="O4510" s="3"/>
      <c r="P4510" s="2"/>
      <c r="Q4510" s="3">
        <v>720.0</v>
      </c>
      <c r="R4510" s="3">
        <v>0.5</v>
      </c>
      <c r="U4510" s="141"/>
      <c r="X4510" s="172"/>
      <c r="Y4510" s="172">
        <v>46123.09295605324</v>
      </c>
      <c r="Z4510" s="3">
        <v>46122.0</v>
      </c>
      <c r="AA4510" s="2" t="s">
        <v>14032</v>
      </c>
    </row>
    <row r="4511">
      <c r="A4511" s="3">
        <v>6.992549773571E12</v>
      </c>
      <c r="B4511" s="2" t="s">
        <v>17979</v>
      </c>
      <c r="C4511" s="2" t="s">
        <v>17980</v>
      </c>
      <c r="D4511" s="169">
        <v>46122.0</v>
      </c>
      <c r="E4511" s="2">
        <v>3.485494198E9</v>
      </c>
      <c r="F4511" s="2" t="s">
        <v>17981</v>
      </c>
      <c r="G4511" s="2" t="s">
        <v>506</v>
      </c>
      <c r="H4511" s="2">
        <v>3999.0</v>
      </c>
      <c r="I4511" s="2">
        <v>2.212005002345E13</v>
      </c>
      <c r="J4511" s="3">
        <v>2.0</v>
      </c>
      <c r="K4511" s="2" t="s">
        <v>17918</v>
      </c>
      <c r="L4511" s="2" t="s">
        <v>7383</v>
      </c>
      <c r="M4511" s="2" t="s">
        <v>409</v>
      </c>
      <c r="N4511" s="2" t="s">
        <v>462</v>
      </c>
      <c r="O4511" s="3"/>
      <c r="P4511" s="2" t="s">
        <v>73</v>
      </c>
      <c r="Q4511" s="3">
        <v>980.0</v>
      </c>
      <c r="R4511" s="3">
        <v>0.5</v>
      </c>
      <c r="T4511" s="2" t="s">
        <v>15278</v>
      </c>
      <c r="U4511" s="171">
        <v>3999.0</v>
      </c>
      <c r="V4511" s="172">
        <v>46126.0</v>
      </c>
      <c r="W4511" s="3">
        <v>426.01000000000005</v>
      </c>
      <c r="X4511" s="172">
        <v>46125.08115783565</v>
      </c>
      <c r="Y4511" s="172">
        <v>46123.09295605324</v>
      </c>
      <c r="Z4511" s="3">
        <v>46122.0</v>
      </c>
      <c r="AA4511" s="2" t="s">
        <v>14032</v>
      </c>
    </row>
    <row r="4512">
      <c r="A4512" s="3">
        <v>6.992574218499E12</v>
      </c>
      <c r="B4512" s="2" t="s">
        <v>17982</v>
      </c>
      <c r="C4512" s="2" t="s">
        <v>17983</v>
      </c>
      <c r="D4512" s="169">
        <v>46122.0</v>
      </c>
      <c r="E4512" s="2">
        <v>3.000549794E9</v>
      </c>
      <c r="F4512" s="2" t="s">
        <v>17984</v>
      </c>
      <c r="G4512" s="2" t="s">
        <v>493</v>
      </c>
      <c r="H4512" s="2">
        <v>1949.0</v>
      </c>
      <c r="I4512" s="2">
        <v>2.1120050023449E13</v>
      </c>
      <c r="J4512" s="3">
        <v>1.0</v>
      </c>
      <c r="K4512" s="2" t="s">
        <v>17985</v>
      </c>
      <c r="L4512" s="2" t="s">
        <v>1772</v>
      </c>
      <c r="M4512" s="2" t="s">
        <v>14820</v>
      </c>
      <c r="N4512" s="2" t="s">
        <v>406</v>
      </c>
      <c r="O4512" s="3"/>
      <c r="P4512" s="2" t="s">
        <v>73</v>
      </c>
      <c r="Q4512" s="3">
        <v>550.0</v>
      </c>
      <c r="R4512" s="3">
        <v>0.5</v>
      </c>
      <c r="U4512" s="141"/>
      <c r="X4512" s="172">
        <v>46132.08111381944</v>
      </c>
      <c r="Y4512" s="172">
        <v>46123.09295605324</v>
      </c>
      <c r="Z4512" s="3">
        <v>46122.0</v>
      </c>
      <c r="AA4512" s="2" t="s">
        <v>14032</v>
      </c>
    </row>
    <row r="4513">
      <c r="A4513" s="3">
        <v>6.992593223939E12</v>
      </c>
      <c r="B4513" s="2" t="s">
        <v>137</v>
      </c>
      <c r="C4513" s="2" t="s">
        <v>17986</v>
      </c>
      <c r="D4513" s="169">
        <v>46122.0</v>
      </c>
      <c r="E4513" s="2">
        <v>3.363727383E9</v>
      </c>
      <c r="F4513" s="2" t="s">
        <v>17987</v>
      </c>
      <c r="G4513" s="2" t="s">
        <v>493</v>
      </c>
      <c r="H4513" s="2">
        <v>13522.94</v>
      </c>
      <c r="I4513" s="2">
        <v>2.9120050023495E13</v>
      </c>
      <c r="J4513" s="3">
        <v>6.0</v>
      </c>
      <c r="K4513" s="2" t="s">
        <v>17988</v>
      </c>
      <c r="L4513" s="2" t="s">
        <v>17989</v>
      </c>
      <c r="M4513" s="2" t="s">
        <v>409</v>
      </c>
      <c r="N4513" s="2" t="s">
        <v>462</v>
      </c>
      <c r="O4513" s="3"/>
      <c r="P4513" s="2" t="s">
        <v>73</v>
      </c>
      <c r="Q4513" s="3">
        <v>5720.0</v>
      </c>
      <c r="R4513" s="3">
        <v>0.5</v>
      </c>
      <c r="T4513" s="2" t="s">
        <v>72</v>
      </c>
      <c r="U4513" s="171">
        <v>13522.0</v>
      </c>
      <c r="V4513" s="172">
        <v>46129.0</v>
      </c>
      <c r="W4513" s="3">
        <v>1040.72</v>
      </c>
      <c r="X4513" s="172">
        <v>46129.08108859954</v>
      </c>
      <c r="Y4513" s="172">
        <v>46123.09295605324</v>
      </c>
      <c r="Z4513" s="3">
        <v>46122.0</v>
      </c>
      <c r="AA4513" s="2" t="s">
        <v>14053</v>
      </c>
    </row>
    <row r="4514">
      <c r="A4514" s="3">
        <v>6.992603742467E12</v>
      </c>
      <c r="B4514" s="2" t="s">
        <v>17990</v>
      </c>
      <c r="C4514" s="2" t="s">
        <v>17991</v>
      </c>
      <c r="D4514" s="169">
        <v>46122.0</v>
      </c>
      <c r="E4514" s="2">
        <v>3.074235487E9</v>
      </c>
      <c r="F4514" s="2" t="s">
        <v>17992</v>
      </c>
      <c r="G4514" s="2" t="s">
        <v>506</v>
      </c>
      <c r="H4514" s="2">
        <v>2098.0</v>
      </c>
      <c r="I4514" s="2">
        <v>2.4120050023475E13</v>
      </c>
      <c r="J4514" s="3">
        <v>1.0</v>
      </c>
      <c r="K4514" s="2" t="s">
        <v>17965</v>
      </c>
      <c r="L4514" s="2" t="s">
        <v>326</v>
      </c>
      <c r="M4514" s="2" t="s">
        <v>409</v>
      </c>
      <c r="N4514" s="2" t="s">
        <v>462</v>
      </c>
      <c r="O4514" s="3"/>
      <c r="P4514" s="2" t="s">
        <v>73</v>
      </c>
      <c r="Q4514" s="3">
        <v>360.0</v>
      </c>
      <c r="R4514" s="3">
        <v>0.5</v>
      </c>
      <c r="T4514" s="2" t="s">
        <v>15278</v>
      </c>
      <c r="U4514" s="171">
        <v>2098.0</v>
      </c>
      <c r="V4514" s="172">
        <v>46126.0</v>
      </c>
      <c r="W4514" s="3">
        <v>325.78</v>
      </c>
      <c r="X4514" s="172">
        <v>46126.081475694446</v>
      </c>
      <c r="Y4514" s="172">
        <v>46123.092956064815</v>
      </c>
      <c r="Z4514" s="3">
        <v>46122.0</v>
      </c>
      <c r="AA4514" s="2" t="s">
        <v>14053</v>
      </c>
    </row>
    <row r="4515">
      <c r="A4515" s="3">
        <v>6.992611049731E12</v>
      </c>
      <c r="B4515" s="2" t="s">
        <v>17993</v>
      </c>
      <c r="C4515" s="2" t="s">
        <v>17994</v>
      </c>
      <c r="D4515" s="169">
        <v>46122.0</v>
      </c>
      <c r="E4515" s="2">
        <v>3.330233335E9</v>
      </c>
      <c r="F4515" s="2" t="s">
        <v>17995</v>
      </c>
      <c r="G4515" s="2" t="s">
        <v>368</v>
      </c>
      <c r="H4515" s="2">
        <v>2649.0</v>
      </c>
      <c r="I4515" s="2">
        <v>2.0120050023448E13</v>
      </c>
      <c r="J4515" s="3">
        <v>1.0</v>
      </c>
      <c r="K4515" s="2" t="s">
        <v>17996</v>
      </c>
      <c r="L4515" s="2" t="s">
        <v>17997</v>
      </c>
      <c r="M4515" s="2" t="s">
        <v>409</v>
      </c>
      <c r="N4515" s="2" t="s">
        <v>462</v>
      </c>
      <c r="O4515" s="3"/>
      <c r="P4515" s="2" t="s">
        <v>73</v>
      </c>
      <c r="Q4515" s="3">
        <v>1100.0</v>
      </c>
      <c r="R4515" s="3">
        <v>0.5</v>
      </c>
      <c r="T4515" s="2" t="s">
        <v>15278</v>
      </c>
      <c r="U4515" s="171">
        <v>2649.0</v>
      </c>
      <c r="V4515" s="172">
        <v>46126.0</v>
      </c>
      <c r="W4515" s="3">
        <v>234.95</v>
      </c>
      <c r="X4515" s="172">
        <v>46124.08199077546</v>
      </c>
      <c r="Y4515" s="172">
        <v>46123.092956064815</v>
      </c>
      <c r="Z4515" s="3">
        <v>46122.0</v>
      </c>
      <c r="AA4515" s="2" t="s">
        <v>14032</v>
      </c>
    </row>
    <row r="4516">
      <c r="A4516" s="3">
        <v>6.992615178499E12</v>
      </c>
      <c r="B4516" s="2" t="s">
        <v>17998</v>
      </c>
      <c r="C4516" s="2" t="s">
        <v>17999</v>
      </c>
      <c r="D4516" s="169">
        <v>46122.0</v>
      </c>
      <c r="E4516" s="173" t="s">
        <v>18000</v>
      </c>
      <c r="F4516" s="2" t="s">
        <v>18001</v>
      </c>
      <c r="G4516" s="2" t="s">
        <v>1830</v>
      </c>
      <c r="H4516" s="2">
        <v>4796.0</v>
      </c>
      <c r="I4516" s="2">
        <v>2.8120050023447E13</v>
      </c>
      <c r="J4516" s="3">
        <v>3.0</v>
      </c>
      <c r="K4516" s="2" t="s">
        <v>18002</v>
      </c>
      <c r="L4516" s="2" t="s">
        <v>18003</v>
      </c>
      <c r="M4516" s="2" t="s">
        <v>409</v>
      </c>
      <c r="N4516" s="2" t="s">
        <v>462</v>
      </c>
      <c r="O4516" s="3"/>
      <c r="P4516" s="2" t="s">
        <v>73</v>
      </c>
      <c r="Q4516" s="3">
        <v>1650.0</v>
      </c>
      <c r="R4516" s="3">
        <v>0.5</v>
      </c>
      <c r="T4516" s="2" t="s">
        <v>15278</v>
      </c>
      <c r="U4516" s="171">
        <v>4796.0</v>
      </c>
      <c r="V4516" s="172">
        <v>46126.0</v>
      </c>
      <c r="W4516" s="3">
        <v>465.95000000000005</v>
      </c>
      <c r="X4516" s="172">
        <v>46126.08147762732</v>
      </c>
      <c r="Y4516" s="172">
        <v>46123.092956064815</v>
      </c>
      <c r="Z4516" s="3">
        <v>46122.0</v>
      </c>
      <c r="AA4516" s="2" t="s">
        <v>14026</v>
      </c>
    </row>
    <row r="4517">
      <c r="A4517" s="3">
        <v>6.992622780675E12</v>
      </c>
      <c r="B4517" s="2" t="s">
        <v>18004</v>
      </c>
      <c r="C4517" s="2" t="s">
        <v>18005</v>
      </c>
      <c r="D4517" s="169">
        <v>46122.0</v>
      </c>
      <c r="E4517" s="2">
        <v>3.409175949E9</v>
      </c>
      <c r="F4517" s="2" t="s">
        <v>18006</v>
      </c>
      <c r="G4517" s="2" t="s">
        <v>18007</v>
      </c>
      <c r="H4517" s="2">
        <v>3397.0</v>
      </c>
      <c r="I4517" s="2">
        <v>2.3120050023474E13</v>
      </c>
      <c r="J4517" s="3">
        <v>2.0</v>
      </c>
      <c r="K4517" s="2" t="s">
        <v>204</v>
      </c>
      <c r="L4517" s="2" t="s">
        <v>11529</v>
      </c>
      <c r="M4517" s="2" t="s">
        <v>17</v>
      </c>
      <c r="N4517" s="2" t="s">
        <v>406</v>
      </c>
      <c r="O4517" s="3"/>
      <c r="P4517" s="2" t="s">
        <v>73</v>
      </c>
      <c r="Q4517" s="3">
        <v>800.0</v>
      </c>
      <c r="R4517" s="3">
        <v>0.5</v>
      </c>
      <c r="U4517" s="141"/>
      <c r="X4517" s="172">
        <v>46130.081274861106</v>
      </c>
      <c r="Y4517" s="172">
        <v>46123.092956064815</v>
      </c>
      <c r="Z4517" s="3">
        <v>46122.0</v>
      </c>
      <c r="AA4517" s="2" t="s">
        <v>14032</v>
      </c>
    </row>
    <row r="4518">
      <c r="A4518" s="3">
        <v>6.992632905987E12</v>
      </c>
      <c r="B4518" s="2" t="s">
        <v>151</v>
      </c>
      <c r="C4518" s="2" t="s">
        <v>18008</v>
      </c>
      <c r="D4518" s="169">
        <v>46122.0</v>
      </c>
      <c r="E4518" s="2">
        <v>3.125449999E9</v>
      </c>
      <c r="F4518" s="2" t="s">
        <v>18009</v>
      </c>
      <c r="G4518" s="2" t="s">
        <v>855</v>
      </c>
      <c r="H4518" s="2">
        <v>299.0</v>
      </c>
      <c r="I4518" s="2">
        <v>2.7120050023446E13</v>
      </c>
      <c r="J4518" s="3">
        <v>0.0</v>
      </c>
      <c r="K4518" s="2" t="s">
        <v>18010</v>
      </c>
      <c r="L4518" s="2"/>
      <c r="M4518" s="170" t="s">
        <v>455</v>
      </c>
      <c r="N4518" s="2" t="s">
        <v>406</v>
      </c>
      <c r="O4518" s="3"/>
      <c r="P4518" s="2" t="s">
        <v>73</v>
      </c>
      <c r="Q4518" s="3">
        <v>0.0</v>
      </c>
      <c r="R4518" s="3">
        <v>0.5</v>
      </c>
      <c r="U4518" s="141"/>
      <c r="W4518" s="3">
        <v>241.86</v>
      </c>
      <c r="X4518" s="172">
        <v>46129.08108957176</v>
      </c>
      <c r="Y4518" s="172">
        <v>46123.092956064815</v>
      </c>
      <c r="Z4518" s="3">
        <v>46122.0</v>
      </c>
      <c r="AA4518" s="2" t="s">
        <v>14032</v>
      </c>
    </row>
    <row r="4519">
      <c r="A4519" s="3">
        <v>6.992634347779E12</v>
      </c>
      <c r="B4519" s="2" t="s">
        <v>18011</v>
      </c>
      <c r="C4519" s="2" t="s">
        <v>18012</v>
      </c>
      <c r="D4519" s="169">
        <v>46122.0</v>
      </c>
      <c r="E4519" s="2">
        <v>3.430500008E9</v>
      </c>
      <c r="F4519" s="2" t="s">
        <v>18013</v>
      </c>
      <c r="G4519" s="2" t="s">
        <v>506</v>
      </c>
      <c r="H4519" s="2">
        <v>2797.0</v>
      </c>
      <c r="I4519" s="2">
        <v>2.7120050023473E13</v>
      </c>
      <c r="J4519" s="3">
        <v>2.0</v>
      </c>
      <c r="K4519" s="2" t="s">
        <v>17848</v>
      </c>
      <c r="L4519" s="2" t="s">
        <v>18014</v>
      </c>
      <c r="M4519" s="2" t="s">
        <v>409</v>
      </c>
      <c r="N4519" s="2" t="s">
        <v>462</v>
      </c>
      <c r="O4519" s="3"/>
      <c r="P4519" s="2" t="s">
        <v>73</v>
      </c>
      <c r="Q4519" s="3">
        <v>1100.0</v>
      </c>
      <c r="R4519" s="3">
        <v>0.5</v>
      </c>
      <c r="T4519" s="2" t="s">
        <v>15278</v>
      </c>
      <c r="U4519" s="171">
        <v>2797.0</v>
      </c>
      <c r="V4519" s="172">
        <v>46126.0</v>
      </c>
      <c r="W4519" s="3">
        <v>377.93</v>
      </c>
      <c r="X4519" s="172">
        <v>46125.08115817129</v>
      </c>
      <c r="Y4519" s="172">
        <v>46123.092956064815</v>
      </c>
      <c r="Z4519" s="3">
        <v>46122.0</v>
      </c>
      <c r="AA4519" s="2" t="s">
        <v>14041</v>
      </c>
    </row>
    <row r="4520">
      <c r="A4520" s="3">
        <v>6.992676815107E12</v>
      </c>
      <c r="B4520" s="2" t="s">
        <v>136</v>
      </c>
      <c r="C4520" s="2" t="s">
        <v>18015</v>
      </c>
      <c r="D4520" s="169">
        <v>46122.0</v>
      </c>
      <c r="E4520" s="2">
        <v>3.224600007E9</v>
      </c>
      <c r="F4520" s="2" t="s">
        <v>18016</v>
      </c>
      <c r="G4520" s="2" t="s">
        <v>368</v>
      </c>
      <c r="H4520" s="2">
        <v>3599.0</v>
      </c>
      <c r="I4520" s="2">
        <v>2.5120050023472E13</v>
      </c>
      <c r="J4520" s="3">
        <v>2.0</v>
      </c>
      <c r="K4520" s="2" t="s">
        <v>18017</v>
      </c>
      <c r="L4520" s="2" t="s">
        <v>18018</v>
      </c>
      <c r="M4520" s="2" t="s">
        <v>409</v>
      </c>
      <c r="N4520" s="2" t="s">
        <v>462</v>
      </c>
      <c r="O4520" s="3"/>
      <c r="P4520" s="2" t="s">
        <v>73</v>
      </c>
      <c r="Q4520" s="3">
        <v>1100.0</v>
      </c>
      <c r="R4520" s="3">
        <v>0.5</v>
      </c>
      <c r="T4520" s="2" t="s">
        <v>72</v>
      </c>
      <c r="U4520" s="171">
        <v>3599.0</v>
      </c>
      <c r="V4520" s="172">
        <v>46129.0</v>
      </c>
      <c r="W4520" s="3">
        <v>289.08000000000004</v>
      </c>
      <c r="X4520" s="172">
        <v>46128.08109140046</v>
      </c>
      <c r="Y4520" s="172">
        <v>46123.092956064815</v>
      </c>
      <c r="Z4520" s="3">
        <v>46122.0</v>
      </c>
      <c r="AA4520" s="2" t="s">
        <v>14053</v>
      </c>
    </row>
    <row r="4521">
      <c r="A4521" s="3">
        <v>6.992712532227E12</v>
      </c>
      <c r="B4521" s="2" t="s">
        <v>18019</v>
      </c>
      <c r="C4521" s="2" t="s">
        <v>319</v>
      </c>
      <c r="D4521" s="169">
        <v>46122.0</v>
      </c>
      <c r="E4521" s="2">
        <v>3.31322766E9</v>
      </c>
      <c r="F4521" s="2" t="s">
        <v>18020</v>
      </c>
      <c r="G4521" s="2" t="s">
        <v>493</v>
      </c>
      <c r="H4521" s="2">
        <v>3999.0</v>
      </c>
      <c r="I4521" s="2">
        <v>2.7120050023494E13</v>
      </c>
      <c r="J4521" s="3">
        <v>2.0</v>
      </c>
      <c r="K4521" s="2" t="s">
        <v>204</v>
      </c>
      <c r="L4521" s="2" t="s">
        <v>16</v>
      </c>
      <c r="M4521" s="2" t="s">
        <v>409</v>
      </c>
      <c r="N4521" s="2" t="s">
        <v>406</v>
      </c>
      <c r="O4521" s="3"/>
      <c r="P4521" s="2" t="s">
        <v>73</v>
      </c>
      <c r="Q4521" s="3">
        <v>980.0</v>
      </c>
      <c r="R4521" s="3">
        <v>0.5</v>
      </c>
      <c r="U4521" s="141"/>
      <c r="X4521" s="172">
        <v>46132.08111690972</v>
      </c>
      <c r="Y4521" s="172">
        <v>46123.092956064815</v>
      </c>
      <c r="Z4521" s="3">
        <v>46122.0</v>
      </c>
      <c r="AA4521" s="2" t="s">
        <v>14053</v>
      </c>
    </row>
    <row r="4522">
      <c r="A4522" s="3">
        <v>6.992721412355E12</v>
      </c>
      <c r="B4522" s="2" t="s">
        <v>18021</v>
      </c>
      <c r="C4522" s="2" t="s">
        <v>18022</v>
      </c>
      <c r="D4522" s="169">
        <v>46122.0</v>
      </c>
      <c r="E4522" s="2">
        <v>3.154012532E9</v>
      </c>
      <c r="F4522" s="2" t="s">
        <v>18023</v>
      </c>
      <c r="G4522" s="2" t="s">
        <v>18024</v>
      </c>
      <c r="H4522" s="2">
        <v>3397.0</v>
      </c>
      <c r="I4522" s="2"/>
      <c r="J4522" s="3">
        <v>1.0</v>
      </c>
      <c r="K4522" s="2" t="s">
        <v>18025</v>
      </c>
      <c r="L4522" s="2" t="s">
        <v>18026</v>
      </c>
      <c r="M4522" s="2" t="s">
        <v>406</v>
      </c>
      <c r="N4522" s="2" t="s">
        <v>406</v>
      </c>
      <c r="O4522" s="3"/>
      <c r="P4522" s="2"/>
      <c r="Q4522" s="3">
        <v>720.0</v>
      </c>
      <c r="R4522" s="3">
        <v>0.5</v>
      </c>
      <c r="U4522" s="141"/>
      <c r="X4522" s="172"/>
      <c r="Y4522" s="172">
        <v>46123.092956064815</v>
      </c>
      <c r="Z4522" s="3">
        <v>46122.0</v>
      </c>
      <c r="AA4522" s="2" t="s">
        <v>14032</v>
      </c>
    </row>
    <row r="4523">
      <c r="A4523" s="3">
        <v>6.992731177219E12</v>
      </c>
      <c r="B4523" s="2" t="s">
        <v>18027</v>
      </c>
      <c r="C4523" s="2" t="s">
        <v>18028</v>
      </c>
      <c r="D4523" s="169">
        <v>46122.0</v>
      </c>
      <c r="E4523" s="2">
        <v>3.219383848E9</v>
      </c>
      <c r="F4523" s="2" t="s">
        <v>18029</v>
      </c>
      <c r="G4523" s="2" t="s">
        <v>368</v>
      </c>
      <c r="H4523" s="2">
        <v>3397.0</v>
      </c>
      <c r="I4523" s="2"/>
      <c r="J4523" s="3">
        <v>2.0</v>
      </c>
      <c r="K4523" s="2" t="s">
        <v>204</v>
      </c>
      <c r="L4523" s="2" t="s">
        <v>17922</v>
      </c>
      <c r="M4523" s="2" t="s">
        <v>406</v>
      </c>
      <c r="N4523" s="2" t="s">
        <v>406</v>
      </c>
      <c r="O4523" s="3"/>
      <c r="P4523" s="2"/>
      <c r="Q4523" s="3">
        <v>720.0</v>
      </c>
      <c r="R4523" s="3">
        <v>0.5</v>
      </c>
      <c r="U4523" s="141"/>
      <c r="X4523" s="172"/>
      <c r="Y4523" s="172">
        <v>46123.092956064815</v>
      </c>
      <c r="Z4523" s="3">
        <v>46122.0</v>
      </c>
      <c r="AA4523" s="2" t="s">
        <v>14032</v>
      </c>
    </row>
    <row r="4524">
      <c r="A4524" s="3">
        <v>6.992753361155E12</v>
      </c>
      <c r="B4524" s="2" t="s">
        <v>135</v>
      </c>
      <c r="C4524" s="2" t="s">
        <v>11829</v>
      </c>
      <c r="D4524" s="169">
        <v>46122.0</v>
      </c>
      <c r="E4524" s="2">
        <v>3.234180877E9</v>
      </c>
      <c r="F4524" s="2" t="s">
        <v>18030</v>
      </c>
      <c r="G4524" s="2" t="s">
        <v>368</v>
      </c>
      <c r="H4524" s="2">
        <v>1949.0</v>
      </c>
      <c r="I4524" s="2">
        <v>2.1120050023522E13</v>
      </c>
      <c r="J4524" s="3">
        <v>1.0</v>
      </c>
      <c r="K4524" s="2" t="s">
        <v>18031</v>
      </c>
      <c r="L4524" s="2" t="s">
        <v>18032</v>
      </c>
      <c r="M4524" s="2" t="s">
        <v>409</v>
      </c>
      <c r="N4524" s="2" t="s">
        <v>462</v>
      </c>
      <c r="O4524" s="3"/>
      <c r="P4524" s="2" t="s">
        <v>73</v>
      </c>
      <c r="Q4524" s="3">
        <v>550.0</v>
      </c>
      <c r="R4524" s="3">
        <v>0.5</v>
      </c>
      <c r="T4524" s="2" t="s">
        <v>72</v>
      </c>
      <c r="U4524" s="171">
        <v>1949.0</v>
      </c>
      <c r="V4524" s="172">
        <v>46129.0</v>
      </c>
      <c r="W4524" s="3">
        <v>206.95</v>
      </c>
      <c r="X4524" s="172">
        <v>46127.08113208333</v>
      </c>
      <c r="Y4524" s="172">
        <v>46123.092956064815</v>
      </c>
      <c r="Z4524" s="3">
        <v>46122.0</v>
      </c>
      <c r="AA4524" s="2" t="s">
        <v>14022</v>
      </c>
    </row>
    <row r="4525">
      <c r="A4525" s="3">
        <v>6.992787341571E12</v>
      </c>
      <c r="B4525" s="2" t="s">
        <v>18033</v>
      </c>
      <c r="C4525" s="2" t="s">
        <v>287</v>
      </c>
      <c r="D4525" s="169">
        <v>46122.0</v>
      </c>
      <c r="E4525" s="2">
        <v>3.405504836E9</v>
      </c>
      <c r="F4525" s="2" t="s">
        <v>18034</v>
      </c>
      <c r="G4525" s="2" t="s">
        <v>6581</v>
      </c>
      <c r="H4525" s="2">
        <v>3349.0</v>
      </c>
      <c r="I4525" s="2">
        <v>2.9120050023521E13</v>
      </c>
      <c r="J4525" s="3">
        <v>1.0</v>
      </c>
      <c r="K4525" s="2" t="s">
        <v>204</v>
      </c>
      <c r="L4525" s="2" t="s">
        <v>3519</v>
      </c>
      <c r="M4525" s="2" t="s">
        <v>15124</v>
      </c>
      <c r="N4525" s="2" t="s">
        <v>406</v>
      </c>
      <c r="O4525" s="3"/>
      <c r="P4525" s="2" t="s">
        <v>73</v>
      </c>
      <c r="Q4525" s="3">
        <v>1400.0</v>
      </c>
      <c r="R4525" s="3">
        <v>0.5</v>
      </c>
      <c r="U4525" s="141"/>
      <c r="X4525" s="172">
        <v>46131.08100679398</v>
      </c>
      <c r="Y4525" s="172">
        <v>46123.092956064815</v>
      </c>
      <c r="Z4525" s="3">
        <v>46122.0</v>
      </c>
      <c r="AA4525" s="2" t="s">
        <v>14022</v>
      </c>
    </row>
    <row r="4526">
      <c r="A4526" s="3">
        <v>6.992797466883E12</v>
      </c>
      <c r="B4526" s="2" t="s">
        <v>134</v>
      </c>
      <c r="C4526" s="2" t="s">
        <v>18035</v>
      </c>
      <c r="D4526" s="169">
        <v>46122.0</v>
      </c>
      <c r="E4526" s="2">
        <v>3.336000981E9</v>
      </c>
      <c r="F4526" s="2" t="s">
        <v>18036</v>
      </c>
      <c r="G4526" s="2" t="s">
        <v>366</v>
      </c>
      <c r="H4526" s="2">
        <v>1798.0</v>
      </c>
      <c r="I4526" s="2">
        <v>2.212005002352E13</v>
      </c>
      <c r="J4526" s="3">
        <v>1.0</v>
      </c>
      <c r="K4526" s="2" t="s">
        <v>18037</v>
      </c>
      <c r="L4526" s="2" t="s">
        <v>18038</v>
      </c>
      <c r="M4526" s="2" t="s">
        <v>409</v>
      </c>
      <c r="N4526" s="2" t="s">
        <v>462</v>
      </c>
      <c r="O4526" s="3"/>
      <c r="P4526" s="2" t="s">
        <v>73</v>
      </c>
      <c r="Q4526" s="3">
        <v>550.0</v>
      </c>
      <c r="R4526" s="3">
        <v>0.5</v>
      </c>
      <c r="T4526" s="2" t="s">
        <v>72</v>
      </c>
      <c r="U4526" s="171">
        <v>1798.0</v>
      </c>
      <c r="V4526" s="172">
        <v>46129.0</v>
      </c>
      <c r="W4526" s="3">
        <v>313.78</v>
      </c>
      <c r="X4526" s="172">
        <v>46128.08109150463</v>
      </c>
      <c r="Y4526" s="172">
        <v>46123.092956064815</v>
      </c>
      <c r="Z4526" s="3">
        <v>46122.0</v>
      </c>
      <c r="AA4526" s="2" t="s">
        <v>14053</v>
      </c>
    </row>
    <row r="4527">
      <c r="A4527" s="3">
        <v>6.992823189763E12</v>
      </c>
      <c r="B4527" s="2" t="s">
        <v>18039</v>
      </c>
      <c r="C4527" s="2" t="s">
        <v>6372</v>
      </c>
      <c r="D4527" s="169">
        <v>46122.0</v>
      </c>
      <c r="E4527" s="173" t="s">
        <v>18040</v>
      </c>
      <c r="F4527" s="2" t="s">
        <v>18041</v>
      </c>
      <c r="G4527" s="2" t="s">
        <v>1830</v>
      </c>
      <c r="H4527" s="2">
        <v>1949.0</v>
      </c>
      <c r="I4527" s="2"/>
      <c r="J4527" s="3">
        <v>1.0</v>
      </c>
      <c r="K4527" s="2" t="s">
        <v>369</v>
      </c>
      <c r="L4527" s="2" t="s">
        <v>1534</v>
      </c>
      <c r="M4527" s="2" t="s">
        <v>406</v>
      </c>
      <c r="N4527" s="2" t="s">
        <v>406</v>
      </c>
      <c r="O4527" s="3"/>
      <c r="P4527" s="2"/>
      <c r="Q4527" s="3">
        <v>550.0</v>
      </c>
      <c r="R4527" s="3">
        <v>0.5</v>
      </c>
      <c r="U4527" s="141"/>
      <c r="X4527" s="172"/>
      <c r="Y4527" s="172">
        <v>46123.092956064815</v>
      </c>
      <c r="Z4527" s="3">
        <v>46122.0</v>
      </c>
      <c r="AA4527" s="2" t="s">
        <v>14026</v>
      </c>
    </row>
    <row r="4528">
      <c r="A4528" s="3">
        <v>6.992824566019E12</v>
      </c>
      <c r="B4528" s="2" t="s">
        <v>133</v>
      </c>
      <c r="C4528" s="2" t="s">
        <v>18042</v>
      </c>
      <c r="D4528" s="169">
        <v>46122.0</v>
      </c>
      <c r="E4528" s="173" t="s">
        <v>18043</v>
      </c>
      <c r="F4528" s="2" t="s">
        <v>18044</v>
      </c>
      <c r="G4528" s="2" t="s">
        <v>1830</v>
      </c>
      <c r="H4528" s="2">
        <v>1599.0</v>
      </c>
      <c r="I4528" s="2">
        <v>2.5120050023519E13</v>
      </c>
      <c r="J4528" s="3">
        <v>1.0</v>
      </c>
      <c r="K4528" s="2" t="s">
        <v>18045</v>
      </c>
      <c r="L4528" s="2" t="s">
        <v>16969</v>
      </c>
      <c r="M4528" s="2" t="s">
        <v>409</v>
      </c>
      <c r="N4528" s="2" t="s">
        <v>462</v>
      </c>
      <c r="O4528" s="3"/>
      <c r="P4528" s="2" t="s">
        <v>73</v>
      </c>
      <c r="Q4528" s="3">
        <v>650.0</v>
      </c>
      <c r="R4528" s="3">
        <v>0.5</v>
      </c>
      <c r="T4528" s="2" t="s">
        <v>72</v>
      </c>
      <c r="U4528" s="171">
        <v>1599.0</v>
      </c>
      <c r="V4528" s="172">
        <v>46129.0</v>
      </c>
      <c r="W4528" s="3">
        <v>321.94000000000005</v>
      </c>
      <c r="X4528" s="172">
        <v>46128.08109153935</v>
      </c>
      <c r="Y4528" s="172">
        <v>46123.092956064815</v>
      </c>
      <c r="Z4528" s="3">
        <v>46122.0</v>
      </c>
      <c r="AA4528" s="2" t="s">
        <v>14026</v>
      </c>
    </row>
    <row r="4529">
      <c r="A4529" s="3">
        <v>6.992826958083E12</v>
      </c>
      <c r="B4529" s="2" t="s">
        <v>132</v>
      </c>
      <c r="C4529" s="2" t="s">
        <v>18046</v>
      </c>
      <c r="D4529" s="169">
        <v>46122.0</v>
      </c>
      <c r="E4529" s="2">
        <v>3.139392922E9</v>
      </c>
      <c r="F4529" s="2" t="s">
        <v>18047</v>
      </c>
      <c r="G4529" s="2" t="s">
        <v>817</v>
      </c>
      <c r="H4529" s="2">
        <v>3599.0</v>
      </c>
      <c r="I4529" s="2">
        <v>2.9120050023518E13</v>
      </c>
      <c r="J4529" s="3">
        <v>2.0</v>
      </c>
      <c r="K4529" s="2" t="s">
        <v>18048</v>
      </c>
      <c r="L4529" s="2" t="s">
        <v>18049</v>
      </c>
      <c r="M4529" s="2" t="s">
        <v>409</v>
      </c>
      <c r="N4529" s="2" t="s">
        <v>462</v>
      </c>
      <c r="O4529" s="3"/>
      <c r="P4529" s="2" t="s">
        <v>73</v>
      </c>
      <c r="Q4529" s="3">
        <v>1100.0</v>
      </c>
      <c r="R4529" s="3">
        <v>0.5</v>
      </c>
      <c r="T4529" s="2" t="s">
        <v>72</v>
      </c>
      <c r="U4529" s="171">
        <v>3599.0</v>
      </c>
      <c r="V4529" s="172">
        <v>46129.0</v>
      </c>
      <c r="W4529" s="3">
        <v>418.07000000000005</v>
      </c>
      <c r="X4529" s="172">
        <v>46129.08108981482</v>
      </c>
      <c r="Y4529" s="172">
        <v>46123.092956064815</v>
      </c>
      <c r="Z4529" s="3">
        <v>46122.0</v>
      </c>
      <c r="AA4529" s="2" t="s">
        <v>14041</v>
      </c>
    </row>
    <row r="4530">
      <c r="A4530" s="3">
        <v>6.992830038275E12</v>
      </c>
      <c r="B4530" s="2" t="s">
        <v>18050</v>
      </c>
      <c r="C4530" s="2" t="s">
        <v>4994</v>
      </c>
      <c r="D4530" s="169">
        <v>46122.0</v>
      </c>
      <c r="E4530" s="2">
        <v>3.471926482E9</v>
      </c>
      <c r="F4530" s="2" t="s">
        <v>17306</v>
      </c>
      <c r="G4530" s="2" t="s">
        <v>4425</v>
      </c>
      <c r="H4530" s="2">
        <v>1899.0</v>
      </c>
      <c r="I4530" s="2" t="s">
        <v>18051</v>
      </c>
      <c r="J4530" s="3">
        <v>1.0</v>
      </c>
      <c r="K4530" s="2" t="s">
        <v>2055</v>
      </c>
      <c r="L4530" s="2" t="s">
        <v>18052</v>
      </c>
      <c r="M4530" s="2" t="s">
        <v>16449</v>
      </c>
      <c r="N4530" s="2" t="s">
        <v>406</v>
      </c>
      <c r="O4530" s="3"/>
      <c r="P4530" s="2" t="s">
        <v>640</v>
      </c>
      <c r="Q4530" s="3">
        <v>360.0</v>
      </c>
      <c r="R4530" s="3">
        <v>0.5</v>
      </c>
      <c r="U4530" s="141"/>
      <c r="X4530" s="172">
        <v>46131.08248016203</v>
      </c>
      <c r="Y4530" s="172">
        <v>46123.092956064815</v>
      </c>
      <c r="Z4530" s="3">
        <v>46122.0</v>
      </c>
      <c r="AA4530" s="2" t="s">
        <v>14032</v>
      </c>
    </row>
    <row r="4531">
      <c r="A4531" s="3">
        <v>6.992831906051E12</v>
      </c>
      <c r="B4531" s="2" t="s">
        <v>131</v>
      </c>
      <c r="C4531" s="2" t="s">
        <v>18053</v>
      </c>
      <c r="D4531" s="169">
        <v>46122.0</v>
      </c>
      <c r="E4531" s="2">
        <v>3.422193649E9</v>
      </c>
      <c r="F4531" s="2" t="s">
        <v>18054</v>
      </c>
      <c r="G4531" s="2" t="s">
        <v>493</v>
      </c>
      <c r="H4531" s="2">
        <v>3099.0</v>
      </c>
      <c r="I4531" s="2">
        <v>2.4120050023517E13</v>
      </c>
      <c r="J4531" s="3">
        <v>2.0</v>
      </c>
      <c r="K4531" s="2" t="s">
        <v>18055</v>
      </c>
      <c r="L4531" s="2" t="s">
        <v>18056</v>
      </c>
      <c r="M4531" s="2" t="s">
        <v>409</v>
      </c>
      <c r="N4531" s="2" t="s">
        <v>462</v>
      </c>
      <c r="O4531" s="3"/>
      <c r="P4531" s="2" t="s">
        <v>73</v>
      </c>
      <c r="Q4531" s="3">
        <v>1100.0</v>
      </c>
      <c r="R4531" s="3">
        <v>0.5</v>
      </c>
      <c r="T4531" s="2" t="s">
        <v>72</v>
      </c>
      <c r="U4531" s="171">
        <v>3099.0</v>
      </c>
      <c r="V4531" s="172">
        <v>46129.0</v>
      </c>
      <c r="W4531" s="3">
        <v>398.07000000000005</v>
      </c>
      <c r="X4531" s="172">
        <v>46128.08109165509</v>
      </c>
      <c r="Y4531" s="172">
        <v>46123.092956064815</v>
      </c>
      <c r="Z4531" s="3">
        <v>46122.0</v>
      </c>
      <c r="AA4531" s="2" t="s">
        <v>14041</v>
      </c>
    </row>
    <row r="4532">
      <c r="A4532" s="3">
        <v>6.992908222723E12</v>
      </c>
      <c r="B4532" s="2" t="s">
        <v>18057</v>
      </c>
      <c r="C4532" s="2" t="s">
        <v>263</v>
      </c>
      <c r="D4532" s="169">
        <v>46122.0</v>
      </c>
      <c r="E4532" s="173" t="s">
        <v>17120</v>
      </c>
      <c r="F4532" s="2" t="s">
        <v>17121</v>
      </c>
      <c r="G4532" s="2" t="s">
        <v>506</v>
      </c>
      <c r="H4532" s="2">
        <v>3149.0</v>
      </c>
      <c r="I4532" s="2">
        <v>2.6120050023516E13</v>
      </c>
      <c r="J4532" s="3">
        <v>1.0</v>
      </c>
      <c r="K4532" s="2" t="s">
        <v>315</v>
      </c>
      <c r="L4532" s="2" t="s">
        <v>321</v>
      </c>
      <c r="M4532" s="2" t="s">
        <v>17</v>
      </c>
      <c r="N4532" s="2" t="s">
        <v>406</v>
      </c>
      <c r="O4532" s="3"/>
      <c r="P4532" s="2" t="s">
        <v>73</v>
      </c>
      <c r="Q4532" s="3">
        <v>1400.0</v>
      </c>
      <c r="R4532" s="3">
        <v>0.5</v>
      </c>
      <c r="U4532" s="141"/>
      <c r="X4532" s="172">
        <v>46129.08108984954</v>
      </c>
      <c r="Y4532" s="172">
        <v>46123.092956064815</v>
      </c>
      <c r="Z4532" s="3">
        <v>46122.0</v>
      </c>
      <c r="AA4532" s="2" t="s">
        <v>14032</v>
      </c>
    </row>
    <row r="4533">
      <c r="A4533" s="3">
        <v>6.992922804483E12</v>
      </c>
      <c r="B4533" s="2" t="s">
        <v>130</v>
      </c>
      <c r="C4533" s="2" t="s">
        <v>7842</v>
      </c>
      <c r="D4533" s="169">
        <v>46122.0</v>
      </c>
      <c r="E4533" s="2">
        <v>3.457753082E9</v>
      </c>
      <c r="F4533" s="2" t="s">
        <v>18058</v>
      </c>
      <c r="G4533" s="2" t="s">
        <v>18059</v>
      </c>
      <c r="H4533" s="2">
        <v>2948.0</v>
      </c>
      <c r="I4533" s="2">
        <v>2.7120050023576E13</v>
      </c>
      <c r="J4533" s="3">
        <v>2.0</v>
      </c>
      <c r="K4533" s="2" t="s">
        <v>18060</v>
      </c>
      <c r="L4533" s="2" t="s">
        <v>18061</v>
      </c>
      <c r="M4533" s="2" t="s">
        <v>409</v>
      </c>
      <c r="N4533" s="2" t="s">
        <v>462</v>
      </c>
      <c r="O4533" s="3"/>
      <c r="P4533" s="2" t="s">
        <v>73</v>
      </c>
      <c r="Q4533" s="3">
        <v>1100.0</v>
      </c>
      <c r="R4533" s="3">
        <v>0.5</v>
      </c>
      <c r="T4533" s="2" t="s">
        <v>72</v>
      </c>
      <c r="U4533" s="171">
        <v>2948.0</v>
      </c>
      <c r="V4533" s="172">
        <v>46129.0</v>
      </c>
      <c r="W4533" s="3">
        <v>359.78</v>
      </c>
      <c r="X4533" s="172">
        <v>46129.081089907406</v>
      </c>
      <c r="Y4533" s="172">
        <v>46123.092956064815</v>
      </c>
      <c r="Z4533" s="3">
        <v>46122.0</v>
      </c>
      <c r="AA4533" s="2" t="s">
        <v>14041</v>
      </c>
    </row>
    <row r="4534">
      <c r="A4534" s="3">
        <v>6.992986079491E12</v>
      </c>
      <c r="B4534" s="2" t="s">
        <v>129</v>
      </c>
      <c r="C4534" s="2" t="s">
        <v>18062</v>
      </c>
      <c r="D4534" s="169">
        <v>46122.0</v>
      </c>
      <c r="E4534" s="2">
        <v>3.21509004E9</v>
      </c>
      <c r="F4534" s="2" t="s">
        <v>18063</v>
      </c>
      <c r="G4534" s="2" t="s">
        <v>11783</v>
      </c>
      <c r="H4534" s="2">
        <v>3099.0</v>
      </c>
      <c r="I4534" s="2">
        <v>2.8120050023515E13</v>
      </c>
      <c r="J4534" s="3">
        <v>2.0</v>
      </c>
      <c r="K4534" s="2" t="s">
        <v>18064</v>
      </c>
      <c r="L4534" s="2" t="s">
        <v>18065</v>
      </c>
      <c r="M4534" s="2" t="s">
        <v>409</v>
      </c>
      <c r="N4534" s="2" t="s">
        <v>462</v>
      </c>
      <c r="O4534" s="3"/>
      <c r="P4534" s="2" t="s">
        <v>73</v>
      </c>
      <c r="Q4534" s="3">
        <v>1100.0</v>
      </c>
      <c r="R4534" s="3">
        <v>0.5</v>
      </c>
      <c r="T4534" s="2" t="s">
        <v>72</v>
      </c>
      <c r="U4534" s="171">
        <v>3099.0</v>
      </c>
      <c r="V4534" s="172">
        <v>46129.0</v>
      </c>
      <c r="W4534" s="3">
        <v>390.01000000000005</v>
      </c>
      <c r="X4534" s="172">
        <v>46128.081091747685</v>
      </c>
      <c r="Y4534" s="172">
        <v>46123.092956064815</v>
      </c>
      <c r="Z4534" s="3">
        <v>46122.0</v>
      </c>
      <c r="AA4534" s="2" t="s">
        <v>14032</v>
      </c>
    </row>
    <row r="4535">
      <c r="A4535" s="3">
        <v>6.993001775363E12</v>
      </c>
      <c r="B4535" s="2" t="s">
        <v>128</v>
      </c>
      <c r="C4535" s="2" t="s">
        <v>18066</v>
      </c>
      <c r="D4535" s="169">
        <v>46122.0</v>
      </c>
      <c r="E4535" s="2">
        <v>3.425030756E9</v>
      </c>
      <c r="F4535" s="2" t="s">
        <v>18067</v>
      </c>
      <c r="G4535" s="2" t="s">
        <v>18068</v>
      </c>
      <c r="H4535" s="2">
        <v>3099.0</v>
      </c>
      <c r="I4535" s="2">
        <v>2.3120050023501E13</v>
      </c>
      <c r="J4535" s="3">
        <v>2.0</v>
      </c>
      <c r="K4535" s="2" t="s">
        <v>18064</v>
      </c>
      <c r="L4535" s="2" t="s">
        <v>18069</v>
      </c>
      <c r="M4535" s="2" t="s">
        <v>409</v>
      </c>
      <c r="N4535" s="2" t="s">
        <v>462</v>
      </c>
      <c r="O4535" s="3"/>
      <c r="P4535" s="2" t="s">
        <v>73</v>
      </c>
      <c r="Q4535" s="3">
        <v>1100.0</v>
      </c>
      <c r="R4535" s="3">
        <v>0.5</v>
      </c>
      <c r="T4535" s="2" t="s">
        <v>72</v>
      </c>
      <c r="U4535" s="171">
        <v>3099.0</v>
      </c>
      <c r="V4535" s="172">
        <v>46129.0</v>
      </c>
      <c r="W4535" s="3">
        <v>381.94000000000005</v>
      </c>
      <c r="X4535" s="172">
        <v>46128.081092002314</v>
      </c>
      <c r="Y4535" s="172">
        <v>46123.092956064815</v>
      </c>
      <c r="Z4535" s="3">
        <v>46122.0</v>
      </c>
      <c r="AA4535" s="2" t="s">
        <v>14041</v>
      </c>
    </row>
    <row r="4536">
      <c r="A4536" s="3">
        <v>6.993020059907E12</v>
      </c>
      <c r="B4536" s="2" t="s">
        <v>18070</v>
      </c>
      <c r="C4536" s="2" t="s">
        <v>18071</v>
      </c>
      <c r="D4536" s="169">
        <v>46122.0</v>
      </c>
      <c r="E4536" s="2">
        <v>3.313223593E9</v>
      </c>
      <c r="F4536" s="2" t="s">
        <v>18072</v>
      </c>
      <c r="G4536" s="2" t="s">
        <v>672</v>
      </c>
      <c r="H4536" s="2">
        <v>2797.0</v>
      </c>
      <c r="I4536" s="2"/>
      <c r="J4536" s="3">
        <v>2.0</v>
      </c>
      <c r="K4536" s="2" t="s">
        <v>12424</v>
      </c>
      <c r="L4536" s="2" t="s">
        <v>18073</v>
      </c>
      <c r="M4536" s="2" t="s">
        <v>406</v>
      </c>
      <c r="N4536" s="2" t="s">
        <v>406</v>
      </c>
      <c r="O4536" s="3"/>
      <c r="P4536" s="2"/>
      <c r="Q4536" s="3">
        <v>1100.0</v>
      </c>
      <c r="R4536" s="3">
        <v>0.5</v>
      </c>
      <c r="U4536" s="141"/>
      <c r="X4536" s="172"/>
      <c r="Y4536" s="172">
        <v>46123.092956064815</v>
      </c>
      <c r="Z4536" s="3">
        <v>46122.0</v>
      </c>
      <c r="AA4536" s="2" t="s">
        <v>14041</v>
      </c>
    </row>
    <row r="4537">
      <c r="A4537" s="3">
        <v>6.993043423491E12</v>
      </c>
      <c r="B4537" s="2" t="s">
        <v>18074</v>
      </c>
      <c r="C4537" s="2" t="s">
        <v>322</v>
      </c>
      <c r="D4537" s="169">
        <v>46122.0</v>
      </c>
      <c r="E4537" s="2">
        <v>3.342877572E9</v>
      </c>
      <c r="F4537" s="2" t="s">
        <v>18075</v>
      </c>
      <c r="G4537" s="2" t="s">
        <v>493</v>
      </c>
      <c r="H4537" s="2">
        <v>2797.0</v>
      </c>
      <c r="I4537" s="2">
        <v>2.31200500235E13</v>
      </c>
      <c r="J4537" s="3">
        <v>2.0</v>
      </c>
      <c r="K4537" s="2" t="s">
        <v>204</v>
      </c>
      <c r="L4537" s="2" t="s">
        <v>323</v>
      </c>
      <c r="M4537" s="2" t="s">
        <v>14076</v>
      </c>
      <c r="N4537" s="2" t="s">
        <v>406</v>
      </c>
      <c r="O4537" s="3"/>
      <c r="P4537" s="2" t="s">
        <v>73</v>
      </c>
      <c r="Q4537" s="3">
        <v>1100.0</v>
      </c>
      <c r="R4537" s="3">
        <v>0.5</v>
      </c>
      <c r="U4537" s="141"/>
      <c r="X4537" s="172">
        <v>46128.08109233796</v>
      </c>
      <c r="Y4537" s="172">
        <v>46123.092956064815</v>
      </c>
      <c r="Z4537" s="3">
        <v>46122.0</v>
      </c>
      <c r="AA4537" s="2" t="s">
        <v>14041</v>
      </c>
    </row>
    <row r="4538">
      <c r="A4538" s="3">
        <v>6.993094312195E12</v>
      </c>
      <c r="B4538" s="2" t="s">
        <v>18076</v>
      </c>
      <c r="C4538" s="2" t="s">
        <v>376</v>
      </c>
      <c r="D4538" s="169">
        <v>46122.0</v>
      </c>
      <c r="E4538" s="2">
        <v>3.044495171E9</v>
      </c>
      <c r="F4538" s="2" t="s">
        <v>18077</v>
      </c>
      <c r="G4538" s="2" t="s">
        <v>377</v>
      </c>
      <c r="H4538" s="2">
        <v>299.0</v>
      </c>
      <c r="I4538" s="2">
        <v>2.1120050023499E13</v>
      </c>
      <c r="J4538" s="3">
        <v>0.0</v>
      </c>
      <c r="K4538" s="2" t="s">
        <v>378</v>
      </c>
      <c r="L4538" s="2"/>
      <c r="M4538" s="170" t="s">
        <v>455</v>
      </c>
      <c r="N4538" s="2" t="s">
        <v>406</v>
      </c>
      <c r="O4538" s="3"/>
      <c r="P4538" s="2" t="s">
        <v>73</v>
      </c>
      <c r="Q4538" s="3">
        <v>0.0</v>
      </c>
      <c r="R4538" s="3">
        <v>0.5</v>
      </c>
      <c r="U4538" s="141"/>
      <c r="X4538" s="172">
        <v>46131.08100684028</v>
      </c>
      <c r="Y4538" s="172">
        <v>46123.092956064815</v>
      </c>
      <c r="Z4538" s="3">
        <v>46122.0</v>
      </c>
      <c r="AA4538" s="2" t="s">
        <v>14022</v>
      </c>
    </row>
    <row r="4539">
      <c r="A4539" s="3">
        <v>6.993305796867E12</v>
      </c>
      <c r="B4539" s="2" t="s">
        <v>18078</v>
      </c>
      <c r="C4539" s="2" t="s">
        <v>1912</v>
      </c>
      <c r="D4539" s="169">
        <v>46122.0</v>
      </c>
      <c r="E4539" s="2">
        <v>3.008563721E9</v>
      </c>
      <c r="F4539" s="2" t="s">
        <v>18079</v>
      </c>
      <c r="G4539" s="2" t="s">
        <v>855</v>
      </c>
      <c r="H4539" s="2">
        <v>3399.0</v>
      </c>
      <c r="I4539" s="2">
        <v>2.6120050023498E13</v>
      </c>
      <c r="J4539" s="3">
        <v>2.0</v>
      </c>
      <c r="K4539" s="2" t="s">
        <v>17898</v>
      </c>
      <c r="L4539" s="2" t="s">
        <v>18080</v>
      </c>
      <c r="M4539" s="2" t="s">
        <v>409</v>
      </c>
      <c r="N4539" s="2" t="s">
        <v>462</v>
      </c>
      <c r="O4539" s="3"/>
      <c r="P4539" s="2" t="s">
        <v>73</v>
      </c>
      <c r="Q4539" s="3">
        <v>800.0</v>
      </c>
      <c r="R4539" s="3">
        <v>0.5</v>
      </c>
      <c r="T4539" s="2" t="s">
        <v>15278</v>
      </c>
      <c r="U4539" s="171">
        <v>3399.0</v>
      </c>
      <c r="V4539" s="172">
        <v>46126.0</v>
      </c>
      <c r="W4539" s="3">
        <v>402.01000000000005</v>
      </c>
      <c r="X4539" s="172">
        <v>46126.081490439814</v>
      </c>
      <c r="Y4539" s="172">
        <v>46123.092956064815</v>
      </c>
      <c r="Z4539" s="3">
        <v>46122.0</v>
      </c>
      <c r="AA4539" s="2" t="s">
        <v>14041</v>
      </c>
    </row>
    <row r="4540">
      <c r="A4540" s="3">
        <v>6.993380540675E12</v>
      </c>
      <c r="B4540" s="2" t="s">
        <v>127</v>
      </c>
      <c r="C4540" s="2" t="s">
        <v>18081</v>
      </c>
      <c r="D4540" s="169">
        <v>46123.0</v>
      </c>
      <c r="E4540" s="2">
        <v>3.214543691E9</v>
      </c>
      <c r="F4540" s="2" t="s">
        <v>18082</v>
      </c>
      <c r="G4540" s="2" t="s">
        <v>368</v>
      </c>
      <c r="H4540" s="2">
        <v>3997.0</v>
      </c>
      <c r="I4540" s="2">
        <v>2.6120050023514E13</v>
      </c>
      <c r="J4540" s="3">
        <v>2.0</v>
      </c>
      <c r="K4540" s="2" t="s">
        <v>18083</v>
      </c>
      <c r="L4540" s="2" t="s">
        <v>18084</v>
      </c>
      <c r="M4540" s="2" t="s">
        <v>409</v>
      </c>
      <c r="N4540" s="2" t="s">
        <v>462</v>
      </c>
      <c r="O4540" s="3"/>
      <c r="P4540" s="2" t="s">
        <v>73</v>
      </c>
      <c r="Q4540" s="3">
        <v>1600.0</v>
      </c>
      <c r="R4540" s="3">
        <v>0.5</v>
      </c>
      <c r="T4540" s="2" t="s">
        <v>72</v>
      </c>
      <c r="U4540" s="171">
        <v>3997.0</v>
      </c>
      <c r="V4540" s="172">
        <v>46129.0</v>
      </c>
      <c r="W4540" s="3">
        <v>305.0</v>
      </c>
      <c r="X4540" s="172">
        <v>46127.081132175925</v>
      </c>
      <c r="Y4540" s="172">
        <v>46123.092956064815</v>
      </c>
      <c r="Z4540" s="3">
        <v>46123.0</v>
      </c>
      <c r="AA4540" s="2" t="s">
        <v>14032</v>
      </c>
    </row>
    <row r="4541">
      <c r="A4541" s="3">
        <v>6.993392500995E12</v>
      </c>
      <c r="B4541" s="2" t="s">
        <v>18085</v>
      </c>
      <c r="C4541" s="2" t="s">
        <v>5692</v>
      </c>
      <c r="D4541" s="169">
        <v>46123.0</v>
      </c>
      <c r="E4541" s="2">
        <v>3.109869107E9</v>
      </c>
      <c r="F4541" s="2" t="s">
        <v>18086</v>
      </c>
      <c r="G4541" s="2" t="s">
        <v>781</v>
      </c>
      <c r="H4541" s="2">
        <v>1798.0</v>
      </c>
      <c r="I4541" s="2"/>
      <c r="J4541" s="3">
        <v>1.0</v>
      </c>
      <c r="K4541" s="2" t="s">
        <v>7809</v>
      </c>
      <c r="L4541" s="2" t="s">
        <v>17591</v>
      </c>
      <c r="M4541" s="2" t="s">
        <v>406</v>
      </c>
      <c r="N4541" s="2" t="s">
        <v>406</v>
      </c>
      <c r="O4541" s="3"/>
      <c r="P4541" s="2"/>
      <c r="Q4541" s="3">
        <v>550.0</v>
      </c>
      <c r="R4541" s="3">
        <v>0.5</v>
      </c>
      <c r="U4541" s="141"/>
      <c r="X4541" s="172"/>
      <c r="Y4541" s="172">
        <v>46123.092956064815</v>
      </c>
      <c r="Z4541" s="3">
        <v>46123.0</v>
      </c>
      <c r="AA4541" s="2" t="s">
        <v>14041</v>
      </c>
    </row>
    <row r="4542">
      <c r="A4542" s="3">
        <v>6.993433624835E12</v>
      </c>
      <c r="B4542" s="2" t="s">
        <v>18087</v>
      </c>
      <c r="C4542" s="2" t="s">
        <v>18088</v>
      </c>
      <c r="D4542" s="169">
        <v>46123.0</v>
      </c>
      <c r="E4542" s="2">
        <v>3.36730324E9</v>
      </c>
      <c r="F4542" s="2" t="s">
        <v>18089</v>
      </c>
      <c r="G4542" s="2" t="s">
        <v>781</v>
      </c>
      <c r="H4542" s="2">
        <v>2797.0</v>
      </c>
      <c r="I4542" s="2">
        <v>2.2120050023493E13</v>
      </c>
      <c r="J4542" s="3">
        <v>2.0</v>
      </c>
      <c r="K4542" s="2" t="s">
        <v>18090</v>
      </c>
      <c r="L4542" s="2" t="s">
        <v>18091</v>
      </c>
      <c r="M4542" s="2" t="s">
        <v>409</v>
      </c>
      <c r="N4542" s="2" t="s">
        <v>462</v>
      </c>
      <c r="O4542" s="3"/>
      <c r="P4542" s="2" t="s">
        <v>73</v>
      </c>
      <c r="Q4542" s="3">
        <v>1100.0</v>
      </c>
      <c r="R4542" s="3">
        <v>0.5</v>
      </c>
      <c r="T4542" s="2" t="s">
        <v>15278</v>
      </c>
      <c r="U4542" s="171">
        <v>2797.0</v>
      </c>
      <c r="V4542" s="172">
        <v>46126.0</v>
      </c>
      <c r="W4542" s="3">
        <v>385.99</v>
      </c>
      <c r="X4542" s="172">
        <v>46126.08149065972</v>
      </c>
      <c r="Y4542" s="172">
        <v>46123.092956064815</v>
      </c>
      <c r="Z4542" s="3">
        <v>46123.0</v>
      </c>
      <c r="AA4542" s="2" t="s">
        <v>14053</v>
      </c>
    </row>
    <row r="4543">
      <c r="A4543" s="3">
        <v>6.993448861955E12</v>
      </c>
      <c r="B4543" s="2" t="s">
        <v>126</v>
      </c>
      <c r="C4543" s="2" t="s">
        <v>11713</v>
      </c>
      <c r="D4543" s="169">
        <v>46123.0</v>
      </c>
      <c r="E4543" s="2">
        <v>3.224330035E9</v>
      </c>
      <c r="F4543" s="2" t="s">
        <v>18092</v>
      </c>
      <c r="G4543" s="2" t="s">
        <v>493</v>
      </c>
      <c r="H4543" s="2">
        <v>2797.0</v>
      </c>
      <c r="I4543" s="2">
        <v>2.6120050023492E13</v>
      </c>
      <c r="J4543" s="3">
        <v>2.0</v>
      </c>
      <c r="K4543" s="2" t="s">
        <v>18093</v>
      </c>
      <c r="L4543" s="2" t="s">
        <v>18094</v>
      </c>
      <c r="M4543" s="2" t="s">
        <v>409</v>
      </c>
      <c r="N4543" s="2" t="s">
        <v>462</v>
      </c>
      <c r="O4543" s="3"/>
      <c r="P4543" s="2" t="s">
        <v>73</v>
      </c>
      <c r="Q4543" s="3">
        <v>1100.0</v>
      </c>
      <c r="R4543" s="3">
        <v>0.5</v>
      </c>
      <c r="T4543" s="2" t="s">
        <v>72</v>
      </c>
      <c r="U4543" s="171">
        <v>2797.0</v>
      </c>
      <c r="V4543" s="172">
        <v>46129.0</v>
      </c>
      <c r="W4543" s="3">
        <v>385.99</v>
      </c>
      <c r="X4543" s="172">
        <v>46127.0811321875</v>
      </c>
      <c r="Y4543" s="172">
        <v>46123.092956064815</v>
      </c>
      <c r="Z4543" s="3">
        <v>46123.0</v>
      </c>
      <c r="AA4543" s="2" t="s">
        <v>14032</v>
      </c>
    </row>
    <row r="4544">
      <c r="A4544" s="3">
        <v>6.993500700931E12</v>
      </c>
      <c r="B4544" s="2" t="s">
        <v>18095</v>
      </c>
      <c r="C4544" s="2" t="s">
        <v>18096</v>
      </c>
      <c r="D4544" s="169">
        <v>46123.0</v>
      </c>
      <c r="E4544" s="2">
        <v>3.045246333E9</v>
      </c>
      <c r="F4544" s="2" t="s">
        <v>18097</v>
      </c>
      <c r="G4544" s="2" t="s">
        <v>688</v>
      </c>
      <c r="H4544" s="2">
        <v>2149.0</v>
      </c>
      <c r="I4544" s="2">
        <v>2.0120050023491E13</v>
      </c>
      <c r="J4544" s="3">
        <v>1.0</v>
      </c>
      <c r="K4544" s="2" t="s">
        <v>18098</v>
      </c>
      <c r="L4544" s="2" t="s">
        <v>4482</v>
      </c>
      <c r="M4544" s="2" t="s">
        <v>409</v>
      </c>
      <c r="N4544" s="2" t="s">
        <v>462</v>
      </c>
      <c r="O4544" s="3"/>
      <c r="P4544" s="2" t="s">
        <v>73</v>
      </c>
      <c r="Q4544" s="3">
        <v>490.0</v>
      </c>
      <c r="R4544" s="3">
        <v>0.5</v>
      </c>
      <c r="T4544" s="2" t="s">
        <v>15278</v>
      </c>
      <c r="U4544" s="171">
        <v>2149.0</v>
      </c>
      <c r="V4544" s="172">
        <v>46126.0</v>
      </c>
      <c r="W4544" s="3">
        <v>327.82000000000005</v>
      </c>
      <c r="X4544" s="172">
        <v>46126.08149116898</v>
      </c>
      <c r="Y4544" s="172">
        <v>46123.092956064815</v>
      </c>
      <c r="Z4544" s="3">
        <v>46123.0</v>
      </c>
      <c r="AA4544" s="2" t="s">
        <v>14053</v>
      </c>
    </row>
    <row r="4545">
      <c r="A4545" s="3">
        <v>6.993759404291E12</v>
      </c>
      <c r="B4545" s="2" t="s">
        <v>18099</v>
      </c>
      <c r="C4545" s="2" t="s">
        <v>18100</v>
      </c>
      <c r="D4545" s="169">
        <v>46123.0</v>
      </c>
      <c r="E4545" s="2">
        <v>3.478510527E9</v>
      </c>
      <c r="F4545" s="2" t="s">
        <v>18101</v>
      </c>
      <c r="G4545" s="2" t="s">
        <v>18102</v>
      </c>
      <c r="H4545" s="2">
        <v>2149.0</v>
      </c>
      <c r="I4545" s="2">
        <v>2.512005002349E13</v>
      </c>
      <c r="J4545" s="3">
        <v>1.0</v>
      </c>
      <c r="K4545" s="2" t="s">
        <v>18103</v>
      </c>
      <c r="L4545" s="2" t="s">
        <v>1185</v>
      </c>
      <c r="M4545" s="2" t="s">
        <v>409</v>
      </c>
      <c r="N4545" s="2" t="s">
        <v>462</v>
      </c>
      <c r="O4545" s="3"/>
      <c r="P4545" s="2" t="s">
        <v>73</v>
      </c>
      <c r="Q4545" s="3">
        <v>490.0</v>
      </c>
      <c r="R4545" s="3">
        <v>0.5</v>
      </c>
      <c r="T4545" s="2" t="s">
        <v>15278</v>
      </c>
      <c r="U4545" s="171">
        <v>2149.0</v>
      </c>
      <c r="V4545" s="172">
        <v>46126.0</v>
      </c>
      <c r="W4545" s="3">
        <v>327.82000000000005</v>
      </c>
      <c r="X4545" s="172">
        <v>46126.08149243056</v>
      </c>
      <c r="Y4545" s="172">
        <v>46124.09297081019</v>
      </c>
      <c r="Z4545" s="3">
        <v>46123.0</v>
      </c>
      <c r="AA4545" s="2" t="s">
        <v>14032</v>
      </c>
    </row>
    <row r="4546">
      <c r="A4546" s="3">
        <v>6.993856102659E12</v>
      </c>
      <c r="B4546" s="2" t="s">
        <v>18104</v>
      </c>
      <c r="C4546" s="2" t="s">
        <v>18105</v>
      </c>
      <c r="D4546" s="169">
        <v>46123.0</v>
      </c>
      <c r="E4546" s="2">
        <v>3.493611402E9</v>
      </c>
      <c r="F4546" s="2" t="s">
        <v>18106</v>
      </c>
      <c r="G4546" s="2" t="s">
        <v>7136</v>
      </c>
      <c r="H4546" s="2">
        <v>0.0</v>
      </c>
      <c r="I4546" s="2"/>
      <c r="J4546" s="3">
        <v>0.0</v>
      </c>
      <c r="K4546" s="2" t="s">
        <v>18107</v>
      </c>
      <c r="L4546" s="2"/>
      <c r="M4546" s="2" t="s">
        <v>468</v>
      </c>
      <c r="N4546" s="2" t="s">
        <v>406</v>
      </c>
      <c r="O4546" s="3"/>
      <c r="P4546" s="2"/>
      <c r="Q4546" s="3">
        <v>0.0</v>
      </c>
      <c r="R4546" s="3">
        <v>0.5</v>
      </c>
      <c r="U4546" s="141"/>
      <c r="X4546" s="172"/>
      <c r="Y4546" s="172">
        <v>46124.09297081019</v>
      </c>
      <c r="Z4546" s="3">
        <v>46123.0</v>
      </c>
      <c r="AA4546" s="2" t="s">
        <v>14032</v>
      </c>
    </row>
    <row r="4547">
      <c r="A4547" s="3">
        <v>6.993886249219E12</v>
      </c>
      <c r="B4547" s="2" t="s">
        <v>125</v>
      </c>
      <c r="C4547" s="2" t="s">
        <v>18108</v>
      </c>
      <c r="D4547" s="169">
        <v>46123.0</v>
      </c>
      <c r="E4547" s="2">
        <v>3.186855275E9</v>
      </c>
      <c r="F4547" s="2" t="s">
        <v>18109</v>
      </c>
      <c r="G4547" s="2" t="s">
        <v>18110</v>
      </c>
      <c r="H4547" s="2">
        <v>2099.0</v>
      </c>
      <c r="I4547" s="2">
        <v>2.5120050023513E13</v>
      </c>
      <c r="J4547" s="3">
        <v>1.0</v>
      </c>
      <c r="K4547" s="2" t="s">
        <v>18111</v>
      </c>
      <c r="L4547" s="2" t="s">
        <v>18112</v>
      </c>
      <c r="M4547" s="2" t="s">
        <v>409</v>
      </c>
      <c r="N4547" s="2" t="s">
        <v>462</v>
      </c>
      <c r="O4547" s="3"/>
      <c r="P4547" s="2" t="s">
        <v>73</v>
      </c>
      <c r="Q4547" s="3">
        <v>500.0</v>
      </c>
      <c r="R4547" s="3">
        <v>0.5</v>
      </c>
      <c r="T4547" s="2" t="s">
        <v>72</v>
      </c>
      <c r="U4547" s="171">
        <v>2099.0</v>
      </c>
      <c r="V4547" s="172">
        <v>46129.0</v>
      </c>
      <c r="W4547" s="3">
        <v>325.82000000000005</v>
      </c>
      <c r="X4547" s="172">
        <v>46128.081092430555</v>
      </c>
      <c r="Y4547" s="172">
        <v>46124.09297081019</v>
      </c>
      <c r="Z4547" s="3">
        <v>46123.0</v>
      </c>
      <c r="AA4547" s="2" t="s">
        <v>14041</v>
      </c>
    </row>
    <row r="4548">
      <c r="A4548" s="3">
        <v>6.993919901955E12</v>
      </c>
      <c r="B4548" s="2" t="s">
        <v>18113</v>
      </c>
      <c r="C4548" s="2" t="s">
        <v>18114</v>
      </c>
      <c r="D4548" s="169">
        <v>46123.0</v>
      </c>
      <c r="E4548" s="2">
        <v>3.152088585E9</v>
      </c>
      <c r="F4548" s="2" t="s">
        <v>18115</v>
      </c>
      <c r="G4548" s="2" t="s">
        <v>18116</v>
      </c>
      <c r="H4548" s="2">
        <v>2797.0</v>
      </c>
      <c r="I4548" s="2"/>
      <c r="J4548" s="3">
        <v>2.0</v>
      </c>
      <c r="K4548" s="2" t="s">
        <v>204</v>
      </c>
      <c r="L4548" s="2" t="s">
        <v>18117</v>
      </c>
      <c r="M4548" s="2" t="s">
        <v>406</v>
      </c>
      <c r="N4548" s="2" t="s">
        <v>406</v>
      </c>
      <c r="O4548" s="3"/>
      <c r="P4548" s="2"/>
      <c r="Q4548" s="3">
        <v>1100.0</v>
      </c>
      <c r="R4548" s="3">
        <v>0.5</v>
      </c>
      <c r="U4548" s="141"/>
      <c r="X4548" s="172"/>
      <c r="Y4548" s="172">
        <v>46124.09297081019</v>
      </c>
      <c r="Z4548" s="3">
        <v>46123.0</v>
      </c>
      <c r="AA4548" s="2" t="s">
        <v>14022</v>
      </c>
    </row>
    <row r="4549">
      <c r="A4549" s="3">
        <v>6.993942184195E12</v>
      </c>
      <c r="B4549" s="2" t="s">
        <v>18118</v>
      </c>
      <c r="C4549" s="2" t="s">
        <v>18119</v>
      </c>
      <c r="D4549" s="169">
        <v>46123.0</v>
      </c>
      <c r="E4549" s="2">
        <v>3.129219447E9</v>
      </c>
      <c r="F4549" s="2" t="s">
        <v>18120</v>
      </c>
      <c r="G4549" s="2" t="s">
        <v>366</v>
      </c>
      <c r="H4549" s="2">
        <v>1949.0</v>
      </c>
      <c r="I4549" s="2">
        <v>2.5120050023489E13</v>
      </c>
      <c r="J4549" s="3">
        <v>1.0</v>
      </c>
      <c r="K4549" s="2" t="s">
        <v>13209</v>
      </c>
      <c r="L4549" s="2" t="s">
        <v>13012</v>
      </c>
      <c r="M4549" s="2" t="s">
        <v>14820</v>
      </c>
      <c r="N4549" s="2" t="s">
        <v>406</v>
      </c>
      <c r="O4549" s="3"/>
      <c r="P4549" s="2" t="s">
        <v>73</v>
      </c>
      <c r="Q4549" s="3">
        <v>550.0</v>
      </c>
      <c r="R4549" s="3">
        <v>0.5</v>
      </c>
      <c r="U4549" s="141"/>
      <c r="X4549" s="172">
        <v>46132.081119062495</v>
      </c>
      <c r="Y4549" s="172">
        <v>46124.09297081019</v>
      </c>
      <c r="Z4549" s="3">
        <v>46123.0</v>
      </c>
      <c r="AA4549" s="2" t="s">
        <v>14041</v>
      </c>
    </row>
    <row r="4550">
      <c r="A4550" s="3">
        <v>6.993943953667E12</v>
      </c>
      <c r="B4550" s="2" t="s">
        <v>18121</v>
      </c>
      <c r="C4550" s="2" t="s">
        <v>18122</v>
      </c>
      <c r="D4550" s="169">
        <v>46123.0</v>
      </c>
      <c r="E4550" s="2">
        <v>3.001004922E9</v>
      </c>
      <c r="F4550" s="2" t="s">
        <v>18123</v>
      </c>
      <c r="G4550" s="2" t="s">
        <v>6782</v>
      </c>
      <c r="H4550" s="2">
        <v>1798.0</v>
      </c>
      <c r="I4550" s="2"/>
      <c r="J4550" s="3">
        <v>1.0</v>
      </c>
      <c r="K4550" s="2" t="s">
        <v>537</v>
      </c>
      <c r="L4550" s="2" t="s">
        <v>18038</v>
      </c>
      <c r="M4550" s="2" t="s">
        <v>406</v>
      </c>
      <c r="N4550" s="2" t="s">
        <v>406</v>
      </c>
      <c r="O4550" s="3"/>
      <c r="P4550" s="2"/>
      <c r="Q4550" s="3">
        <v>550.0</v>
      </c>
      <c r="R4550" s="3">
        <v>0.5</v>
      </c>
      <c r="U4550" s="141"/>
      <c r="X4550" s="172"/>
      <c r="Y4550" s="172">
        <v>46124.09297081019</v>
      </c>
      <c r="Z4550" s="3">
        <v>46123.0</v>
      </c>
      <c r="AA4550" s="2" t="s">
        <v>14041</v>
      </c>
    </row>
    <row r="4551">
      <c r="A4551" s="3">
        <v>6.994008441091E12</v>
      </c>
      <c r="B4551" s="2" t="s">
        <v>124</v>
      </c>
      <c r="C4551" s="2" t="s">
        <v>6823</v>
      </c>
      <c r="D4551" s="169">
        <v>46123.0</v>
      </c>
      <c r="E4551" s="2">
        <v>3.021000032E9</v>
      </c>
      <c r="F4551" s="2" t="s">
        <v>18124</v>
      </c>
      <c r="G4551" s="2" t="s">
        <v>18125</v>
      </c>
      <c r="H4551" s="2">
        <v>2098.0</v>
      </c>
      <c r="I4551" s="2">
        <v>2.8120050023488E13</v>
      </c>
      <c r="J4551" s="3">
        <v>1.0</v>
      </c>
      <c r="K4551" s="2" t="s">
        <v>18126</v>
      </c>
      <c r="L4551" s="2" t="s">
        <v>326</v>
      </c>
      <c r="M4551" s="2" t="s">
        <v>409</v>
      </c>
      <c r="N4551" s="2" t="s">
        <v>462</v>
      </c>
      <c r="O4551" s="3"/>
      <c r="P4551" s="2" t="s">
        <v>73</v>
      </c>
      <c r="Q4551" s="3">
        <v>360.0</v>
      </c>
      <c r="R4551" s="3">
        <v>0.5</v>
      </c>
      <c r="T4551" s="2" t="s">
        <v>72</v>
      </c>
      <c r="U4551" s="171">
        <v>2098.0</v>
      </c>
      <c r="V4551" s="172">
        <v>46129.0</v>
      </c>
      <c r="W4551" s="3">
        <v>325.78</v>
      </c>
      <c r="X4551" s="172">
        <v>46127.081132210646</v>
      </c>
      <c r="Y4551" s="172">
        <v>46124.09297081019</v>
      </c>
      <c r="Z4551" s="3">
        <v>46123.0</v>
      </c>
      <c r="AA4551" s="2" t="s">
        <v>14032</v>
      </c>
    </row>
    <row r="4552">
      <c r="A4552" s="3">
        <v>6.994056937731E12</v>
      </c>
      <c r="B4552" s="2" t="s">
        <v>18127</v>
      </c>
      <c r="C4552" s="2" t="s">
        <v>18128</v>
      </c>
      <c r="D4552" s="169">
        <v>46123.0</v>
      </c>
      <c r="E4552" s="2">
        <v>3.099555697E9</v>
      </c>
      <c r="F4552" s="2" t="s">
        <v>18129</v>
      </c>
      <c r="G4552" s="2" t="s">
        <v>3739</v>
      </c>
      <c r="H4552" s="2">
        <v>3397.0</v>
      </c>
      <c r="I4552" s="2">
        <v>2.2120050023487E13</v>
      </c>
      <c r="J4552" s="3">
        <v>2.0</v>
      </c>
      <c r="K4552" s="2" t="s">
        <v>17764</v>
      </c>
      <c r="L4552" s="2" t="s">
        <v>18130</v>
      </c>
      <c r="M4552" s="2" t="s">
        <v>409</v>
      </c>
      <c r="N4552" s="2" t="s">
        <v>462</v>
      </c>
      <c r="O4552" s="3"/>
      <c r="P4552" s="2" t="s">
        <v>73</v>
      </c>
      <c r="Q4552" s="3">
        <v>800.0</v>
      </c>
      <c r="R4552" s="3">
        <v>0.5</v>
      </c>
      <c r="T4552" s="2" t="s">
        <v>15278</v>
      </c>
      <c r="U4552" s="171">
        <v>3397.0</v>
      </c>
      <c r="V4552" s="172">
        <v>46126.0</v>
      </c>
      <c r="W4552" s="3">
        <v>377.74</v>
      </c>
      <c r="X4552" s="172">
        <v>46126.081493923615</v>
      </c>
      <c r="Y4552" s="172">
        <v>46124.09297081019</v>
      </c>
      <c r="Z4552" s="3">
        <v>46123.0</v>
      </c>
      <c r="AA4552" s="2" t="s">
        <v>14032</v>
      </c>
    </row>
    <row r="4553">
      <c r="A4553" s="3">
        <v>6.994099208451E12</v>
      </c>
      <c r="B4553" s="2" t="s">
        <v>18131</v>
      </c>
      <c r="C4553" s="2" t="s">
        <v>18132</v>
      </c>
      <c r="D4553" s="169">
        <v>46123.0</v>
      </c>
      <c r="E4553" s="2">
        <v>3.438499672E9</v>
      </c>
      <c r="F4553" s="2" t="s">
        <v>18133</v>
      </c>
      <c r="G4553" s="2" t="s">
        <v>1587</v>
      </c>
      <c r="H4553" s="2">
        <v>2797.0</v>
      </c>
      <c r="I4553" s="2"/>
      <c r="J4553" s="3">
        <v>2.0</v>
      </c>
      <c r="K4553" s="2" t="s">
        <v>8402</v>
      </c>
      <c r="L4553" s="2" t="s">
        <v>336</v>
      </c>
      <c r="M4553" s="2" t="s">
        <v>406</v>
      </c>
      <c r="N4553" s="2" t="s">
        <v>406</v>
      </c>
      <c r="O4553" s="3"/>
      <c r="P4553" s="2"/>
      <c r="Q4553" s="3">
        <v>1100.0</v>
      </c>
      <c r="R4553" s="3">
        <v>0.5</v>
      </c>
      <c r="U4553" s="141"/>
      <c r="X4553" s="172"/>
      <c r="Y4553" s="172">
        <v>46124.09297081019</v>
      </c>
      <c r="Z4553" s="3">
        <v>46123.0</v>
      </c>
      <c r="AA4553" s="2" t="s">
        <v>14053</v>
      </c>
    </row>
    <row r="4554">
      <c r="A4554" s="3">
        <v>6.994105663747E12</v>
      </c>
      <c r="B4554" s="2" t="s">
        <v>18134</v>
      </c>
      <c r="C4554" s="2" t="s">
        <v>16934</v>
      </c>
      <c r="D4554" s="169">
        <v>46123.0</v>
      </c>
      <c r="E4554" s="2">
        <v>3.438586899E9</v>
      </c>
      <c r="F4554" s="2" t="s">
        <v>16935</v>
      </c>
      <c r="G4554" s="2" t="s">
        <v>822</v>
      </c>
      <c r="H4554" s="2">
        <v>0.0</v>
      </c>
      <c r="I4554" s="2"/>
      <c r="J4554" s="3">
        <v>0.0</v>
      </c>
      <c r="K4554" s="2" t="s">
        <v>18135</v>
      </c>
      <c r="L4554" s="2"/>
      <c r="M4554" s="2" t="s">
        <v>468</v>
      </c>
      <c r="N4554" s="2" t="s">
        <v>406</v>
      </c>
      <c r="O4554" s="3"/>
      <c r="P4554" s="2"/>
      <c r="Q4554" s="3">
        <v>0.0</v>
      </c>
      <c r="R4554" s="3">
        <v>0.5</v>
      </c>
      <c r="U4554" s="141"/>
      <c r="X4554" s="172"/>
      <c r="Y4554" s="172">
        <v>46124.09297081019</v>
      </c>
      <c r="Z4554" s="3">
        <v>46123.0</v>
      </c>
      <c r="AA4554" s="2" t="s">
        <v>14053</v>
      </c>
    </row>
    <row r="4555">
      <c r="A4555" s="3">
        <v>6.994142363907E12</v>
      </c>
      <c r="B4555" s="2" t="s">
        <v>123</v>
      </c>
      <c r="C4555" s="2" t="s">
        <v>15390</v>
      </c>
      <c r="D4555" s="169">
        <v>46123.0</v>
      </c>
      <c r="E4555" s="173" t="s">
        <v>15391</v>
      </c>
      <c r="F4555" s="2" t="s">
        <v>18136</v>
      </c>
      <c r="G4555" s="2" t="s">
        <v>18137</v>
      </c>
      <c r="H4555" s="2">
        <v>3348.0</v>
      </c>
      <c r="I4555" s="2">
        <v>2.5120050023512E13</v>
      </c>
      <c r="J4555" s="3">
        <v>2.0</v>
      </c>
      <c r="K4555" s="2" t="s">
        <v>18138</v>
      </c>
      <c r="L4555" s="2" t="s">
        <v>13413</v>
      </c>
      <c r="M4555" s="2" t="s">
        <v>409</v>
      </c>
      <c r="N4555" s="2" t="s">
        <v>462</v>
      </c>
      <c r="O4555" s="3"/>
      <c r="P4555" s="2" t="s">
        <v>73</v>
      </c>
      <c r="Q4555" s="3">
        <v>800.0</v>
      </c>
      <c r="R4555" s="3">
        <v>0.5</v>
      </c>
      <c r="T4555" s="2" t="s">
        <v>72</v>
      </c>
      <c r="U4555" s="171">
        <v>3348.0</v>
      </c>
      <c r="V4555" s="172">
        <v>46129.0</v>
      </c>
      <c r="W4555" s="3">
        <v>375.78</v>
      </c>
      <c r="X4555" s="172">
        <v>46129.0810909375</v>
      </c>
      <c r="Y4555" s="172">
        <v>46124.09297082176</v>
      </c>
      <c r="Z4555" s="3">
        <v>46123.0</v>
      </c>
      <c r="AA4555" s="2" t="s">
        <v>14026</v>
      </c>
    </row>
    <row r="4556">
      <c r="A4556" s="3">
        <v>6.994145116419E12</v>
      </c>
      <c r="B4556" s="2" t="s">
        <v>18139</v>
      </c>
      <c r="C4556" s="2" t="s">
        <v>18140</v>
      </c>
      <c r="D4556" s="169">
        <v>46123.0</v>
      </c>
      <c r="E4556" s="173" t="s">
        <v>18141</v>
      </c>
      <c r="F4556" s="2" t="s">
        <v>18142</v>
      </c>
      <c r="G4556" s="2" t="s">
        <v>1830</v>
      </c>
      <c r="H4556" s="2">
        <v>3100.0</v>
      </c>
      <c r="I4556" s="2"/>
      <c r="J4556" s="3">
        <v>2.0</v>
      </c>
      <c r="K4556" s="2" t="s">
        <v>18143</v>
      </c>
      <c r="L4556" s="2" t="s">
        <v>27</v>
      </c>
      <c r="M4556" s="2" t="s">
        <v>406</v>
      </c>
      <c r="N4556" s="2" t="s">
        <v>406</v>
      </c>
      <c r="O4556" s="3"/>
      <c r="P4556" s="2"/>
      <c r="Q4556" s="3">
        <v>720.0</v>
      </c>
      <c r="R4556" s="3">
        <v>0.5</v>
      </c>
      <c r="U4556" s="141"/>
      <c r="X4556" s="172"/>
      <c r="Y4556" s="172">
        <v>46124.09297082176</v>
      </c>
      <c r="Z4556" s="3">
        <v>46123.0</v>
      </c>
      <c r="AA4556" s="2" t="s">
        <v>14026</v>
      </c>
    </row>
    <row r="4557">
      <c r="A4557" s="3">
        <v>6.994146164995E12</v>
      </c>
      <c r="B4557" s="2" t="s">
        <v>18144</v>
      </c>
      <c r="C4557" s="2" t="s">
        <v>2197</v>
      </c>
      <c r="D4557" s="169">
        <v>46123.0</v>
      </c>
      <c r="E4557" s="2">
        <v>3.170819491E9</v>
      </c>
      <c r="F4557" s="2" t="s">
        <v>18145</v>
      </c>
      <c r="G4557" s="2" t="s">
        <v>541</v>
      </c>
      <c r="H4557" s="2">
        <v>0.0</v>
      </c>
      <c r="I4557" s="2"/>
      <c r="J4557" s="3">
        <v>0.0</v>
      </c>
      <c r="K4557" s="2" t="s">
        <v>18146</v>
      </c>
      <c r="L4557" s="2"/>
      <c r="M4557" s="2" t="s">
        <v>468</v>
      </c>
      <c r="N4557" s="2" t="s">
        <v>406</v>
      </c>
      <c r="O4557" s="3"/>
      <c r="P4557" s="2"/>
      <c r="Q4557" s="3">
        <v>0.0</v>
      </c>
      <c r="R4557" s="3">
        <v>0.5</v>
      </c>
      <c r="U4557" s="141"/>
      <c r="X4557" s="172"/>
      <c r="Y4557" s="172">
        <v>46124.09297082176</v>
      </c>
      <c r="Z4557" s="3">
        <v>46123.0</v>
      </c>
      <c r="AA4557" s="2" t="s">
        <v>14022</v>
      </c>
    </row>
    <row r="4558">
      <c r="A4558" s="3">
        <v>6.994154717443E12</v>
      </c>
      <c r="B4558" s="2" t="s">
        <v>122</v>
      </c>
      <c r="C4558" s="2" t="s">
        <v>18147</v>
      </c>
      <c r="D4558" s="169">
        <v>46123.0</v>
      </c>
      <c r="E4558" s="173" t="s">
        <v>18148</v>
      </c>
      <c r="F4558" s="2" t="s">
        <v>18149</v>
      </c>
      <c r="G4558" s="2" t="s">
        <v>1619</v>
      </c>
      <c r="H4558" s="2">
        <v>3300.0</v>
      </c>
      <c r="I4558" s="2">
        <v>2.7120050023511E13</v>
      </c>
      <c r="J4558" s="3">
        <v>2.0</v>
      </c>
      <c r="K4558" s="2" t="s">
        <v>18150</v>
      </c>
      <c r="L4558" s="2" t="s">
        <v>18151</v>
      </c>
      <c r="M4558" s="2" t="s">
        <v>409</v>
      </c>
      <c r="N4558" s="2" t="s">
        <v>462</v>
      </c>
      <c r="O4558" s="3"/>
      <c r="P4558" s="2" t="s">
        <v>73</v>
      </c>
      <c r="Q4558" s="3">
        <v>1100.0</v>
      </c>
      <c r="R4558" s="3">
        <v>0.5</v>
      </c>
      <c r="T4558" s="2" t="s">
        <v>72</v>
      </c>
      <c r="U4558" s="171">
        <v>3300.0</v>
      </c>
      <c r="V4558" s="172">
        <v>46129.0</v>
      </c>
      <c r="W4558" s="3">
        <v>277.12</v>
      </c>
      <c r="X4558" s="172">
        <v>46127.08113222222</v>
      </c>
      <c r="Y4558" s="172">
        <v>46124.09297082176</v>
      </c>
      <c r="Z4558" s="3">
        <v>46123.0</v>
      </c>
      <c r="AA4558" s="2" t="s">
        <v>14026</v>
      </c>
    </row>
    <row r="4559">
      <c r="A4559" s="3">
        <v>6.994157764867E12</v>
      </c>
      <c r="B4559" s="2" t="s">
        <v>121</v>
      </c>
      <c r="C4559" s="2" t="s">
        <v>18152</v>
      </c>
      <c r="D4559" s="169">
        <v>46123.0</v>
      </c>
      <c r="E4559" s="173" t="s">
        <v>18153</v>
      </c>
      <c r="F4559" s="2" t="s">
        <v>18154</v>
      </c>
      <c r="G4559" s="2" t="s">
        <v>1549</v>
      </c>
      <c r="H4559" s="2">
        <v>3100.0</v>
      </c>
      <c r="I4559" s="2">
        <v>2.312005002351E13</v>
      </c>
      <c r="J4559" s="3">
        <v>2.0</v>
      </c>
      <c r="K4559" s="2" t="s">
        <v>18155</v>
      </c>
      <c r="L4559" s="2" t="s">
        <v>296</v>
      </c>
      <c r="M4559" s="2" t="s">
        <v>409</v>
      </c>
      <c r="N4559" s="2" t="s">
        <v>462</v>
      </c>
      <c r="O4559" s="3"/>
      <c r="P4559" s="2" t="s">
        <v>73</v>
      </c>
      <c r="Q4559" s="3">
        <v>720.0</v>
      </c>
      <c r="R4559" s="3">
        <v>0.5</v>
      </c>
      <c r="T4559" s="2" t="s">
        <v>72</v>
      </c>
      <c r="U4559" s="171">
        <v>3100.0</v>
      </c>
      <c r="V4559" s="172">
        <v>46129.0</v>
      </c>
      <c r="W4559" s="3">
        <v>381.98</v>
      </c>
      <c r="X4559" s="172">
        <v>46129.08109101852</v>
      </c>
      <c r="Y4559" s="172">
        <v>46124.09297082176</v>
      </c>
      <c r="Z4559" s="3">
        <v>46123.0</v>
      </c>
      <c r="AA4559" s="2" t="s">
        <v>14026</v>
      </c>
    </row>
    <row r="4560">
      <c r="A4560" s="3">
        <v>6.994171855107E12</v>
      </c>
      <c r="B4560" s="2" t="s">
        <v>18156</v>
      </c>
      <c r="C4560" s="2" t="s">
        <v>379</v>
      </c>
      <c r="D4560" s="169">
        <v>46123.0</v>
      </c>
      <c r="E4560" s="2">
        <v>3.016870627E9</v>
      </c>
      <c r="F4560" s="2" t="s">
        <v>18157</v>
      </c>
      <c r="G4560" s="2" t="s">
        <v>368</v>
      </c>
      <c r="H4560" s="2">
        <v>299.0</v>
      </c>
      <c r="I4560" s="2">
        <v>2.8120050023597E13</v>
      </c>
      <c r="J4560" s="3">
        <v>0.0</v>
      </c>
      <c r="K4560" s="2" t="s">
        <v>380</v>
      </c>
      <c r="L4560" s="2"/>
      <c r="M4560" s="170" t="s">
        <v>455</v>
      </c>
      <c r="N4560" s="2" t="s">
        <v>406</v>
      </c>
      <c r="O4560" s="3"/>
      <c r="P4560" s="2" t="s">
        <v>73</v>
      </c>
      <c r="Q4560" s="3">
        <v>0.0</v>
      </c>
      <c r="R4560" s="3">
        <v>0.5</v>
      </c>
      <c r="U4560" s="141"/>
      <c r="X4560" s="172">
        <v>46131.08100685185</v>
      </c>
      <c r="Y4560" s="172">
        <v>46124.09297082176</v>
      </c>
      <c r="Z4560" s="3">
        <v>46123.0</v>
      </c>
      <c r="AA4560" s="2" t="s">
        <v>14041</v>
      </c>
    </row>
    <row r="4561">
      <c r="A4561" s="3">
        <v>6.994185126147E12</v>
      </c>
      <c r="B4561" s="2" t="s">
        <v>18158</v>
      </c>
      <c r="C4561" s="2" t="s">
        <v>18159</v>
      </c>
      <c r="D4561" s="169">
        <v>46123.0</v>
      </c>
      <c r="E4561" s="2">
        <v>3.009476564E9</v>
      </c>
      <c r="F4561" s="2" t="s">
        <v>18160</v>
      </c>
      <c r="G4561" s="2" t="s">
        <v>1619</v>
      </c>
      <c r="H4561" s="2">
        <v>5049.0</v>
      </c>
      <c r="I4561" s="2"/>
      <c r="J4561" s="3">
        <v>3.0</v>
      </c>
      <c r="K4561" s="2" t="s">
        <v>18161</v>
      </c>
      <c r="L4561" s="2" t="s">
        <v>18162</v>
      </c>
      <c r="M4561" s="2" t="s">
        <v>406</v>
      </c>
      <c r="N4561" s="2" t="s">
        <v>406</v>
      </c>
      <c r="O4561" s="3"/>
      <c r="P4561" s="2"/>
      <c r="Q4561" s="3">
        <v>1385.0</v>
      </c>
      <c r="R4561" s="3">
        <v>0.5</v>
      </c>
      <c r="U4561" s="141"/>
      <c r="X4561" s="172"/>
      <c r="Y4561" s="172">
        <v>46124.09297082176</v>
      </c>
      <c r="Z4561" s="3">
        <v>46123.0</v>
      </c>
      <c r="AA4561" s="2" t="s">
        <v>14041</v>
      </c>
    </row>
    <row r="4562">
      <c r="A4562" s="3">
        <v>6.994190762243E12</v>
      </c>
      <c r="B4562" s="2" t="s">
        <v>18163</v>
      </c>
      <c r="C4562" s="2" t="s">
        <v>18164</v>
      </c>
      <c r="D4562" s="169">
        <v>46123.0</v>
      </c>
      <c r="E4562" s="173" t="s">
        <v>18165</v>
      </c>
      <c r="F4562" s="2" t="s">
        <v>18166</v>
      </c>
      <c r="G4562" s="2" t="s">
        <v>493</v>
      </c>
      <c r="H4562" s="2">
        <v>2997.0</v>
      </c>
      <c r="I4562" s="2">
        <v>2.2120050023596E13</v>
      </c>
      <c r="J4562" s="3">
        <v>2.0</v>
      </c>
      <c r="K4562" s="2" t="s">
        <v>204</v>
      </c>
      <c r="L4562" s="2" t="s">
        <v>18167</v>
      </c>
      <c r="M4562" s="2" t="s">
        <v>409</v>
      </c>
      <c r="N4562" s="2" t="s">
        <v>406</v>
      </c>
      <c r="O4562" s="3"/>
      <c r="P4562" s="2" t="s">
        <v>73</v>
      </c>
      <c r="Q4562" s="3">
        <v>1300.0</v>
      </c>
      <c r="R4562" s="3">
        <v>0.5</v>
      </c>
      <c r="U4562" s="141"/>
      <c r="X4562" s="172">
        <v>46131.08100686343</v>
      </c>
      <c r="Y4562" s="172">
        <v>46124.09297082176</v>
      </c>
      <c r="Z4562" s="3">
        <v>46123.0</v>
      </c>
      <c r="AA4562" s="2" t="s">
        <v>14032</v>
      </c>
    </row>
    <row r="4563">
      <c r="A4563" s="3">
        <v>6.994197577987E12</v>
      </c>
      <c r="B4563" s="2" t="s">
        <v>18168</v>
      </c>
      <c r="C4563" s="2" t="s">
        <v>508</v>
      </c>
      <c r="D4563" s="169">
        <v>46123.0</v>
      </c>
      <c r="E4563" s="2">
        <v>3.21850202E9</v>
      </c>
      <c r="F4563" s="2" t="s">
        <v>18169</v>
      </c>
      <c r="G4563" s="2" t="s">
        <v>506</v>
      </c>
      <c r="H4563" s="2">
        <v>3398.0</v>
      </c>
      <c r="I4563" s="2"/>
      <c r="J4563" s="3">
        <v>2.0</v>
      </c>
      <c r="K4563" s="2" t="s">
        <v>18170</v>
      </c>
      <c r="L4563" s="2" t="s">
        <v>296</v>
      </c>
      <c r="M4563" s="2" t="s">
        <v>406</v>
      </c>
      <c r="N4563" s="2" t="s">
        <v>406</v>
      </c>
      <c r="O4563" s="3"/>
      <c r="P4563" s="2"/>
      <c r="Q4563" s="3">
        <v>720.0</v>
      </c>
      <c r="R4563" s="3">
        <v>0.5</v>
      </c>
      <c r="U4563" s="141"/>
      <c r="X4563" s="172"/>
      <c r="Y4563" s="172">
        <v>46124.09297082176</v>
      </c>
      <c r="Z4563" s="3">
        <v>46123.0</v>
      </c>
      <c r="AA4563" s="2" t="s">
        <v>14032</v>
      </c>
    </row>
    <row r="4564">
      <c r="A4564" s="3">
        <v>6.994239750403E12</v>
      </c>
      <c r="B4564" s="2" t="s">
        <v>18171</v>
      </c>
      <c r="C4564" s="2" t="s">
        <v>18172</v>
      </c>
      <c r="D4564" s="169">
        <v>46123.0</v>
      </c>
      <c r="E4564" s="173" t="s">
        <v>18173</v>
      </c>
      <c r="F4564" s="2" t="s">
        <v>18174</v>
      </c>
      <c r="G4564" s="2" t="s">
        <v>493</v>
      </c>
      <c r="H4564" s="2">
        <v>1949.0</v>
      </c>
      <c r="I4564" s="2">
        <v>2.5120050023595E13</v>
      </c>
      <c r="J4564" s="3">
        <v>1.0</v>
      </c>
      <c r="K4564" s="2" t="s">
        <v>12424</v>
      </c>
      <c r="L4564" s="2" t="s">
        <v>10789</v>
      </c>
      <c r="M4564" s="2" t="s">
        <v>409</v>
      </c>
      <c r="N4564" s="2" t="s">
        <v>406</v>
      </c>
      <c r="O4564" s="3"/>
      <c r="P4564" s="2" t="s">
        <v>73</v>
      </c>
      <c r="Q4564" s="3">
        <v>550.0</v>
      </c>
      <c r="R4564" s="3">
        <v>0.5</v>
      </c>
      <c r="U4564" s="141"/>
      <c r="X4564" s="172">
        <v>46131.081006875</v>
      </c>
      <c r="Y4564" s="172">
        <v>46124.09297082176</v>
      </c>
      <c r="Z4564" s="3">
        <v>46123.0</v>
      </c>
      <c r="AA4564" s="2" t="s">
        <v>14032</v>
      </c>
    </row>
    <row r="4565">
      <c r="A4565" s="3">
        <v>6.994239815939E12</v>
      </c>
      <c r="B4565" s="2" t="s">
        <v>120</v>
      </c>
      <c r="C4565" s="2" t="s">
        <v>18175</v>
      </c>
      <c r="D4565" s="169">
        <v>46123.0</v>
      </c>
      <c r="E4565" s="173" t="s">
        <v>18176</v>
      </c>
      <c r="F4565" s="2" t="s">
        <v>18177</v>
      </c>
      <c r="G4565" s="2" t="s">
        <v>374</v>
      </c>
      <c r="H4565" s="2">
        <v>1949.0</v>
      </c>
      <c r="I4565" s="2">
        <v>2.3120050023588E13</v>
      </c>
      <c r="J4565" s="3">
        <v>1.0</v>
      </c>
      <c r="K4565" s="2" t="s">
        <v>18031</v>
      </c>
      <c r="L4565" s="2" t="s">
        <v>18178</v>
      </c>
      <c r="M4565" s="2" t="s">
        <v>409</v>
      </c>
      <c r="N4565" s="2" t="s">
        <v>462</v>
      </c>
      <c r="O4565" s="3"/>
      <c r="P4565" s="2" t="s">
        <v>73</v>
      </c>
      <c r="Q4565" s="3">
        <v>550.0</v>
      </c>
      <c r="R4565" s="3">
        <v>0.5</v>
      </c>
      <c r="T4565" s="2" t="s">
        <v>72</v>
      </c>
      <c r="U4565" s="171">
        <v>1949.0</v>
      </c>
      <c r="V4565" s="172">
        <v>46129.0</v>
      </c>
      <c r="W4565" s="3">
        <v>319.82000000000005</v>
      </c>
      <c r="X4565" s="172">
        <v>46128.081142905095</v>
      </c>
      <c r="Y4565" s="172">
        <v>46124.09297082176</v>
      </c>
      <c r="Z4565" s="3">
        <v>46123.0</v>
      </c>
      <c r="AA4565" s="2" t="s">
        <v>14032</v>
      </c>
    </row>
    <row r="4566">
      <c r="A4566" s="3">
        <v>6.994285887747E12</v>
      </c>
      <c r="B4566" s="2" t="s">
        <v>119</v>
      </c>
      <c r="C4566" s="2" t="s">
        <v>16956</v>
      </c>
      <c r="D4566" s="169">
        <v>46123.0</v>
      </c>
      <c r="E4566" s="2">
        <v>3.45862514E9</v>
      </c>
      <c r="F4566" s="2" t="s">
        <v>18179</v>
      </c>
      <c r="G4566" s="2" t="s">
        <v>461</v>
      </c>
      <c r="H4566" s="2">
        <v>3099.0</v>
      </c>
      <c r="I4566" s="2">
        <v>2.8120050023509E13</v>
      </c>
      <c r="J4566" s="3">
        <v>2.0</v>
      </c>
      <c r="K4566" s="2" t="s">
        <v>18180</v>
      </c>
      <c r="L4566" s="2" t="s">
        <v>18181</v>
      </c>
      <c r="M4566" s="2" t="s">
        <v>409</v>
      </c>
      <c r="N4566" s="2" t="s">
        <v>462</v>
      </c>
      <c r="O4566" s="3"/>
      <c r="P4566" s="2" t="s">
        <v>73</v>
      </c>
      <c r="Q4566" s="3">
        <v>1100.0</v>
      </c>
      <c r="R4566" s="3">
        <v>0.5</v>
      </c>
      <c r="T4566" s="2" t="s">
        <v>72</v>
      </c>
      <c r="U4566" s="171">
        <v>3099.0</v>
      </c>
      <c r="V4566" s="172">
        <v>46129.0</v>
      </c>
      <c r="W4566" s="3">
        <v>390.01000000000005</v>
      </c>
      <c r="X4566" s="172">
        <v>46128.081142916664</v>
      </c>
      <c r="Y4566" s="172">
        <v>46124.09297082176</v>
      </c>
      <c r="Z4566" s="3">
        <v>46123.0</v>
      </c>
      <c r="AA4566" s="2" t="s">
        <v>14032</v>
      </c>
    </row>
    <row r="4567">
      <c r="A4567" s="3">
        <v>6.994332025091E12</v>
      </c>
      <c r="B4567" s="2" t="s">
        <v>18182</v>
      </c>
      <c r="C4567" s="2" t="s">
        <v>18183</v>
      </c>
      <c r="D4567" s="169">
        <v>46123.0</v>
      </c>
      <c r="E4567" s="2">
        <v>3.048201273E9</v>
      </c>
      <c r="F4567" s="2" t="s">
        <v>18184</v>
      </c>
      <c r="G4567" s="2" t="s">
        <v>15283</v>
      </c>
      <c r="H4567" s="2">
        <v>1798.0</v>
      </c>
      <c r="I4567" s="2"/>
      <c r="J4567" s="3">
        <v>1.0</v>
      </c>
      <c r="K4567" s="2" t="s">
        <v>204</v>
      </c>
      <c r="L4567" s="2" t="s">
        <v>301</v>
      </c>
      <c r="M4567" s="2" t="s">
        <v>406</v>
      </c>
      <c r="N4567" s="2" t="s">
        <v>406</v>
      </c>
      <c r="O4567" s="3"/>
      <c r="P4567" s="2"/>
      <c r="Q4567" s="3">
        <v>550.0</v>
      </c>
      <c r="R4567" s="3">
        <v>0.5</v>
      </c>
      <c r="U4567" s="141"/>
      <c r="X4567" s="172"/>
      <c r="Y4567" s="172">
        <v>46124.09297082176</v>
      </c>
      <c r="Z4567" s="3">
        <v>46123.0</v>
      </c>
      <c r="AA4567" s="2" t="s">
        <v>14022</v>
      </c>
    </row>
    <row r="4568">
      <c r="A4568" s="3">
        <v>6.994416238851E12</v>
      </c>
      <c r="B4568" s="2" t="s">
        <v>18185</v>
      </c>
      <c r="C4568" s="2" t="s">
        <v>4890</v>
      </c>
      <c r="D4568" s="169">
        <v>46123.0</v>
      </c>
      <c r="E4568" s="2">
        <v>3.333919292E9</v>
      </c>
      <c r="F4568" s="2" t="s">
        <v>18186</v>
      </c>
      <c r="G4568" s="2" t="s">
        <v>781</v>
      </c>
      <c r="H4568" s="2">
        <v>1798.0</v>
      </c>
      <c r="I4568" s="2"/>
      <c r="J4568" s="3">
        <v>1.0</v>
      </c>
      <c r="K4568" s="2" t="s">
        <v>204</v>
      </c>
      <c r="L4568" s="2" t="s">
        <v>17591</v>
      </c>
      <c r="M4568" s="2" t="s">
        <v>406</v>
      </c>
      <c r="N4568" s="2" t="s">
        <v>406</v>
      </c>
      <c r="O4568" s="3"/>
      <c r="P4568" s="2"/>
      <c r="Q4568" s="3">
        <v>550.0</v>
      </c>
      <c r="R4568" s="3">
        <v>0.5</v>
      </c>
      <c r="U4568" s="141"/>
      <c r="X4568" s="172"/>
      <c r="Y4568" s="172">
        <v>46124.09297082176</v>
      </c>
      <c r="Z4568" s="3">
        <v>46123.0</v>
      </c>
      <c r="AA4568" s="2" t="s">
        <v>14041</v>
      </c>
    </row>
    <row r="4569">
      <c r="A4569" s="3">
        <v>6.994535219459E12</v>
      </c>
      <c r="B4569" s="2" t="s">
        <v>18187</v>
      </c>
      <c r="C4569" s="2" t="s">
        <v>7602</v>
      </c>
      <c r="D4569" s="169">
        <v>46123.0</v>
      </c>
      <c r="E4569" s="173" t="s">
        <v>7603</v>
      </c>
      <c r="F4569" s="2" t="s">
        <v>18188</v>
      </c>
      <c r="G4569" s="2" t="s">
        <v>493</v>
      </c>
      <c r="H4569" s="2">
        <v>3397.0</v>
      </c>
      <c r="I4569" s="2"/>
      <c r="J4569" s="3">
        <v>2.0</v>
      </c>
      <c r="K4569" s="2" t="s">
        <v>204</v>
      </c>
      <c r="L4569" s="2" t="s">
        <v>280</v>
      </c>
      <c r="M4569" s="2" t="s">
        <v>406</v>
      </c>
      <c r="N4569" s="2" t="s">
        <v>406</v>
      </c>
      <c r="O4569" s="3"/>
      <c r="P4569" s="2"/>
      <c r="Q4569" s="3">
        <v>720.0</v>
      </c>
      <c r="R4569" s="3">
        <v>0.5</v>
      </c>
      <c r="U4569" s="141"/>
      <c r="X4569" s="172"/>
      <c r="Y4569" s="172">
        <v>46124.09297082176</v>
      </c>
      <c r="Z4569" s="3">
        <v>46123.0</v>
      </c>
      <c r="AA4569" s="2" t="s">
        <v>14032</v>
      </c>
    </row>
    <row r="4570">
      <c r="A4570" s="3">
        <v>6.994607964419E12</v>
      </c>
      <c r="B4570" s="2" t="s">
        <v>18189</v>
      </c>
      <c r="C4570" s="2" t="s">
        <v>18190</v>
      </c>
      <c r="D4570" s="169">
        <v>46123.0</v>
      </c>
      <c r="E4570" s="2">
        <v>3.067269554E9</v>
      </c>
      <c r="F4570" s="2" t="s">
        <v>18191</v>
      </c>
      <c r="G4570" s="2" t="s">
        <v>7828</v>
      </c>
      <c r="H4570" s="2">
        <v>3099.0</v>
      </c>
      <c r="I4570" s="2">
        <v>2.8120050023508E13</v>
      </c>
      <c r="J4570" s="3">
        <v>2.0</v>
      </c>
      <c r="K4570" s="2" t="s">
        <v>204</v>
      </c>
      <c r="L4570" s="2" t="s">
        <v>18192</v>
      </c>
      <c r="M4570" s="2" t="s">
        <v>409</v>
      </c>
      <c r="N4570" s="2" t="s">
        <v>406</v>
      </c>
      <c r="O4570" s="3"/>
      <c r="P4570" s="2" t="s">
        <v>73</v>
      </c>
      <c r="Q4570" s="3">
        <v>1100.0</v>
      </c>
      <c r="R4570" s="3">
        <v>0.5</v>
      </c>
      <c r="U4570" s="141"/>
      <c r="X4570" s="172">
        <v>46130.08127660879</v>
      </c>
      <c r="Y4570" s="172">
        <v>46124.09297082176</v>
      </c>
      <c r="Z4570" s="3">
        <v>46123.0</v>
      </c>
      <c r="AA4570" s="2" t="s">
        <v>14022</v>
      </c>
    </row>
    <row r="4571">
      <c r="A4571" s="3">
        <v>6.994642239747E12</v>
      </c>
      <c r="B4571" s="2" t="s">
        <v>18193</v>
      </c>
      <c r="C4571" s="2" t="s">
        <v>18194</v>
      </c>
      <c r="D4571" s="169">
        <v>46123.0</v>
      </c>
      <c r="E4571" s="2">
        <v>3.002433621E9</v>
      </c>
      <c r="F4571" s="2" t="s">
        <v>18195</v>
      </c>
      <c r="G4571" s="2" t="s">
        <v>898</v>
      </c>
      <c r="H4571" s="2">
        <v>1798.0</v>
      </c>
      <c r="I4571" s="2"/>
      <c r="J4571" s="3">
        <v>1.0</v>
      </c>
      <c r="K4571" s="2" t="s">
        <v>204</v>
      </c>
      <c r="L4571" s="2" t="s">
        <v>18196</v>
      </c>
      <c r="M4571" s="2" t="s">
        <v>406</v>
      </c>
      <c r="N4571" s="2" t="s">
        <v>406</v>
      </c>
      <c r="O4571" s="3"/>
      <c r="P4571" s="2"/>
      <c r="Q4571" s="3">
        <v>550.0</v>
      </c>
      <c r="R4571" s="3">
        <v>0.5</v>
      </c>
      <c r="U4571" s="141"/>
      <c r="X4571" s="172"/>
      <c r="Y4571" s="172">
        <v>46124.09297082176</v>
      </c>
      <c r="Z4571" s="3">
        <v>46123.0</v>
      </c>
      <c r="AA4571" s="2" t="s">
        <v>14032</v>
      </c>
    </row>
    <row r="4572">
      <c r="A4572" s="3">
        <v>6.994673074435E12</v>
      </c>
      <c r="B4572" s="2" t="s">
        <v>18197</v>
      </c>
      <c r="C4572" s="2" t="s">
        <v>214</v>
      </c>
      <c r="D4572" s="169">
        <v>46123.0</v>
      </c>
      <c r="E4572" s="2">
        <v>3.494493941E9</v>
      </c>
      <c r="F4572" s="2" t="s">
        <v>18198</v>
      </c>
      <c r="G4572" s="2" t="s">
        <v>1180</v>
      </c>
      <c r="H4572" s="2">
        <v>2997.0</v>
      </c>
      <c r="I4572" s="2">
        <v>2.9120050023587E13</v>
      </c>
      <c r="J4572" s="3">
        <v>2.0</v>
      </c>
      <c r="K4572" s="2" t="s">
        <v>204</v>
      </c>
      <c r="L4572" s="2" t="s">
        <v>18199</v>
      </c>
      <c r="M4572" s="2" t="s">
        <v>17</v>
      </c>
      <c r="N4572" s="2" t="s">
        <v>406</v>
      </c>
      <c r="O4572" s="3"/>
      <c r="P4572" s="2" t="s">
        <v>73</v>
      </c>
      <c r="Q4572" s="3">
        <v>1300.0</v>
      </c>
      <c r="R4572" s="3">
        <v>0.5</v>
      </c>
      <c r="U4572" s="141"/>
      <c r="X4572" s="172">
        <v>46130.08127663194</v>
      </c>
      <c r="Y4572" s="172">
        <v>46124.09297082176</v>
      </c>
      <c r="Z4572" s="3">
        <v>46123.0</v>
      </c>
      <c r="AA4572" s="2" t="s">
        <v>14032</v>
      </c>
    </row>
    <row r="4573">
      <c r="A4573" s="3">
        <v>6.994686443779E12</v>
      </c>
      <c r="B4573" s="2" t="s">
        <v>18200</v>
      </c>
      <c r="C4573" s="2" t="s">
        <v>18201</v>
      </c>
      <c r="D4573" s="169">
        <v>46123.0</v>
      </c>
      <c r="E4573" s="2">
        <v>3.047221266E9</v>
      </c>
      <c r="F4573" s="2" t="s">
        <v>18202</v>
      </c>
      <c r="G4573" s="2" t="s">
        <v>688</v>
      </c>
      <c r="H4573" s="2">
        <v>3397.0</v>
      </c>
      <c r="I4573" s="2">
        <v>2.9120050023586E13</v>
      </c>
      <c r="J4573" s="3">
        <v>2.0</v>
      </c>
      <c r="K4573" s="2" t="s">
        <v>204</v>
      </c>
      <c r="L4573" s="2" t="s">
        <v>11529</v>
      </c>
      <c r="M4573" s="2" t="s">
        <v>409</v>
      </c>
      <c r="N4573" s="2" t="s">
        <v>406</v>
      </c>
      <c r="O4573" s="3"/>
      <c r="P4573" s="2" t="s">
        <v>73</v>
      </c>
      <c r="Q4573" s="3">
        <v>800.0</v>
      </c>
      <c r="R4573" s="3">
        <v>0.5</v>
      </c>
      <c r="U4573" s="141"/>
      <c r="X4573" s="172">
        <v>46130.081276655095</v>
      </c>
      <c r="Y4573" s="172">
        <v>46124.09297082176</v>
      </c>
      <c r="Z4573" s="3">
        <v>46123.0</v>
      </c>
      <c r="AA4573" s="2" t="s">
        <v>14032</v>
      </c>
    </row>
    <row r="4574">
      <c r="A4574" s="3">
        <v>6.994690375939E12</v>
      </c>
      <c r="B4574" s="2" t="s">
        <v>118</v>
      </c>
      <c r="C4574" s="2" t="s">
        <v>18203</v>
      </c>
      <c r="D4574" s="169">
        <v>46123.0</v>
      </c>
      <c r="E4574" s="2">
        <v>3.329109411E9</v>
      </c>
      <c r="F4574" s="2" t="s">
        <v>18204</v>
      </c>
      <c r="G4574" s="2" t="s">
        <v>506</v>
      </c>
      <c r="H4574" s="2">
        <v>3099.0</v>
      </c>
      <c r="I4574" s="2">
        <v>2.8120050023585E13</v>
      </c>
      <c r="J4574" s="3">
        <v>2.0</v>
      </c>
      <c r="K4574" s="2" t="s">
        <v>18064</v>
      </c>
      <c r="L4574" s="2" t="s">
        <v>18205</v>
      </c>
      <c r="M4574" s="2" t="s">
        <v>409</v>
      </c>
      <c r="N4574" s="2" t="s">
        <v>462</v>
      </c>
      <c r="O4574" s="3"/>
      <c r="P4574" s="2" t="s">
        <v>73</v>
      </c>
      <c r="Q4574" s="3">
        <v>1100.0</v>
      </c>
      <c r="R4574" s="3">
        <v>0.5</v>
      </c>
      <c r="T4574" s="2" t="s">
        <v>72</v>
      </c>
      <c r="U4574" s="171">
        <v>3099.0</v>
      </c>
      <c r="V4574" s="172">
        <v>46129.0</v>
      </c>
      <c r="W4574" s="3">
        <v>390.01000000000005</v>
      </c>
      <c r="X4574" s="172">
        <v>46129.08109225694</v>
      </c>
      <c r="Y4574" s="172">
        <v>46124.09297082176</v>
      </c>
      <c r="Z4574" s="3">
        <v>46123.0</v>
      </c>
      <c r="AA4574" s="2" t="s">
        <v>14032</v>
      </c>
    </row>
    <row r="4575">
      <c r="A4575" s="3">
        <v>6.994706596099E12</v>
      </c>
      <c r="B4575" s="2" t="s">
        <v>18206</v>
      </c>
      <c r="C4575" s="2" t="s">
        <v>18207</v>
      </c>
      <c r="D4575" s="169">
        <v>46123.0</v>
      </c>
      <c r="E4575" s="2">
        <v>3.008753564E9</v>
      </c>
      <c r="F4575" s="2" t="s">
        <v>18208</v>
      </c>
      <c r="G4575" s="2" t="s">
        <v>2905</v>
      </c>
      <c r="H4575" s="2">
        <v>1798.0</v>
      </c>
      <c r="I4575" s="2"/>
      <c r="J4575" s="3">
        <v>1.0</v>
      </c>
      <c r="K4575" s="2" t="s">
        <v>204</v>
      </c>
      <c r="L4575" s="2" t="s">
        <v>18209</v>
      </c>
      <c r="M4575" s="2" t="s">
        <v>406</v>
      </c>
      <c r="N4575" s="2" t="s">
        <v>406</v>
      </c>
      <c r="O4575" s="3"/>
      <c r="P4575" s="2"/>
      <c r="Q4575" s="3">
        <v>550.0</v>
      </c>
      <c r="R4575" s="3">
        <v>0.5</v>
      </c>
      <c r="U4575" s="141"/>
      <c r="X4575" s="172"/>
      <c r="Y4575" s="172">
        <v>46124.09297082176</v>
      </c>
      <c r="Z4575" s="3">
        <v>46123.0</v>
      </c>
      <c r="AA4575" s="2" t="s">
        <v>14041</v>
      </c>
    </row>
    <row r="4576">
      <c r="A4576" s="3">
        <v>6.994712723715E12</v>
      </c>
      <c r="B4576" s="2" t="s">
        <v>117</v>
      </c>
      <c r="C4576" s="2" t="s">
        <v>18210</v>
      </c>
      <c r="D4576" s="169">
        <v>46123.0</v>
      </c>
      <c r="E4576" s="2">
        <v>3.065671367E9</v>
      </c>
      <c r="F4576" s="2" t="s">
        <v>18211</v>
      </c>
      <c r="G4576" s="2" t="s">
        <v>374</v>
      </c>
      <c r="H4576" s="2">
        <v>3399.0</v>
      </c>
      <c r="I4576" s="2">
        <v>2.9120050023507E13</v>
      </c>
      <c r="J4576" s="3">
        <v>2.0</v>
      </c>
      <c r="K4576" s="2" t="s">
        <v>18212</v>
      </c>
      <c r="L4576" s="2" t="s">
        <v>18080</v>
      </c>
      <c r="M4576" s="2" t="s">
        <v>409</v>
      </c>
      <c r="N4576" s="2" t="s">
        <v>462</v>
      </c>
      <c r="O4576" s="3"/>
      <c r="P4576" s="2" t="s">
        <v>73</v>
      </c>
      <c r="Q4576" s="3">
        <v>800.0</v>
      </c>
      <c r="R4576" s="3">
        <v>0.5</v>
      </c>
      <c r="T4576" s="2" t="s">
        <v>72</v>
      </c>
      <c r="U4576" s="171">
        <v>3399.0</v>
      </c>
      <c r="V4576" s="172">
        <v>46129.0</v>
      </c>
      <c r="W4576" s="3">
        <v>377.82000000000005</v>
      </c>
      <c r="X4576" s="172">
        <v>46128.08114296296</v>
      </c>
      <c r="Y4576" s="172">
        <v>46124.09297082176</v>
      </c>
      <c r="Z4576" s="3">
        <v>46123.0</v>
      </c>
      <c r="AA4576" s="2" t="s">
        <v>14041</v>
      </c>
    </row>
    <row r="4577">
      <c r="A4577" s="3">
        <v>6.994713936131E12</v>
      </c>
      <c r="B4577" s="2" t="s">
        <v>18213</v>
      </c>
      <c r="C4577" s="2" t="s">
        <v>18214</v>
      </c>
      <c r="D4577" s="169">
        <v>46123.0</v>
      </c>
      <c r="E4577" s="173" t="s">
        <v>18215</v>
      </c>
      <c r="F4577" s="2" t="s">
        <v>18216</v>
      </c>
      <c r="G4577" s="2" t="s">
        <v>672</v>
      </c>
      <c r="H4577" s="2">
        <v>2797.0</v>
      </c>
      <c r="I4577" s="2"/>
      <c r="J4577" s="3">
        <v>2.0</v>
      </c>
      <c r="K4577" s="2" t="s">
        <v>204</v>
      </c>
      <c r="L4577" s="2" t="s">
        <v>18217</v>
      </c>
      <c r="M4577" s="2" t="s">
        <v>406</v>
      </c>
      <c r="N4577" s="2" t="s">
        <v>406</v>
      </c>
      <c r="O4577" s="3"/>
      <c r="P4577" s="2"/>
      <c r="Q4577" s="3">
        <v>1100.0</v>
      </c>
      <c r="R4577" s="3">
        <v>0.5</v>
      </c>
      <c r="U4577" s="141"/>
      <c r="X4577" s="172"/>
      <c r="Y4577" s="172">
        <v>46124.09297082176</v>
      </c>
      <c r="Z4577" s="3">
        <v>46123.0</v>
      </c>
      <c r="AA4577" s="2" t="s">
        <v>14032</v>
      </c>
    </row>
    <row r="4578">
      <c r="A4578" s="3">
        <v>6.994795626755E12</v>
      </c>
      <c r="B4578" s="2" t="s">
        <v>18218</v>
      </c>
      <c r="C4578" s="2" t="s">
        <v>18219</v>
      </c>
      <c r="D4578" s="169">
        <v>46124.0</v>
      </c>
      <c r="E4578" s="173" t="s">
        <v>18220</v>
      </c>
      <c r="F4578" s="2" t="s">
        <v>18221</v>
      </c>
      <c r="G4578" s="2" t="s">
        <v>506</v>
      </c>
      <c r="H4578" s="2">
        <v>3197.0</v>
      </c>
      <c r="I4578" s="2">
        <v>2.2120050023635E13</v>
      </c>
      <c r="J4578" s="3">
        <v>2.0</v>
      </c>
      <c r="K4578" s="2" t="s">
        <v>241</v>
      </c>
      <c r="L4578" s="2" t="s">
        <v>16687</v>
      </c>
      <c r="M4578" s="2" t="s">
        <v>15328</v>
      </c>
      <c r="N4578" s="2" t="s">
        <v>406</v>
      </c>
      <c r="O4578" s="3"/>
      <c r="P4578" s="2" t="s">
        <v>73</v>
      </c>
      <c r="Q4578" s="3">
        <v>1010.0</v>
      </c>
      <c r="R4578" s="3">
        <v>0.5</v>
      </c>
      <c r="U4578" s="141"/>
      <c r="X4578" s="172">
        <v>46132.0811200926</v>
      </c>
      <c r="Y4578" s="172">
        <v>46124.09297082176</v>
      </c>
      <c r="Z4578" s="3">
        <v>46124.0</v>
      </c>
      <c r="AA4578" s="2" t="s">
        <v>14032</v>
      </c>
    </row>
    <row r="4579">
      <c r="A4579" s="3">
        <v>6.994928992515E12</v>
      </c>
      <c r="B4579" s="2" t="s">
        <v>18222</v>
      </c>
      <c r="C4579" s="2" t="s">
        <v>18223</v>
      </c>
      <c r="D4579" s="169">
        <v>46124.0</v>
      </c>
      <c r="E4579" s="2">
        <v>3.360521052E9</v>
      </c>
      <c r="F4579" s="2" t="s">
        <v>18224</v>
      </c>
      <c r="G4579" s="2" t="s">
        <v>493</v>
      </c>
      <c r="H4579" s="2">
        <v>3099.0</v>
      </c>
      <c r="I4579" s="2">
        <v>2.2120050023594E13</v>
      </c>
      <c r="J4579" s="3">
        <v>2.0</v>
      </c>
      <c r="K4579" s="2" t="s">
        <v>204</v>
      </c>
      <c r="L4579" s="2" t="s">
        <v>18225</v>
      </c>
      <c r="M4579" s="2" t="s">
        <v>16906</v>
      </c>
      <c r="N4579" s="2" t="s">
        <v>406</v>
      </c>
      <c r="O4579" s="3"/>
      <c r="P4579" s="2" t="s">
        <v>73</v>
      </c>
      <c r="Q4579" s="3">
        <v>1100.0</v>
      </c>
      <c r="R4579" s="3">
        <v>0.5</v>
      </c>
      <c r="U4579" s="141"/>
      <c r="X4579" s="172">
        <v>46132.08112155093</v>
      </c>
      <c r="Y4579" s="172">
        <v>46124.09297082176</v>
      </c>
      <c r="Z4579" s="3">
        <v>46124.0</v>
      </c>
      <c r="AA4579" s="2" t="s">
        <v>14032</v>
      </c>
    </row>
    <row r="4580">
      <c r="A4580" s="3">
        <v>6.995022708995E12</v>
      </c>
      <c r="B4580" s="2" t="s">
        <v>18226</v>
      </c>
      <c r="C4580" s="2" t="s">
        <v>18227</v>
      </c>
      <c r="D4580" s="169">
        <v>46124.0</v>
      </c>
      <c r="E4580" s="2">
        <v>3.200777707E9</v>
      </c>
      <c r="F4580" s="2" t="s">
        <v>18228</v>
      </c>
      <c r="G4580" s="2" t="s">
        <v>368</v>
      </c>
      <c r="H4580" s="2">
        <v>3399.0</v>
      </c>
      <c r="I4580" s="2">
        <v>2.1120050023506E13</v>
      </c>
      <c r="J4580" s="3">
        <v>2.0</v>
      </c>
      <c r="K4580" s="2" t="s">
        <v>204</v>
      </c>
      <c r="L4580" s="2" t="s">
        <v>18229</v>
      </c>
      <c r="M4580" s="2" t="s">
        <v>409</v>
      </c>
      <c r="N4580" s="2" t="s">
        <v>406</v>
      </c>
      <c r="O4580" s="3"/>
      <c r="P4580" s="2" t="s">
        <v>73</v>
      </c>
      <c r="Q4580" s="3">
        <v>860.0</v>
      </c>
      <c r="R4580" s="3">
        <v>0.5</v>
      </c>
      <c r="U4580" s="141"/>
      <c r="X4580" s="172">
        <v>46131.081048101856</v>
      </c>
      <c r="Y4580" s="172">
        <v>46125.09297164352</v>
      </c>
      <c r="Z4580" s="3">
        <v>46124.0</v>
      </c>
      <c r="AA4580" s="2" t="s">
        <v>14053</v>
      </c>
    </row>
    <row r="4581">
      <c r="A4581" s="3">
        <v>6.995250053379E12</v>
      </c>
      <c r="B4581" s="2" t="s">
        <v>18230</v>
      </c>
      <c r="C4581" s="2" t="s">
        <v>7842</v>
      </c>
      <c r="D4581" s="169">
        <v>46124.0</v>
      </c>
      <c r="E4581" s="2">
        <v>3.060707172E9</v>
      </c>
      <c r="F4581" s="2" t="s">
        <v>18231</v>
      </c>
      <c r="G4581" s="2" t="s">
        <v>993</v>
      </c>
      <c r="H4581" s="2">
        <v>1949.0</v>
      </c>
      <c r="I4581" s="2"/>
      <c r="J4581" s="3">
        <v>1.0</v>
      </c>
      <c r="K4581" s="2" t="s">
        <v>7809</v>
      </c>
      <c r="L4581" s="2" t="s">
        <v>18232</v>
      </c>
      <c r="M4581" s="2" t="s">
        <v>406</v>
      </c>
      <c r="N4581" s="2" t="s">
        <v>406</v>
      </c>
      <c r="O4581" s="3"/>
      <c r="P4581" s="2"/>
      <c r="Q4581" s="3">
        <v>550.0</v>
      </c>
      <c r="R4581" s="3">
        <v>0.5</v>
      </c>
      <c r="U4581" s="141"/>
      <c r="X4581" s="172"/>
      <c r="Y4581" s="172">
        <v>46125.09297164352</v>
      </c>
      <c r="Z4581" s="3">
        <v>46124.0</v>
      </c>
      <c r="AA4581" s="2" t="s">
        <v>14103</v>
      </c>
    </row>
    <row r="4582">
      <c r="A4582" s="3">
        <v>6.995253264643E12</v>
      </c>
      <c r="B4582" s="2" t="s">
        <v>18233</v>
      </c>
      <c r="C4582" s="2" t="s">
        <v>17723</v>
      </c>
      <c r="D4582" s="169">
        <v>46124.0</v>
      </c>
      <c r="E4582" s="173" t="s">
        <v>17724</v>
      </c>
      <c r="F4582" s="2" t="s">
        <v>17725</v>
      </c>
      <c r="G4582" s="2" t="s">
        <v>461</v>
      </c>
      <c r="H4582" s="2">
        <v>1798.0</v>
      </c>
      <c r="I4582" s="2"/>
      <c r="J4582" s="3">
        <v>1.0</v>
      </c>
      <c r="K4582" s="2" t="s">
        <v>7809</v>
      </c>
      <c r="L4582" s="2" t="s">
        <v>17840</v>
      </c>
      <c r="M4582" s="2" t="s">
        <v>406</v>
      </c>
      <c r="N4582" s="2" t="s">
        <v>406</v>
      </c>
      <c r="O4582" s="3"/>
      <c r="P4582" s="2"/>
      <c r="Q4582" s="3">
        <v>550.0</v>
      </c>
      <c r="R4582" s="3">
        <v>0.5</v>
      </c>
      <c r="U4582" s="141"/>
      <c r="X4582" s="172"/>
      <c r="Y4582" s="172">
        <v>46125.09297167824</v>
      </c>
      <c r="Z4582" s="3">
        <v>46124.0</v>
      </c>
      <c r="AA4582" s="2" t="s">
        <v>14032</v>
      </c>
    </row>
    <row r="4583">
      <c r="A4583" s="3">
        <v>6.995285868803E12</v>
      </c>
      <c r="B4583" s="2" t="s">
        <v>116</v>
      </c>
      <c r="C4583" s="2" t="s">
        <v>18234</v>
      </c>
      <c r="D4583" s="169">
        <v>46124.0</v>
      </c>
      <c r="E4583" s="2">
        <v>3.435413024E9</v>
      </c>
      <c r="F4583" s="2" t="s">
        <v>18235</v>
      </c>
      <c r="G4583" s="2" t="s">
        <v>368</v>
      </c>
      <c r="H4583" s="2">
        <v>3099.0</v>
      </c>
      <c r="I4583" s="2">
        <v>2.9120050023584E13</v>
      </c>
      <c r="J4583" s="3">
        <v>2.0</v>
      </c>
      <c r="K4583" s="2" t="s">
        <v>18236</v>
      </c>
      <c r="L4583" s="2" t="s">
        <v>18237</v>
      </c>
      <c r="M4583" s="2" t="s">
        <v>409</v>
      </c>
      <c r="N4583" s="2" t="s">
        <v>462</v>
      </c>
      <c r="O4583" s="3"/>
      <c r="P4583" s="2" t="s">
        <v>73</v>
      </c>
      <c r="Q4583" s="3">
        <v>1100.0</v>
      </c>
      <c r="R4583" s="3">
        <v>0.5</v>
      </c>
      <c r="T4583" s="2" t="s">
        <v>72</v>
      </c>
      <c r="U4583" s="171">
        <v>3099.0</v>
      </c>
      <c r="V4583" s="172">
        <v>46129.0</v>
      </c>
      <c r="W4583" s="3">
        <v>269.08</v>
      </c>
      <c r="X4583" s="172">
        <v>46128.08114299769</v>
      </c>
      <c r="Y4583" s="172">
        <v>46125.09297167824</v>
      </c>
      <c r="Z4583" s="3">
        <v>46124.0</v>
      </c>
      <c r="AA4583" s="2" t="s">
        <v>14032</v>
      </c>
    </row>
    <row r="4584">
      <c r="A4584" s="3">
        <v>6.995346456835E12</v>
      </c>
      <c r="B4584" s="2" t="s">
        <v>18238</v>
      </c>
      <c r="C4584" s="2" t="s">
        <v>18164</v>
      </c>
      <c r="D4584" s="169">
        <v>46124.0</v>
      </c>
      <c r="E4584" s="2">
        <v>3.110458719E9</v>
      </c>
      <c r="F4584" s="2" t="s">
        <v>18239</v>
      </c>
      <c r="G4584" s="2" t="s">
        <v>18240</v>
      </c>
      <c r="H4584" s="2">
        <v>1899.0</v>
      </c>
      <c r="I4584" s="2"/>
      <c r="J4584" s="3">
        <v>1.0</v>
      </c>
      <c r="K4584" s="2" t="s">
        <v>9778</v>
      </c>
      <c r="L4584" s="2" t="s">
        <v>18241</v>
      </c>
      <c r="M4584" s="2" t="s">
        <v>406</v>
      </c>
      <c r="N4584" s="2" t="s">
        <v>406</v>
      </c>
      <c r="O4584" s="3"/>
      <c r="P4584" s="2"/>
      <c r="Q4584" s="3">
        <v>360.0</v>
      </c>
      <c r="R4584" s="3">
        <v>0.5</v>
      </c>
      <c r="U4584" s="141"/>
      <c r="X4584" s="172"/>
      <c r="Y4584" s="172">
        <v>46125.09297167824</v>
      </c>
      <c r="Z4584" s="3">
        <v>46124.0</v>
      </c>
      <c r="AA4584" s="2" t="s">
        <v>14032</v>
      </c>
    </row>
    <row r="4585">
      <c r="A4585" s="3">
        <v>6.995356713219E12</v>
      </c>
      <c r="B4585" s="2" t="s">
        <v>18242</v>
      </c>
      <c r="C4585" s="2" t="s">
        <v>12572</v>
      </c>
      <c r="D4585" s="169">
        <v>46124.0</v>
      </c>
      <c r="E4585" s="2">
        <v>3.081168414E9</v>
      </c>
      <c r="F4585" s="2" t="s">
        <v>18243</v>
      </c>
      <c r="G4585" s="2" t="s">
        <v>688</v>
      </c>
      <c r="H4585" s="2">
        <v>0.0</v>
      </c>
      <c r="I4585" s="2"/>
      <c r="J4585" s="3">
        <v>0.0</v>
      </c>
      <c r="K4585" s="2" t="s">
        <v>7954</v>
      </c>
      <c r="L4585" s="2"/>
      <c r="M4585" s="2" t="s">
        <v>468</v>
      </c>
      <c r="N4585" s="2" t="s">
        <v>406</v>
      </c>
      <c r="O4585" s="3"/>
      <c r="P4585" s="2"/>
      <c r="Q4585" s="3">
        <v>0.0</v>
      </c>
      <c r="R4585" s="3">
        <v>0.5</v>
      </c>
      <c r="U4585" s="141"/>
      <c r="X4585" s="172"/>
      <c r="Y4585" s="172">
        <v>46125.09297167824</v>
      </c>
      <c r="Z4585" s="3">
        <v>46124.0</v>
      </c>
      <c r="AA4585" s="2" t="s">
        <v>14041</v>
      </c>
    </row>
    <row r="4586">
      <c r="A4586" s="3">
        <v>6.995363299587E12</v>
      </c>
      <c r="B4586" s="2" t="s">
        <v>18244</v>
      </c>
      <c r="C4586" s="2" t="s">
        <v>12572</v>
      </c>
      <c r="D4586" s="169">
        <v>46124.0</v>
      </c>
      <c r="E4586" s="2">
        <v>3.081168414E9</v>
      </c>
      <c r="F4586" s="2" t="s">
        <v>18243</v>
      </c>
      <c r="G4586" s="2" t="s">
        <v>688</v>
      </c>
      <c r="H4586" s="2">
        <v>5797.0</v>
      </c>
      <c r="I4586" s="2"/>
      <c r="J4586" s="3">
        <v>4.0</v>
      </c>
      <c r="K4586" s="2" t="s">
        <v>18245</v>
      </c>
      <c r="L4586" s="2" t="s">
        <v>18246</v>
      </c>
      <c r="M4586" s="2" t="s">
        <v>406</v>
      </c>
      <c r="N4586" s="2" t="s">
        <v>406</v>
      </c>
      <c r="O4586" s="3"/>
      <c r="P4586" s="2"/>
      <c r="Q4586" s="3">
        <v>2400.0</v>
      </c>
      <c r="R4586" s="3">
        <v>0.5</v>
      </c>
      <c r="U4586" s="141"/>
      <c r="X4586" s="172"/>
      <c r="Y4586" s="172">
        <v>46125.09297167824</v>
      </c>
      <c r="Z4586" s="3">
        <v>46124.0</v>
      </c>
      <c r="AA4586" s="2" t="s">
        <v>14041</v>
      </c>
    </row>
    <row r="4587">
      <c r="A4587" s="3">
        <v>6.995382010115E12</v>
      </c>
      <c r="B4587" s="2" t="s">
        <v>18247</v>
      </c>
      <c r="C4587" s="2" t="s">
        <v>18248</v>
      </c>
      <c r="D4587" s="169">
        <v>46124.0</v>
      </c>
      <c r="E4587" s="2">
        <v>3.019021737E9</v>
      </c>
      <c r="F4587" s="2" t="s">
        <v>18249</v>
      </c>
      <c r="G4587" s="2" t="s">
        <v>9519</v>
      </c>
      <c r="H4587" s="2">
        <v>2098.0</v>
      </c>
      <c r="I4587" s="2"/>
      <c r="J4587" s="3">
        <v>1.0</v>
      </c>
      <c r="K4587" s="2" t="s">
        <v>204</v>
      </c>
      <c r="L4587" s="2" t="s">
        <v>243</v>
      </c>
      <c r="M4587" s="2" t="s">
        <v>406</v>
      </c>
      <c r="N4587" s="2" t="s">
        <v>406</v>
      </c>
      <c r="O4587" s="3"/>
      <c r="P4587" s="2"/>
      <c r="Q4587" s="3">
        <v>360.0</v>
      </c>
      <c r="R4587" s="3">
        <v>0.5</v>
      </c>
      <c r="U4587" s="141"/>
      <c r="X4587" s="172"/>
      <c r="Y4587" s="172">
        <v>46125.09297167824</v>
      </c>
      <c r="Z4587" s="3">
        <v>46124.0</v>
      </c>
      <c r="AA4587" s="2" t="s">
        <v>14041</v>
      </c>
    </row>
    <row r="4588">
      <c r="A4588" s="3">
        <v>6.995388793091E12</v>
      </c>
      <c r="B4588" s="2" t="s">
        <v>115</v>
      </c>
      <c r="C4588" s="2" t="s">
        <v>18250</v>
      </c>
      <c r="D4588" s="169">
        <v>46124.0</v>
      </c>
      <c r="E4588" s="2">
        <v>3.055620264E9</v>
      </c>
      <c r="F4588" s="2" t="s">
        <v>18251</v>
      </c>
      <c r="G4588" s="2" t="s">
        <v>18252</v>
      </c>
      <c r="H4588" s="2">
        <v>3397.0</v>
      </c>
      <c r="I4588" s="2">
        <v>2.5120050023583E13</v>
      </c>
      <c r="J4588" s="3">
        <v>1.0</v>
      </c>
      <c r="K4588" s="2" t="s">
        <v>17730</v>
      </c>
      <c r="L4588" s="2" t="s">
        <v>18253</v>
      </c>
      <c r="M4588" s="2" t="s">
        <v>409</v>
      </c>
      <c r="N4588" s="2" t="s">
        <v>462</v>
      </c>
      <c r="O4588" s="3"/>
      <c r="P4588" s="2" t="s">
        <v>73</v>
      </c>
      <c r="Q4588" s="3">
        <v>720.0</v>
      </c>
      <c r="R4588" s="3">
        <v>0.5</v>
      </c>
      <c r="T4588" s="2" t="s">
        <v>72</v>
      </c>
      <c r="U4588" s="171">
        <v>3397.0</v>
      </c>
      <c r="V4588" s="172">
        <v>46129.0</v>
      </c>
      <c r="W4588" s="3">
        <v>377.74</v>
      </c>
      <c r="X4588" s="172">
        <v>46129.08109314815</v>
      </c>
      <c r="Y4588" s="172">
        <v>46125.09297167824</v>
      </c>
      <c r="Z4588" s="3">
        <v>46124.0</v>
      </c>
      <c r="AA4588" s="2" t="s">
        <v>14103</v>
      </c>
    </row>
    <row r="4589">
      <c r="A4589" s="3">
        <v>6.995393151235E12</v>
      </c>
      <c r="B4589" s="2" t="s">
        <v>18254</v>
      </c>
      <c r="C4589" s="2" t="s">
        <v>18255</v>
      </c>
      <c r="D4589" s="169">
        <v>46124.0</v>
      </c>
      <c r="E4589" s="2">
        <v>9.2334743991E11</v>
      </c>
      <c r="F4589" s="2" t="s">
        <v>18256</v>
      </c>
      <c r="G4589" s="2" t="s">
        <v>506</v>
      </c>
      <c r="H4589" s="2">
        <v>3099.0</v>
      </c>
      <c r="I4589" s="2">
        <v>2.3120050023582E13</v>
      </c>
      <c r="J4589" s="3">
        <v>2.0</v>
      </c>
      <c r="K4589" s="2" t="s">
        <v>18257</v>
      </c>
      <c r="L4589" s="2" t="s">
        <v>18258</v>
      </c>
      <c r="M4589" s="2" t="s">
        <v>17191</v>
      </c>
      <c r="N4589" s="2" t="s">
        <v>406</v>
      </c>
      <c r="O4589" s="3"/>
      <c r="P4589" s="2" t="s">
        <v>73</v>
      </c>
      <c r="Q4589" s="3">
        <v>1100.0</v>
      </c>
      <c r="R4589" s="3">
        <v>0.5</v>
      </c>
      <c r="U4589" s="141"/>
      <c r="X4589" s="172">
        <v>46131.081048125</v>
      </c>
      <c r="Y4589" s="172">
        <v>46125.09297168981</v>
      </c>
      <c r="Z4589" s="3">
        <v>46124.0</v>
      </c>
      <c r="AA4589" s="2" t="s">
        <v>14041</v>
      </c>
    </row>
    <row r="4590">
      <c r="A4590" s="3">
        <v>6.995446333699E12</v>
      </c>
      <c r="B4590" s="2" t="s">
        <v>18259</v>
      </c>
      <c r="C4590" s="2" t="s">
        <v>18260</v>
      </c>
      <c r="D4590" s="169">
        <v>46124.0</v>
      </c>
      <c r="E4590" s="2">
        <v>3.009230918E9</v>
      </c>
      <c r="F4590" s="2" t="s">
        <v>18261</v>
      </c>
      <c r="G4590" s="2" t="s">
        <v>1111</v>
      </c>
      <c r="H4590" s="2">
        <v>1949.0</v>
      </c>
      <c r="I4590" s="2">
        <v>2.3120050023559E13</v>
      </c>
      <c r="J4590" s="3">
        <v>1.0</v>
      </c>
      <c r="K4590" s="2" t="s">
        <v>17705</v>
      </c>
      <c r="L4590" s="2" t="s">
        <v>18178</v>
      </c>
      <c r="M4590" s="2" t="s">
        <v>17</v>
      </c>
      <c r="N4590" s="2" t="s">
        <v>406</v>
      </c>
      <c r="O4590" s="3"/>
      <c r="P4590" s="2" t="s">
        <v>73</v>
      </c>
      <c r="Q4590" s="3">
        <v>550.0</v>
      </c>
      <c r="R4590" s="3">
        <v>0.5</v>
      </c>
      <c r="U4590" s="141"/>
      <c r="X4590" s="172">
        <v>46130.081276956014</v>
      </c>
      <c r="Y4590" s="172">
        <v>46125.09297168981</v>
      </c>
      <c r="Z4590" s="3">
        <v>46124.0</v>
      </c>
      <c r="AA4590" s="2" t="s">
        <v>14103</v>
      </c>
    </row>
    <row r="4591">
      <c r="A4591" s="3">
        <v>6.995450200323E12</v>
      </c>
      <c r="B4591" s="2" t="s">
        <v>114</v>
      </c>
      <c r="C4591" s="2" t="s">
        <v>18262</v>
      </c>
      <c r="D4591" s="169">
        <v>46124.0</v>
      </c>
      <c r="E4591" s="2">
        <v>3.217880488E9</v>
      </c>
      <c r="F4591" s="2" t="s">
        <v>18263</v>
      </c>
      <c r="G4591" s="2" t="s">
        <v>8328</v>
      </c>
      <c r="H4591" s="2">
        <v>3099.0</v>
      </c>
      <c r="I4591" s="2">
        <v>2.9120050023558E13</v>
      </c>
      <c r="J4591" s="3">
        <v>2.0</v>
      </c>
      <c r="K4591" s="2" t="s">
        <v>18064</v>
      </c>
      <c r="L4591" s="2" t="s">
        <v>18264</v>
      </c>
      <c r="M4591" s="2" t="s">
        <v>409</v>
      </c>
      <c r="N4591" s="2" t="s">
        <v>462</v>
      </c>
      <c r="O4591" s="3"/>
      <c r="P4591" s="2" t="s">
        <v>73</v>
      </c>
      <c r="Q4591" s="3">
        <v>1100.0</v>
      </c>
      <c r="R4591" s="3">
        <v>0.5</v>
      </c>
      <c r="T4591" s="2" t="s">
        <v>72</v>
      </c>
      <c r="U4591" s="171">
        <v>3099.0</v>
      </c>
      <c r="V4591" s="172">
        <v>46129.0</v>
      </c>
      <c r="W4591" s="3">
        <v>390.01000000000005</v>
      </c>
      <c r="X4591" s="172">
        <v>46129.081093217595</v>
      </c>
      <c r="Y4591" s="172">
        <v>46125.09297168981</v>
      </c>
      <c r="Z4591" s="3">
        <v>46124.0</v>
      </c>
      <c r="AA4591" s="2" t="s">
        <v>14022</v>
      </c>
    </row>
    <row r="4592">
      <c r="A4592" s="3">
        <v>6.995453346051E12</v>
      </c>
      <c r="B4592" s="2" t="s">
        <v>18265</v>
      </c>
      <c r="C4592" s="2" t="s">
        <v>14690</v>
      </c>
      <c r="D4592" s="169">
        <v>46124.0</v>
      </c>
      <c r="E4592" s="2">
        <v>3.016311268E9</v>
      </c>
      <c r="F4592" s="2" t="s">
        <v>14691</v>
      </c>
      <c r="G4592" s="2" t="s">
        <v>14692</v>
      </c>
      <c r="H4592" s="2">
        <v>0.0</v>
      </c>
      <c r="I4592" s="2"/>
      <c r="J4592" s="3">
        <v>0.0</v>
      </c>
      <c r="K4592" s="2" t="s">
        <v>18266</v>
      </c>
      <c r="L4592" s="2"/>
      <c r="M4592" s="2" t="s">
        <v>468</v>
      </c>
      <c r="N4592" s="2" t="s">
        <v>406</v>
      </c>
      <c r="O4592" s="3"/>
      <c r="P4592" s="2"/>
      <c r="Q4592" s="3">
        <v>0.0</v>
      </c>
      <c r="R4592" s="3">
        <v>0.5</v>
      </c>
      <c r="U4592" s="141"/>
      <c r="X4592" s="172"/>
      <c r="Y4592" s="172">
        <v>46125.09297168981</v>
      </c>
      <c r="Z4592" s="3">
        <v>46124.0</v>
      </c>
      <c r="AA4592" s="2" t="s">
        <v>14041</v>
      </c>
    </row>
    <row r="4593">
      <c r="A4593" s="3">
        <v>6.995494076675E12</v>
      </c>
      <c r="B4593" s="2" t="s">
        <v>18267</v>
      </c>
      <c r="C4593" s="2" t="s">
        <v>18268</v>
      </c>
      <c r="D4593" s="169">
        <v>46124.0</v>
      </c>
      <c r="E4593" s="2">
        <v>3.700260804E9</v>
      </c>
      <c r="F4593" s="2" t="s">
        <v>18269</v>
      </c>
      <c r="G4593" s="2" t="s">
        <v>18270</v>
      </c>
      <c r="H4593" s="2">
        <v>0.0</v>
      </c>
      <c r="I4593" s="2"/>
      <c r="J4593" s="3">
        <v>0.0</v>
      </c>
      <c r="K4593" s="2" t="s">
        <v>10112</v>
      </c>
      <c r="L4593" s="2"/>
      <c r="M4593" s="2" t="s">
        <v>468</v>
      </c>
      <c r="N4593" s="2" t="s">
        <v>406</v>
      </c>
      <c r="O4593" s="3"/>
      <c r="P4593" s="2"/>
      <c r="Q4593" s="3">
        <v>0.0</v>
      </c>
      <c r="R4593" s="3">
        <v>0.5</v>
      </c>
      <c r="U4593" s="141"/>
      <c r="X4593" s="172"/>
      <c r="Y4593" s="172">
        <v>46125.09297168981</v>
      </c>
      <c r="Z4593" s="3">
        <v>46124.0</v>
      </c>
      <c r="AA4593" s="2" t="s">
        <v>14032</v>
      </c>
    </row>
    <row r="4594">
      <c r="A4594" s="3">
        <v>6.995525894403E12</v>
      </c>
      <c r="B4594" s="2" t="s">
        <v>18271</v>
      </c>
      <c r="C4594" s="2" t="s">
        <v>1398</v>
      </c>
      <c r="D4594" s="169">
        <v>46124.0</v>
      </c>
      <c r="E4594" s="2">
        <v>3.481420241E9</v>
      </c>
      <c r="F4594" s="2" t="s">
        <v>18272</v>
      </c>
      <c r="G4594" s="2" t="s">
        <v>368</v>
      </c>
      <c r="H4594" s="2">
        <v>2797.0</v>
      </c>
      <c r="I4594" s="2"/>
      <c r="J4594" s="3">
        <v>2.0</v>
      </c>
      <c r="K4594" s="2" t="s">
        <v>204</v>
      </c>
      <c r="L4594" s="2" t="s">
        <v>18273</v>
      </c>
      <c r="M4594" s="2" t="s">
        <v>406</v>
      </c>
      <c r="N4594" s="2" t="s">
        <v>406</v>
      </c>
      <c r="O4594" s="3"/>
      <c r="P4594" s="2"/>
      <c r="Q4594" s="3">
        <v>1100.0</v>
      </c>
      <c r="R4594" s="3">
        <v>0.5</v>
      </c>
      <c r="U4594" s="141"/>
      <c r="X4594" s="172"/>
      <c r="Y4594" s="172">
        <v>46125.09297168981</v>
      </c>
      <c r="Z4594" s="3">
        <v>46124.0</v>
      </c>
      <c r="AA4594" s="2" t="s">
        <v>14053</v>
      </c>
    </row>
    <row r="4595">
      <c r="A4595" s="3">
        <v>6.995532251395E12</v>
      </c>
      <c r="B4595" s="2" t="s">
        <v>112</v>
      </c>
      <c r="C4595" s="2" t="s">
        <v>18274</v>
      </c>
      <c r="D4595" s="169">
        <v>46124.0</v>
      </c>
      <c r="E4595" s="2">
        <v>3.186851641E9</v>
      </c>
      <c r="F4595" s="2" t="s">
        <v>18275</v>
      </c>
      <c r="G4595" s="2" t="s">
        <v>18276</v>
      </c>
      <c r="H4595" s="2">
        <v>3545.98</v>
      </c>
      <c r="I4595" s="2">
        <v>2.0120050023563E13</v>
      </c>
      <c r="J4595" s="3">
        <v>2.0</v>
      </c>
      <c r="K4595" s="2" t="s">
        <v>18277</v>
      </c>
      <c r="L4595" s="2" t="s">
        <v>18278</v>
      </c>
      <c r="M4595" s="2" t="s">
        <v>409</v>
      </c>
      <c r="N4595" s="2" t="s">
        <v>462</v>
      </c>
      <c r="O4595" s="3"/>
      <c r="P4595" s="2" t="s">
        <v>73</v>
      </c>
      <c r="Q4595" s="3">
        <v>860.0</v>
      </c>
      <c r="R4595" s="3">
        <v>0.5</v>
      </c>
      <c r="T4595" s="2" t="s">
        <v>72</v>
      </c>
      <c r="U4595" s="171">
        <v>3545.0</v>
      </c>
      <c r="V4595" s="172">
        <v>46129.0</v>
      </c>
      <c r="W4595" s="3">
        <v>383.65999999999997</v>
      </c>
      <c r="X4595" s="172">
        <v>46129.081093252316</v>
      </c>
      <c r="Y4595" s="172">
        <v>46125.09297168981</v>
      </c>
      <c r="Z4595" s="3">
        <v>46124.0</v>
      </c>
      <c r="AA4595" s="2" t="s">
        <v>14041</v>
      </c>
    </row>
    <row r="4596">
      <c r="A4596" s="3">
        <v>6.995553812739E12</v>
      </c>
      <c r="B4596" s="2" t="s">
        <v>18279</v>
      </c>
      <c r="C4596" s="2" t="s">
        <v>18280</v>
      </c>
      <c r="D4596" s="169">
        <v>46124.0</v>
      </c>
      <c r="E4596" s="2">
        <v>3.455176843E9</v>
      </c>
      <c r="F4596" s="2" t="s">
        <v>18281</v>
      </c>
      <c r="G4596" s="2" t="s">
        <v>787</v>
      </c>
      <c r="H4596" s="2">
        <v>1949.0</v>
      </c>
      <c r="I4596" s="2">
        <v>2.0120050023581E13</v>
      </c>
      <c r="J4596" s="3">
        <v>1.0</v>
      </c>
      <c r="K4596" s="2" t="s">
        <v>204</v>
      </c>
      <c r="L4596" s="2" t="s">
        <v>18232</v>
      </c>
      <c r="M4596" s="2" t="s">
        <v>409</v>
      </c>
      <c r="N4596" s="2" t="s">
        <v>406</v>
      </c>
      <c r="O4596" s="3"/>
      <c r="P4596" s="2" t="s">
        <v>73</v>
      </c>
      <c r="Q4596" s="3">
        <v>550.0</v>
      </c>
      <c r="R4596" s="3">
        <v>0.5</v>
      </c>
      <c r="U4596" s="141"/>
      <c r="X4596" s="172">
        <v>46130.08127724537</v>
      </c>
      <c r="Y4596" s="172">
        <v>46125.09297168981</v>
      </c>
      <c r="Z4596" s="3">
        <v>46124.0</v>
      </c>
      <c r="AA4596" s="2" t="s">
        <v>14032</v>
      </c>
    </row>
    <row r="4597">
      <c r="A4597" s="3">
        <v>6.995558662403E12</v>
      </c>
      <c r="B4597" s="2" t="s">
        <v>18282</v>
      </c>
      <c r="C4597" s="2" t="s">
        <v>18283</v>
      </c>
      <c r="D4597" s="169">
        <v>46124.0</v>
      </c>
      <c r="E4597" s="173" t="s">
        <v>18284</v>
      </c>
      <c r="F4597" s="2" t="s">
        <v>18285</v>
      </c>
      <c r="G4597" s="2" t="s">
        <v>368</v>
      </c>
      <c r="H4597" s="2">
        <v>3398.0</v>
      </c>
      <c r="I4597" s="2">
        <v>2.4120050023505E13</v>
      </c>
      <c r="J4597" s="3">
        <v>2.0</v>
      </c>
      <c r="K4597" s="2" t="s">
        <v>18286</v>
      </c>
      <c r="L4597" s="2" t="s">
        <v>1258</v>
      </c>
      <c r="M4597" s="2" t="s">
        <v>15124</v>
      </c>
      <c r="N4597" s="2" t="s">
        <v>406</v>
      </c>
      <c r="O4597" s="3"/>
      <c r="P4597" s="2" t="s">
        <v>73</v>
      </c>
      <c r="Q4597" s="3">
        <v>800.0</v>
      </c>
      <c r="R4597" s="3">
        <v>0.5</v>
      </c>
      <c r="U4597" s="141"/>
      <c r="X4597" s="172">
        <v>46131.081048148146</v>
      </c>
      <c r="Y4597" s="172">
        <v>46125.09297168981</v>
      </c>
      <c r="Z4597" s="3">
        <v>46124.0</v>
      </c>
      <c r="AA4597" s="2" t="s">
        <v>14053</v>
      </c>
    </row>
    <row r="4598">
      <c r="A4598" s="3">
        <v>6.995561840899E12</v>
      </c>
      <c r="B4598" s="2" t="s">
        <v>18287</v>
      </c>
      <c r="C4598" s="2" t="s">
        <v>13550</v>
      </c>
      <c r="D4598" s="169">
        <v>46124.0</v>
      </c>
      <c r="E4598" s="2">
        <v>3.239759871E9</v>
      </c>
      <c r="F4598" s="2" t="s">
        <v>13551</v>
      </c>
      <c r="G4598" s="2" t="s">
        <v>850</v>
      </c>
      <c r="H4598" s="2">
        <v>3397.0</v>
      </c>
      <c r="I4598" s="2"/>
      <c r="J4598" s="3">
        <v>2.0</v>
      </c>
      <c r="K4598" s="2" t="s">
        <v>204</v>
      </c>
      <c r="L4598" s="2" t="s">
        <v>17922</v>
      </c>
      <c r="M4598" s="2" t="s">
        <v>406</v>
      </c>
      <c r="N4598" s="2" t="s">
        <v>406</v>
      </c>
      <c r="O4598" s="3"/>
      <c r="P4598" s="2"/>
      <c r="Q4598" s="3">
        <v>720.0</v>
      </c>
      <c r="R4598" s="3">
        <v>0.5</v>
      </c>
      <c r="U4598" s="141"/>
      <c r="X4598" s="172"/>
      <c r="Y4598" s="172">
        <v>46125.09297168981</v>
      </c>
      <c r="Z4598" s="3">
        <v>46124.0</v>
      </c>
      <c r="AA4598" s="2" t="s">
        <v>14041</v>
      </c>
    </row>
    <row r="4599">
      <c r="A4599" s="3">
        <v>6.995567149315E12</v>
      </c>
      <c r="B4599" s="2" t="s">
        <v>111</v>
      </c>
      <c r="C4599" s="2" t="s">
        <v>18288</v>
      </c>
      <c r="D4599" s="169">
        <v>46124.0</v>
      </c>
      <c r="E4599" s="2">
        <v>3.328509195E9</v>
      </c>
      <c r="F4599" s="2" t="s">
        <v>18289</v>
      </c>
      <c r="G4599" s="2" t="s">
        <v>366</v>
      </c>
      <c r="H4599" s="2">
        <v>3099.0</v>
      </c>
      <c r="I4599" s="2">
        <v>2.8120050023557E13</v>
      </c>
      <c r="J4599" s="3">
        <v>2.0</v>
      </c>
      <c r="K4599" s="2" t="s">
        <v>18064</v>
      </c>
      <c r="L4599" s="2" t="s">
        <v>18290</v>
      </c>
      <c r="M4599" s="2" t="s">
        <v>409</v>
      </c>
      <c r="N4599" s="2" t="s">
        <v>462</v>
      </c>
      <c r="O4599" s="3"/>
      <c r="P4599" s="2" t="s">
        <v>73</v>
      </c>
      <c r="Q4599" s="3">
        <v>1100.0</v>
      </c>
      <c r="R4599" s="3">
        <v>0.5</v>
      </c>
      <c r="T4599" s="2" t="s">
        <v>72</v>
      </c>
      <c r="U4599" s="171">
        <v>3099.0</v>
      </c>
      <c r="V4599" s="172">
        <v>46129.0</v>
      </c>
      <c r="W4599" s="3">
        <v>390.01000000000005</v>
      </c>
      <c r="X4599" s="172">
        <v>46129.08109332176</v>
      </c>
      <c r="Y4599" s="172">
        <v>46125.09297168981</v>
      </c>
      <c r="Z4599" s="3">
        <v>46124.0</v>
      </c>
      <c r="AA4599" s="2" t="s">
        <v>14053</v>
      </c>
    </row>
    <row r="4600">
      <c r="A4600" s="3">
        <v>6.995583402243E12</v>
      </c>
      <c r="B4600" s="2" t="s">
        <v>18291</v>
      </c>
      <c r="C4600" s="2" t="s">
        <v>18292</v>
      </c>
      <c r="D4600" s="169">
        <v>46124.0</v>
      </c>
      <c r="E4600" s="2">
        <v>3.058770079E9</v>
      </c>
      <c r="F4600" s="2" t="s">
        <v>18293</v>
      </c>
      <c r="G4600" s="2" t="s">
        <v>368</v>
      </c>
      <c r="H4600" s="2">
        <v>6198.0</v>
      </c>
      <c r="I4600" s="2"/>
      <c r="J4600" s="3">
        <v>4.0</v>
      </c>
      <c r="K4600" s="2" t="s">
        <v>204</v>
      </c>
      <c r="L4600" s="2" t="s">
        <v>18294</v>
      </c>
      <c r="M4600" s="2" t="s">
        <v>406</v>
      </c>
      <c r="N4600" s="2" t="s">
        <v>406</v>
      </c>
      <c r="O4600" s="3"/>
      <c r="P4600" s="2"/>
      <c r="Q4600" s="3">
        <v>2080.0</v>
      </c>
      <c r="R4600" s="3">
        <v>0.5</v>
      </c>
      <c r="U4600" s="141"/>
      <c r="X4600" s="172"/>
      <c r="Y4600" s="172">
        <v>46125.09297168981</v>
      </c>
      <c r="Z4600" s="3">
        <v>46124.0</v>
      </c>
      <c r="AA4600" s="2" t="s">
        <v>14053</v>
      </c>
    </row>
    <row r="4601">
      <c r="A4601" s="3">
        <v>6.995587367171E12</v>
      </c>
      <c r="B4601" s="2" t="s">
        <v>110</v>
      </c>
      <c r="C4601" s="2" t="s">
        <v>4739</v>
      </c>
      <c r="D4601" s="169">
        <v>46124.0</v>
      </c>
      <c r="E4601" s="2">
        <v>3.335153035E9</v>
      </c>
      <c r="F4601" s="2" t="s">
        <v>18295</v>
      </c>
      <c r="G4601" s="2" t="s">
        <v>18296</v>
      </c>
      <c r="H4601" s="2">
        <v>2099.0</v>
      </c>
      <c r="I4601" s="2">
        <v>2.3120050023556E13</v>
      </c>
      <c r="J4601" s="3">
        <v>1.0</v>
      </c>
      <c r="K4601" s="2" t="s">
        <v>18111</v>
      </c>
      <c r="L4601" s="2" t="s">
        <v>13625</v>
      </c>
      <c r="M4601" s="2" t="s">
        <v>409</v>
      </c>
      <c r="N4601" s="2" t="s">
        <v>462</v>
      </c>
      <c r="O4601" s="3"/>
      <c r="P4601" s="2" t="s">
        <v>73</v>
      </c>
      <c r="Q4601" s="3">
        <v>400.0</v>
      </c>
      <c r="R4601" s="3">
        <v>0.5</v>
      </c>
      <c r="T4601" s="2" t="s">
        <v>72</v>
      </c>
      <c r="U4601" s="171">
        <v>2099.0</v>
      </c>
      <c r="V4601" s="172">
        <v>46129.0</v>
      </c>
      <c r="W4601" s="3">
        <v>325.82000000000005</v>
      </c>
      <c r="X4601" s="172">
        <v>46129.08109335648</v>
      </c>
      <c r="Y4601" s="172">
        <v>46125.09297168981</v>
      </c>
      <c r="Z4601" s="3">
        <v>46124.0</v>
      </c>
      <c r="AA4601" s="2" t="s">
        <v>14041</v>
      </c>
    </row>
    <row r="4602">
      <c r="A4602" s="3">
        <v>6.995602571523E12</v>
      </c>
      <c r="B4602" s="2" t="s">
        <v>18297</v>
      </c>
      <c r="C4602" s="2" t="s">
        <v>18298</v>
      </c>
      <c r="D4602" s="169">
        <v>46124.0</v>
      </c>
      <c r="E4602" s="2">
        <v>3.193900664E9</v>
      </c>
      <c r="F4602" s="2" t="s">
        <v>18299</v>
      </c>
      <c r="G4602" s="2" t="s">
        <v>493</v>
      </c>
      <c r="H4602" s="2">
        <v>3099.0</v>
      </c>
      <c r="I4602" s="2">
        <v>2.2120050023555E13</v>
      </c>
      <c r="J4602" s="3">
        <v>2.0</v>
      </c>
      <c r="K4602" s="2" t="s">
        <v>223</v>
      </c>
      <c r="L4602" s="2" t="s">
        <v>18300</v>
      </c>
      <c r="M4602" s="2" t="s">
        <v>409</v>
      </c>
      <c r="N4602" s="2" t="s">
        <v>406</v>
      </c>
      <c r="O4602" s="3"/>
      <c r="P4602" s="2" t="s">
        <v>73</v>
      </c>
      <c r="Q4602" s="3">
        <v>1100.0</v>
      </c>
      <c r="R4602" s="3">
        <v>0.5</v>
      </c>
      <c r="U4602" s="141"/>
      <c r="X4602" s="172">
        <v>46130.08127815972</v>
      </c>
      <c r="Y4602" s="172">
        <v>46125.09297170139</v>
      </c>
      <c r="Z4602" s="3">
        <v>46124.0</v>
      </c>
      <c r="AA4602" s="2" t="s">
        <v>14032</v>
      </c>
    </row>
    <row r="4603">
      <c r="A4603" s="3">
        <v>6.995605356803E12</v>
      </c>
      <c r="B4603" s="2" t="s">
        <v>109</v>
      </c>
      <c r="C4603" s="2" t="s">
        <v>10751</v>
      </c>
      <c r="D4603" s="169">
        <v>46124.0</v>
      </c>
      <c r="E4603" s="2">
        <v>9.23343266097E11</v>
      </c>
      <c r="F4603" s="2" t="s">
        <v>18301</v>
      </c>
      <c r="G4603" s="2" t="s">
        <v>493</v>
      </c>
      <c r="H4603" s="2">
        <v>3099.0</v>
      </c>
      <c r="I4603" s="2">
        <v>2.9120050023554E13</v>
      </c>
      <c r="J4603" s="3">
        <v>2.0</v>
      </c>
      <c r="K4603" s="2" t="s">
        <v>18302</v>
      </c>
      <c r="L4603" s="2" t="s">
        <v>18303</v>
      </c>
      <c r="M4603" s="2" t="s">
        <v>409</v>
      </c>
      <c r="N4603" s="2" t="s">
        <v>462</v>
      </c>
      <c r="O4603" s="3"/>
      <c r="P4603" s="2" t="s">
        <v>73</v>
      </c>
      <c r="Q4603" s="3">
        <v>1100.0</v>
      </c>
      <c r="R4603" s="3">
        <v>0.5</v>
      </c>
      <c r="T4603" s="2" t="s">
        <v>72</v>
      </c>
      <c r="U4603" s="171">
        <v>3099.0</v>
      </c>
      <c r="V4603" s="172">
        <v>46129.0</v>
      </c>
      <c r="W4603" s="3">
        <v>398.07000000000005</v>
      </c>
      <c r="X4603" s="172">
        <v>46129.081144282405</v>
      </c>
      <c r="Y4603" s="172">
        <v>46125.09297170139</v>
      </c>
      <c r="Z4603" s="3">
        <v>46124.0</v>
      </c>
      <c r="AA4603" s="2" t="s">
        <v>14053</v>
      </c>
    </row>
    <row r="4604">
      <c r="A4604" s="3">
        <v>6.995608731907E12</v>
      </c>
      <c r="B4604" s="2" t="s">
        <v>108</v>
      </c>
      <c r="C4604" s="2" t="s">
        <v>18304</v>
      </c>
      <c r="D4604" s="169">
        <v>46124.0</v>
      </c>
      <c r="E4604" s="2">
        <v>3.426458795E9</v>
      </c>
      <c r="F4604" s="2" t="s">
        <v>18305</v>
      </c>
      <c r="G4604" s="2" t="s">
        <v>8731</v>
      </c>
      <c r="H4604" s="2">
        <v>5898.0</v>
      </c>
      <c r="I4604" s="2">
        <v>2.7120050023603E13</v>
      </c>
      <c r="J4604" s="3">
        <v>4.0</v>
      </c>
      <c r="K4604" s="2" t="s">
        <v>18306</v>
      </c>
      <c r="L4604" s="2" t="s">
        <v>18307</v>
      </c>
      <c r="M4604" s="2" t="s">
        <v>409</v>
      </c>
      <c r="N4604" s="2" t="s">
        <v>462</v>
      </c>
      <c r="O4604" s="3"/>
      <c r="P4604" s="2" t="s">
        <v>73</v>
      </c>
      <c r="Q4604" s="3">
        <v>2280.0</v>
      </c>
      <c r="R4604" s="3">
        <v>0.5</v>
      </c>
      <c r="T4604" s="2" t="s">
        <v>72</v>
      </c>
      <c r="U4604" s="171">
        <v>5898.0</v>
      </c>
      <c r="V4604" s="172">
        <v>46129.0</v>
      </c>
      <c r="W4604" s="3">
        <v>614.8299999999999</v>
      </c>
      <c r="X4604" s="172">
        <v>46130.081278564816</v>
      </c>
      <c r="Y4604" s="172">
        <v>46125.09297170139</v>
      </c>
      <c r="Z4604" s="3">
        <v>46124.0</v>
      </c>
      <c r="AA4604" s="2" t="s">
        <v>14103</v>
      </c>
    </row>
    <row r="4605">
      <c r="A4605" s="3">
        <v>6.995612107011E12</v>
      </c>
      <c r="B4605" s="2" t="s">
        <v>107</v>
      </c>
      <c r="C4605" s="2" t="s">
        <v>18308</v>
      </c>
      <c r="D4605" s="169">
        <v>46124.0</v>
      </c>
      <c r="E4605" s="2">
        <v>3.216201093E9</v>
      </c>
      <c r="F4605" s="2" t="s">
        <v>18309</v>
      </c>
      <c r="G4605" s="2" t="s">
        <v>993</v>
      </c>
      <c r="H4605" s="2">
        <v>1949.0</v>
      </c>
      <c r="I4605" s="2">
        <v>2.4120050023553E13</v>
      </c>
      <c r="J4605" s="3">
        <v>1.0</v>
      </c>
      <c r="K4605" s="2" t="s">
        <v>18031</v>
      </c>
      <c r="L4605" s="2" t="s">
        <v>9062</v>
      </c>
      <c r="M4605" s="2" t="s">
        <v>409</v>
      </c>
      <c r="N4605" s="2" t="s">
        <v>462</v>
      </c>
      <c r="O4605" s="3"/>
      <c r="P4605" s="2" t="s">
        <v>73</v>
      </c>
      <c r="Q4605" s="3">
        <v>550.0</v>
      </c>
      <c r="R4605" s="3">
        <v>0.5</v>
      </c>
      <c r="T4605" s="2" t="s">
        <v>72</v>
      </c>
      <c r="U4605" s="171">
        <v>1949.0</v>
      </c>
      <c r="V4605" s="172">
        <v>46129.0</v>
      </c>
      <c r="W4605" s="3">
        <v>319.82000000000005</v>
      </c>
      <c r="X4605" s="172">
        <v>46129.08114512732</v>
      </c>
      <c r="Y4605" s="172">
        <v>46125.09297170139</v>
      </c>
      <c r="Z4605" s="3">
        <v>46124.0</v>
      </c>
      <c r="AA4605" s="2" t="s">
        <v>14032</v>
      </c>
    </row>
    <row r="4606">
      <c r="A4606" s="3">
        <v>6.995613548803E12</v>
      </c>
      <c r="B4606" s="2" t="s">
        <v>18310</v>
      </c>
      <c r="C4606" s="2" t="s">
        <v>18311</v>
      </c>
      <c r="D4606" s="169">
        <v>46124.0</v>
      </c>
      <c r="E4606" s="2">
        <v>3.063106384E9</v>
      </c>
      <c r="F4606" s="2" t="s">
        <v>18312</v>
      </c>
      <c r="G4606" s="2" t="s">
        <v>1016</v>
      </c>
      <c r="H4606" s="2">
        <v>2797.0</v>
      </c>
      <c r="I4606" s="2"/>
      <c r="J4606" s="3">
        <v>2.0</v>
      </c>
      <c r="K4606" s="2" t="s">
        <v>204</v>
      </c>
      <c r="L4606" s="2" t="s">
        <v>18313</v>
      </c>
      <c r="M4606" s="2" t="s">
        <v>406</v>
      </c>
      <c r="N4606" s="2" t="s">
        <v>406</v>
      </c>
      <c r="O4606" s="3"/>
      <c r="P4606" s="2"/>
      <c r="Q4606" s="3">
        <v>1100.0</v>
      </c>
      <c r="R4606" s="3">
        <v>0.5</v>
      </c>
      <c r="U4606" s="141"/>
      <c r="X4606" s="172"/>
      <c r="Y4606" s="172">
        <v>46125.09297170139</v>
      </c>
      <c r="Z4606" s="3">
        <v>46124.0</v>
      </c>
      <c r="AA4606" s="2" t="s">
        <v>14022</v>
      </c>
    </row>
    <row r="4607">
      <c r="A4607" s="3">
        <v>6.995628065027E12</v>
      </c>
      <c r="B4607" s="2" t="s">
        <v>18314</v>
      </c>
      <c r="C4607" s="2" t="s">
        <v>18315</v>
      </c>
      <c r="D4607" s="169">
        <v>46124.0</v>
      </c>
      <c r="E4607" s="2">
        <v>3.002128495E9</v>
      </c>
      <c r="F4607" s="2" t="s">
        <v>18316</v>
      </c>
      <c r="G4607" s="2" t="s">
        <v>493</v>
      </c>
      <c r="H4607" s="2">
        <v>1798.0</v>
      </c>
      <c r="I4607" s="2">
        <v>2.6120050023634E13</v>
      </c>
      <c r="J4607" s="3">
        <v>1.0</v>
      </c>
      <c r="K4607" s="2" t="s">
        <v>204</v>
      </c>
      <c r="L4607" s="2" t="s">
        <v>18317</v>
      </c>
      <c r="M4607" s="2" t="s">
        <v>15328</v>
      </c>
      <c r="N4607" s="2" t="s">
        <v>406</v>
      </c>
      <c r="O4607" s="3"/>
      <c r="P4607" s="2" t="s">
        <v>73</v>
      </c>
      <c r="Q4607" s="3">
        <v>550.0</v>
      </c>
      <c r="R4607" s="3">
        <v>0.5</v>
      </c>
      <c r="U4607" s="141"/>
      <c r="X4607" s="172">
        <v>46132.08112200232</v>
      </c>
      <c r="Y4607" s="172">
        <v>46125.09297170139</v>
      </c>
      <c r="Z4607" s="3">
        <v>46124.0</v>
      </c>
      <c r="AA4607" s="2" t="s">
        <v>14032</v>
      </c>
    </row>
    <row r="4608">
      <c r="A4608" s="3">
        <v>6.995645694211E12</v>
      </c>
      <c r="B4608" s="2" t="s">
        <v>106</v>
      </c>
      <c r="C4608" s="2" t="s">
        <v>2096</v>
      </c>
      <c r="D4608" s="169">
        <v>46124.0</v>
      </c>
      <c r="E4608" s="2">
        <v>3.34393661E9</v>
      </c>
      <c r="F4608" s="2" t="s">
        <v>18318</v>
      </c>
      <c r="G4608" s="2" t="s">
        <v>18319</v>
      </c>
      <c r="H4608" s="2">
        <v>3099.0</v>
      </c>
      <c r="I4608" s="2">
        <v>2.0120050023552E13</v>
      </c>
      <c r="J4608" s="3">
        <v>2.0</v>
      </c>
      <c r="K4608" s="2" t="s">
        <v>18320</v>
      </c>
      <c r="L4608" s="2" t="s">
        <v>18321</v>
      </c>
      <c r="M4608" s="2" t="s">
        <v>409</v>
      </c>
      <c r="N4608" s="2" t="s">
        <v>462</v>
      </c>
      <c r="O4608" s="3"/>
      <c r="P4608" s="2" t="s">
        <v>73</v>
      </c>
      <c r="Q4608" s="3">
        <v>1100.0</v>
      </c>
      <c r="R4608" s="3">
        <v>0.5</v>
      </c>
      <c r="T4608" s="2" t="s">
        <v>72</v>
      </c>
      <c r="U4608" s="171">
        <v>3099.0</v>
      </c>
      <c r="V4608" s="172">
        <v>46129.0</v>
      </c>
      <c r="W4608" s="3">
        <v>269.08</v>
      </c>
      <c r="X4608" s="172">
        <v>46128.081143194446</v>
      </c>
      <c r="Y4608" s="172">
        <v>46125.09297170139</v>
      </c>
      <c r="Z4608" s="3">
        <v>46124.0</v>
      </c>
      <c r="AA4608" s="2" t="s">
        <v>14053</v>
      </c>
    </row>
    <row r="4609">
      <c r="A4609" s="3">
        <v>6.995647234307E12</v>
      </c>
      <c r="B4609" s="2" t="s">
        <v>18322</v>
      </c>
      <c r="C4609" s="2" t="s">
        <v>18323</v>
      </c>
      <c r="D4609" s="169">
        <v>46124.0</v>
      </c>
      <c r="E4609" s="2">
        <v>3.3699191E9</v>
      </c>
      <c r="F4609" s="2" t="s">
        <v>18324</v>
      </c>
      <c r="G4609" s="2" t="s">
        <v>541</v>
      </c>
      <c r="H4609" s="2">
        <v>2999.0</v>
      </c>
      <c r="I4609" s="2">
        <v>2.1120050023551E13</v>
      </c>
      <c r="J4609" s="3">
        <v>2.0</v>
      </c>
      <c r="K4609" s="2" t="s">
        <v>204</v>
      </c>
      <c r="L4609" s="2" t="s">
        <v>18325</v>
      </c>
      <c r="M4609" s="2" t="s">
        <v>17</v>
      </c>
      <c r="N4609" s="2" t="s">
        <v>406</v>
      </c>
      <c r="O4609" s="3"/>
      <c r="P4609" s="2" t="s">
        <v>73</v>
      </c>
      <c r="Q4609" s="3">
        <v>760.0</v>
      </c>
      <c r="R4609" s="3">
        <v>0.5</v>
      </c>
      <c r="U4609" s="141"/>
      <c r="X4609" s="172">
        <v>46130.08127890046</v>
      </c>
      <c r="Y4609" s="172">
        <v>46125.09297170139</v>
      </c>
      <c r="Z4609" s="3">
        <v>46124.0</v>
      </c>
      <c r="AA4609" s="2" t="s">
        <v>14053</v>
      </c>
    </row>
    <row r="4610">
      <c r="A4610" s="3">
        <v>6.995667288323E12</v>
      </c>
      <c r="B4610" s="2" t="s">
        <v>105</v>
      </c>
      <c r="C4610" s="2" t="s">
        <v>18326</v>
      </c>
      <c r="D4610" s="169">
        <v>46124.0</v>
      </c>
      <c r="E4610" s="2">
        <v>3.218255115E9</v>
      </c>
      <c r="F4610" s="2" t="s">
        <v>18327</v>
      </c>
      <c r="G4610" s="2" t="s">
        <v>493</v>
      </c>
      <c r="H4610" s="2">
        <v>3399.0</v>
      </c>
      <c r="I4610" s="2">
        <v>2.0120050023504E13</v>
      </c>
      <c r="J4610" s="3">
        <v>2.0</v>
      </c>
      <c r="K4610" s="2" t="s">
        <v>18212</v>
      </c>
      <c r="L4610" s="2" t="s">
        <v>18328</v>
      </c>
      <c r="M4610" s="2" t="s">
        <v>409</v>
      </c>
      <c r="N4610" s="2" t="s">
        <v>462</v>
      </c>
      <c r="O4610" s="3"/>
      <c r="P4610" s="2" t="s">
        <v>73</v>
      </c>
      <c r="Q4610" s="3">
        <v>860.0</v>
      </c>
      <c r="R4610" s="3">
        <v>0.5</v>
      </c>
      <c r="T4610" s="2" t="s">
        <v>72</v>
      </c>
      <c r="U4610" s="171">
        <v>3399.0</v>
      </c>
      <c r="V4610" s="172">
        <v>46129.0</v>
      </c>
      <c r="W4610" s="3">
        <v>393.94000000000005</v>
      </c>
      <c r="X4610" s="172">
        <v>46128.0811432176</v>
      </c>
      <c r="Y4610" s="172">
        <v>46125.09297170139</v>
      </c>
      <c r="Z4610" s="3">
        <v>46124.0</v>
      </c>
      <c r="AA4610" s="2" t="s">
        <v>14041</v>
      </c>
    </row>
    <row r="4611">
      <c r="A4611" s="3">
        <v>6.995670335747E12</v>
      </c>
      <c r="B4611" s="2" t="s">
        <v>18329</v>
      </c>
      <c r="C4611" s="2" t="s">
        <v>324</v>
      </c>
      <c r="D4611" s="169">
        <v>46124.0</v>
      </c>
      <c r="E4611" s="2">
        <v>3.286202044E9</v>
      </c>
      <c r="F4611" s="2" t="s">
        <v>18330</v>
      </c>
      <c r="G4611" s="2" t="s">
        <v>541</v>
      </c>
      <c r="H4611" s="2">
        <v>2098.0</v>
      </c>
      <c r="I4611" s="2">
        <v>2.7120050023546E13</v>
      </c>
      <c r="J4611" s="3">
        <v>1.0</v>
      </c>
      <c r="K4611" s="2" t="s">
        <v>325</v>
      </c>
      <c r="L4611" s="2" t="s">
        <v>326</v>
      </c>
      <c r="M4611" s="2" t="s">
        <v>15124</v>
      </c>
      <c r="N4611" s="2" t="s">
        <v>406</v>
      </c>
      <c r="O4611" s="3"/>
      <c r="P4611" s="2" t="s">
        <v>73</v>
      </c>
      <c r="Q4611" s="3">
        <v>360.0</v>
      </c>
      <c r="R4611" s="3">
        <v>0.5</v>
      </c>
      <c r="U4611" s="141"/>
      <c r="X4611" s="172">
        <v>46132.081123298616</v>
      </c>
      <c r="Y4611" s="172">
        <v>46125.09297170139</v>
      </c>
      <c r="Z4611" s="3">
        <v>46124.0</v>
      </c>
      <c r="AA4611" s="2" t="s">
        <v>14022</v>
      </c>
    </row>
    <row r="4612">
      <c r="A4612" s="3">
        <v>6.995678658819E12</v>
      </c>
      <c r="B4612" s="2" t="s">
        <v>104</v>
      </c>
      <c r="C4612" s="2" t="s">
        <v>18331</v>
      </c>
      <c r="D4612" s="169">
        <v>46124.0</v>
      </c>
      <c r="E4612" s="2">
        <v>3.066624949E9</v>
      </c>
      <c r="F4612" s="2" t="s">
        <v>18332</v>
      </c>
      <c r="G4612" s="2" t="s">
        <v>506</v>
      </c>
      <c r="H4612" s="2">
        <v>2099.0</v>
      </c>
      <c r="I4612" s="2">
        <v>2.912005002355E13</v>
      </c>
      <c r="J4612" s="3">
        <v>1.0</v>
      </c>
      <c r="K4612" s="2" t="s">
        <v>18111</v>
      </c>
      <c r="L4612" s="2" t="s">
        <v>13092</v>
      </c>
      <c r="M4612" s="2" t="s">
        <v>409</v>
      </c>
      <c r="N4612" s="2" t="s">
        <v>462</v>
      </c>
      <c r="O4612" s="3"/>
      <c r="P4612" s="2" t="s">
        <v>73</v>
      </c>
      <c r="Q4612" s="3">
        <v>400.0</v>
      </c>
      <c r="R4612" s="3">
        <v>0.5</v>
      </c>
      <c r="T4612" s="2" t="s">
        <v>72</v>
      </c>
      <c r="U4612" s="171">
        <v>2099.0</v>
      </c>
      <c r="V4612" s="172">
        <v>46129.0</v>
      </c>
      <c r="W4612" s="3">
        <v>325.82000000000005</v>
      </c>
      <c r="X4612" s="172">
        <v>46129.081145335644</v>
      </c>
      <c r="Y4612" s="172">
        <v>46125.09297170139</v>
      </c>
      <c r="Z4612" s="3">
        <v>46124.0</v>
      </c>
      <c r="AA4612" s="2" t="s">
        <v>14032</v>
      </c>
    </row>
    <row r="4613">
      <c r="A4613" s="3">
        <v>6.995704742147E12</v>
      </c>
      <c r="B4613" s="2" t="s">
        <v>18333</v>
      </c>
      <c r="C4613" s="2" t="s">
        <v>18334</v>
      </c>
      <c r="D4613" s="169">
        <v>46124.0</v>
      </c>
      <c r="E4613" s="2">
        <v>3.368633908E9</v>
      </c>
      <c r="F4613" s="2" t="s">
        <v>18335</v>
      </c>
      <c r="G4613" s="2" t="s">
        <v>368</v>
      </c>
      <c r="H4613" s="2">
        <v>2797.0</v>
      </c>
      <c r="I4613" s="2"/>
      <c r="J4613" s="3">
        <v>2.0</v>
      </c>
      <c r="K4613" s="2" t="s">
        <v>18336</v>
      </c>
      <c r="L4613" s="2" t="s">
        <v>18091</v>
      </c>
      <c r="M4613" s="2" t="s">
        <v>406</v>
      </c>
      <c r="N4613" s="2" t="s">
        <v>406</v>
      </c>
      <c r="O4613" s="3"/>
      <c r="P4613" s="2"/>
      <c r="Q4613" s="3">
        <v>1100.0</v>
      </c>
      <c r="R4613" s="3">
        <v>0.5</v>
      </c>
      <c r="U4613" s="141"/>
      <c r="X4613" s="172"/>
      <c r="Y4613" s="172">
        <v>46125.09297170139</v>
      </c>
      <c r="Z4613" s="3">
        <v>46124.0</v>
      </c>
      <c r="AA4613" s="2" t="s">
        <v>14053</v>
      </c>
    </row>
    <row r="4614">
      <c r="A4614" s="3">
        <v>6.995707592963E12</v>
      </c>
      <c r="B4614" s="2" t="s">
        <v>18337</v>
      </c>
      <c r="C4614" s="2" t="s">
        <v>18338</v>
      </c>
      <c r="D4614" s="169">
        <v>46124.0</v>
      </c>
      <c r="E4614" s="2">
        <v>3.03977667E9</v>
      </c>
      <c r="F4614" s="2" t="s">
        <v>18339</v>
      </c>
      <c r="G4614" s="2" t="s">
        <v>898</v>
      </c>
      <c r="H4614" s="2">
        <v>299.0</v>
      </c>
      <c r="I4614" s="2">
        <v>2.6120050023545E13</v>
      </c>
      <c r="J4614" s="3">
        <v>0.0</v>
      </c>
      <c r="K4614" s="2" t="s">
        <v>18340</v>
      </c>
      <c r="L4614" s="2"/>
      <c r="M4614" s="170" t="s">
        <v>455</v>
      </c>
      <c r="N4614" s="2" t="s">
        <v>406</v>
      </c>
      <c r="O4614" s="3"/>
      <c r="P4614" s="2" t="s">
        <v>73</v>
      </c>
      <c r="Q4614" s="3">
        <v>0.0</v>
      </c>
      <c r="R4614" s="3">
        <v>0.5</v>
      </c>
      <c r="U4614" s="141"/>
      <c r="X4614" s="172">
        <v>46130.08127896991</v>
      </c>
      <c r="Y4614" s="172">
        <v>46125.09297170139</v>
      </c>
      <c r="Z4614" s="3">
        <v>46124.0</v>
      </c>
      <c r="AA4614" s="2" t="s">
        <v>14032</v>
      </c>
    </row>
    <row r="4615">
      <c r="A4615" s="3">
        <v>6.995750977795E12</v>
      </c>
      <c r="B4615" s="2" t="s">
        <v>18341</v>
      </c>
      <c r="C4615" s="2" t="s">
        <v>18342</v>
      </c>
      <c r="D4615" s="169">
        <v>46124.0</v>
      </c>
      <c r="E4615" s="2">
        <v>3.19038058E9</v>
      </c>
      <c r="F4615" s="2" t="s">
        <v>18343</v>
      </c>
      <c r="G4615" s="2" t="s">
        <v>18344</v>
      </c>
      <c r="H4615" s="2">
        <v>1798.0</v>
      </c>
      <c r="I4615" s="2">
        <v>2.3120050023544E13</v>
      </c>
      <c r="J4615" s="3">
        <v>1.0</v>
      </c>
      <c r="K4615" s="2" t="s">
        <v>204</v>
      </c>
      <c r="L4615" s="2" t="s">
        <v>18345</v>
      </c>
      <c r="M4615" s="2" t="s">
        <v>15124</v>
      </c>
      <c r="N4615" s="2" t="s">
        <v>406</v>
      </c>
      <c r="O4615" s="3"/>
      <c r="P4615" s="2" t="s">
        <v>73</v>
      </c>
      <c r="Q4615" s="3">
        <v>550.0</v>
      </c>
      <c r="R4615" s="3">
        <v>0.5</v>
      </c>
      <c r="U4615" s="141"/>
      <c r="X4615" s="172">
        <v>46131.08104819444</v>
      </c>
      <c r="Y4615" s="172">
        <v>46125.09297171296</v>
      </c>
      <c r="Z4615" s="3">
        <v>46124.0</v>
      </c>
      <c r="AA4615" s="2" t="s">
        <v>14032</v>
      </c>
    </row>
    <row r="4616">
      <c r="A4616" s="3">
        <v>6.995854164227E12</v>
      </c>
      <c r="B4616" s="2" t="s">
        <v>103</v>
      </c>
      <c r="C4616" s="2" t="s">
        <v>18346</v>
      </c>
      <c r="D4616" s="169">
        <v>46124.0</v>
      </c>
      <c r="E4616" s="2">
        <v>3.060375522E9</v>
      </c>
      <c r="F4616" s="2" t="s">
        <v>18347</v>
      </c>
      <c r="G4616" s="2" t="s">
        <v>493</v>
      </c>
      <c r="H4616" s="2">
        <v>2997.0</v>
      </c>
      <c r="I4616" s="2">
        <v>2.5120050023543E13</v>
      </c>
      <c r="J4616" s="3">
        <v>2.0</v>
      </c>
      <c r="K4616" s="2" t="s">
        <v>18348</v>
      </c>
      <c r="L4616" s="2" t="s">
        <v>18349</v>
      </c>
      <c r="M4616" s="2" t="s">
        <v>409</v>
      </c>
      <c r="N4616" s="2" t="s">
        <v>462</v>
      </c>
      <c r="O4616" s="3"/>
      <c r="P4616" s="2" t="s">
        <v>73</v>
      </c>
      <c r="Q4616" s="3">
        <v>1300.0</v>
      </c>
      <c r="R4616" s="3">
        <v>0.5</v>
      </c>
      <c r="T4616" s="2" t="s">
        <v>72</v>
      </c>
      <c r="U4616" s="171">
        <v>2997.0</v>
      </c>
      <c r="V4616" s="172">
        <v>46129.0</v>
      </c>
      <c r="W4616" s="3">
        <v>393.99</v>
      </c>
      <c r="X4616" s="172">
        <v>46128.08114329861</v>
      </c>
      <c r="Y4616" s="172">
        <v>46125.09297171296</v>
      </c>
      <c r="Z4616" s="3">
        <v>46124.0</v>
      </c>
      <c r="AA4616" s="2" t="s">
        <v>14032</v>
      </c>
    </row>
    <row r="4617">
      <c r="A4617" s="3">
        <v>6.995865174275E12</v>
      </c>
      <c r="B4617" s="2" t="s">
        <v>18350</v>
      </c>
      <c r="C4617" s="2" t="s">
        <v>327</v>
      </c>
      <c r="D4617" s="169">
        <v>46124.0</v>
      </c>
      <c r="E4617" s="2">
        <v>3.101870718E9</v>
      </c>
      <c r="F4617" s="2" t="s">
        <v>18351</v>
      </c>
      <c r="G4617" s="2" t="s">
        <v>787</v>
      </c>
      <c r="H4617" s="2">
        <v>2797.0</v>
      </c>
      <c r="I4617" s="2">
        <v>2.9120050023575E13</v>
      </c>
      <c r="J4617" s="3">
        <v>2.0</v>
      </c>
      <c r="K4617" s="2" t="s">
        <v>241</v>
      </c>
      <c r="L4617" s="2" t="s">
        <v>328</v>
      </c>
      <c r="M4617" s="2" t="s">
        <v>17</v>
      </c>
      <c r="N4617" s="2" t="s">
        <v>406</v>
      </c>
      <c r="O4617" s="3"/>
      <c r="P4617" s="2" t="s">
        <v>73</v>
      </c>
      <c r="Q4617" s="3">
        <v>1100.0</v>
      </c>
      <c r="R4617" s="3">
        <v>0.5</v>
      </c>
      <c r="U4617" s="141"/>
      <c r="X4617" s="172">
        <v>46129.08114552083</v>
      </c>
      <c r="Y4617" s="172">
        <v>46125.09297171296</v>
      </c>
      <c r="Z4617" s="3">
        <v>46124.0</v>
      </c>
      <c r="AA4617" s="2" t="s">
        <v>14022</v>
      </c>
    </row>
    <row r="4618">
      <c r="A4618" s="3">
        <v>6.995900727555E12</v>
      </c>
      <c r="B4618" s="2" t="s">
        <v>18352</v>
      </c>
      <c r="C4618" s="2" t="s">
        <v>18353</v>
      </c>
      <c r="D4618" s="169">
        <v>46124.0</v>
      </c>
      <c r="E4618" s="173" t="s">
        <v>18354</v>
      </c>
      <c r="F4618" s="2" t="s">
        <v>18355</v>
      </c>
      <c r="G4618" s="2" t="s">
        <v>993</v>
      </c>
      <c r="H4618" s="2">
        <v>8598.0</v>
      </c>
      <c r="I4618" s="2" t="s">
        <v>18356</v>
      </c>
      <c r="J4618" s="3">
        <v>4.0</v>
      </c>
      <c r="K4618" s="2" t="s">
        <v>18357</v>
      </c>
      <c r="L4618" s="2" t="s">
        <v>18358</v>
      </c>
      <c r="M4618" s="2" t="s">
        <v>409</v>
      </c>
      <c r="N4618" s="2" t="s">
        <v>406</v>
      </c>
      <c r="O4618" s="3"/>
      <c r="P4618" s="2" t="s">
        <v>640</v>
      </c>
      <c r="Q4618" s="3">
        <v>3900.0</v>
      </c>
      <c r="R4618" s="3">
        <v>0.5</v>
      </c>
      <c r="U4618" s="141"/>
      <c r="X4618" s="172">
        <v>46131.08248030093</v>
      </c>
      <c r="Y4618" s="172">
        <v>46125.09297171296</v>
      </c>
      <c r="Z4618" s="3">
        <v>46124.0</v>
      </c>
      <c r="AA4618" s="2" t="s">
        <v>14536</v>
      </c>
    </row>
    <row r="4619">
      <c r="A4619" s="3">
        <v>6.995948601603E12</v>
      </c>
      <c r="B4619" s="2" t="s">
        <v>102</v>
      </c>
      <c r="C4619" s="2" t="s">
        <v>18359</v>
      </c>
      <c r="D4619" s="169">
        <v>46124.0</v>
      </c>
      <c r="E4619" s="2">
        <v>3.008290061E9</v>
      </c>
      <c r="F4619" s="2" t="s">
        <v>18360</v>
      </c>
      <c r="G4619" s="2" t="s">
        <v>506</v>
      </c>
      <c r="H4619" s="2">
        <v>2797.0</v>
      </c>
      <c r="I4619" s="2">
        <v>2.7120050023574E13</v>
      </c>
      <c r="J4619" s="3">
        <v>2.0</v>
      </c>
      <c r="K4619" s="2" t="s">
        <v>18361</v>
      </c>
      <c r="L4619" s="2" t="s">
        <v>18362</v>
      </c>
      <c r="M4619" s="2" t="s">
        <v>409</v>
      </c>
      <c r="N4619" s="2" t="s">
        <v>462</v>
      </c>
      <c r="O4619" s="3"/>
      <c r="P4619" s="2" t="s">
        <v>73</v>
      </c>
      <c r="Q4619" s="3">
        <v>1100.0</v>
      </c>
      <c r="R4619" s="3">
        <v>0.5</v>
      </c>
      <c r="T4619" s="2" t="s">
        <v>72</v>
      </c>
      <c r="U4619" s="171">
        <v>2797.0</v>
      </c>
      <c r="V4619" s="172">
        <v>46129.0</v>
      </c>
      <c r="W4619" s="3">
        <v>377.93</v>
      </c>
      <c r="X4619" s="172">
        <v>46129.08114555555</v>
      </c>
      <c r="Y4619" s="172">
        <v>46125.09297171296</v>
      </c>
      <c r="Z4619" s="3">
        <v>46124.0</v>
      </c>
      <c r="AA4619" s="2" t="s">
        <v>14032</v>
      </c>
    </row>
    <row r="4620">
      <c r="A4620" s="3">
        <v>6.995964330243E12</v>
      </c>
      <c r="B4620" s="2" t="s">
        <v>101</v>
      </c>
      <c r="C4620" s="2" t="s">
        <v>18363</v>
      </c>
      <c r="D4620" s="169">
        <v>46124.0</v>
      </c>
      <c r="E4620" s="2">
        <v>3.214726977E9</v>
      </c>
      <c r="F4620" s="2" t="s">
        <v>18364</v>
      </c>
      <c r="G4620" s="2" t="s">
        <v>368</v>
      </c>
      <c r="H4620" s="2">
        <v>2098.0</v>
      </c>
      <c r="I4620" s="2">
        <v>2.912005002354E13</v>
      </c>
      <c r="J4620" s="3">
        <v>1.0</v>
      </c>
      <c r="K4620" s="2" t="s">
        <v>18365</v>
      </c>
      <c r="L4620" s="2" t="s">
        <v>326</v>
      </c>
      <c r="M4620" s="2" t="s">
        <v>409</v>
      </c>
      <c r="N4620" s="2" t="s">
        <v>462</v>
      </c>
      <c r="O4620" s="3"/>
      <c r="P4620" s="2" t="s">
        <v>73</v>
      </c>
      <c r="Q4620" s="3">
        <v>360.0</v>
      </c>
      <c r="R4620" s="3">
        <v>0.5</v>
      </c>
      <c r="T4620" s="2" t="s">
        <v>72</v>
      </c>
      <c r="U4620" s="171">
        <v>2098.0</v>
      </c>
      <c r="V4620" s="172">
        <v>46129.0</v>
      </c>
      <c r="W4620" s="3">
        <v>212.91000000000003</v>
      </c>
      <c r="X4620" s="172">
        <v>46127.081182905094</v>
      </c>
      <c r="Y4620" s="172">
        <v>46125.09297171296</v>
      </c>
      <c r="Z4620" s="3">
        <v>46124.0</v>
      </c>
      <c r="AA4620" s="2" t="s">
        <v>14053</v>
      </c>
    </row>
    <row r="4621">
      <c r="A4621" s="3">
        <v>6.995975733507E12</v>
      </c>
      <c r="B4621" s="2" t="s">
        <v>100</v>
      </c>
      <c r="C4621" s="2" t="s">
        <v>18366</v>
      </c>
      <c r="D4621" s="169">
        <v>46124.0</v>
      </c>
      <c r="E4621" s="2">
        <v>3.336377603E9</v>
      </c>
      <c r="F4621" s="2" t="s">
        <v>18367</v>
      </c>
      <c r="G4621" s="2" t="s">
        <v>1630</v>
      </c>
      <c r="H4621" s="2">
        <v>4997.0</v>
      </c>
      <c r="I4621" s="2">
        <v>2.7120050023503E13</v>
      </c>
      <c r="J4621" s="3">
        <v>2.0</v>
      </c>
      <c r="K4621" s="2" t="s">
        <v>18368</v>
      </c>
      <c r="L4621" s="2" t="s">
        <v>18369</v>
      </c>
      <c r="M4621" s="2" t="s">
        <v>409</v>
      </c>
      <c r="N4621" s="2" t="s">
        <v>462</v>
      </c>
      <c r="O4621" s="3"/>
      <c r="P4621" s="2" t="s">
        <v>73</v>
      </c>
      <c r="Q4621" s="3">
        <v>1900.0</v>
      </c>
      <c r="R4621" s="3">
        <v>0.5</v>
      </c>
      <c r="T4621" s="2" t="s">
        <v>72</v>
      </c>
      <c r="U4621" s="171">
        <v>4997.0</v>
      </c>
      <c r="V4621" s="172">
        <v>46129.0</v>
      </c>
      <c r="W4621" s="3">
        <v>465.93</v>
      </c>
      <c r="X4621" s="172">
        <v>46128.08114332176</v>
      </c>
      <c r="Y4621" s="172">
        <v>46125.09297171296</v>
      </c>
      <c r="Z4621" s="3">
        <v>46124.0</v>
      </c>
      <c r="AA4621" s="2" t="s">
        <v>14032</v>
      </c>
    </row>
    <row r="4622">
      <c r="A4622" s="3">
        <v>6.995977568515E12</v>
      </c>
      <c r="B4622" s="2" t="s">
        <v>99</v>
      </c>
      <c r="C4622" s="2" t="s">
        <v>18370</v>
      </c>
      <c r="D4622" s="169">
        <v>46124.0</v>
      </c>
      <c r="E4622" s="2">
        <v>3.47979203E9</v>
      </c>
      <c r="F4622" s="2" t="s">
        <v>18371</v>
      </c>
      <c r="G4622" s="2" t="s">
        <v>13090</v>
      </c>
      <c r="H4622" s="2">
        <v>3399.0</v>
      </c>
      <c r="I4622" s="2">
        <v>2.1120050023502E13</v>
      </c>
      <c r="J4622" s="3">
        <v>2.0</v>
      </c>
      <c r="K4622" s="2" t="s">
        <v>18372</v>
      </c>
      <c r="L4622" s="2" t="s">
        <v>16146</v>
      </c>
      <c r="M4622" s="2" t="s">
        <v>409</v>
      </c>
      <c r="N4622" s="2" t="s">
        <v>462</v>
      </c>
      <c r="O4622" s="3"/>
      <c r="P4622" s="2" t="s">
        <v>73</v>
      </c>
      <c r="Q4622" s="3">
        <v>720.0</v>
      </c>
      <c r="R4622" s="3">
        <v>0.5</v>
      </c>
      <c r="T4622" s="2" t="s">
        <v>72</v>
      </c>
      <c r="U4622" s="171">
        <v>3399.0</v>
      </c>
      <c r="V4622" s="172">
        <v>46129.0</v>
      </c>
      <c r="W4622" s="3">
        <v>393.94000000000005</v>
      </c>
      <c r="X4622" s="172">
        <v>46128.08114334491</v>
      </c>
      <c r="Y4622" s="172">
        <v>46125.09297171296</v>
      </c>
      <c r="Z4622" s="3">
        <v>46124.0</v>
      </c>
      <c r="AA4622" s="2" t="s">
        <v>14032</v>
      </c>
    </row>
    <row r="4623">
      <c r="A4623" s="3">
        <v>6.995982024963E12</v>
      </c>
      <c r="B4623" s="2" t="s">
        <v>18373</v>
      </c>
      <c r="C4623" s="2" t="s">
        <v>18374</v>
      </c>
      <c r="D4623" s="169">
        <v>46124.0</v>
      </c>
      <c r="E4623" s="2">
        <v>3.489032106E9</v>
      </c>
      <c r="F4623" s="2" t="s">
        <v>18375</v>
      </c>
      <c r="G4623" s="2" t="s">
        <v>366</v>
      </c>
      <c r="H4623" s="2">
        <v>2797.0</v>
      </c>
      <c r="I4623" s="2"/>
      <c r="J4623" s="3">
        <v>2.0</v>
      </c>
      <c r="K4623" s="2" t="s">
        <v>18286</v>
      </c>
      <c r="L4623" s="2" t="s">
        <v>18313</v>
      </c>
      <c r="M4623" s="2" t="s">
        <v>406</v>
      </c>
      <c r="N4623" s="2" t="s">
        <v>406</v>
      </c>
      <c r="O4623" s="3"/>
      <c r="P4623" s="2"/>
      <c r="Q4623" s="3">
        <v>1100.0</v>
      </c>
      <c r="R4623" s="3">
        <v>0.5</v>
      </c>
      <c r="U4623" s="141"/>
      <c r="X4623" s="172"/>
      <c r="Y4623" s="172">
        <v>46125.09297171296</v>
      </c>
      <c r="Z4623" s="3">
        <v>46124.0</v>
      </c>
      <c r="AA4623" s="2" t="s">
        <v>14053</v>
      </c>
    </row>
    <row r="4624">
      <c r="A4624" s="3">
        <v>6.995982385411E12</v>
      </c>
      <c r="B4624" s="2" t="s">
        <v>98</v>
      </c>
      <c r="C4624" s="2" t="s">
        <v>18376</v>
      </c>
      <c r="D4624" s="169">
        <v>46124.0</v>
      </c>
      <c r="E4624" s="2">
        <v>3.21287877E9</v>
      </c>
      <c r="F4624" s="2" t="s">
        <v>18377</v>
      </c>
      <c r="G4624" s="2" t="s">
        <v>493</v>
      </c>
      <c r="H4624" s="2">
        <v>1949.0</v>
      </c>
      <c r="I4624" s="2">
        <v>2.7120050023539E13</v>
      </c>
      <c r="J4624" s="3">
        <v>1.0</v>
      </c>
      <c r="K4624" s="2" t="s">
        <v>18031</v>
      </c>
      <c r="L4624" s="2" t="s">
        <v>10425</v>
      </c>
      <c r="M4624" s="2" t="s">
        <v>409</v>
      </c>
      <c r="N4624" s="2" t="s">
        <v>462</v>
      </c>
      <c r="O4624" s="3"/>
      <c r="P4624" s="2" t="s">
        <v>73</v>
      </c>
      <c r="Q4624" s="3">
        <v>550.0</v>
      </c>
      <c r="R4624" s="3">
        <v>0.5</v>
      </c>
      <c r="T4624" s="2" t="s">
        <v>72</v>
      </c>
      <c r="U4624" s="171">
        <v>1949.0</v>
      </c>
      <c r="V4624" s="172">
        <v>46129.0</v>
      </c>
      <c r="W4624" s="3">
        <v>335.94000000000005</v>
      </c>
      <c r="X4624" s="172">
        <v>46128.08114335648</v>
      </c>
      <c r="Y4624" s="172">
        <v>46125.09297171296</v>
      </c>
      <c r="Z4624" s="3">
        <v>46124.0</v>
      </c>
      <c r="AA4624" s="2" t="s">
        <v>14032</v>
      </c>
    </row>
    <row r="4625">
      <c r="A4625" s="3">
        <v>6.995990642947E12</v>
      </c>
      <c r="B4625" s="2" t="s">
        <v>97</v>
      </c>
      <c r="C4625" s="2" t="s">
        <v>18378</v>
      </c>
      <c r="D4625" s="169">
        <v>46124.0</v>
      </c>
      <c r="E4625" s="2">
        <v>3.473253238E9</v>
      </c>
      <c r="F4625" s="2" t="s">
        <v>18379</v>
      </c>
      <c r="G4625" s="2" t="s">
        <v>493</v>
      </c>
      <c r="H4625" s="2">
        <v>3099.0</v>
      </c>
      <c r="I4625" s="2">
        <v>2.8120050023538E13</v>
      </c>
      <c r="J4625" s="3">
        <v>2.0</v>
      </c>
      <c r="K4625" s="2" t="s">
        <v>18064</v>
      </c>
      <c r="L4625" s="2" t="s">
        <v>18380</v>
      </c>
      <c r="M4625" s="2" t="s">
        <v>409</v>
      </c>
      <c r="N4625" s="2" t="s">
        <v>462</v>
      </c>
      <c r="O4625" s="3"/>
      <c r="P4625" s="2" t="s">
        <v>73</v>
      </c>
      <c r="Q4625" s="3">
        <v>1100.0</v>
      </c>
      <c r="R4625" s="3">
        <v>0.5</v>
      </c>
      <c r="T4625" s="2" t="s">
        <v>72</v>
      </c>
      <c r="U4625" s="171">
        <v>3099.0</v>
      </c>
      <c r="V4625" s="172">
        <v>46129.0</v>
      </c>
      <c r="W4625" s="3">
        <v>398.07000000000005</v>
      </c>
      <c r="X4625" s="172">
        <v>46128.08114336805</v>
      </c>
      <c r="Y4625" s="172">
        <v>46125.09297171296</v>
      </c>
      <c r="Z4625" s="3">
        <v>46124.0</v>
      </c>
      <c r="AA4625" s="2" t="s">
        <v>14032</v>
      </c>
    </row>
    <row r="4626">
      <c r="A4626" s="3">
        <v>6.995992084739E12</v>
      </c>
      <c r="B4626" s="2" t="s">
        <v>18381</v>
      </c>
      <c r="C4626" s="2" t="s">
        <v>18382</v>
      </c>
      <c r="D4626" s="169">
        <v>46124.0</v>
      </c>
      <c r="E4626" s="2">
        <v>3.242329194E9</v>
      </c>
      <c r="F4626" s="2" t="s">
        <v>18383</v>
      </c>
      <c r="G4626" s="2" t="s">
        <v>493</v>
      </c>
      <c r="H4626" s="2">
        <v>1798.0</v>
      </c>
      <c r="I4626" s="2">
        <v>2.0120050023573E13</v>
      </c>
      <c r="J4626" s="3">
        <v>1.0</v>
      </c>
      <c r="K4626" s="2" t="s">
        <v>18384</v>
      </c>
      <c r="L4626" s="2" t="s">
        <v>17840</v>
      </c>
      <c r="M4626" s="2" t="s">
        <v>17</v>
      </c>
      <c r="N4626" s="2" t="s">
        <v>406</v>
      </c>
      <c r="O4626" s="3"/>
      <c r="P4626" s="2" t="s">
        <v>73</v>
      </c>
      <c r="Q4626" s="3">
        <v>550.0</v>
      </c>
      <c r="R4626" s="3">
        <v>0.5</v>
      </c>
      <c r="U4626" s="141"/>
      <c r="X4626" s="172">
        <v>46130.08127916667</v>
      </c>
      <c r="Y4626" s="172">
        <v>46125.09297171296</v>
      </c>
      <c r="Z4626" s="3">
        <v>46124.0</v>
      </c>
      <c r="AA4626" s="2" t="s">
        <v>14022</v>
      </c>
    </row>
    <row r="4627">
      <c r="A4627" s="3">
        <v>6.995997065475E12</v>
      </c>
      <c r="B4627" s="2" t="s">
        <v>18385</v>
      </c>
      <c r="C4627" s="2" t="s">
        <v>18386</v>
      </c>
      <c r="D4627" s="169">
        <v>46124.0</v>
      </c>
      <c r="E4627" s="2">
        <v>3.01245382E9</v>
      </c>
      <c r="F4627" s="2" t="s">
        <v>18387</v>
      </c>
      <c r="G4627" s="2" t="s">
        <v>18388</v>
      </c>
      <c r="H4627" s="2">
        <v>2797.0</v>
      </c>
      <c r="I4627" s="2"/>
      <c r="J4627" s="3">
        <v>2.0</v>
      </c>
      <c r="K4627" s="2" t="s">
        <v>204</v>
      </c>
      <c r="L4627" s="2" t="s">
        <v>18217</v>
      </c>
      <c r="M4627" s="2" t="s">
        <v>406</v>
      </c>
      <c r="N4627" s="2" t="s">
        <v>406</v>
      </c>
      <c r="O4627" s="3"/>
      <c r="P4627" s="2"/>
      <c r="Q4627" s="3">
        <v>1100.0</v>
      </c>
      <c r="R4627" s="3">
        <v>0.5</v>
      </c>
      <c r="U4627" s="141"/>
      <c r="X4627" s="172"/>
      <c r="Y4627" s="172">
        <v>46125.09297171296</v>
      </c>
      <c r="Z4627" s="3">
        <v>46124.0</v>
      </c>
      <c r="AA4627" s="2" t="s">
        <v>14022</v>
      </c>
    </row>
    <row r="4628">
      <c r="A4628" s="3">
        <v>6.996032028931E12</v>
      </c>
      <c r="B4628" s="2" t="s">
        <v>18389</v>
      </c>
      <c r="C4628" s="2" t="s">
        <v>508</v>
      </c>
      <c r="D4628" s="169">
        <v>46124.0</v>
      </c>
      <c r="E4628" s="2">
        <v>3.462224686E9</v>
      </c>
      <c r="F4628" s="2" t="s">
        <v>18390</v>
      </c>
      <c r="G4628" s="2" t="s">
        <v>4788</v>
      </c>
      <c r="H4628" s="2">
        <v>2797.0</v>
      </c>
      <c r="I4628" s="2"/>
      <c r="J4628" s="3">
        <v>2.0</v>
      </c>
      <c r="K4628" s="2" t="s">
        <v>223</v>
      </c>
      <c r="L4628" s="2" t="s">
        <v>18391</v>
      </c>
      <c r="M4628" s="2" t="s">
        <v>406</v>
      </c>
      <c r="N4628" s="2" t="s">
        <v>406</v>
      </c>
      <c r="O4628" s="3"/>
      <c r="P4628" s="2"/>
      <c r="Q4628" s="3">
        <v>1100.0</v>
      </c>
      <c r="R4628" s="3">
        <v>0.5</v>
      </c>
      <c r="U4628" s="141"/>
      <c r="X4628" s="172"/>
      <c r="Y4628" s="172">
        <v>46125.09297171296</v>
      </c>
      <c r="Z4628" s="3">
        <v>46124.0</v>
      </c>
      <c r="AA4628" s="2" t="s">
        <v>14103</v>
      </c>
    </row>
    <row r="4629">
      <c r="A4629" s="3">
        <v>6.996054376707E12</v>
      </c>
      <c r="B4629" s="2" t="s">
        <v>96</v>
      </c>
      <c r="C4629" s="2" t="s">
        <v>18392</v>
      </c>
      <c r="D4629" s="169">
        <v>46124.0</v>
      </c>
      <c r="E4629" s="2">
        <v>3.343572852E9</v>
      </c>
      <c r="F4629" s="2" t="s">
        <v>18393</v>
      </c>
      <c r="G4629" s="2" t="s">
        <v>493</v>
      </c>
      <c r="H4629" s="2">
        <v>3198.0</v>
      </c>
      <c r="I4629" s="2">
        <v>2.9120050023527E13</v>
      </c>
      <c r="J4629" s="3">
        <v>2.0</v>
      </c>
      <c r="K4629" s="2" t="s">
        <v>18394</v>
      </c>
      <c r="L4629" s="2" t="s">
        <v>18395</v>
      </c>
      <c r="M4629" s="2" t="s">
        <v>409</v>
      </c>
      <c r="N4629" s="2" t="s">
        <v>462</v>
      </c>
      <c r="O4629" s="3"/>
      <c r="P4629" s="2" t="s">
        <v>73</v>
      </c>
      <c r="Q4629" s="3">
        <v>1150.0</v>
      </c>
      <c r="R4629" s="3">
        <v>0.5</v>
      </c>
      <c r="T4629" s="2" t="s">
        <v>72</v>
      </c>
      <c r="U4629" s="171">
        <v>3198.0</v>
      </c>
      <c r="V4629" s="172">
        <v>46129.0</v>
      </c>
      <c r="W4629" s="3">
        <v>402.03</v>
      </c>
      <c r="X4629" s="172">
        <v>46128.08114340278</v>
      </c>
      <c r="Y4629" s="172">
        <v>46125.09297171296</v>
      </c>
      <c r="Z4629" s="3">
        <v>46124.0</v>
      </c>
      <c r="AA4629" s="2" t="s">
        <v>14022</v>
      </c>
    </row>
    <row r="4630">
      <c r="A4630" s="3">
        <v>6.996072956163E12</v>
      </c>
      <c r="B4630" s="2" t="s">
        <v>18396</v>
      </c>
      <c r="C4630" s="2" t="s">
        <v>18397</v>
      </c>
      <c r="D4630" s="169">
        <v>46124.0</v>
      </c>
      <c r="E4630" s="2">
        <v>3.329980013E9</v>
      </c>
      <c r="F4630" s="2" t="s">
        <v>18398</v>
      </c>
      <c r="G4630" s="2" t="s">
        <v>7068</v>
      </c>
      <c r="H4630" s="2">
        <v>2098.0</v>
      </c>
      <c r="I4630" s="2"/>
      <c r="J4630" s="3">
        <v>1.0</v>
      </c>
      <c r="K4630" s="2" t="s">
        <v>204</v>
      </c>
      <c r="L4630" s="2" t="s">
        <v>220</v>
      </c>
      <c r="M4630" s="2" t="s">
        <v>406</v>
      </c>
      <c r="N4630" s="2" t="s">
        <v>406</v>
      </c>
      <c r="O4630" s="3"/>
      <c r="P4630" s="2"/>
      <c r="Q4630" s="3">
        <v>360.0</v>
      </c>
      <c r="R4630" s="3">
        <v>0.5</v>
      </c>
      <c r="U4630" s="141"/>
      <c r="X4630" s="172"/>
      <c r="Y4630" s="172">
        <v>46125.09297171296</v>
      </c>
      <c r="Z4630" s="3">
        <v>46124.0</v>
      </c>
      <c r="AA4630" s="2" t="s">
        <v>14053</v>
      </c>
    </row>
    <row r="4631">
      <c r="A4631" s="3">
        <v>6.996121714947E12</v>
      </c>
      <c r="B4631" s="2" t="s">
        <v>95</v>
      </c>
      <c r="C4631" s="2" t="s">
        <v>18399</v>
      </c>
      <c r="D4631" s="169">
        <v>46125.0</v>
      </c>
      <c r="E4631" s="2">
        <v>3.188281427E9</v>
      </c>
      <c r="F4631" s="2" t="s">
        <v>18400</v>
      </c>
      <c r="G4631" s="2" t="s">
        <v>366</v>
      </c>
      <c r="H4631" s="2">
        <v>2898.0</v>
      </c>
      <c r="I4631" s="2">
        <v>2.2120050023549E13</v>
      </c>
      <c r="J4631" s="3">
        <v>1.0</v>
      </c>
      <c r="K4631" s="2" t="s">
        <v>18401</v>
      </c>
      <c r="L4631" s="2" t="s">
        <v>18402</v>
      </c>
      <c r="M4631" s="2" t="s">
        <v>409</v>
      </c>
      <c r="N4631" s="2" t="s">
        <v>462</v>
      </c>
      <c r="O4631" s="3"/>
      <c r="P4631" s="2" t="s">
        <v>73</v>
      </c>
      <c r="Q4631" s="3">
        <v>950.0</v>
      </c>
      <c r="R4631" s="3">
        <v>0.5</v>
      </c>
      <c r="T4631" s="2" t="s">
        <v>72</v>
      </c>
      <c r="U4631" s="171">
        <v>2898.0</v>
      </c>
      <c r="V4631" s="172">
        <v>46129.0</v>
      </c>
      <c r="W4631" s="3">
        <v>357.78</v>
      </c>
      <c r="X4631" s="172">
        <v>46129.081146400466</v>
      </c>
      <c r="Y4631" s="172">
        <v>46125.09297171296</v>
      </c>
      <c r="Z4631" s="3">
        <v>46125.0</v>
      </c>
      <c r="AA4631" s="2" t="s">
        <v>14022</v>
      </c>
    </row>
    <row r="4632">
      <c r="A4632" s="3">
        <v>6.996155826435E12</v>
      </c>
      <c r="B4632" s="2" t="s">
        <v>18403</v>
      </c>
      <c r="C4632" s="2" t="s">
        <v>18404</v>
      </c>
      <c r="D4632" s="169">
        <v>46125.0</v>
      </c>
      <c r="E4632" s="173" t="s">
        <v>18405</v>
      </c>
      <c r="F4632" s="2" t="s">
        <v>18406</v>
      </c>
      <c r="G4632" s="2" t="s">
        <v>366</v>
      </c>
      <c r="H4632" s="2">
        <v>9348.0</v>
      </c>
      <c r="I4632" s="2">
        <v>2.2120050023562E13</v>
      </c>
      <c r="J4632" s="3">
        <v>5.0</v>
      </c>
      <c r="K4632" s="2" t="s">
        <v>204</v>
      </c>
      <c r="L4632" s="2" t="s">
        <v>18407</v>
      </c>
      <c r="M4632" s="2" t="s">
        <v>409</v>
      </c>
      <c r="N4632" s="2" t="s">
        <v>406</v>
      </c>
      <c r="O4632" s="3"/>
      <c r="P4632" s="2" t="s">
        <v>73</v>
      </c>
      <c r="Q4632" s="3">
        <v>3700.0</v>
      </c>
      <c r="R4632" s="3">
        <v>0.5</v>
      </c>
      <c r="U4632" s="141"/>
      <c r="X4632" s="172">
        <v>46130.081279247686</v>
      </c>
      <c r="Y4632" s="172">
        <v>46125.09297172454</v>
      </c>
      <c r="Z4632" s="3">
        <v>46125.0</v>
      </c>
      <c r="AA4632" s="2" t="s">
        <v>14032</v>
      </c>
    </row>
    <row r="4633">
      <c r="A4633" s="3">
        <v>6.996165099779E12</v>
      </c>
      <c r="B4633" s="2" t="s">
        <v>18408</v>
      </c>
      <c r="C4633" s="2" t="s">
        <v>1876</v>
      </c>
      <c r="D4633" s="169">
        <v>46125.0</v>
      </c>
      <c r="E4633" s="2">
        <v>3.006047877E9</v>
      </c>
      <c r="F4633" s="2" t="s">
        <v>18409</v>
      </c>
      <c r="G4633" s="2" t="s">
        <v>461</v>
      </c>
      <c r="H4633" s="2">
        <v>3399.0</v>
      </c>
      <c r="I4633" s="2">
        <v>2.9120050023526E13</v>
      </c>
      <c r="J4633" s="3">
        <v>2.0</v>
      </c>
      <c r="K4633" s="2" t="s">
        <v>204</v>
      </c>
      <c r="L4633" s="2" t="s">
        <v>18410</v>
      </c>
      <c r="M4633" s="2" t="s">
        <v>15124</v>
      </c>
      <c r="N4633" s="2" t="s">
        <v>406</v>
      </c>
      <c r="O4633" s="3"/>
      <c r="P4633" s="2" t="s">
        <v>73</v>
      </c>
      <c r="Q4633" s="3">
        <v>860.0</v>
      </c>
      <c r="R4633" s="3">
        <v>0.5</v>
      </c>
      <c r="U4633" s="141"/>
      <c r="X4633" s="172">
        <v>46131.081048252316</v>
      </c>
      <c r="Y4633" s="172">
        <v>46125.09297172454</v>
      </c>
      <c r="Z4633" s="3">
        <v>46125.0</v>
      </c>
      <c r="AA4633" s="2" t="s">
        <v>14032</v>
      </c>
    </row>
    <row r="4634">
      <c r="A4634" s="3">
        <v>6.996193378563E12</v>
      </c>
      <c r="B4634" s="2" t="s">
        <v>94</v>
      </c>
      <c r="C4634" s="2" t="s">
        <v>18411</v>
      </c>
      <c r="D4634" s="169">
        <v>46125.0</v>
      </c>
      <c r="E4634" s="2">
        <v>3.329999345E9</v>
      </c>
      <c r="F4634" s="2" t="s">
        <v>18412</v>
      </c>
      <c r="G4634" s="2" t="s">
        <v>368</v>
      </c>
      <c r="H4634" s="2">
        <v>2049.0</v>
      </c>
      <c r="I4634" s="2">
        <v>2.7120050023572E13</v>
      </c>
      <c r="J4634" s="3">
        <v>1.0</v>
      </c>
      <c r="K4634" s="2" t="s">
        <v>18413</v>
      </c>
      <c r="L4634" s="2" t="s">
        <v>17436</v>
      </c>
      <c r="M4634" s="2" t="s">
        <v>409</v>
      </c>
      <c r="N4634" s="2" t="s">
        <v>462</v>
      </c>
      <c r="O4634" s="3"/>
      <c r="P4634" s="2" t="s">
        <v>73</v>
      </c>
      <c r="Q4634" s="3">
        <v>550.0</v>
      </c>
      <c r="R4634" s="3">
        <v>0.5</v>
      </c>
      <c r="T4634" s="2" t="s">
        <v>72</v>
      </c>
      <c r="U4634" s="171">
        <v>2049.0</v>
      </c>
      <c r="V4634" s="172">
        <v>46129.0</v>
      </c>
      <c r="W4634" s="3">
        <v>210.95</v>
      </c>
      <c r="X4634" s="172">
        <v>46129.08114709491</v>
      </c>
      <c r="Y4634" s="172">
        <v>46125.09297172454</v>
      </c>
      <c r="Z4634" s="3">
        <v>46125.0</v>
      </c>
      <c r="AA4634" s="2" t="s">
        <v>14032</v>
      </c>
    </row>
    <row r="4635">
      <c r="A4635" s="3">
        <v>6.996237615363E12</v>
      </c>
      <c r="B4635" s="2" t="s">
        <v>18414</v>
      </c>
      <c r="C4635" s="2" t="s">
        <v>18415</v>
      </c>
      <c r="D4635" s="169">
        <v>46125.0</v>
      </c>
      <c r="E4635" s="2">
        <v>3.339798819E9</v>
      </c>
      <c r="F4635" s="2" t="s">
        <v>18416</v>
      </c>
      <c r="G4635" s="2" t="s">
        <v>368</v>
      </c>
      <c r="H4635" s="2">
        <v>3999.0</v>
      </c>
      <c r="I4635" s="2">
        <v>2.1120050023537E13</v>
      </c>
      <c r="J4635" s="3">
        <v>2.0</v>
      </c>
      <c r="K4635" s="2" t="s">
        <v>16664</v>
      </c>
      <c r="L4635" s="2" t="s">
        <v>1869</v>
      </c>
      <c r="M4635" s="2" t="s">
        <v>409</v>
      </c>
      <c r="N4635" s="2" t="s">
        <v>462</v>
      </c>
      <c r="O4635" s="3"/>
      <c r="P4635" s="2" t="s">
        <v>73</v>
      </c>
      <c r="Q4635" s="3">
        <v>980.0</v>
      </c>
      <c r="R4635" s="3">
        <v>0.5</v>
      </c>
      <c r="T4635" s="2" t="s">
        <v>15278</v>
      </c>
      <c r="U4635" s="171">
        <v>3999.0</v>
      </c>
      <c r="V4635" s="172">
        <v>46126.0</v>
      </c>
      <c r="W4635" s="3">
        <v>288.95000000000005</v>
      </c>
      <c r="X4635" s="172">
        <v>46127.08118304398</v>
      </c>
      <c r="Y4635" s="172">
        <v>46126.09297611111</v>
      </c>
      <c r="Z4635" s="3">
        <v>46125.0</v>
      </c>
      <c r="AA4635" s="2" t="s">
        <v>14053</v>
      </c>
    </row>
    <row r="4636">
      <c r="A4636" s="3">
        <v>6.996242235651E12</v>
      </c>
      <c r="B4636" s="2" t="s">
        <v>93</v>
      </c>
      <c r="C4636" s="2" t="s">
        <v>18417</v>
      </c>
      <c r="D4636" s="169">
        <v>46125.0</v>
      </c>
      <c r="E4636" s="2">
        <v>3.333678877E9</v>
      </c>
      <c r="F4636" s="2" t="s">
        <v>18418</v>
      </c>
      <c r="G4636" s="2" t="s">
        <v>493</v>
      </c>
      <c r="H4636" s="2">
        <v>3099.0</v>
      </c>
      <c r="I4636" s="2">
        <v>2.2120050023536E13</v>
      </c>
      <c r="J4636" s="3">
        <v>2.0</v>
      </c>
      <c r="K4636" s="2" t="s">
        <v>18064</v>
      </c>
      <c r="L4636" s="2" t="s">
        <v>18419</v>
      </c>
      <c r="M4636" s="2" t="s">
        <v>409</v>
      </c>
      <c r="N4636" s="2" t="s">
        <v>462</v>
      </c>
      <c r="O4636" s="3"/>
      <c r="P4636" s="2" t="s">
        <v>73</v>
      </c>
      <c r="Q4636" s="3">
        <v>1100.0</v>
      </c>
      <c r="R4636" s="3">
        <v>0.5</v>
      </c>
      <c r="T4636" s="2" t="s">
        <v>72</v>
      </c>
      <c r="U4636" s="171">
        <v>3099.0</v>
      </c>
      <c r="V4636" s="172">
        <v>46129.0</v>
      </c>
      <c r="W4636" s="3">
        <v>398.07000000000005</v>
      </c>
      <c r="X4636" s="172">
        <v>46128.08114354167</v>
      </c>
      <c r="Y4636" s="172">
        <v>46126.09297612269</v>
      </c>
      <c r="Z4636" s="3">
        <v>46125.0</v>
      </c>
      <c r="AA4636" s="2" t="s">
        <v>14032</v>
      </c>
    </row>
    <row r="4637">
      <c r="A4637" s="3">
        <v>6.996279361795E12</v>
      </c>
      <c r="B4637" s="2" t="s">
        <v>92</v>
      </c>
      <c r="C4637" s="2" t="s">
        <v>18420</v>
      </c>
      <c r="D4637" s="169">
        <v>46125.0</v>
      </c>
      <c r="E4637" s="173" t="s">
        <v>18421</v>
      </c>
      <c r="F4637" s="2" t="s">
        <v>18422</v>
      </c>
      <c r="G4637" s="2" t="s">
        <v>368</v>
      </c>
      <c r="H4637" s="2">
        <v>6499.0</v>
      </c>
      <c r="I4637" s="2">
        <v>2.8120050023525E13</v>
      </c>
      <c r="J4637" s="3">
        <v>4.0</v>
      </c>
      <c r="K4637" s="2" t="s">
        <v>18423</v>
      </c>
      <c r="L4637" s="2" t="s">
        <v>18424</v>
      </c>
      <c r="M4637" s="2" t="s">
        <v>409</v>
      </c>
      <c r="N4637" s="2" t="s">
        <v>462</v>
      </c>
      <c r="O4637" s="3"/>
      <c r="P4637" s="2" t="s">
        <v>73</v>
      </c>
      <c r="Q4637" s="3">
        <v>1680.0</v>
      </c>
      <c r="R4637" s="3">
        <v>0.5</v>
      </c>
      <c r="T4637" s="2" t="s">
        <v>72</v>
      </c>
      <c r="U4637" s="171">
        <v>6499.0</v>
      </c>
      <c r="V4637" s="172">
        <v>46129.0</v>
      </c>
      <c r="W4637" s="3">
        <v>405.08000000000004</v>
      </c>
      <c r="X4637" s="172">
        <v>46127.081183055554</v>
      </c>
      <c r="Y4637" s="172">
        <v>46126.09297612269</v>
      </c>
      <c r="Z4637" s="3">
        <v>46125.0</v>
      </c>
      <c r="AA4637" s="2" t="s">
        <v>14103</v>
      </c>
    </row>
    <row r="4638">
      <c r="A4638" s="3">
        <v>6.996280049923E12</v>
      </c>
      <c r="B4638" s="2" t="s">
        <v>91</v>
      </c>
      <c r="C4638" s="2" t="s">
        <v>18425</v>
      </c>
      <c r="D4638" s="169">
        <v>46125.0</v>
      </c>
      <c r="E4638" s="2">
        <v>3.288228951E9</v>
      </c>
      <c r="F4638" s="2" t="s">
        <v>18426</v>
      </c>
      <c r="G4638" s="2" t="s">
        <v>1361</v>
      </c>
      <c r="H4638" s="2">
        <v>2098.0</v>
      </c>
      <c r="I4638" s="2">
        <v>2.4120050023542E13</v>
      </c>
      <c r="J4638" s="3">
        <v>1.0</v>
      </c>
      <c r="K4638" s="2" t="s">
        <v>18365</v>
      </c>
      <c r="L4638" s="2" t="s">
        <v>15842</v>
      </c>
      <c r="M4638" s="2" t="s">
        <v>409</v>
      </c>
      <c r="N4638" s="2" t="s">
        <v>462</v>
      </c>
      <c r="O4638" s="3"/>
      <c r="P4638" s="2" t="s">
        <v>73</v>
      </c>
      <c r="Q4638" s="3">
        <v>360.0</v>
      </c>
      <c r="R4638" s="3">
        <v>0.5</v>
      </c>
      <c r="T4638" s="2" t="s">
        <v>72</v>
      </c>
      <c r="U4638" s="171">
        <v>2098.0</v>
      </c>
      <c r="V4638" s="172">
        <v>46129.0</v>
      </c>
      <c r="W4638" s="3">
        <v>341.9</v>
      </c>
      <c r="X4638" s="172">
        <v>46128.08117870371</v>
      </c>
      <c r="Y4638" s="172">
        <v>46126.09297612269</v>
      </c>
      <c r="Z4638" s="3">
        <v>46125.0</v>
      </c>
      <c r="AA4638" s="2" t="s">
        <v>14032</v>
      </c>
    </row>
    <row r="4639">
      <c r="A4639" s="3">
        <v>6.996337819907E12</v>
      </c>
      <c r="B4639" s="2" t="s">
        <v>18427</v>
      </c>
      <c r="C4639" s="2" t="s">
        <v>18428</v>
      </c>
      <c r="D4639" s="169">
        <v>46125.0</v>
      </c>
      <c r="E4639" s="2">
        <v>3.079770171E9</v>
      </c>
      <c r="F4639" s="2" t="s">
        <v>18429</v>
      </c>
      <c r="G4639" s="2" t="s">
        <v>368</v>
      </c>
      <c r="H4639" s="2">
        <v>3399.0</v>
      </c>
      <c r="I4639" s="2">
        <v>2.0120050023524E13</v>
      </c>
      <c r="J4639" s="3">
        <v>2.0</v>
      </c>
      <c r="K4639" s="2" t="s">
        <v>204</v>
      </c>
      <c r="L4639" s="2" t="s">
        <v>18430</v>
      </c>
      <c r="M4639" s="2" t="s">
        <v>15124</v>
      </c>
      <c r="N4639" s="2" t="s">
        <v>406</v>
      </c>
      <c r="O4639" s="3"/>
      <c r="P4639" s="2" t="s">
        <v>73</v>
      </c>
      <c r="Q4639" s="3">
        <v>1000.0</v>
      </c>
      <c r="R4639" s="3">
        <v>0.5</v>
      </c>
      <c r="U4639" s="141"/>
      <c r="X4639" s="172">
        <v>46131.08104829861</v>
      </c>
      <c r="Y4639" s="172">
        <v>46126.09297612269</v>
      </c>
      <c r="Z4639" s="3">
        <v>46125.0</v>
      </c>
      <c r="AA4639" s="2" t="s">
        <v>14053</v>
      </c>
    </row>
    <row r="4640">
      <c r="A4640" s="3">
        <v>6.996367147267E12</v>
      </c>
      <c r="B4640" s="2" t="s">
        <v>90</v>
      </c>
      <c r="C4640" s="2" t="s">
        <v>18431</v>
      </c>
      <c r="D4640" s="169">
        <v>46125.0</v>
      </c>
      <c r="E4640" s="2">
        <v>3.453139808E9</v>
      </c>
      <c r="F4640" s="2" t="s">
        <v>18432</v>
      </c>
      <c r="G4640" s="2" t="s">
        <v>493</v>
      </c>
      <c r="H4640" s="2">
        <v>1949.0</v>
      </c>
      <c r="I4640" s="2">
        <v>2.1120050023548E13</v>
      </c>
      <c r="J4640" s="3">
        <v>1.0</v>
      </c>
      <c r="K4640" s="2" t="s">
        <v>18031</v>
      </c>
      <c r="L4640" s="2" t="s">
        <v>3440</v>
      </c>
      <c r="M4640" s="2" t="s">
        <v>409</v>
      </c>
      <c r="N4640" s="2" t="s">
        <v>462</v>
      </c>
      <c r="O4640" s="3"/>
      <c r="P4640" s="2" t="s">
        <v>73</v>
      </c>
      <c r="Q4640" s="3">
        <v>550.0</v>
      </c>
      <c r="R4640" s="3">
        <v>0.5</v>
      </c>
      <c r="T4640" s="2" t="s">
        <v>72</v>
      </c>
      <c r="U4640" s="171">
        <v>1949.0</v>
      </c>
      <c r="V4640" s="172">
        <v>46129.0</v>
      </c>
      <c r="W4640" s="3">
        <v>335.94000000000005</v>
      </c>
      <c r="X4640" s="172">
        <v>46129.081147199075</v>
      </c>
      <c r="Y4640" s="172">
        <v>46126.09297612269</v>
      </c>
      <c r="Z4640" s="3">
        <v>46125.0</v>
      </c>
      <c r="AA4640" s="2" t="s">
        <v>14032</v>
      </c>
    </row>
    <row r="4641">
      <c r="A4641" s="3">
        <v>6.996399259907E12</v>
      </c>
      <c r="B4641" s="2" t="s">
        <v>89</v>
      </c>
      <c r="C4641" s="2" t="s">
        <v>18433</v>
      </c>
      <c r="D4641" s="169">
        <v>46125.0</v>
      </c>
      <c r="E4641" s="2">
        <v>3.05140505E9</v>
      </c>
      <c r="F4641" s="2" t="s">
        <v>18434</v>
      </c>
      <c r="G4641" s="2" t="s">
        <v>18435</v>
      </c>
      <c r="H4641" s="2">
        <v>2999.0</v>
      </c>
      <c r="I4641" s="2">
        <v>2.3120050023535E13</v>
      </c>
      <c r="J4641" s="3">
        <v>2.0</v>
      </c>
      <c r="K4641" s="2" t="s">
        <v>18436</v>
      </c>
      <c r="L4641" s="2" t="s">
        <v>11822</v>
      </c>
      <c r="M4641" s="2" t="s">
        <v>409</v>
      </c>
      <c r="N4641" s="2" t="s">
        <v>462</v>
      </c>
      <c r="O4641" s="3"/>
      <c r="P4641" s="2" t="s">
        <v>73</v>
      </c>
      <c r="Q4641" s="3">
        <v>720.0</v>
      </c>
      <c r="R4641" s="3">
        <v>0.5</v>
      </c>
      <c r="T4641" s="2" t="s">
        <v>72</v>
      </c>
      <c r="U4641" s="171">
        <v>2999.0</v>
      </c>
      <c r="V4641" s="172">
        <v>46129.0</v>
      </c>
      <c r="W4641" s="3">
        <v>248.95</v>
      </c>
      <c r="X4641" s="172">
        <v>46127.08118310185</v>
      </c>
      <c r="Y4641" s="172">
        <v>46126.09297612269</v>
      </c>
      <c r="Z4641" s="3">
        <v>46125.0</v>
      </c>
      <c r="AA4641" s="2" t="s">
        <v>14053</v>
      </c>
    </row>
    <row r="4642">
      <c r="A4642" s="3">
        <v>6.996416692483E12</v>
      </c>
      <c r="B4642" s="2" t="s">
        <v>18437</v>
      </c>
      <c r="C4642" s="2" t="s">
        <v>18438</v>
      </c>
      <c r="D4642" s="169">
        <v>46125.0</v>
      </c>
      <c r="E4642" s="2">
        <v>3.479949712E9</v>
      </c>
      <c r="F4642" s="2" t="s">
        <v>18439</v>
      </c>
      <c r="G4642" s="2" t="s">
        <v>484</v>
      </c>
      <c r="H4642" s="2">
        <v>2049.0</v>
      </c>
      <c r="I4642" s="2"/>
      <c r="J4642" s="3">
        <v>1.0</v>
      </c>
      <c r="K4642" s="2" t="s">
        <v>204</v>
      </c>
      <c r="L4642" s="2" t="s">
        <v>18209</v>
      </c>
      <c r="M4642" s="2" t="s">
        <v>406</v>
      </c>
      <c r="N4642" s="2" t="s">
        <v>406</v>
      </c>
      <c r="O4642" s="3"/>
      <c r="P4642" s="2"/>
      <c r="Q4642" s="3">
        <v>550.0</v>
      </c>
      <c r="R4642" s="3">
        <v>0.5</v>
      </c>
      <c r="U4642" s="141"/>
      <c r="X4642" s="172"/>
      <c r="Y4642" s="172">
        <v>46126.09297612269</v>
      </c>
      <c r="Z4642" s="3">
        <v>46125.0</v>
      </c>
      <c r="AA4642" s="2" t="s">
        <v>14032</v>
      </c>
    </row>
    <row r="4643">
      <c r="A4643" s="3">
        <v>6.996583645443E12</v>
      </c>
      <c r="B4643" s="2" t="s">
        <v>88</v>
      </c>
      <c r="C4643" s="2" t="s">
        <v>11667</v>
      </c>
      <c r="D4643" s="169">
        <v>46125.0</v>
      </c>
      <c r="E4643" s="2">
        <v>3.486254465E9</v>
      </c>
      <c r="F4643" s="2" t="s">
        <v>18440</v>
      </c>
      <c r="G4643" s="2" t="s">
        <v>368</v>
      </c>
      <c r="H4643" s="2">
        <v>1898.0</v>
      </c>
      <c r="I4643" s="2">
        <v>2.1120050023534E13</v>
      </c>
      <c r="J4643" s="3">
        <v>1.0</v>
      </c>
      <c r="K4643" s="2" t="s">
        <v>18441</v>
      </c>
      <c r="L4643" s="2" t="s">
        <v>17549</v>
      </c>
      <c r="M4643" s="2" t="s">
        <v>409</v>
      </c>
      <c r="N4643" s="2" t="s">
        <v>462</v>
      </c>
      <c r="O4643" s="3"/>
      <c r="P4643" s="2" t="s">
        <v>73</v>
      </c>
      <c r="Q4643" s="3">
        <v>650.0</v>
      </c>
      <c r="R4643" s="3">
        <v>0.5</v>
      </c>
      <c r="T4643" s="2" t="s">
        <v>72</v>
      </c>
      <c r="U4643" s="171">
        <v>1898.0</v>
      </c>
      <c r="V4643" s="172">
        <v>46129.0</v>
      </c>
      <c r="W4643" s="3">
        <v>317.78</v>
      </c>
      <c r="X4643" s="172">
        <v>46127.08118311343</v>
      </c>
      <c r="Y4643" s="172">
        <v>46126.09297612269</v>
      </c>
      <c r="Z4643" s="3">
        <v>46125.0</v>
      </c>
      <c r="AA4643" s="2" t="s">
        <v>14032</v>
      </c>
    </row>
    <row r="4644">
      <c r="A4644" s="3">
        <v>6.996652491011E12</v>
      </c>
      <c r="B4644" s="2" t="s">
        <v>18442</v>
      </c>
      <c r="C4644" s="2" t="s">
        <v>18443</v>
      </c>
      <c r="D4644" s="169">
        <v>46125.0</v>
      </c>
      <c r="E4644" s="2">
        <v>3.056329298E9</v>
      </c>
      <c r="F4644" s="2" t="s">
        <v>18444</v>
      </c>
      <c r="G4644" s="2" t="s">
        <v>855</v>
      </c>
      <c r="H4644" s="2">
        <v>2700.0</v>
      </c>
      <c r="I4644" s="2"/>
      <c r="J4644" s="3">
        <v>2.0</v>
      </c>
      <c r="K4644" s="2" t="s">
        <v>9990</v>
      </c>
      <c r="L4644" s="2" t="s">
        <v>18091</v>
      </c>
      <c r="M4644" s="2" t="s">
        <v>406</v>
      </c>
      <c r="N4644" s="2" t="s">
        <v>406</v>
      </c>
      <c r="O4644" s="3"/>
      <c r="P4644" s="2"/>
      <c r="Q4644" s="3">
        <v>1100.0</v>
      </c>
      <c r="R4644" s="3">
        <v>0.5</v>
      </c>
      <c r="U4644" s="141"/>
      <c r="X4644" s="172"/>
      <c r="Y4644" s="172">
        <v>46126.09297612269</v>
      </c>
      <c r="Z4644" s="3">
        <v>46125.0</v>
      </c>
      <c r="AA4644" s="2" t="s">
        <v>14103</v>
      </c>
    </row>
    <row r="4645">
      <c r="A4645" s="3">
        <v>6.996698759427E12</v>
      </c>
      <c r="B4645" s="2" t="s">
        <v>87</v>
      </c>
      <c r="C4645" s="2" t="s">
        <v>18445</v>
      </c>
      <c r="D4645" s="169">
        <v>46125.0</v>
      </c>
      <c r="E4645" s="173" t="s">
        <v>18446</v>
      </c>
      <c r="F4645" s="2" t="s">
        <v>18447</v>
      </c>
      <c r="G4645" s="2" t="s">
        <v>16432</v>
      </c>
      <c r="H4645" s="2">
        <v>3297.0</v>
      </c>
      <c r="I4645" s="2">
        <v>2.9120050023571E13</v>
      </c>
      <c r="J4645" s="3">
        <v>2.0</v>
      </c>
      <c r="K4645" s="2" t="s">
        <v>18448</v>
      </c>
      <c r="L4645" s="2" t="s">
        <v>18449</v>
      </c>
      <c r="M4645" s="2" t="s">
        <v>409</v>
      </c>
      <c r="N4645" s="2" t="s">
        <v>462</v>
      </c>
      <c r="O4645" s="3"/>
      <c r="P4645" s="2" t="s">
        <v>73</v>
      </c>
      <c r="Q4645" s="3">
        <v>1100.0</v>
      </c>
      <c r="R4645" s="3">
        <v>0.5</v>
      </c>
      <c r="T4645" s="2" t="s">
        <v>72</v>
      </c>
      <c r="U4645" s="171">
        <v>3297.0</v>
      </c>
      <c r="V4645" s="172">
        <v>46129.0</v>
      </c>
      <c r="W4645" s="3">
        <v>389.86</v>
      </c>
      <c r="X4645" s="172">
        <v>46129.08114722223</v>
      </c>
      <c r="Y4645" s="172">
        <v>46126.09297612269</v>
      </c>
      <c r="Z4645" s="3">
        <v>46125.0</v>
      </c>
      <c r="AA4645" s="2" t="s">
        <v>14026</v>
      </c>
    </row>
    <row r="4646">
      <c r="A4646" s="3">
        <v>6.996716617987E12</v>
      </c>
      <c r="B4646" s="2" t="s">
        <v>86</v>
      </c>
      <c r="C4646" s="2" t="s">
        <v>9082</v>
      </c>
      <c r="D4646" s="169">
        <v>46125.0</v>
      </c>
      <c r="E4646" s="2">
        <v>3.333320589E9</v>
      </c>
      <c r="F4646" s="2" t="s">
        <v>18450</v>
      </c>
      <c r="G4646" s="2" t="s">
        <v>772</v>
      </c>
      <c r="H4646" s="2">
        <v>2099.0</v>
      </c>
      <c r="I4646" s="2">
        <v>2.1120050023523E13</v>
      </c>
      <c r="J4646" s="3">
        <v>1.0</v>
      </c>
      <c r="K4646" s="2" t="s">
        <v>18111</v>
      </c>
      <c r="L4646" s="2" t="s">
        <v>6266</v>
      </c>
      <c r="M4646" s="2" t="s">
        <v>409</v>
      </c>
      <c r="N4646" s="2" t="s">
        <v>462</v>
      </c>
      <c r="O4646" s="3"/>
      <c r="P4646" s="2" t="s">
        <v>73</v>
      </c>
      <c r="Q4646" s="3">
        <v>500.0</v>
      </c>
      <c r="R4646" s="3">
        <v>0.5</v>
      </c>
      <c r="T4646" s="2" t="s">
        <v>72</v>
      </c>
      <c r="U4646" s="171">
        <v>2099.0</v>
      </c>
      <c r="V4646" s="172">
        <v>46129.0</v>
      </c>
      <c r="W4646" s="3">
        <v>341.94000000000005</v>
      </c>
      <c r="X4646" s="172">
        <v>46129.081147268516</v>
      </c>
      <c r="Y4646" s="172">
        <v>46126.09297612269</v>
      </c>
      <c r="Z4646" s="3">
        <v>46125.0</v>
      </c>
      <c r="AA4646" s="2" t="s">
        <v>14032</v>
      </c>
    </row>
    <row r="4647">
      <c r="A4647" s="3">
        <v>6.996748632323E12</v>
      </c>
      <c r="B4647" s="2" t="s">
        <v>18451</v>
      </c>
      <c r="C4647" s="2" t="s">
        <v>18452</v>
      </c>
      <c r="D4647" s="169">
        <v>46125.0</v>
      </c>
      <c r="E4647" s="2">
        <v>3.09999902E9</v>
      </c>
      <c r="F4647" s="2" t="s">
        <v>18453</v>
      </c>
      <c r="G4647" s="2" t="s">
        <v>361</v>
      </c>
      <c r="H4647" s="2">
        <v>0.0</v>
      </c>
      <c r="I4647" s="2"/>
      <c r="J4647" s="3">
        <v>0.0</v>
      </c>
      <c r="K4647" s="2" t="s">
        <v>7545</v>
      </c>
      <c r="L4647" s="2"/>
      <c r="M4647" s="2" t="s">
        <v>468</v>
      </c>
      <c r="N4647" s="2" t="s">
        <v>406</v>
      </c>
      <c r="O4647" s="3"/>
      <c r="P4647" s="2"/>
      <c r="Q4647" s="3">
        <v>0.0</v>
      </c>
      <c r="R4647" s="3">
        <v>0.5</v>
      </c>
      <c r="U4647" s="141"/>
      <c r="X4647" s="172"/>
      <c r="Y4647" s="172">
        <v>46126.09297612269</v>
      </c>
      <c r="Z4647" s="3">
        <v>46125.0</v>
      </c>
      <c r="AA4647" s="2" t="s">
        <v>14032</v>
      </c>
    </row>
    <row r="4648">
      <c r="A4648" s="3">
        <v>6.996772192515E12</v>
      </c>
      <c r="B4648" s="2" t="s">
        <v>18454</v>
      </c>
      <c r="C4648" s="2" t="s">
        <v>18455</v>
      </c>
      <c r="D4648" s="169">
        <v>46125.0</v>
      </c>
      <c r="E4648" s="173" t="s">
        <v>18456</v>
      </c>
      <c r="F4648" s="2" t="s">
        <v>18457</v>
      </c>
      <c r="G4648" s="2" t="s">
        <v>493</v>
      </c>
      <c r="H4648" s="2">
        <v>2049.0</v>
      </c>
      <c r="I4648" s="2"/>
      <c r="J4648" s="3">
        <v>1.0</v>
      </c>
      <c r="K4648" s="2" t="s">
        <v>204</v>
      </c>
      <c r="L4648" s="2" t="s">
        <v>18458</v>
      </c>
      <c r="M4648" s="2" t="s">
        <v>406</v>
      </c>
      <c r="N4648" s="2" t="s">
        <v>406</v>
      </c>
      <c r="O4648" s="3"/>
      <c r="P4648" s="2"/>
      <c r="Q4648" s="3">
        <v>550.0</v>
      </c>
      <c r="R4648" s="3">
        <v>0.5</v>
      </c>
      <c r="U4648" s="141"/>
      <c r="X4648" s="172"/>
      <c r="Y4648" s="172">
        <v>46126.09297612269</v>
      </c>
      <c r="Z4648" s="3">
        <v>46125.0</v>
      </c>
      <c r="AA4648" s="2" t="s">
        <v>14032</v>
      </c>
    </row>
    <row r="4649">
      <c r="A4649" s="3">
        <v>6.996779958531E12</v>
      </c>
      <c r="B4649" s="2" t="s">
        <v>85</v>
      </c>
      <c r="C4649" s="2" t="s">
        <v>18459</v>
      </c>
      <c r="D4649" s="169">
        <v>46125.0</v>
      </c>
      <c r="E4649" s="2">
        <v>3.337055104E9</v>
      </c>
      <c r="F4649" s="2" t="s">
        <v>18460</v>
      </c>
      <c r="G4649" s="2" t="s">
        <v>693</v>
      </c>
      <c r="H4649" s="2">
        <v>2999.0</v>
      </c>
      <c r="I4649" s="2">
        <v>2.412005002358E13</v>
      </c>
      <c r="J4649" s="3">
        <v>2.0</v>
      </c>
      <c r="K4649" s="2" t="s">
        <v>18436</v>
      </c>
      <c r="L4649" s="2" t="s">
        <v>2324</v>
      </c>
      <c r="M4649" s="2" t="s">
        <v>409</v>
      </c>
      <c r="N4649" s="2" t="s">
        <v>462</v>
      </c>
      <c r="O4649" s="3"/>
      <c r="P4649" s="2" t="s">
        <v>73</v>
      </c>
      <c r="Q4649" s="3">
        <v>720.0</v>
      </c>
      <c r="R4649" s="3">
        <v>0.5</v>
      </c>
      <c r="T4649" s="2" t="s">
        <v>72</v>
      </c>
      <c r="U4649" s="171">
        <v>2999.0</v>
      </c>
      <c r="V4649" s="172">
        <v>46129.0</v>
      </c>
      <c r="W4649" s="3">
        <v>377.94000000000005</v>
      </c>
      <c r="X4649" s="172">
        <v>46129.081147372686</v>
      </c>
      <c r="Y4649" s="172">
        <v>46126.09297612269</v>
      </c>
      <c r="Z4649" s="3">
        <v>46125.0</v>
      </c>
      <c r="AA4649" s="2" t="s">
        <v>14032</v>
      </c>
    </row>
    <row r="4650">
      <c r="A4650" s="3">
        <v>6.996909195523E12</v>
      </c>
      <c r="B4650" s="2" t="s">
        <v>184</v>
      </c>
      <c r="C4650" s="2" t="s">
        <v>18461</v>
      </c>
      <c r="D4650" s="169">
        <v>46125.0</v>
      </c>
      <c r="E4650" s="173" t="s">
        <v>18462</v>
      </c>
      <c r="F4650" s="2" t="s">
        <v>18463</v>
      </c>
      <c r="G4650" s="2" t="s">
        <v>2966</v>
      </c>
      <c r="H4650" s="2">
        <v>1499.0</v>
      </c>
      <c r="I4650" s="2">
        <v>2.5120050023541E13</v>
      </c>
      <c r="J4650" s="3">
        <v>1.0</v>
      </c>
      <c r="K4650" s="2"/>
      <c r="L4650" s="2" t="s">
        <v>11575</v>
      </c>
      <c r="M4650" s="2" t="s">
        <v>409</v>
      </c>
      <c r="N4650" s="2" t="s">
        <v>406</v>
      </c>
      <c r="O4650" s="3"/>
      <c r="P4650" s="2" t="s">
        <v>73</v>
      </c>
      <c r="Q4650" s="3">
        <v>1100.0</v>
      </c>
      <c r="R4650" s="3">
        <v>0.5</v>
      </c>
      <c r="U4650" s="141"/>
      <c r="X4650" s="172">
        <v>46128.08117880787</v>
      </c>
      <c r="Y4650" s="172">
        <v>46126.09297612269</v>
      </c>
      <c r="Z4650" s="3">
        <v>46125.0</v>
      </c>
      <c r="AA4650" s="2" t="s">
        <v>14026</v>
      </c>
    </row>
    <row r="4651">
      <c r="A4651" s="3">
        <v>6.997011366147E12</v>
      </c>
      <c r="B4651" s="2" t="s">
        <v>186</v>
      </c>
      <c r="C4651" s="2" t="s">
        <v>18464</v>
      </c>
      <c r="D4651" s="169">
        <v>46125.0</v>
      </c>
      <c r="E4651" s="2" t="s">
        <v>18465</v>
      </c>
      <c r="F4651" s="2" t="s">
        <v>18466</v>
      </c>
      <c r="G4651" s="2" t="s">
        <v>1619</v>
      </c>
      <c r="H4651" s="2">
        <v>2790.0</v>
      </c>
      <c r="I4651" s="2">
        <v>2.7120050023547E13</v>
      </c>
      <c r="J4651" s="3">
        <v>2.0</v>
      </c>
      <c r="K4651" s="2" t="s">
        <v>18467</v>
      </c>
      <c r="L4651" s="2" t="s">
        <v>18468</v>
      </c>
      <c r="M4651" s="2" t="s">
        <v>409</v>
      </c>
      <c r="N4651" s="2" t="s">
        <v>462</v>
      </c>
      <c r="O4651" s="3"/>
      <c r="P4651" s="2" t="s">
        <v>73</v>
      </c>
      <c r="Q4651" s="3">
        <v>800.0</v>
      </c>
      <c r="R4651" s="3">
        <v>0.5</v>
      </c>
      <c r="U4651" s="141"/>
      <c r="X4651" s="172">
        <v>46128.08117884259</v>
      </c>
      <c r="Y4651" s="172">
        <v>46126.09297612269</v>
      </c>
      <c r="Z4651" s="3">
        <v>46125.0</v>
      </c>
      <c r="AA4651" s="2" t="s">
        <v>14026</v>
      </c>
    </row>
    <row r="4652">
      <c r="A4652" s="3">
        <v>6.997146009859E12</v>
      </c>
      <c r="B4652" s="2" t="s">
        <v>84</v>
      </c>
      <c r="C4652" s="2" t="s">
        <v>18469</v>
      </c>
      <c r="D4652" s="169">
        <v>46125.0</v>
      </c>
      <c r="E4652" s="173" t="s">
        <v>18470</v>
      </c>
      <c r="F4652" s="2" t="s">
        <v>18471</v>
      </c>
      <c r="G4652" s="2" t="s">
        <v>1619</v>
      </c>
      <c r="H4652" s="2">
        <v>2049.0</v>
      </c>
      <c r="I4652" s="2">
        <v>2.3120050023579E13</v>
      </c>
      <c r="J4652" s="3">
        <v>1.0</v>
      </c>
      <c r="K4652" s="2" t="s">
        <v>18472</v>
      </c>
      <c r="L4652" s="2" t="s">
        <v>17591</v>
      </c>
      <c r="M4652" s="2" t="s">
        <v>409</v>
      </c>
      <c r="N4652" s="2" t="s">
        <v>462</v>
      </c>
      <c r="O4652" s="3"/>
      <c r="P4652" s="2" t="s">
        <v>73</v>
      </c>
      <c r="Q4652" s="3">
        <v>550.0</v>
      </c>
      <c r="R4652" s="3">
        <v>0.5</v>
      </c>
      <c r="T4652" s="2" t="s">
        <v>72</v>
      </c>
      <c r="U4652" s="171">
        <v>2049.0</v>
      </c>
      <c r="V4652" s="172">
        <v>46129.0</v>
      </c>
      <c r="W4652" s="3">
        <v>210.95</v>
      </c>
      <c r="X4652" s="172">
        <v>46128.08117885416</v>
      </c>
      <c r="Y4652" s="172">
        <v>46126.09297612269</v>
      </c>
      <c r="Z4652" s="3">
        <v>46125.0</v>
      </c>
      <c r="AA4652" s="2" t="s">
        <v>14026</v>
      </c>
    </row>
    <row r="4653">
      <c r="A4653" s="3">
        <v>6.997150433539E12</v>
      </c>
      <c r="B4653" s="2" t="s">
        <v>18473</v>
      </c>
      <c r="C4653" s="2" t="s">
        <v>17264</v>
      </c>
      <c r="D4653" s="169">
        <v>46125.0</v>
      </c>
      <c r="E4653" s="173" t="s">
        <v>17265</v>
      </c>
      <c r="F4653" s="2" t="s">
        <v>17266</v>
      </c>
      <c r="G4653" s="2" t="s">
        <v>506</v>
      </c>
      <c r="H4653" s="2">
        <v>4545.0</v>
      </c>
      <c r="I4653" s="2">
        <v>2.3120050023624E13</v>
      </c>
      <c r="J4653" s="3">
        <v>3.0</v>
      </c>
      <c r="K4653" s="2" t="s">
        <v>18474</v>
      </c>
      <c r="L4653" s="2" t="s">
        <v>18475</v>
      </c>
      <c r="M4653" s="2" t="s">
        <v>17</v>
      </c>
      <c r="N4653" s="2" t="s">
        <v>406</v>
      </c>
      <c r="O4653" s="3"/>
      <c r="P4653" s="2" t="s">
        <v>73</v>
      </c>
      <c r="Q4653" s="3">
        <v>1080.0</v>
      </c>
      <c r="R4653" s="3">
        <v>0.5</v>
      </c>
      <c r="U4653" s="141"/>
      <c r="X4653" s="172">
        <v>46131.08104831018</v>
      </c>
      <c r="Y4653" s="172">
        <v>46126.09297612269</v>
      </c>
      <c r="Z4653" s="3">
        <v>46125.0</v>
      </c>
      <c r="AA4653" s="2" t="s">
        <v>14026</v>
      </c>
    </row>
    <row r="4654">
      <c r="A4654" s="3">
        <v>6.997301166339E12</v>
      </c>
      <c r="B4654" s="2" t="s">
        <v>18476</v>
      </c>
      <c r="C4654" s="2" t="s">
        <v>329</v>
      </c>
      <c r="D4654" s="169">
        <v>46125.0</v>
      </c>
      <c r="E4654" s="173" t="s">
        <v>18477</v>
      </c>
      <c r="F4654" s="2" t="s">
        <v>18478</v>
      </c>
      <c r="G4654" s="2" t="s">
        <v>506</v>
      </c>
      <c r="H4654" s="2">
        <v>3899.0</v>
      </c>
      <c r="I4654" s="2">
        <v>2.8120050023578E13</v>
      </c>
      <c r="J4654" s="3">
        <v>2.0</v>
      </c>
      <c r="K4654" s="2" t="s">
        <v>330</v>
      </c>
      <c r="L4654" s="2" t="s">
        <v>331</v>
      </c>
      <c r="M4654" s="2" t="s">
        <v>17</v>
      </c>
      <c r="N4654" s="2" t="s">
        <v>406</v>
      </c>
      <c r="O4654" s="3"/>
      <c r="P4654" s="2" t="s">
        <v>73</v>
      </c>
      <c r="Q4654" s="3">
        <v>1500.0</v>
      </c>
      <c r="R4654" s="3">
        <v>0.5</v>
      </c>
      <c r="U4654" s="141"/>
      <c r="X4654" s="172">
        <v>46129.08114864583</v>
      </c>
      <c r="Y4654" s="172">
        <v>46126.09297612269</v>
      </c>
      <c r="Z4654" s="3">
        <v>46125.0</v>
      </c>
      <c r="AA4654" s="2" t="s">
        <v>14032</v>
      </c>
    </row>
    <row r="4655">
      <c r="A4655" s="3">
        <v>6.997323219203E12</v>
      </c>
      <c r="B4655" s="2" t="s">
        <v>18479</v>
      </c>
      <c r="C4655" s="2" t="s">
        <v>18480</v>
      </c>
      <c r="D4655" s="169">
        <v>46125.0</v>
      </c>
      <c r="E4655" s="2">
        <v>3.306178091E9</v>
      </c>
      <c r="F4655" s="2" t="s">
        <v>18481</v>
      </c>
      <c r="G4655" s="2" t="s">
        <v>8872</v>
      </c>
      <c r="H4655" s="2">
        <v>2049.0</v>
      </c>
      <c r="I4655" s="2"/>
      <c r="J4655" s="3">
        <v>1.0</v>
      </c>
      <c r="K4655" s="2" t="s">
        <v>204</v>
      </c>
      <c r="L4655" s="2" t="s">
        <v>17591</v>
      </c>
      <c r="M4655" s="2" t="s">
        <v>406</v>
      </c>
      <c r="N4655" s="2" t="s">
        <v>406</v>
      </c>
      <c r="O4655" s="3"/>
      <c r="P4655" s="2"/>
      <c r="Q4655" s="3">
        <v>550.0</v>
      </c>
      <c r="R4655" s="3">
        <v>0.5</v>
      </c>
      <c r="U4655" s="141"/>
      <c r="X4655" s="172"/>
      <c r="Y4655" s="172">
        <v>46126.09297612269</v>
      </c>
      <c r="Z4655" s="3">
        <v>46125.0</v>
      </c>
      <c r="AA4655" s="2" t="s">
        <v>14022</v>
      </c>
    </row>
    <row r="4656">
      <c r="A4656" s="3">
        <v>6.997346910467E12</v>
      </c>
      <c r="B4656" s="2" t="s">
        <v>18482</v>
      </c>
      <c r="C4656" s="2" t="s">
        <v>6406</v>
      </c>
      <c r="D4656" s="169">
        <v>46125.0</v>
      </c>
      <c r="E4656" s="2">
        <v>3.096815025E9</v>
      </c>
      <c r="F4656" s="2" t="s">
        <v>18483</v>
      </c>
      <c r="G4656" s="2" t="s">
        <v>1016</v>
      </c>
      <c r="H4656" s="2">
        <v>2898.0</v>
      </c>
      <c r="I4656" s="2"/>
      <c r="J4656" s="3">
        <v>1.0</v>
      </c>
      <c r="K4656" s="2" t="s">
        <v>18484</v>
      </c>
      <c r="L4656" s="2" t="s">
        <v>18485</v>
      </c>
      <c r="M4656" s="2" t="s">
        <v>406</v>
      </c>
      <c r="N4656" s="2" t="s">
        <v>406</v>
      </c>
      <c r="O4656" s="3"/>
      <c r="P4656" s="2"/>
      <c r="Q4656" s="3">
        <v>950.0</v>
      </c>
      <c r="R4656" s="3">
        <v>0.5</v>
      </c>
      <c r="U4656" s="141"/>
      <c r="X4656" s="172"/>
      <c r="Y4656" s="172">
        <v>46126.09297612269</v>
      </c>
      <c r="Z4656" s="3">
        <v>46125.0</v>
      </c>
      <c r="AA4656" s="2" t="s">
        <v>14032</v>
      </c>
    </row>
    <row r="4657">
      <c r="A4657" s="3">
        <v>6.997357232387E12</v>
      </c>
      <c r="B4657" s="2" t="s">
        <v>18486</v>
      </c>
      <c r="C4657" s="2" t="s">
        <v>18487</v>
      </c>
      <c r="D4657" s="169">
        <v>46125.0</v>
      </c>
      <c r="E4657" s="2">
        <v>3.12694009E9</v>
      </c>
      <c r="F4657" s="2" t="s">
        <v>18488</v>
      </c>
      <c r="G4657" s="2" t="s">
        <v>18489</v>
      </c>
      <c r="H4657" s="2">
        <v>3349.0</v>
      </c>
      <c r="I4657" s="2"/>
      <c r="J4657" s="3">
        <v>1.0</v>
      </c>
      <c r="K4657" s="2" t="s">
        <v>7809</v>
      </c>
      <c r="L4657" s="2" t="s">
        <v>13294</v>
      </c>
      <c r="M4657" s="2" t="s">
        <v>406</v>
      </c>
      <c r="N4657" s="2" t="s">
        <v>406</v>
      </c>
      <c r="O4657" s="3"/>
      <c r="P4657" s="2"/>
      <c r="Q4657" s="3">
        <v>1400.0</v>
      </c>
      <c r="R4657" s="3">
        <v>0.5</v>
      </c>
      <c r="U4657" s="141"/>
      <c r="X4657" s="172"/>
      <c r="Y4657" s="172">
        <v>46126.09297612269</v>
      </c>
      <c r="Z4657" s="3">
        <v>46125.0</v>
      </c>
      <c r="AA4657" s="2" t="s">
        <v>14053</v>
      </c>
    </row>
    <row r="4658">
      <c r="A4658" s="3">
        <v>6.997396455683E12</v>
      </c>
      <c r="B4658" s="2" t="s">
        <v>18490</v>
      </c>
      <c r="C4658" s="2" t="s">
        <v>18491</v>
      </c>
      <c r="D4658" s="169">
        <v>46125.0</v>
      </c>
      <c r="E4658" s="173" t="s">
        <v>18492</v>
      </c>
      <c r="F4658" s="2" t="s">
        <v>18493</v>
      </c>
      <c r="G4658" s="2" t="s">
        <v>368</v>
      </c>
      <c r="H4658" s="2">
        <v>3099.0</v>
      </c>
      <c r="I4658" s="2"/>
      <c r="J4658" s="3">
        <v>2.0</v>
      </c>
      <c r="K4658" s="2" t="s">
        <v>7809</v>
      </c>
      <c r="L4658" s="2" t="s">
        <v>18494</v>
      </c>
      <c r="M4658" s="2" t="s">
        <v>406</v>
      </c>
      <c r="N4658" s="2" t="s">
        <v>406</v>
      </c>
      <c r="O4658" s="3"/>
      <c r="P4658" s="2"/>
      <c r="Q4658" s="3">
        <v>1100.0</v>
      </c>
      <c r="R4658" s="3">
        <v>0.5</v>
      </c>
      <c r="U4658" s="141"/>
      <c r="X4658" s="172"/>
      <c r="Y4658" s="172">
        <v>46126.09297612269</v>
      </c>
      <c r="Z4658" s="3">
        <v>46125.0</v>
      </c>
      <c r="AA4658" s="2" t="s">
        <v>14032</v>
      </c>
    </row>
    <row r="4659">
      <c r="A4659" s="3">
        <v>6.997409530115E12</v>
      </c>
      <c r="B4659" s="2" t="s">
        <v>18495</v>
      </c>
      <c r="C4659" s="2" t="s">
        <v>18496</v>
      </c>
      <c r="D4659" s="169">
        <v>46125.0</v>
      </c>
      <c r="E4659" s="2">
        <v>3.345184535E9</v>
      </c>
      <c r="F4659" s="2" t="s">
        <v>18497</v>
      </c>
      <c r="G4659" s="2" t="s">
        <v>506</v>
      </c>
      <c r="H4659" s="2">
        <v>0.0</v>
      </c>
      <c r="I4659" s="2"/>
      <c r="J4659" s="3">
        <v>0.0</v>
      </c>
      <c r="K4659" s="2" t="s">
        <v>18498</v>
      </c>
      <c r="L4659" s="2"/>
      <c r="M4659" s="2" t="s">
        <v>468</v>
      </c>
      <c r="N4659" s="2" t="s">
        <v>406</v>
      </c>
      <c r="O4659" s="3"/>
      <c r="P4659" s="2"/>
      <c r="Q4659" s="3">
        <v>0.0</v>
      </c>
      <c r="R4659" s="3">
        <v>0.5</v>
      </c>
      <c r="U4659" s="141"/>
      <c r="X4659" s="172"/>
      <c r="Y4659" s="172">
        <v>46126.09297612269</v>
      </c>
      <c r="Z4659" s="3">
        <v>46125.0</v>
      </c>
      <c r="AA4659" s="2" t="s">
        <v>14053</v>
      </c>
    </row>
    <row r="4660">
      <c r="A4660" s="3">
        <v>6.997421555971E12</v>
      </c>
      <c r="B4660" s="2" t="s">
        <v>18499</v>
      </c>
      <c r="C4660" s="2" t="s">
        <v>18500</v>
      </c>
      <c r="D4660" s="169">
        <v>46125.0</v>
      </c>
      <c r="E4660" s="2">
        <v>3.333265992E9</v>
      </c>
      <c r="F4660" s="2" t="s">
        <v>18501</v>
      </c>
      <c r="G4660" s="2" t="s">
        <v>493</v>
      </c>
      <c r="H4660" s="2">
        <v>3397.0</v>
      </c>
      <c r="I4660" s="2">
        <v>2.6120050023623E13</v>
      </c>
      <c r="J4660" s="3">
        <v>2.0</v>
      </c>
      <c r="K4660" s="2" t="s">
        <v>204</v>
      </c>
      <c r="L4660" s="2" t="s">
        <v>1263</v>
      </c>
      <c r="M4660" s="2" t="s">
        <v>409</v>
      </c>
      <c r="N4660" s="2" t="s">
        <v>406</v>
      </c>
      <c r="O4660" s="3"/>
      <c r="P4660" s="2" t="s">
        <v>73</v>
      </c>
      <c r="Q4660" s="3">
        <v>720.0</v>
      </c>
      <c r="R4660" s="3">
        <v>0.5</v>
      </c>
      <c r="U4660" s="141"/>
      <c r="X4660" s="172">
        <v>46131.0810483449</v>
      </c>
      <c r="Y4660" s="172">
        <v>46126.09297612269</v>
      </c>
      <c r="Z4660" s="3">
        <v>46125.0</v>
      </c>
      <c r="AA4660" s="2" t="s">
        <v>14053</v>
      </c>
    </row>
    <row r="4661">
      <c r="A4661" s="3">
        <v>6.997459566851E12</v>
      </c>
      <c r="B4661" s="2" t="s">
        <v>83</v>
      </c>
      <c r="C4661" s="2" t="s">
        <v>18502</v>
      </c>
      <c r="D4661" s="169">
        <v>46125.0</v>
      </c>
      <c r="E4661" s="2">
        <v>3.118721233E9</v>
      </c>
      <c r="F4661" s="2" t="s">
        <v>18503</v>
      </c>
      <c r="G4661" s="2" t="s">
        <v>9484</v>
      </c>
      <c r="H4661" s="2">
        <v>2098.0</v>
      </c>
      <c r="I4661" s="2">
        <v>2.512005002357E13</v>
      </c>
      <c r="J4661" s="3">
        <v>1.0</v>
      </c>
      <c r="K4661" s="2" t="s">
        <v>18365</v>
      </c>
      <c r="L4661" s="2" t="s">
        <v>15842</v>
      </c>
      <c r="M4661" s="2" t="s">
        <v>409</v>
      </c>
      <c r="N4661" s="2" t="s">
        <v>462</v>
      </c>
      <c r="O4661" s="3"/>
      <c r="P4661" s="2" t="s">
        <v>73</v>
      </c>
      <c r="Q4661" s="3">
        <v>360.0</v>
      </c>
      <c r="R4661" s="3">
        <v>0.5</v>
      </c>
      <c r="T4661" s="2" t="s">
        <v>72</v>
      </c>
      <c r="U4661" s="171">
        <v>2098.0</v>
      </c>
      <c r="V4661" s="172">
        <v>46129.0</v>
      </c>
      <c r="W4661" s="3">
        <v>325.78</v>
      </c>
      <c r="X4661" s="172">
        <v>46129.08114877315</v>
      </c>
      <c r="Y4661" s="172">
        <v>46126.09297612269</v>
      </c>
      <c r="Z4661" s="3">
        <v>46125.0</v>
      </c>
      <c r="AA4661" s="2" t="s">
        <v>14032</v>
      </c>
    </row>
    <row r="4662">
      <c r="A4662" s="3">
        <v>6.997490106627E12</v>
      </c>
      <c r="B4662" s="2" t="s">
        <v>18504</v>
      </c>
      <c r="C4662" s="2" t="s">
        <v>18505</v>
      </c>
      <c r="D4662" s="169">
        <v>46125.0</v>
      </c>
      <c r="E4662" s="2">
        <v>3.214427514E9</v>
      </c>
      <c r="F4662" s="2" t="s">
        <v>18506</v>
      </c>
      <c r="G4662" s="2" t="s">
        <v>368</v>
      </c>
      <c r="H4662" s="2">
        <v>2098.0</v>
      </c>
      <c r="I4662" s="2"/>
      <c r="J4662" s="3">
        <v>1.0</v>
      </c>
      <c r="K4662" s="2" t="s">
        <v>204</v>
      </c>
      <c r="L4662" s="2" t="s">
        <v>243</v>
      </c>
      <c r="M4662" s="2" t="s">
        <v>406</v>
      </c>
      <c r="N4662" s="2" t="s">
        <v>406</v>
      </c>
      <c r="O4662" s="3"/>
      <c r="P4662" s="2"/>
      <c r="Q4662" s="3">
        <v>360.0</v>
      </c>
      <c r="R4662" s="3">
        <v>0.5</v>
      </c>
      <c r="U4662" s="141"/>
      <c r="X4662" s="172"/>
      <c r="Y4662" s="172">
        <v>46126.09297612269</v>
      </c>
      <c r="Z4662" s="3">
        <v>46125.0</v>
      </c>
      <c r="AA4662" s="2" t="s">
        <v>14053</v>
      </c>
    </row>
    <row r="4663">
      <c r="A4663" s="3">
        <v>6.997639921923E12</v>
      </c>
      <c r="B4663" s="2" t="s">
        <v>18507</v>
      </c>
      <c r="C4663" s="2" t="s">
        <v>18508</v>
      </c>
      <c r="D4663" s="169">
        <v>46126.0</v>
      </c>
      <c r="E4663" s="2">
        <v>3.338616575E9</v>
      </c>
      <c r="F4663" s="2" t="s">
        <v>18509</v>
      </c>
      <c r="G4663" s="2" t="s">
        <v>688</v>
      </c>
      <c r="H4663" s="2">
        <v>3299.0</v>
      </c>
      <c r="I4663" s="2"/>
      <c r="J4663" s="3">
        <v>2.0</v>
      </c>
      <c r="K4663" s="2" t="s">
        <v>204</v>
      </c>
      <c r="L4663" s="2" t="s">
        <v>18510</v>
      </c>
      <c r="M4663" s="2" t="s">
        <v>406</v>
      </c>
      <c r="N4663" s="2" t="s">
        <v>406</v>
      </c>
      <c r="O4663" s="3"/>
      <c r="P4663" s="2"/>
      <c r="Q4663" s="3">
        <v>1100.0</v>
      </c>
      <c r="R4663" s="3">
        <v>0.5</v>
      </c>
      <c r="U4663" s="141"/>
      <c r="X4663" s="172"/>
      <c r="Y4663" s="172">
        <v>46126.09297612269</v>
      </c>
      <c r="Z4663" s="3">
        <v>46126.0</v>
      </c>
      <c r="AA4663" s="2" t="s">
        <v>14032</v>
      </c>
    </row>
    <row r="4664">
      <c r="A4664" s="3">
        <v>6.997660696835E12</v>
      </c>
      <c r="B4664" s="2" t="s">
        <v>18511</v>
      </c>
      <c r="C4664" s="2" t="s">
        <v>11826</v>
      </c>
      <c r="D4664" s="169">
        <v>46126.0</v>
      </c>
      <c r="E4664" s="2">
        <v>3.473002075E9</v>
      </c>
      <c r="F4664" s="2" t="s">
        <v>11827</v>
      </c>
      <c r="G4664" s="2" t="s">
        <v>493</v>
      </c>
      <c r="H4664" s="2">
        <v>0.0</v>
      </c>
      <c r="I4664" s="2"/>
      <c r="J4664" s="3">
        <v>0.0</v>
      </c>
      <c r="K4664" s="2" t="s">
        <v>18512</v>
      </c>
      <c r="L4664" s="2"/>
      <c r="M4664" s="2" t="s">
        <v>468</v>
      </c>
      <c r="N4664" s="2" t="s">
        <v>406</v>
      </c>
      <c r="O4664" s="3"/>
      <c r="P4664" s="2"/>
      <c r="Q4664" s="3">
        <v>0.0</v>
      </c>
      <c r="R4664" s="3">
        <v>0.5</v>
      </c>
      <c r="U4664" s="141"/>
      <c r="X4664" s="172"/>
      <c r="Y4664" s="172">
        <v>46126.09297612269</v>
      </c>
      <c r="Z4664" s="3">
        <v>46126.0</v>
      </c>
      <c r="AA4664" s="2" t="s">
        <v>14053</v>
      </c>
    </row>
    <row r="4665">
      <c r="A4665" s="3">
        <v>6.997727346947E12</v>
      </c>
      <c r="B4665" s="2" t="s">
        <v>82</v>
      </c>
      <c r="C4665" s="2" t="s">
        <v>18513</v>
      </c>
      <c r="D4665" s="169">
        <v>46126.0</v>
      </c>
      <c r="E4665" s="2">
        <v>3.104238123E9</v>
      </c>
      <c r="F4665" s="2" t="s">
        <v>18514</v>
      </c>
      <c r="G4665" s="2" t="s">
        <v>2074</v>
      </c>
      <c r="H4665" s="2">
        <v>1949.0</v>
      </c>
      <c r="I4665" s="2">
        <v>2.4120050023567E13</v>
      </c>
      <c r="J4665" s="3">
        <v>1.0</v>
      </c>
      <c r="K4665" s="2" t="s">
        <v>18031</v>
      </c>
      <c r="L4665" s="2" t="s">
        <v>9856</v>
      </c>
      <c r="M4665" s="2" t="s">
        <v>409</v>
      </c>
      <c r="N4665" s="2" t="s">
        <v>462</v>
      </c>
      <c r="O4665" s="3"/>
      <c r="P4665" s="2" t="s">
        <v>73</v>
      </c>
      <c r="Q4665" s="3">
        <v>550.0</v>
      </c>
      <c r="R4665" s="3">
        <v>0.5</v>
      </c>
      <c r="T4665" s="2" t="s">
        <v>72</v>
      </c>
      <c r="U4665" s="171">
        <v>1949.0</v>
      </c>
      <c r="V4665" s="172">
        <v>46129.0</v>
      </c>
      <c r="W4665" s="3">
        <v>206.95</v>
      </c>
      <c r="X4665" s="172">
        <v>46128.08117903935</v>
      </c>
      <c r="Y4665" s="172">
        <v>46126.09297612269</v>
      </c>
      <c r="Z4665" s="3">
        <v>46126.0</v>
      </c>
      <c r="AA4665" s="2" t="s">
        <v>14053</v>
      </c>
    </row>
    <row r="4666">
      <c r="A4666" s="3">
        <v>6.998114763011E12</v>
      </c>
      <c r="B4666" s="2" t="s">
        <v>18515</v>
      </c>
      <c r="C4666" s="2" t="s">
        <v>18516</v>
      </c>
      <c r="D4666" s="169">
        <v>46126.0</v>
      </c>
      <c r="E4666" s="2">
        <v>3.035165161E9</v>
      </c>
      <c r="F4666" s="2" t="s">
        <v>18517</v>
      </c>
      <c r="G4666" s="2" t="s">
        <v>18518</v>
      </c>
      <c r="H4666" s="2">
        <v>2098.0</v>
      </c>
      <c r="I4666" s="2"/>
      <c r="J4666" s="3">
        <v>1.0</v>
      </c>
      <c r="K4666" s="2" t="s">
        <v>18519</v>
      </c>
      <c r="L4666" s="2" t="s">
        <v>326</v>
      </c>
      <c r="M4666" s="2" t="s">
        <v>406</v>
      </c>
      <c r="N4666" s="2" t="s">
        <v>406</v>
      </c>
      <c r="O4666" s="3"/>
      <c r="P4666" s="2"/>
      <c r="Q4666" s="3">
        <v>360.0</v>
      </c>
      <c r="R4666" s="3">
        <v>0.5</v>
      </c>
      <c r="U4666" s="141"/>
      <c r="X4666" s="172"/>
      <c r="Y4666" s="172">
        <v>46126.827618379626</v>
      </c>
      <c r="Z4666" s="3">
        <v>46126.0</v>
      </c>
      <c r="AA4666" s="2" t="s">
        <v>14032</v>
      </c>
    </row>
    <row r="4667">
      <c r="A4667" s="3">
        <v>6.998151037187E12</v>
      </c>
      <c r="B4667" s="2" t="s">
        <v>81</v>
      </c>
      <c r="C4667" s="2" t="s">
        <v>18520</v>
      </c>
      <c r="D4667" s="169">
        <v>46126.0</v>
      </c>
      <c r="E4667" s="2">
        <v>3.187043056E9</v>
      </c>
      <c r="F4667" s="2" t="s">
        <v>18521</v>
      </c>
      <c r="G4667" s="2" t="s">
        <v>374</v>
      </c>
      <c r="H4667" s="2">
        <v>1949.0</v>
      </c>
      <c r="I4667" s="2">
        <v>2.6120050023566E13</v>
      </c>
      <c r="J4667" s="3">
        <v>1.0</v>
      </c>
      <c r="K4667" s="2" t="s">
        <v>18031</v>
      </c>
      <c r="L4667" s="2" t="s">
        <v>18522</v>
      </c>
      <c r="M4667" s="2" t="s">
        <v>409</v>
      </c>
      <c r="N4667" s="2" t="s">
        <v>462</v>
      </c>
      <c r="O4667" s="3"/>
      <c r="P4667" s="2" t="s">
        <v>73</v>
      </c>
      <c r="Q4667" s="3">
        <v>550.0</v>
      </c>
      <c r="R4667" s="3">
        <v>0.5</v>
      </c>
      <c r="T4667" s="2" t="s">
        <v>72</v>
      </c>
      <c r="U4667" s="171">
        <v>1949.0</v>
      </c>
      <c r="V4667" s="172">
        <v>46129.0</v>
      </c>
      <c r="W4667" s="3">
        <v>319.82000000000005</v>
      </c>
      <c r="X4667" s="172">
        <v>46129.0811488426</v>
      </c>
      <c r="Y4667" s="172">
        <v>46126.827618379626</v>
      </c>
      <c r="Z4667" s="3">
        <v>46126.0</v>
      </c>
      <c r="AA4667" s="2" t="s">
        <v>14053</v>
      </c>
    </row>
    <row r="4668">
      <c r="A4668" s="3">
        <v>6.998254354691E12</v>
      </c>
      <c r="B4668" s="2" t="s">
        <v>80</v>
      </c>
      <c r="C4668" s="2" t="s">
        <v>17458</v>
      </c>
      <c r="D4668" s="169">
        <v>46126.0</v>
      </c>
      <c r="E4668" s="2">
        <v>3.216983293E9</v>
      </c>
      <c r="F4668" s="2" t="s">
        <v>18523</v>
      </c>
      <c r="G4668" s="2" t="s">
        <v>368</v>
      </c>
      <c r="H4668" s="2">
        <v>3397.0</v>
      </c>
      <c r="I4668" s="2">
        <v>2.7120050023569E13</v>
      </c>
      <c r="J4668" s="3">
        <v>1.0</v>
      </c>
      <c r="K4668" s="2" t="s">
        <v>17730</v>
      </c>
      <c r="L4668" s="2" t="s">
        <v>18524</v>
      </c>
      <c r="M4668" s="2" t="s">
        <v>409</v>
      </c>
      <c r="N4668" s="2" t="s">
        <v>462</v>
      </c>
      <c r="O4668" s="3"/>
      <c r="P4668" s="2" t="s">
        <v>73</v>
      </c>
      <c r="Q4668" s="3">
        <v>800.0</v>
      </c>
      <c r="R4668" s="3">
        <v>0.5</v>
      </c>
      <c r="T4668" s="2" t="s">
        <v>72</v>
      </c>
      <c r="U4668" s="171">
        <v>3397.0</v>
      </c>
      <c r="V4668" s="172">
        <v>46129.0</v>
      </c>
      <c r="W4668" s="3">
        <v>264.87</v>
      </c>
      <c r="X4668" s="172">
        <v>46128.081179189816</v>
      </c>
      <c r="Y4668" s="172">
        <v>46126.827618379626</v>
      </c>
      <c r="Z4668" s="3">
        <v>46126.0</v>
      </c>
      <c r="AA4668" s="2" t="s">
        <v>14032</v>
      </c>
    </row>
    <row r="4669">
      <c r="A4669" s="3">
        <v>6.998338208003E12</v>
      </c>
      <c r="B4669" s="2" t="s">
        <v>18525</v>
      </c>
      <c r="C4669" s="2" t="s">
        <v>258</v>
      </c>
      <c r="D4669" s="169">
        <v>46126.0</v>
      </c>
      <c r="E4669" s="2">
        <v>3.21400499E9</v>
      </c>
      <c r="F4669" s="2" t="s">
        <v>17099</v>
      </c>
      <c r="G4669" s="2" t="s">
        <v>368</v>
      </c>
      <c r="H4669" s="2">
        <v>0.0</v>
      </c>
      <c r="I4669" s="2"/>
      <c r="J4669" s="3">
        <v>0.0</v>
      </c>
      <c r="K4669" s="2" t="s">
        <v>8446</v>
      </c>
      <c r="L4669" s="2"/>
      <c r="M4669" s="2" t="s">
        <v>468</v>
      </c>
      <c r="N4669" s="2" t="s">
        <v>406</v>
      </c>
      <c r="O4669" s="3"/>
      <c r="P4669" s="2"/>
      <c r="Q4669" s="3">
        <v>0.0</v>
      </c>
      <c r="R4669" s="3">
        <v>0.5</v>
      </c>
      <c r="U4669" s="141"/>
      <c r="X4669" s="172"/>
      <c r="Y4669" s="172">
        <v>46126.827618379626</v>
      </c>
      <c r="Z4669" s="3">
        <v>46126.0</v>
      </c>
      <c r="AA4669" s="2" t="s">
        <v>14032</v>
      </c>
    </row>
    <row r="4670">
      <c r="A4670" s="3">
        <v>6.998362390787E12</v>
      </c>
      <c r="B4670" s="2" t="s">
        <v>18526</v>
      </c>
      <c r="C4670" s="2" t="s">
        <v>333</v>
      </c>
      <c r="D4670" s="169">
        <v>46126.0</v>
      </c>
      <c r="E4670" s="173" t="s">
        <v>18527</v>
      </c>
      <c r="F4670" s="2" t="s">
        <v>18528</v>
      </c>
      <c r="G4670" s="2" t="s">
        <v>1619</v>
      </c>
      <c r="H4670" s="2">
        <v>2700.0</v>
      </c>
      <c r="I4670" s="2" t="s">
        <v>332</v>
      </c>
      <c r="J4670" s="3">
        <v>2.0</v>
      </c>
      <c r="K4670" s="2" t="s">
        <v>335</v>
      </c>
      <c r="L4670" s="2" t="s">
        <v>336</v>
      </c>
      <c r="M4670" s="2" t="s">
        <v>18529</v>
      </c>
      <c r="N4670" s="2" t="s">
        <v>406</v>
      </c>
      <c r="O4670" s="3"/>
      <c r="P4670" s="2"/>
      <c r="Q4670" s="3">
        <v>1100.0</v>
      </c>
      <c r="R4670" s="3">
        <v>0.5</v>
      </c>
      <c r="U4670" s="141"/>
      <c r="X4670" s="172">
        <v>46127.0811841088</v>
      </c>
      <c r="Y4670" s="172">
        <v>46126.827618379626</v>
      </c>
      <c r="Z4670" s="3">
        <v>46126.0</v>
      </c>
      <c r="AA4670" s="2" t="s">
        <v>14026</v>
      </c>
    </row>
    <row r="4671">
      <c r="A4671" s="3">
        <v>6.998364651779E12</v>
      </c>
      <c r="B4671" s="2" t="s">
        <v>79</v>
      </c>
      <c r="C4671" s="2" t="s">
        <v>8439</v>
      </c>
      <c r="D4671" s="169">
        <v>46126.0</v>
      </c>
      <c r="E4671" s="2">
        <v>3.219405611E9</v>
      </c>
      <c r="F4671" s="2" t="s">
        <v>18530</v>
      </c>
      <c r="G4671" s="2" t="s">
        <v>368</v>
      </c>
      <c r="H4671" s="2">
        <v>2249.0</v>
      </c>
      <c r="I4671" s="2">
        <v>2.6120050023565E13</v>
      </c>
      <c r="J4671" s="3">
        <v>1.0</v>
      </c>
      <c r="K4671" s="2" t="s">
        <v>17503</v>
      </c>
      <c r="L4671" s="2" t="s">
        <v>18531</v>
      </c>
      <c r="M4671" s="2" t="s">
        <v>409</v>
      </c>
      <c r="N4671" s="2" t="s">
        <v>462</v>
      </c>
      <c r="O4671" s="3"/>
      <c r="P4671" s="2" t="s">
        <v>73</v>
      </c>
      <c r="Q4671" s="3">
        <v>480.0</v>
      </c>
      <c r="R4671" s="3">
        <v>0.5</v>
      </c>
      <c r="T4671" s="2" t="s">
        <v>72</v>
      </c>
      <c r="U4671" s="171">
        <v>2249.0</v>
      </c>
      <c r="V4671" s="172">
        <v>46129.0</v>
      </c>
      <c r="W4671" s="3">
        <v>218.95</v>
      </c>
      <c r="X4671" s="172">
        <v>46128.081179375</v>
      </c>
      <c r="Y4671" s="172">
        <v>46126.827618379626</v>
      </c>
      <c r="Z4671" s="3">
        <v>46126.0</v>
      </c>
      <c r="AA4671" s="2" t="s">
        <v>14032</v>
      </c>
    </row>
    <row r="4672">
      <c r="A4672" s="3">
        <v>6.998378152195E12</v>
      </c>
      <c r="B4672" s="2" t="s">
        <v>18532</v>
      </c>
      <c r="C4672" s="2" t="s">
        <v>18533</v>
      </c>
      <c r="D4672" s="169">
        <v>46126.0</v>
      </c>
      <c r="E4672" s="173" t="s">
        <v>18534</v>
      </c>
      <c r="F4672" s="2" t="s">
        <v>18535</v>
      </c>
      <c r="G4672" s="2" t="s">
        <v>493</v>
      </c>
      <c r="H4672" s="2">
        <v>2049.0</v>
      </c>
      <c r="I4672" s="2"/>
      <c r="J4672" s="3">
        <v>1.0</v>
      </c>
      <c r="K4672" s="2" t="s">
        <v>369</v>
      </c>
      <c r="L4672" s="2" t="s">
        <v>243</v>
      </c>
      <c r="M4672" s="2" t="s">
        <v>406</v>
      </c>
      <c r="N4672" s="2" t="s">
        <v>406</v>
      </c>
      <c r="O4672" s="3"/>
      <c r="P4672" s="2"/>
      <c r="Q4672" s="3">
        <v>360.0</v>
      </c>
      <c r="R4672" s="3">
        <v>0.5</v>
      </c>
      <c r="U4672" s="141"/>
      <c r="X4672" s="172"/>
      <c r="Y4672" s="172">
        <v>46126.827618379626</v>
      </c>
      <c r="Z4672" s="3">
        <v>46126.0</v>
      </c>
      <c r="AA4672" s="2" t="s">
        <v>14026</v>
      </c>
    </row>
    <row r="4673">
      <c r="A4673" s="3">
        <v>6.998382477571E12</v>
      </c>
      <c r="B4673" s="2" t="s">
        <v>18536</v>
      </c>
      <c r="C4673" s="2" t="s">
        <v>18537</v>
      </c>
      <c r="D4673" s="169">
        <v>46126.0</v>
      </c>
      <c r="E4673" s="173" t="s">
        <v>18538</v>
      </c>
      <c r="F4673" s="2" t="s">
        <v>18539</v>
      </c>
      <c r="G4673" s="2" t="s">
        <v>18540</v>
      </c>
      <c r="H4673" s="2">
        <v>3100.0</v>
      </c>
      <c r="I4673" s="2"/>
      <c r="J4673" s="3">
        <v>2.0</v>
      </c>
      <c r="K4673" s="2" t="s">
        <v>369</v>
      </c>
      <c r="L4673" s="2" t="s">
        <v>18541</v>
      </c>
      <c r="M4673" s="2" t="s">
        <v>406</v>
      </c>
      <c r="N4673" s="2" t="s">
        <v>406</v>
      </c>
      <c r="O4673" s="3"/>
      <c r="P4673" s="2"/>
      <c r="Q4673" s="3">
        <v>720.0</v>
      </c>
      <c r="R4673" s="3">
        <v>0.5</v>
      </c>
      <c r="U4673" s="141"/>
      <c r="X4673" s="172"/>
      <c r="Y4673" s="172">
        <v>46126.827618379626</v>
      </c>
      <c r="Z4673" s="3">
        <v>46126.0</v>
      </c>
      <c r="AA4673" s="2" t="s">
        <v>14026</v>
      </c>
    </row>
    <row r="4674">
      <c r="A4674" s="3">
        <v>6.998427107587E12</v>
      </c>
      <c r="B4674" s="2" t="s">
        <v>183</v>
      </c>
      <c r="C4674" s="2" t="s">
        <v>16548</v>
      </c>
      <c r="D4674" s="169">
        <v>46126.0</v>
      </c>
      <c r="E4674" s="2">
        <v>3.052555392E9</v>
      </c>
      <c r="F4674" s="2" t="s">
        <v>18542</v>
      </c>
      <c r="G4674" s="2" t="s">
        <v>493</v>
      </c>
      <c r="H4674" s="2">
        <v>3399.0</v>
      </c>
      <c r="I4674" s="2">
        <v>2.3120050023577E13</v>
      </c>
      <c r="J4674" s="3">
        <v>2.0</v>
      </c>
      <c r="K4674" s="2" t="s">
        <v>18543</v>
      </c>
      <c r="L4674" s="2" t="s">
        <v>18544</v>
      </c>
      <c r="M4674" s="2" t="s">
        <v>409</v>
      </c>
      <c r="N4674" s="2" t="s">
        <v>406</v>
      </c>
      <c r="O4674" s="3"/>
      <c r="P4674" s="2" t="s">
        <v>73</v>
      </c>
      <c r="Q4674" s="3">
        <v>860.0</v>
      </c>
      <c r="R4674" s="3">
        <v>0.5</v>
      </c>
      <c r="U4674" s="141"/>
      <c r="X4674" s="172">
        <v>46129.081149074074</v>
      </c>
      <c r="Y4674" s="172">
        <v>46126.827618379626</v>
      </c>
      <c r="Z4674" s="3">
        <v>46126.0</v>
      </c>
      <c r="AA4674" s="2" t="s">
        <v>14022</v>
      </c>
    </row>
    <row r="4675">
      <c r="A4675" s="3">
        <v>6.998464790787E12</v>
      </c>
      <c r="B4675" s="2" t="s">
        <v>78</v>
      </c>
      <c r="C4675" s="2" t="s">
        <v>1770</v>
      </c>
      <c r="D4675" s="169">
        <v>46126.0</v>
      </c>
      <c r="E4675" s="2">
        <v>3.485750373E9</v>
      </c>
      <c r="F4675" s="2" t="s">
        <v>1771</v>
      </c>
      <c r="G4675" s="2" t="s">
        <v>366</v>
      </c>
      <c r="H4675" s="2">
        <v>4997.0</v>
      </c>
      <c r="I4675" s="2">
        <v>2.4120050023593E13</v>
      </c>
      <c r="J4675" s="3">
        <v>2.0</v>
      </c>
      <c r="K4675" s="2" t="s">
        <v>18545</v>
      </c>
      <c r="L4675" s="2" t="s">
        <v>18546</v>
      </c>
      <c r="M4675" s="2" t="s">
        <v>409</v>
      </c>
      <c r="N4675" s="2" t="s">
        <v>462</v>
      </c>
      <c r="O4675" s="3"/>
      <c r="P4675" s="2" t="s">
        <v>73</v>
      </c>
      <c r="Q4675" s="3">
        <v>1900.0</v>
      </c>
      <c r="R4675" s="3">
        <v>0.5</v>
      </c>
      <c r="T4675" s="2" t="s">
        <v>72</v>
      </c>
      <c r="U4675" s="171">
        <v>4997.0</v>
      </c>
      <c r="V4675" s="172">
        <v>46129.0</v>
      </c>
      <c r="W4675" s="3">
        <v>465.93</v>
      </c>
      <c r="X4675" s="172">
        <v>46130.08127983796</v>
      </c>
      <c r="Y4675" s="172">
        <v>46126.8276183912</v>
      </c>
      <c r="Z4675" s="3">
        <v>46126.0</v>
      </c>
      <c r="AA4675" s="2" t="s">
        <v>14032</v>
      </c>
    </row>
    <row r="4676">
      <c r="A4676" s="3">
        <v>6.998478782723E12</v>
      </c>
      <c r="B4676" s="2" t="s">
        <v>18547</v>
      </c>
      <c r="C4676" s="2" t="s">
        <v>18548</v>
      </c>
      <c r="D4676" s="169">
        <v>46126.0</v>
      </c>
      <c r="E4676" s="2">
        <v>3.31251937E9</v>
      </c>
      <c r="F4676" s="2" t="s">
        <v>18549</v>
      </c>
      <c r="G4676" s="2" t="s">
        <v>493</v>
      </c>
      <c r="H4676" s="2">
        <v>3299.0</v>
      </c>
      <c r="I4676" s="2">
        <v>2.4120050023606E13</v>
      </c>
      <c r="J4676" s="3">
        <v>2.0</v>
      </c>
      <c r="K4676" s="2" t="s">
        <v>204</v>
      </c>
      <c r="L4676" s="2" t="s">
        <v>18550</v>
      </c>
      <c r="M4676" s="2" t="s">
        <v>409</v>
      </c>
      <c r="N4676" s="2" t="s">
        <v>406</v>
      </c>
      <c r="O4676" s="3"/>
      <c r="P4676" s="2" t="s">
        <v>73</v>
      </c>
      <c r="Q4676" s="3">
        <v>1100.0</v>
      </c>
      <c r="R4676" s="3">
        <v>0.5</v>
      </c>
      <c r="U4676" s="141"/>
      <c r="X4676" s="172">
        <v>46130.081279895836</v>
      </c>
      <c r="Y4676" s="172">
        <v>46126.8276183912</v>
      </c>
      <c r="Z4676" s="3">
        <v>46126.0</v>
      </c>
      <c r="AA4676" s="2" t="s">
        <v>14022</v>
      </c>
    </row>
    <row r="4677">
      <c r="A4677" s="3">
        <v>6.998489792771E12</v>
      </c>
      <c r="B4677" s="2" t="s">
        <v>77</v>
      </c>
      <c r="C4677" s="2" t="s">
        <v>2835</v>
      </c>
      <c r="D4677" s="169">
        <v>46126.0</v>
      </c>
      <c r="E4677" s="2">
        <v>3.2223826E9</v>
      </c>
      <c r="F4677" s="2" t="s">
        <v>18551</v>
      </c>
      <c r="G4677" s="2" t="s">
        <v>506</v>
      </c>
      <c r="H4677" s="2">
        <v>6299.0</v>
      </c>
      <c r="I4677" s="2">
        <v>2.4120050023592E13</v>
      </c>
      <c r="J4677" s="3">
        <v>3.0</v>
      </c>
      <c r="K4677" s="2" t="s">
        <v>18552</v>
      </c>
      <c r="L4677" s="2" t="s">
        <v>18553</v>
      </c>
      <c r="M4677" s="2" t="s">
        <v>409</v>
      </c>
      <c r="N4677" s="2" t="s">
        <v>462</v>
      </c>
      <c r="O4677" s="3"/>
      <c r="P4677" s="2" t="s">
        <v>73</v>
      </c>
      <c r="Q4677" s="3">
        <v>1930.0</v>
      </c>
      <c r="R4677" s="3">
        <v>0.5</v>
      </c>
      <c r="T4677" s="2" t="s">
        <v>72</v>
      </c>
      <c r="U4677" s="171">
        <v>6299.0</v>
      </c>
      <c r="V4677" s="172">
        <v>46129.0</v>
      </c>
      <c r="W4677" s="3">
        <v>518.01</v>
      </c>
      <c r="X4677" s="172">
        <v>46129.08114927083</v>
      </c>
      <c r="Y4677" s="172">
        <v>46126.8276183912</v>
      </c>
      <c r="Z4677" s="3">
        <v>46126.0</v>
      </c>
      <c r="AA4677" s="2" t="s">
        <v>14032</v>
      </c>
    </row>
    <row r="4678">
      <c r="A4678" s="3">
        <v>6.998524920067E12</v>
      </c>
      <c r="B4678" s="2" t="s">
        <v>18554</v>
      </c>
      <c r="C4678" s="2" t="s">
        <v>18555</v>
      </c>
      <c r="D4678" s="169">
        <v>46126.0</v>
      </c>
      <c r="E4678" s="2">
        <v>3.169968072E9</v>
      </c>
      <c r="F4678" s="2" t="s">
        <v>18556</v>
      </c>
      <c r="G4678" s="2" t="s">
        <v>1873</v>
      </c>
      <c r="H4678" s="2">
        <v>3397.0</v>
      </c>
      <c r="I4678" s="2">
        <v>2.9120050023644E13</v>
      </c>
      <c r="J4678" s="3">
        <v>2.0</v>
      </c>
      <c r="K4678" s="2" t="s">
        <v>204</v>
      </c>
      <c r="L4678" s="2" t="s">
        <v>1263</v>
      </c>
      <c r="M4678" s="2" t="s">
        <v>14076</v>
      </c>
      <c r="N4678" s="2" t="s">
        <v>406</v>
      </c>
      <c r="O4678" s="3"/>
      <c r="P4678" s="2" t="s">
        <v>73</v>
      </c>
      <c r="Q4678" s="3">
        <v>720.0</v>
      </c>
      <c r="R4678" s="3">
        <v>0.5</v>
      </c>
      <c r="U4678" s="141"/>
      <c r="X4678" s="172">
        <v>46131.081048356486</v>
      </c>
      <c r="Y4678" s="172">
        <v>46126.8276183912</v>
      </c>
      <c r="Z4678" s="3">
        <v>46126.0</v>
      </c>
      <c r="AA4678" s="2" t="s">
        <v>14032</v>
      </c>
    </row>
    <row r="4679">
      <c r="A4679" s="3">
        <v>6.998566633731E12</v>
      </c>
      <c r="B4679" s="2" t="s">
        <v>18557</v>
      </c>
      <c r="C4679" s="2" t="s">
        <v>18558</v>
      </c>
      <c r="D4679" s="169">
        <v>46126.0</v>
      </c>
      <c r="E4679" s="2">
        <v>3.309198696E9</v>
      </c>
      <c r="F4679" s="2" t="s">
        <v>18559</v>
      </c>
      <c r="G4679" s="2" t="s">
        <v>781</v>
      </c>
      <c r="H4679" s="2">
        <v>4796.0</v>
      </c>
      <c r="I4679" s="2">
        <v>2.1120050023605E13</v>
      </c>
      <c r="J4679" s="3">
        <v>3.0</v>
      </c>
      <c r="K4679" s="2" t="s">
        <v>204</v>
      </c>
      <c r="L4679" s="2" t="s">
        <v>18560</v>
      </c>
      <c r="M4679" s="2" t="s">
        <v>409</v>
      </c>
      <c r="N4679" s="2" t="s">
        <v>406</v>
      </c>
      <c r="O4679" s="3"/>
      <c r="P4679" s="2" t="s">
        <v>73</v>
      </c>
      <c r="Q4679" s="3">
        <v>1660.0</v>
      </c>
      <c r="R4679" s="3">
        <v>0.5</v>
      </c>
      <c r="U4679" s="141"/>
      <c r="X4679" s="172">
        <v>46131.081048368054</v>
      </c>
      <c r="Y4679" s="172">
        <v>46126.8276183912</v>
      </c>
      <c r="Z4679" s="3">
        <v>46126.0</v>
      </c>
      <c r="AA4679" s="2" t="s">
        <v>14032</v>
      </c>
    </row>
    <row r="4680">
      <c r="A4680" s="3">
        <v>6.998601826563E12</v>
      </c>
      <c r="B4680" s="2" t="s">
        <v>18561</v>
      </c>
      <c r="C4680" s="2" t="s">
        <v>18562</v>
      </c>
      <c r="D4680" s="169">
        <v>46126.0</v>
      </c>
      <c r="E4680" s="2">
        <v>3.026556888E9</v>
      </c>
      <c r="F4680" s="2" t="s">
        <v>18563</v>
      </c>
      <c r="G4680" s="2" t="s">
        <v>693</v>
      </c>
      <c r="H4680" s="2">
        <v>3198.0</v>
      </c>
      <c r="I4680" s="2"/>
      <c r="J4680" s="3">
        <v>2.0</v>
      </c>
      <c r="K4680" s="2" t="s">
        <v>204</v>
      </c>
      <c r="L4680" s="2" t="s">
        <v>18564</v>
      </c>
      <c r="M4680" s="2" t="s">
        <v>406</v>
      </c>
      <c r="N4680" s="2" t="s">
        <v>406</v>
      </c>
      <c r="O4680" s="3"/>
      <c r="P4680" s="2"/>
      <c r="Q4680" s="3">
        <v>720.0</v>
      </c>
      <c r="R4680" s="3">
        <v>0.5</v>
      </c>
      <c r="U4680" s="141"/>
      <c r="X4680" s="172"/>
      <c r="Y4680" s="172">
        <v>46126.8276183912</v>
      </c>
      <c r="Z4680" s="3">
        <v>46126.0</v>
      </c>
      <c r="AA4680" s="2" t="s">
        <v>14032</v>
      </c>
    </row>
    <row r="4681">
      <c r="A4681" s="3">
        <v>6.998968172803E12</v>
      </c>
      <c r="B4681" s="2" t="s">
        <v>18565</v>
      </c>
      <c r="C4681" s="2" t="s">
        <v>18566</v>
      </c>
      <c r="D4681" s="169">
        <v>46126.0</v>
      </c>
      <c r="E4681" s="2">
        <v>3.134725415E9</v>
      </c>
      <c r="F4681" s="2" t="s">
        <v>18567</v>
      </c>
      <c r="G4681" s="2" t="s">
        <v>368</v>
      </c>
      <c r="H4681" s="2">
        <v>9498.0</v>
      </c>
      <c r="I4681" s="2" t="s">
        <v>18568</v>
      </c>
      <c r="J4681" s="3">
        <v>5.0</v>
      </c>
      <c r="K4681" s="2"/>
      <c r="L4681" s="2" t="s">
        <v>18569</v>
      </c>
      <c r="M4681" s="2" t="s">
        <v>406</v>
      </c>
      <c r="N4681" s="2" t="s">
        <v>406</v>
      </c>
      <c r="O4681" s="3"/>
      <c r="P4681" s="2"/>
      <c r="Q4681" s="3">
        <v>2490.0</v>
      </c>
      <c r="R4681" s="3">
        <v>0.5</v>
      </c>
      <c r="U4681" s="141"/>
      <c r="X4681" s="172"/>
      <c r="Y4681" s="172">
        <v>46126.8276183912</v>
      </c>
      <c r="Z4681" s="3">
        <v>46126.0</v>
      </c>
      <c r="AA4681" s="2" t="s">
        <v>14022</v>
      </c>
    </row>
    <row r="4682">
      <c r="A4682" s="3">
        <v>6.999024435459E12</v>
      </c>
      <c r="B4682" s="2" t="s">
        <v>18570</v>
      </c>
      <c r="C4682" s="2" t="s">
        <v>18571</v>
      </c>
      <c r="D4682" s="169">
        <v>46126.0</v>
      </c>
      <c r="E4682" s="2">
        <v>3.002758419E9</v>
      </c>
      <c r="F4682" s="2" t="s">
        <v>18572</v>
      </c>
      <c r="G4682" s="2" t="s">
        <v>493</v>
      </c>
      <c r="H4682" s="2">
        <v>3299.0</v>
      </c>
      <c r="I4682" s="2">
        <v>2.9120050023604E13</v>
      </c>
      <c r="J4682" s="3">
        <v>2.0</v>
      </c>
      <c r="K4682" s="2" t="s">
        <v>204</v>
      </c>
      <c r="L4682" s="2" t="s">
        <v>18573</v>
      </c>
      <c r="M4682" s="2" t="s">
        <v>409</v>
      </c>
      <c r="N4682" s="2" t="s">
        <v>406</v>
      </c>
      <c r="O4682" s="3"/>
      <c r="P4682" s="2" t="s">
        <v>73</v>
      </c>
      <c r="Q4682" s="3">
        <v>1100.0</v>
      </c>
      <c r="R4682" s="3">
        <v>0.5</v>
      </c>
      <c r="U4682" s="141"/>
      <c r="X4682" s="172">
        <v>46130.0812803588</v>
      </c>
      <c r="Y4682" s="172">
        <v>46127.09298219907</v>
      </c>
      <c r="Z4682" s="3">
        <v>46126.0</v>
      </c>
      <c r="AA4682" s="2" t="s">
        <v>14032</v>
      </c>
    </row>
    <row r="4683">
      <c r="A4683" s="3">
        <v>6.999064248579E12</v>
      </c>
      <c r="B4683" s="2" t="s">
        <v>18574</v>
      </c>
      <c r="C4683" s="2" t="s">
        <v>4530</v>
      </c>
      <c r="D4683" s="169">
        <v>46126.0</v>
      </c>
      <c r="E4683" s="2">
        <v>3.336386666E9</v>
      </c>
      <c r="F4683" s="2" t="s">
        <v>9576</v>
      </c>
      <c r="G4683" s="2" t="s">
        <v>1016</v>
      </c>
      <c r="H4683" s="2">
        <v>3299.0</v>
      </c>
      <c r="I4683" s="2"/>
      <c r="J4683" s="3">
        <v>2.0</v>
      </c>
      <c r="K4683" s="2" t="s">
        <v>204</v>
      </c>
      <c r="L4683" s="2" t="s">
        <v>18575</v>
      </c>
      <c r="M4683" s="2" t="s">
        <v>406</v>
      </c>
      <c r="N4683" s="2" t="s">
        <v>406</v>
      </c>
      <c r="O4683" s="3"/>
      <c r="P4683" s="2"/>
      <c r="Q4683" s="3">
        <v>1100.0</v>
      </c>
      <c r="R4683" s="3">
        <v>0.5</v>
      </c>
      <c r="U4683" s="141"/>
      <c r="X4683" s="172"/>
      <c r="Y4683" s="172">
        <v>46127.09298221065</v>
      </c>
      <c r="Z4683" s="3">
        <v>46126.0</v>
      </c>
      <c r="AA4683" s="2" t="s">
        <v>14536</v>
      </c>
    </row>
    <row r="4684">
      <c r="A4684" s="3">
        <v>6.999090069763E12</v>
      </c>
      <c r="B4684" s="2" t="s">
        <v>18576</v>
      </c>
      <c r="C4684" s="2" t="s">
        <v>18577</v>
      </c>
      <c r="D4684" s="169">
        <v>46126.0</v>
      </c>
      <c r="E4684" s="2">
        <v>3.123000786E9</v>
      </c>
      <c r="F4684" s="2" t="s">
        <v>18578</v>
      </c>
      <c r="G4684" s="2" t="s">
        <v>18579</v>
      </c>
      <c r="H4684" s="2">
        <v>2149.0</v>
      </c>
      <c r="I4684" s="2">
        <v>2.5120050023602E13</v>
      </c>
      <c r="J4684" s="3">
        <v>1.0</v>
      </c>
      <c r="K4684" s="2" t="s">
        <v>204</v>
      </c>
      <c r="L4684" s="2" t="s">
        <v>4482</v>
      </c>
      <c r="M4684" s="2" t="s">
        <v>409</v>
      </c>
      <c r="N4684" s="2" t="s">
        <v>406</v>
      </c>
      <c r="O4684" s="3"/>
      <c r="P4684" s="2" t="s">
        <v>73</v>
      </c>
      <c r="Q4684" s="3">
        <v>490.0</v>
      </c>
      <c r="R4684" s="3">
        <v>0.5</v>
      </c>
      <c r="U4684" s="141"/>
      <c r="X4684" s="172">
        <v>46131.08104839121</v>
      </c>
      <c r="Y4684" s="172">
        <v>46127.09298221065</v>
      </c>
      <c r="Z4684" s="3">
        <v>46126.0</v>
      </c>
      <c r="AA4684" s="2" t="s">
        <v>14053</v>
      </c>
    </row>
    <row r="4685">
      <c r="A4685" s="3">
        <v>6.999223795971E12</v>
      </c>
      <c r="B4685" s="2" t="s">
        <v>18580</v>
      </c>
      <c r="C4685" s="2" t="s">
        <v>18581</v>
      </c>
      <c r="D4685" s="169">
        <v>46126.0</v>
      </c>
      <c r="E4685" s="2">
        <v>3.004000495E9</v>
      </c>
      <c r="F4685" s="2" t="s">
        <v>18582</v>
      </c>
      <c r="G4685" s="2" t="s">
        <v>368</v>
      </c>
      <c r="H4685" s="2">
        <v>1949.0</v>
      </c>
      <c r="I4685" s="2"/>
      <c r="J4685" s="3">
        <v>1.0</v>
      </c>
      <c r="K4685" s="2" t="s">
        <v>18583</v>
      </c>
      <c r="L4685" s="2" t="s">
        <v>18522</v>
      </c>
      <c r="M4685" s="2" t="s">
        <v>406</v>
      </c>
      <c r="N4685" s="2" t="s">
        <v>406</v>
      </c>
      <c r="O4685" s="3"/>
      <c r="P4685" s="2"/>
      <c r="Q4685" s="3">
        <v>550.0</v>
      </c>
      <c r="R4685" s="3">
        <v>0.5</v>
      </c>
      <c r="U4685" s="141"/>
      <c r="X4685" s="172"/>
      <c r="Y4685" s="172">
        <v>46127.09298221065</v>
      </c>
      <c r="Z4685" s="3">
        <v>46126.0</v>
      </c>
      <c r="AA4685" s="2" t="s">
        <v>14032</v>
      </c>
    </row>
    <row r="4686">
      <c r="A4686" s="3">
        <v>6.999409328387E12</v>
      </c>
      <c r="B4686" s="2" t="s">
        <v>18584</v>
      </c>
      <c r="C4686" s="2" t="s">
        <v>18585</v>
      </c>
      <c r="D4686" s="169">
        <v>46126.0</v>
      </c>
      <c r="E4686" s="2">
        <v>3.366581494E9</v>
      </c>
      <c r="F4686" s="2" t="s">
        <v>18586</v>
      </c>
      <c r="G4686" s="2" t="s">
        <v>374</v>
      </c>
      <c r="H4686" s="2">
        <v>2898.0</v>
      </c>
      <c r="I4686" s="2">
        <v>2.8120050023601E13</v>
      </c>
      <c r="J4686" s="3">
        <v>1.0</v>
      </c>
      <c r="K4686" s="2" t="s">
        <v>204</v>
      </c>
      <c r="L4686" s="2" t="s">
        <v>18587</v>
      </c>
      <c r="M4686" s="2" t="s">
        <v>409</v>
      </c>
      <c r="N4686" s="2" t="s">
        <v>406</v>
      </c>
      <c r="O4686" s="3"/>
      <c r="P4686" s="2" t="s">
        <v>73</v>
      </c>
      <c r="Q4686" s="3">
        <v>950.0</v>
      </c>
      <c r="R4686" s="3">
        <v>0.5</v>
      </c>
      <c r="U4686" s="141"/>
      <c r="X4686" s="172">
        <v>46131.081048402775</v>
      </c>
      <c r="Y4686" s="172">
        <v>46127.09298221065</v>
      </c>
      <c r="Z4686" s="3">
        <v>46126.0</v>
      </c>
      <c r="AA4686" s="2" t="s">
        <v>14103</v>
      </c>
    </row>
    <row r="4687">
      <c r="A4687" s="3">
        <v>6.999719215363E12</v>
      </c>
      <c r="B4687" s="2" t="s">
        <v>18588</v>
      </c>
      <c r="C4687" s="2" t="s">
        <v>18589</v>
      </c>
      <c r="D4687" s="169">
        <v>46127.0</v>
      </c>
      <c r="E4687" s="2">
        <v>3.343430677E9</v>
      </c>
      <c r="F4687" s="2" t="s">
        <v>18590</v>
      </c>
      <c r="G4687" s="2" t="s">
        <v>493</v>
      </c>
      <c r="H4687" s="2">
        <v>3099.0</v>
      </c>
      <c r="I4687" s="2">
        <v>2.61200500236E13</v>
      </c>
      <c r="J4687" s="3">
        <v>2.0</v>
      </c>
      <c r="K4687" s="2" t="s">
        <v>204</v>
      </c>
      <c r="L4687" s="2" t="s">
        <v>18591</v>
      </c>
      <c r="M4687" s="2" t="s">
        <v>409</v>
      </c>
      <c r="N4687" s="2" t="s">
        <v>406</v>
      </c>
      <c r="O4687" s="3"/>
      <c r="P4687" s="2" t="s">
        <v>73</v>
      </c>
      <c r="Q4687" s="3">
        <v>1100.0</v>
      </c>
      <c r="R4687" s="3">
        <v>0.5</v>
      </c>
      <c r="U4687" s="141"/>
      <c r="X4687" s="172">
        <v>46130.08128048611</v>
      </c>
      <c r="Y4687" s="172">
        <v>46128.092979085646</v>
      </c>
      <c r="Z4687" s="3">
        <v>46127.0</v>
      </c>
      <c r="AA4687" s="2" t="s">
        <v>14032</v>
      </c>
    </row>
    <row r="4688">
      <c r="A4688" s="3">
        <v>7.000279908611E12</v>
      </c>
      <c r="B4688" s="2" t="s">
        <v>18592</v>
      </c>
      <c r="C4688" s="2" t="s">
        <v>18100</v>
      </c>
      <c r="D4688" s="169">
        <v>46127.0</v>
      </c>
      <c r="E4688" s="2">
        <v>3.478510527E9</v>
      </c>
      <c r="F4688" s="2" t="s">
        <v>18101</v>
      </c>
      <c r="G4688" s="2" t="s">
        <v>18102</v>
      </c>
      <c r="H4688" s="2">
        <v>0.0</v>
      </c>
      <c r="I4688" s="2"/>
      <c r="J4688" s="3">
        <v>0.0</v>
      </c>
      <c r="K4688" s="2" t="s">
        <v>7954</v>
      </c>
      <c r="L4688" s="2"/>
      <c r="M4688" s="2" t="s">
        <v>468</v>
      </c>
      <c r="N4688" s="2" t="s">
        <v>406</v>
      </c>
      <c r="O4688" s="3"/>
      <c r="P4688" s="2"/>
      <c r="Q4688" s="3">
        <v>0.0</v>
      </c>
      <c r="R4688" s="3">
        <v>0.5</v>
      </c>
      <c r="U4688" s="141"/>
      <c r="X4688" s="172"/>
      <c r="Y4688" s="172">
        <v>46128.092979085646</v>
      </c>
      <c r="Z4688" s="3">
        <v>46127.0</v>
      </c>
      <c r="AA4688" s="2" t="s">
        <v>14032</v>
      </c>
    </row>
    <row r="4689">
      <c r="A4689" s="3">
        <v>7.000287346947E12</v>
      </c>
      <c r="B4689" s="2" t="s">
        <v>18593</v>
      </c>
      <c r="C4689" s="2" t="s">
        <v>18100</v>
      </c>
      <c r="D4689" s="169">
        <v>46127.0</v>
      </c>
      <c r="E4689" s="2">
        <v>3.478510527E9</v>
      </c>
      <c r="F4689" s="2" t="s">
        <v>18101</v>
      </c>
      <c r="G4689" s="2" t="s">
        <v>18102</v>
      </c>
      <c r="H4689" s="2">
        <v>9247.0</v>
      </c>
      <c r="I4689" s="2">
        <v>2.4120050023599E13</v>
      </c>
      <c r="J4689" s="3">
        <v>5.0</v>
      </c>
      <c r="K4689" s="2" t="s">
        <v>18594</v>
      </c>
      <c r="L4689" s="2" t="s">
        <v>18595</v>
      </c>
      <c r="M4689" s="2" t="s">
        <v>409</v>
      </c>
      <c r="N4689" s="2" t="s">
        <v>406</v>
      </c>
      <c r="O4689" s="3"/>
      <c r="P4689" s="2" t="s">
        <v>73</v>
      </c>
      <c r="Q4689" s="3">
        <v>3680.0</v>
      </c>
      <c r="R4689" s="3">
        <v>0.5</v>
      </c>
      <c r="U4689" s="141"/>
      <c r="X4689" s="172">
        <v>46130.08128053241</v>
      </c>
      <c r="Y4689" s="172">
        <v>46128.09297909722</v>
      </c>
      <c r="Z4689" s="3">
        <v>46127.0</v>
      </c>
      <c r="AA4689" s="2" t="s">
        <v>14032</v>
      </c>
    </row>
    <row r="4690">
      <c r="A4690" s="3">
        <v>7.000290558211E12</v>
      </c>
      <c r="B4690" s="2" t="s">
        <v>18596</v>
      </c>
      <c r="C4690" s="2" t="s">
        <v>18100</v>
      </c>
      <c r="D4690" s="169">
        <v>46127.0</v>
      </c>
      <c r="E4690" s="2">
        <v>3.478510527E9</v>
      </c>
      <c r="F4690" s="2" t="s">
        <v>18101</v>
      </c>
      <c r="G4690" s="2" t="s">
        <v>18102</v>
      </c>
      <c r="H4690" s="2">
        <v>0.0</v>
      </c>
      <c r="I4690" s="2"/>
      <c r="J4690" s="3">
        <v>0.0</v>
      </c>
      <c r="K4690" s="2" t="s">
        <v>7954</v>
      </c>
      <c r="L4690" s="2"/>
      <c r="M4690" s="2" t="s">
        <v>468</v>
      </c>
      <c r="N4690" s="2" t="s">
        <v>406</v>
      </c>
      <c r="O4690" s="3"/>
      <c r="P4690" s="2"/>
      <c r="Q4690" s="3">
        <v>0.0</v>
      </c>
      <c r="R4690" s="3">
        <v>0.5</v>
      </c>
      <c r="U4690" s="141"/>
      <c r="X4690" s="172"/>
      <c r="Y4690" s="172">
        <v>46128.09297909722</v>
      </c>
      <c r="Z4690" s="3">
        <v>46127.0</v>
      </c>
      <c r="AA4690" s="2" t="s">
        <v>14032</v>
      </c>
    </row>
    <row r="4691">
      <c r="A4691" s="3">
        <v>7.000326570243E12</v>
      </c>
      <c r="B4691" s="2" t="s">
        <v>18597</v>
      </c>
      <c r="C4691" s="2" t="s">
        <v>15728</v>
      </c>
      <c r="D4691" s="169">
        <v>46127.0</v>
      </c>
      <c r="E4691" s="2">
        <v>3.450145828E9</v>
      </c>
      <c r="F4691" s="2" t="s">
        <v>15729</v>
      </c>
      <c r="G4691" s="2" t="s">
        <v>366</v>
      </c>
      <c r="H4691" s="2">
        <v>2049.0</v>
      </c>
      <c r="I4691" s="2">
        <v>2.2120050023612E13</v>
      </c>
      <c r="J4691" s="3">
        <v>1.0</v>
      </c>
      <c r="K4691" s="2" t="s">
        <v>204</v>
      </c>
      <c r="L4691" s="2" t="s">
        <v>18598</v>
      </c>
      <c r="M4691" s="2" t="s">
        <v>409</v>
      </c>
      <c r="N4691" s="2" t="s">
        <v>406</v>
      </c>
      <c r="O4691" s="3"/>
      <c r="P4691" s="2" t="s">
        <v>73</v>
      </c>
      <c r="Q4691" s="3">
        <v>550.0</v>
      </c>
      <c r="R4691" s="3">
        <v>0.5</v>
      </c>
      <c r="U4691" s="141"/>
      <c r="X4691" s="172">
        <v>46131.08104841435</v>
      </c>
      <c r="Y4691" s="172">
        <v>46128.09297909722</v>
      </c>
      <c r="Z4691" s="3">
        <v>46127.0</v>
      </c>
      <c r="AA4691" s="2" t="s">
        <v>14022</v>
      </c>
    </row>
    <row r="4692">
      <c r="A4692" s="3">
        <v>7.000434934019E12</v>
      </c>
      <c r="B4692" s="2" t="s">
        <v>18599</v>
      </c>
      <c r="C4692" s="2" t="s">
        <v>18600</v>
      </c>
      <c r="D4692" s="169">
        <v>46127.0</v>
      </c>
      <c r="E4692" s="2">
        <v>3.035923748E9</v>
      </c>
      <c r="F4692" s="2" t="s">
        <v>18601</v>
      </c>
      <c r="G4692" s="2" t="s">
        <v>506</v>
      </c>
      <c r="H4692" s="2">
        <v>3299.0</v>
      </c>
      <c r="I4692" s="2"/>
      <c r="J4692" s="3">
        <v>2.0</v>
      </c>
      <c r="K4692" s="2" t="s">
        <v>204</v>
      </c>
      <c r="L4692" s="2" t="s">
        <v>18602</v>
      </c>
      <c r="M4692" s="2" t="s">
        <v>406</v>
      </c>
      <c r="N4692" s="2" t="s">
        <v>406</v>
      </c>
      <c r="O4692" s="3"/>
      <c r="P4692" s="2"/>
      <c r="Q4692" s="3">
        <v>1100.0</v>
      </c>
      <c r="R4692" s="3">
        <v>0.5</v>
      </c>
      <c r="U4692" s="141"/>
      <c r="X4692" s="172"/>
      <c r="Y4692" s="172">
        <v>46128.09297909722</v>
      </c>
      <c r="Z4692" s="3">
        <v>46127.0</v>
      </c>
      <c r="AA4692" s="2" t="s">
        <v>14032</v>
      </c>
    </row>
    <row r="4693">
      <c r="A4693" s="3">
        <v>7.000441946371E12</v>
      </c>
      <c r="B4693" s="2" t="s">
        <v>18603</v>
      </c>
      <c r="C4693" s="2" t="s">
        <v>18604</v>
      </c>
      <c r="D4693" s="169">
        <v>46127.0</v>
      </c>
      <c r="E4693" s="173" t="s">
        <v>18605</v>
      </c>
      <c r="F4693" s="2" t="s">
        <v>18606</v>
      </c>
      <c r="G4693" s="2" t="s">
        <v>461</v>
      </c>
      <c r="H4693" s="2">
        <v>2790.0</v>
      </c>
      <c r="I4693" s="2">
        <v>2.0120050023591E13</v>
      </c>
      <c r="J4693" s="3">
        <v>2.0</v>
      </c>
      <c r="K4693" s="2" t="s">
        <v>18607</v>
      </c>
      <c r="L4693" s="2" t="s">
        <v>234</v>
      </c>
      <c r="M4693" s="2" t="s">
        <v>409</v>
      </c>
      <c r="N4693" s="2" t="s">
        <v>406</v>
      </c>
      <c r="O4693" s="3"/>
      <c r="P4693" s="2" t="s">
        <v>73</v>
      </c>
      <c r="Q4693" s="3">
        <v>800.0</v>
      </c>
      <c r="R4693" s="3">
        <v>0.5</v>
      </c>
      <c r="U4693" s="141"/>
      <c r="X4693" s="172">
        <v>46131.08104842593</v>
      </c>
      <c r="Y4693" s="172">
        <v>46128.09297909722</v>
      </c>
      <c r="Z4693" s="3">
        <v>46127.0</v>
      </c>
      <c r="AA4693" s="2" t="s">
        <v>14026</v>
      </c>
    </row>
    <row r="4694">
      <c r="A4694" s="3">
        <v>7.000450531587E12</v>
      </c>
      <c r="B4694" s="2" t="s">
        <v>182</v>
      </c>
      <c r="C4694" s="2" t="s">
        <v>18608</v>
      </c>
      <c r="D4694" s="169">
        <v>46127.0</v>
      </c>
      <c r="E4694" s="173" t="s">
        <v>18609</v>
      </c>
      <c r="F4694" s="2" t="s">
        <v>18610</v>
      </c>
      <c r="G4694" s="2" t="s">
        <v>506</v>
      </c>
      <c r="H4694" s="2">
        <v>1665.0</v>
      </c>
      <c r="I4694" s="2">
        <v>2.512005002359E13</v>
      </c>
      <c r="J4694" s="3">
        <v>1.0</v>
      </c>
      <c r="K4694" s="2" t="s">
        <v>18607</v>
      </c>
      <c r="L4694" s="2" t="s">
        <v>4482</v>
      </c>
      <c r="M4694" s="2" t="s">
        <v>409</v>
      </c>
      <c r="N4694" s="2" t="s">
        <v>406</v>
      </c>
      <c r="O4694" s="3"/>
      <c r="P4694" s="2" t="s">
        <v>73</v>
      </c>
      <c r="Q4694" s="3">
        <v>490.0</v>
      </c>
      <c r="R4694" s="3">
        <v>0.5</v>
      </c>
      <c r="U4694" s="141"/>
      <c r="X4694" s="172">
        <v>46129.081150011574</v>
      </c>
      <c r="Y4694" s="172">
        <v>46128.09297909722</v>
      </c>
      <c r="Z4694" s="3">
        <v>46127.0</v>
      </c>
      <c r="AA4694" s="2" t="s">
        <v>14026</v>
      </c>
    </row>
    <row r="4695">
      <c r="A4695" s="3">
        <v>7.000451875075E12</v>
      </c>
      <c r="B4695" s="2" t="s">
        <v>18611</v>
      </c>
      <c r="C4695" s="2" t="s">
        <v>18612</v>
      </c>
      <c r="D4695" s="169">
        <v>46127.0</v>
      </c>
      <c r="E4695" s="2">
        <v>3.337232383E9</v>
      </c>
      <c r="F4695" s="2" t="s">
        <v>18613</v>
      </c>
      <c r="G4695" s="2" t="s">
        <v>781</v>
      </c>
      <c r="H4695" s="2">
        <v>3299.0</v>
      </c>
      <c r="I4695" s="2"/>
      <c r="J4695" s="3">
        <v>2.0</v>
      </c>
      <c r="K4695" s="2" t="s">
        <v>18614</v>
      </c>
      <c r="L4695" s="2" t="s">
        <v>18273</v>
      </c>
      <c r="M4695" s="2" t="s">
        <v>406</v>
      </c>
      <c r="N4695" s="2" t="s">
        <v>406</v>
      </c>
      <c r="O4695" s="3"/>
      <c r="P4695" s="2"/>
      <c r="Q4695" s="3">
        <v>1100.0</v>
      </c>
      <c r="R4695" s="3">
        <v>0.5</v>
      </c>
      <c r="U4695" s="141"/>
      <c r="X4695" s="172"/>
      <c r="Y4695" s="172">
        <v>46128.09297909722</v>
      </c>
      <c r="Z4695" s="3">
        <v>46127.0</v>
      </c>
      <c r="AA4695" s="2" t="s">
        <v>14032</v>
      </c>
    </row>
    <row r="4696">
      <c r="A4696" s="3">
        <v>7.000468390147E12</v>
      </c>
      <c r="B4696" s="2" t="s">
        <v>179</v>
      </c>
      <c r="C4696" s="2" t="s">
        <v>18615</v>
      </c>
      <c r="D4696" s="169">
        <v>46127.0</v>
      </c>
      <c r="E4696" s="173" t="s">
        <v>18616</v>
      </c>
      <c r="F4696" s="2" t="s">
        <v>18617</v>
      </c>
      <c r="G4696" s="2" t="s">
        <v>18618</v>
      </c>
      <c r="H4696" s="2">
        <v>2520.0</v>
      </c>
      <c r="I4696" s="2">
        <v>2.8120050023589E13</v>
      </c>
      <c r="J4696" s="3">
        <v>2.0</v>
      </c>
      <c r="K4696" s="2" t="s">
        <v>18619</v>
      </c>
      <c r="L4696" s="2" t="s">
        <v>18620</v>
      </c>
      <c r="M4696" s="2" t="s">
        <v>409</v>
      </c>
      <c r="N4696" s="2" t="s">
        <v>406</v>
      </c>
      <c r="O4696" s="3"/>
      <c r="P4696" s="2" t="s">
        <v>73</v>
      </c>
      <c r="Q4696" s="3">
        <v>1100.0</v>
      </c>
      <c r="R4696" s="3">
        <v>0.5</v>
      </c>
      <c r="U4696" s="141"/>
      <c r="X4696" s="172">
        <v>46130.08131591435</v>
      </c>
      <c r="Y4696" s="172">
        <v>46128.0929791088</v>
      </c>
      <c r="Z4696" s="3">
        <v>46127.0</v>
      </c>
      <c r="AA4696" s="2" t="s">
        <v>14026</v>
      </c>
    </row>
    <row r="4697">
      <c r="A4697" s="3">
        <v>7.000491688195E12</v>
      </c>
      <c r="B4697" s="2" t="s">
        <v>76</v>
      </c>
      <c r="C4697" s="2" t="s">
        <v>18304</v>
      </c>
      <c r="D4697" s="169">
        <v>46127.0</v>
      </c>
      <c r="E4697" s="2">
        <v>3.426458795E9</v>
      </c>
      <c r="F4697" s="2" t="s">
        <v>18305</v>
      </c>
      <c r="G4697" s="2" t="s">
        <v>8731</v>
      </c>
      <c r="H4697" s="2">
        <v>4998.0</v>
      </c>
      <c r="I4697" s="2">
        <v>2.5120050023598E13</v>
      </c>
      <c r="J4697" s="3">
        <v>3.0</v>
      </c>
      <c r="K4697" s="2" t="s">
        <v>18621</v>
      </c>
      <c r="L4697" s="2" t="s">
        <v>18622</v>
      </c>
      <c r="M4697" s="2" t="s">
        <v>409</v>
      </c>
      <c r="N4697" s="2" t="s">
        <v>462</v>
      </c>
      <c r="O4697" s="3"/>
      <c r="P4697" s="2" t="s">
        <v>73</v>
      </c>
      <c r="Q4697" s="3">
        <v>1950.0</v>
      </c>
      <c r="R4697" s="3">
        <v>0.5</v>
      </c>
      <c r="T4697" s="2" t="s">
        <v>72</v>
      </c>
      <c r="U4697" s="171">
        <v>4998.0</v>
      </c>
      <c r="V4697" s="172">
        <v>46129.0</v>
      </c>
      <c r="W4697" s="3">
        <v>578.8299999999999</v>
      </c>
      <c r="X4697" s="172">
        <v>46130.08131596065</v>
      </c>
      <c r="Y4697" s="172">
        <v>46128.0929791088</v>
      </c>
      <c r="Z4697" s="3">
        <v>46127.0</v>
      </c>
      <c r="AA4697" s="2" t="s">
        <v>14026</v>
      </c>
    </row>
    <row r="4698">
      <c r="A4698" s="3">
        <v>7.000503189763E12</v>
      </c>
      <c r="B4698" s="2" t="s">
        <v>18623</v>
      </c>
      <c r="C4698" s="2" t="s">
        <v>18624</v>
      </c>
      <c r="D4698" s="169">
        <v>46127.0</v>
      </c>
      <c r="E4698" s="2">
        <v>3.31531417E9</v>
      </c>
      <c r="F4698" s="2" t="s">
        <v>18625</v>
      </c>
      <c r="G4698" s="2" t="s">
        <v>5702</v>
      </c>
      <c r="H4698" s="2">
        <v>3349.0</v>
      </c>
      <c r="I4698" s="2">
        <v>2.7120050023619E13</v>
      </c>
      <c r="J4698" s="3">
        <v>1.0</v>
      </c>
      <c r="K4698" s="2" t="s">
        <v>204</v>
      </c>
      <c r="L4698" s="2" t="s">
        <v>200</v>
      </c>
      <c r="M4698" s="2" t="s">
        <v>409</v>
      </c>
      <c r="N4698" s="2" t="s">
        <v>406</v>
      </c>
      <c r="O4698" s="3"/>
      <c r="P4698" s="2" t="s">
        <v>73</v>
      </c>
      <c r="Q4698" s="3">
        <v>1400.0</v>
      </c>
      <c r="R4698" s="3">
        <v>0.5</v>
      </c>
      <c r="U4698" s="141"/>
      <c r="X4698" s="172">
        <v>46131.081048437496</v>
      </c>
      <c r="Y4698" s="172">
        <v>46128.0929791088</v>
      </c>
      <c r="Z4698" s="3">
        <v>46127.0</v>
      </c>
      <c r="AA4698" s="2" t="s">
        <v>14032</v>
      </c>
    </row>
    <row r="4699">
      <c r="A4699" s="3">
        <v>7.000542249219E12</v>
      </c>
      <c r="B4699" s="2" t="s">
        <v>18626</v>
      </c>
      <c r="C4699" s="2" t="s">
        <v>6062</v>
      </c>
      <c r="D4699" s="169">
        <v>46127.0</v>
      </c>
      <c r="E4699" s="173" t="s">
        <v>18627</v>
      </c>
      <c r="F4699" s="2" t="s">
        <v>18628</v>
      </c>
      <c r="G4699" s="2" t="s">
        <v>6760</v>
      </c>
      <c r="H4699" s="2">
        <v>3399.0</v>
      </c>
      <c r="I4699" s="2">
        <v>2.4120050023618E13</v>
      </c>
      <c r="J4699" s="3">
        <v>2.0</v>
      </c>
      <c r="K4699" s="2" t="s">
        <v>204</v>
      </c>
      <c r="L4699" s="2" t="s">
        <v>11183</v>
      </c>
      <c r="M4699" s="2" t="s">
        <v>16906</v>
      </c>
      <c r="N4699" s="2" t="s">
        <v>406</v>
      </c>
      <c r="O4699" s="3"/>
      <c r="P4699" s="2" t="s">
        <v>73</v>
      </c>
      <c r="Q4699" s="3">
        <v>800.0</v>
      </c>
      <c r="R4699" s="3">
        <v>0.5</v>
      </c>
      <c r="U4699" s="141"/>
      <c r="X4699" s="172">
        <v>46130.08131605324</v>
      </c>
      <c r="Y4699" s="172">
        <v>46128.0929791088</v>
      </c>
      <c r="Z4699" s="3">
        <v>46127.0</v>
      </c>
      <c r="AA4699" s="2" t="s">
        <v>14032</v>
      </c>
    </row>
    <row r="4700">
      <c r="A4700" s="3">
        <v>7.000621678851E12</v>
      </c>
      <c r="B4700" s="2" t="s">
        <v>18629</v>
      </c>
      <c r="C4700" s="2" t="s">
        <v>18630</v>
      </c>
      <c r="D4700" s="169">
        <v>46127.0</v>
      </c>
      <c r="E4700" s="2">
        <v>3.214516351E9</v>
      </c>
      <c r="F4700" s="2" t="s">
        <v>18631</v>
      </c>
      <c r="G4700" s="2" t="s">
        <v>368</v>
      </c>
      <c r="H4700" s="2">
        <v>3099.0</v>
      </c>
      <c r="I4700" s="2">
        <v>2.7120050023611E13</v>
      </c>
      <c r="J4700" s="3">
        <v>2.0</v>
      </c>
      <c r="K4700" s="2" t="s">
        <v>18632</v>
      </c>
      <c r="L4700" s="2" t="s">
        <v>18633</v>
      </c>
      <c r="M4700" s="2" t="s">
        <v>409</v>
      </c>
      <c r="N4700" s="2" t="s">
        <v>406</v>
      </c>
      <c r="O4700" s="3"/>
      <c r="P4700" s="2" t="s">
        <v>73</v>
      </c>
      <c r="Q4700" s="3">
        <v>1100.0</v>
      </c>
      <c r="R4700" s="3">
        <v>0.5</v>
      </c>
      <c r="U4700" s="141"/>
      <c r="X4700" s="172">
        <v>46130.08131608796</v>
      </c>
      <c r="Y4700" s="172">
        <v>46128.0929791088</v>
      </c>
      <c r="Z4700" s="3">
        <v>46127.0</v>
      </c>
      <c r="AA4700" s="2" t="s">
        <v>14022</v>
      </c>
    </row>
    <row r="4701">
      <c r="A4701" s="3">
        <v>7.000621711619E12</v>
      </c>
      <c r="B4701" s="2" t="s">
        <v>18634</v>
      </c>
      <c r="C4701" s="2" t="s">
        <v>18635</v>
      </c>
      <c r="D4701" s="169">
        <v>46127.0</v>
      </c>
      <c r="E4701" s="173" t="s">
        <v>18636</v>
      </c>
      <c r="F4701" s="2" t="s">
        <v>18637</v>
      </c>
      <c r="G4701" s="2" t="s">
        <v>1434</v>
      </c>
      <c r="H4701" s="2">
        <v>5228.0</v>
      </c>
      <c r="I4701" s="2">
        <v>2.7120050023617E13</v>
      </c>
      <c r="J4701" s="3">
        <v>4.0</v>
      </c>
      <c r="K4701" s="2" t="s">
        <v>335</v>
      </c>
      <c r="L4701" s="2" t="s">
        <v>18638</v>
      </c>
      <c r="M4701" s="2" t="s">
        <v>409</v>
      </c>
      <c r="N4701" s="2" t="s">
        <v>406</v>
      </c>
      <c r="O4701" s="3"/>
      <c r="P4701" s="2" t="s">
        <v>73</v>
      </c>
      <c r="Q4701" s="3">
        <v>2280.0</v>
      </c>
      <c r="R4701" s="3">
        <v>0.5</v>
      </c>
      <c r="U4701" s="141"/>
      <c r="X4701" s="172">
        <v>46131.08104846065</v>
      </c>
      <c r="Y4701" s="172">
        <v>46128.0929791088</v>
      </c>
      <c r="Z4701" s="3">
        <v>46127.0</v>
      </c>
      <c r="AA4701" s="2" t="s">
        <v>14026</v>
      </c>
    </row>
    <row r="4702">
      <c r="A4702" s="3">
        <v>7.000981700867E12</v>
      </c>
      <c r="B4702" s="2" t="s">
        <v>18639</v>
      </c>
      <c r="C4702" s="2" t="s">
        <v>18640</v>
      </c>
      <c r="D4702" s="169">
        <v>46127.0</v>
      </c>
      <c r="E4702" s="2">
        <v>3.365267276E9</v>
      </c>
      <c r="F4702" s="2" t="s">
        <v>18641</v>
      </c>
      <c r="G4702" s="2" t="s">
        <v>18642</v>
      </c>
      <c r="H4702" s="2">
        <v>1899.0</v>
      </c>
      <c r="I4702" s="2">
        <v>2.0120050023625E13</v>
      </c>
      <c r="J4702" s="3">
        <v>1.0</v>
      </c>
      <c r="K4702" s="2" t="s">
        <v>204</v>
      </c>
      <c r="L4702" s="2" t="s">
        <v>18643</v>
      </c>
      <c r="M4702" s="2" t="s">
        <v>15124</v>
      </c>
      <c r="N4702" s="2" t="s">
        <v>406</v>
      </c>
      <c r="O4702" s="3"/>
      <c r="P4702" s="2" t="s">
        <v>73</v>
      </c>
      <c r="Q4702" s="3">
        <v>400.0</v>
      </c>
      <c r="R4702" s="3">
        <v>0.5</v>
      </c>
      <c r="U4702" s="141"/>
      <c r="X4702" s="172">
        <v>46131.08104851852</v>
      </c>
      <c r="Y4702" s="172">
        <v>46128.0929791088</v>
      </c>
      <c r="Z4702" s="3">
        <v>46127.0</v>
      </c>
      <c r="AA4702" s="2" t="s">
        <v>14022</v>
      </c>
    </row>
    <row r="4703">
      <c r="A4703" s="3">
        <v>7.001309413635E12</v>
      </c>
      <c r="B4703" s="2" t="s">
        <v>18644</v>
      </c>
      <c r="C4703" s="2" t="s">
        <v>18645</v>
      </c>
      <c r="D4703" s="169">
        <v>46127.0</v>
      </c>
      <c r="E4703" s="2">
        <v>3.489034688E9</v>
      </c>
      <c r="F4703" s="2" t="s">
        <v>18646</v>
      </c>
      <c r="G4703" s="2" t="s">
        <v>781</v>
      </c>
      <c r="H4703" s="2">
        <v>2098.0</v>
      </c>
      <c r="I4703" s="2"/>
      <c r="J4703" s="3">
        <v>1.0</v>
      </c>
      <c r="K4703" s="2" t="s">
        <v>204</v>
      </c>
      <c r="L4703" s="2" t="s">
        <v>220</v>
      </c>
      <c r="M4703" s="2" t="s">
        <v>406</v>
      </c>
      <c r="N4703" s="2" t="s">
        <v>406</v>
      </c>
      <c r="O4703" s="3"/>
      <c r="P4703" s="2"/>
      <c r="Q4703" s="3">
        <v>360.0</v>
      </c>
      <c r="R4703" s="3">
        <v>0.5</v>
      </c>
      <c r="U4703" s="141"/>
      <c r="X4703" s="172"/>
      <c r="Y4703" s="172">
        <v>46128.0929791088</v>
      </c>
      <c r="Z4703" s="3">
        <v>46127.0</v>
      </c>
      <c r="AA4703" s="2" t="s">
        <v>14103</v>
      </c>
    </row>
    <row r="4704">
      <c r="A4704" s="3">
        <v>7.001327796483E12</v>
      </c>
      <c r="B4704" s="2" t="s">
        <v>18647</v>
      </c>
      <c r="C4704" s="2" t="s">
        <v>18648</v>
      </c>
      <c r="D4704" s="169">
        <v>46127.0</v>
      </c>
      <c r="E4704" s="2">
        <v>3.002033312E9</v>
      </c>
      <c r="F4704" s="2" t="s">
        <v>18649</v>
      </c>
      <c r="G4704" s="2" t="s">
        <v>493</v>
      </c>
      <c r="H4704" s="2">
        <v>5199.0</v>
      </c>
      <c r="I4704" s="2">
        <v>2.1120050023616E13</v>
      </c>
      <c r="J4704" s="3">
        <v>3.0</v>
      </c>
      <c r="K4704" s="2" t="s">
        <v>223</v>
      </c>
      <c r="L4704" s="2" t="s">
        <v>18650</v>
      </c>
      <c r="M4704" s="2" t="s">
        <v>409</v>
      </c>
      <c r="N4704" s="2" t="s">
        <v>406</v>
      </c>
      <c r="O4704" s="3"/>
      <c r="P4704" s="2" t="s">
        <v>73</v>
      </c>
      <c r="Q4704" s="3">
        <v>1200.0</v>
      </c>
      <c r="R4704" s="3">
        <v>0.5</v>
      </c>
      <c r="U4704" s="141"/>
      <c r="X4704" s="172">
        <v>46131.08104858796</v>
      </c>
      <c r="Y4704" s="172">
        <v>46128.0929791088</v>
      </c>
      <c r="Z4704" s="3">
        <v>46127.0</v>
      </c>
      <c r="AA4704" s="2" t="s">
        <v>14103</v>
      </c>
    </row>
    <row r="4705">
      <c r="A4705" s="3">
        <v>7.001364332803E12</v>
      </c>
      <c r="B4705" s="2" t="s">
        <v>18651</v>
      </c>
      <c r="C4705" s="2" t="s">
        <v>18652</v>
      </c>
      <c r="D4705" s="169">
        <v>46127.0</v>
      </c>
      <c r="E4705" s="2">
        <v>3.438572811E9</v>
      </c>
      <c r="F4705" s="2" t="s">
        <v>18653</v>
      </c>
      <c r="G4705" s="2" t="s">
        <v>366</v>
      </c>
      <c r="H4705" s="2">
        <v>2098.0</v>
      </c>
      <c r="I4705" s="2"/>
      <c r="J4705" s="3">
        <v>1.0</v>
      </c>
      <c r="K4705" s="2" t="s">
        <v>7809</v>
      </c>
      <c r="L4705" s="2" t="s">
        <v>326</v>
      </c>
      <c r="M4705" s="2" t="s">
        <v>406</v>
      </c>
      <c r="N4705" s="2" t="s">
        <v>406</v>
      </c>
      <c r="O4705" s="3"/>
      <c r="P4705" s="2"/>
      <c r="Q4705" s="3">
        <v>360.0</v>
      </c>
      <c r="R4705" s="3">
        <v>0.5</v>
      </c>
      <c r="U4705" s="141"/>
      <c r="X4705" s="172"/>
      <c r="Y4705" s="172">
        <v>46128.0929791088</v>
      </c>
      <c r="Z4705" s="3">
        <v>46127.0</v>
      </c>
      <c r="AA4705" s="2" t="s">
        <v>14053</v>
      </c>
    </row>
    <row r="4706">
      <c r="A4706" s="3">
        <v>7.001457787139E12</v>
      </c>
      <c r="B4706" s="2" t="s">
        <v>18654</v>
      </c>
      <c r="C4706" s="2" t="s">
        <v>18655</v>
      </c>
      <c r="D4706" s="169">
        <v>46128.0</v>
      </c>
      <c r="E4706" s="2">
        <v>3.144112627E9</v>
      </c>
      <c r="F4706" s="2" t="s">
        <v>18656</v>
      </c>
      <c r="G4706" s="2" t="s">
        <v>1323</v>
      </c>
      <c r="H4706" s="2">
        <v>3399.0</v>
      </c>
      <c r="I4706" s="2">
        <v>2.4120050023615E13</v>
      </c>
      <c r="J4706" s="3">
        <v>2.0</v>
      </c>
      <c r="K4706" s="2" t="s">
        <v>204</v>
      </c>
      <c r="L4706" s="2" t="s">
        <v>18657</v>
      </c>
      <c r="M4706" s="2" t="s">
        <v>409</v>
      </c>
      <c r="N4706" s="2" t="s">
        <v>406</v>
      </c>
      <c r="O4706" s="3"/>
      <c r="P4706" s="2" t="s">
        <v>73</v>
      </c>
      <c r="Q4706" s="3">
        <v>860.0</v>
      </c>
      <c r="R4706" s="3">
        <v>0.5</v>
      </c>
      <c r="U4706" s="141"/>
      <c r="X4706" s="172">
        <v>46130.08131695601</v>
      </c>
      <c r="Y4706" s="172">
        <v>46128.0929791088</v>
      </c>
      <c r="Z4706" s="3">
        <v>46128.0</v>
      </c>
      <c r="AA4706" s="2" t="s">
        <v>14032</v>
      </c>
    </row>
    <row r="4707">
      <c r="A4707" s="3">
        <v>7.001727729923E12</v>
      </c>
      <c r="B4707" s="2" t="s">
        <v>18658</v>
      </c>
      <c r="C4707" s="2" t="s">
        <v>18659</v>
      </c>
      <c r="D4707" s="169">
        <v>46128.0</v>
      </c>
      <c r="E4707" s="2">
        <v>3.12918629E9</v>
      </c>
      <c r="F4707" s="2" t="s">
        <v>18660</v>
      </c>
      <c r="G4707" s="2" t="s">
        <v>18661</v>
      </c>
      <c r="H4707" s="2">
        <v>2099.0</v>
      </c>
      <c r="I4707" s="2">
        <v>2.5120050023614E13</v>
      </c>
      <c r="J4707" s="3">
        <v>1.0</v>
      </c>
      <c r="K4707" s="2" t="s">
        <v>18662</v>
      </c>
      <c r="L4707" s="2" t="s">
        <v>11096</v>
      </c>
      <c r="M4707" s="2" t="s">
        <v>17</v>
      </c>
      <c r="N4707" s="2" t="s">
        <v>406</v>
      </c>
      <c r="O4707" s="3"/>
      <c r="P4707" s="2" t="s">
        <v>73</v>
      </c>
      <c r="Q4707" s="3">
        <v>400.0</v>
      </c>
      <c r="R4707" s="3">
        <v>0.5</v>
      </c>
      <c r="U4707" s="141"/>
      <c r="X4707" s="172">
        <v>46130.08131717592</v>
      </c>
      <c r="Y4707" s="172">
        <v>46129.09302853009</v>
      </c>
      <c r="Z4707" s="3">
        <v>46128.0</v>
      </c>
      <c r="AA4707" s="2" t="s">
        <v>14032</v>
      </c>
    </row>
    <row r="4708">
      <c r="A4708" s="3">
        <v>7.001745785091E12</v>
      </c>
      <c r="B4708" s="2" t="s">
        <v>18663</v>
      </c>
      <c r="C4708" s="2" t="s">
        <v>18664</v>
      </c>
      <c r="D4708" s="169">
        <v>46128.0</v>
      </c>
      <c r="E4708" s="2">
        <v>3.155519918E9</v>
      </c>
      <c r="F4708" s="2" t="s">
        <v>18665</v>
      </c>
      <c r="G4708" s="2" t="s">
        <v>4591</v>
      </c>
      <c r="H4708" s="2">
        <v>3048.0</v>
      </c>
      <c r="I4708" s="2">
        <v>2.612005002361E13</v>
      </c>
      <c r="J4708" s="3">
        <v>2.0</v>
      </c>
      <c r="K4708" s="2" t="s">
        <v>204</v>
      </c>
      <c r="L4708" s="2" t="s">
        <v>18666</v>
      </c>
      <c r="M4708" s="2" t="s">
        <v>409</v>
      </c>
      <c r="N4708" s="2" t="s">
        <v>406</v>
      </c>
      <c r="O4708" s="3"/>
      <c r="P4708" s="2" t="s">
        <v>73</v>
      </c>
      <c r="Q4708" s="3">
        <v>1200.0</v>
      </c>
      <c r="R4708" s="3">
        <v>0.5</v>
      </c>
      <c r="U4708" s="141"/>
      <c r="X4708" s="172">
        <v>46131.081048611115</v>
      </c>
      <c r="Y4708" s="172">
        <v>46129.09302853009</v>
      </c>
      <c r="Z4708" s="3">
        <v>46128.0</v>
      </c>
      <c r="AA4708" s="2" t="s">
        <v>14053</v>
      </c>
    </row>
    <row r="4709">
      <c r="A4709" s="3">
        <v>7.001996493059E12</v>
      </c>
      <c r="B4709" s="2" t="s">
        <v>18667</v>
      </c>
      <c r="C4709" s="2" t="s">
        <v>314</v>
      </c>
      <c r="D4709" s="169">
        <v>46128.0</v>
      </c>
      <c r="E4709" s="173" t="s">
        <v>18668</v>
      </c>
      <c r="F4709" s="2" t="s">
        <v>17837</v>
      </c>
      <c r="G4709" s="2" t="s">
        <v>6507</v>
      </c>
      <c r="H4709" s="2">
        <v>2997.0</v>
      </c>
      <c r="I4709" s="2"/>
      <c r="J4709" s="3">
        <v>1.0</v>
      </c>
      <c r="K4709" s="2" t="s">
        <v>18669</v>
      </c>
      <c r="L4709" s="2" t="s">
        <v>18670</v>
      </c>
      <c r="M4709" s="2" t="s">
        <v>406</v>
      </c>
      <c r="N4709" s="2" t="s">
        <v>406</v>
      </c>
      <c r="O4709" s="3"/>
      <c r="P4709" s="2"/>
      <c r="Q4709" s="3">
        <v>1300.0</v>
      </c>
      <c r="R4709" s="3">
        <v>0.5</v>
      </c>
      <c r="U4709" s="141"/>
      <c r="X4709" s="172"/>
      <c r="Y4709" s="172">
        <v>46129.09302853009</v>
      </c>
      <c r="Z4709" s="3">
        <v>46128.0</v>
      </c>
      <c r="AA4709" s="2" t="s">
        <v>14032</v>
      </c>
    </row>
    <row r="4710">
      <c r="A4710" s="3">
        <v>7.002015006979E12</v>
      </c>
      <c r="B4710" s="2" t="s">
        <v>18671</v>
      </c>
      <c r="C4710" s="2" t="s">
        <v>18672</v>
      </c>
      <c r="D4710" s="169">
        <v>46128.0</v>
      </c>
      <c r="E4710" s="2">
        <v>3.305975601E9</v>
      </c>
      <c r="F4710" s="2" t="s">
        <v>18673</v>
      </c>
      <c r="G4710" s="2" t="s">
        <v>3148</v>
      </c>
      <c r="H4710" s="2">
        <v>3397.0</v>
      </c>
      <c r="I4710" s="2"/>
      <c r="J4710" s="3">
        <v>2.0</v>
      </c>
      <c r="K4710" s="2" t="s">
        <v>204</v>
      </c>
      <c r="L4710" s="2" t="s">
        <v>280</v>
      </c>
      <c r="M4710" s="2" t="s">
        <v>406</v>
      </c>
      <c r="N4710" s="2" t="s">
        <v>406</v>
      </c>
      <c r="O4710" s="3"/>
      <c r="P4710" s="2"/>
      <c r="Q4710" s="3">
        <v>720.0</v>
      </c>
      <c r="R4710" s="3">
        <v>0.5</v>
      </c>
      <c r="U4710" s="141"/>
      <c r="X4710" s="172"/>
      <c r="Y4710" s="172">
        <v>46129.09302853009</v>
      </c>
      <c r="Z4710" s="3">
        <v>46128.0</v>
      </c>
      <c r="AA4710" s="2" t="s">
        <v>14053</v>
      </c>
    </row>
    <row r="4711">
      <c r="A4711" s="3">
        <v>7.002041778435E12</v>
      </c>
      <c r="B4711" s="2" t="s">
        <v>18674</v>
      </c>
      <c r="C4711" s="2" t="s">
        <v>18675</v>
      </c>
      <c r="D4711" s="169">
        <v>46128.0</v>
      </c>
      <c r="E4711" s="2">
        <v>3.487191261E9</v>
      </c>
      <c r="F4711" s="2" t="s">
        <v>18676</v>
      </c>
      <c r="G4711" s="2" t="s">
        <v>2608</v>
      </c>
      <c r="H4711" s="2">
        <v>2098.0</v>
      </c>
      <c r="I4711" s="2"/>
      <c r="J4711" s="3">
        <v>1.0</v>
      </c>
      <c r="K4711" s="2" t="s">
        <v>18286</v>
      </c>
      <c r="L4711" s="2" t="s">
        <v>243</v>
      </c>
      <c r="M4711" s="2" t="s">
        <v>406</v>
      </c>
      <c r="N4711" s="2" t="s">
        <v>406</v>
      </c>
      <c r="O4711" s="3"/>
      <c r="P4711" s="2"/>
      <c r="Q4711" s="3">
        <v>360.0</v>
      </c>
      <c r="R4711" s="3">
        <v>0.5</v>
      </c>
      <c r="U4711" s="141"/>
      <c r="X4711" s="172"/>
      <c r="Y4711" s="172">
        <v>46129.09302853009</v>
      </c>
      <c r="Z4711" s="3">
        <v>46128.0</v>
      </c>
      <c r="AA4711" s="2" t="s">
        <v>14022</v>
      </c>
    </row>
    <row r="4712">
      <c r="A4712" s="3">
        <v>7.002062979331E12</v>
      </c>
      <c r="B4712" s="2" t="s">
        <v>18677</v>
      </c>
      <c r="C4712" s="2" t="s">
        <v>2722</v>
      </c>
      <c r="D4712" s="169">
        <v>46128.0</v>
      </c>
      <c r="E4712" s="2">
        <v>3.000585754E9</v>
      </c>
      <c r="F4712" s="2" t="s">
        <v>18678</v>
      </c>
      <c r="G4712" s="2" t="s">
        <v>493</v>
      </c>
      <c r="H4712" s="2">
        <v>6696.0</v>
      </c>
      <c r="I4712" s="2"/>
      <c r="J4712" s="3">
        <v>4.0</v>
      </c>
      <c r="K4712" s="2" t="s">
        <v>8446</v>
      </c>
      <c r="L4712" s="2" t="s">
        <v>18679</v>
      </c>
      <c r="M4712" s="2" t="s">
        <v>406</v>
      </c>
      <c r="N4712" s="2" t="s">
        <v>406</v>
      </c>
      <c r="O4712" s="3"/>
      <c r="P4712" s="2"/>
      <c r="Q4712" s="3">
        <v>1440.0</v>
      </c>
      <c r="R4712" s="3">
        <v>0.5</v>
      </c>
      <c r="U4712" s="141"/>
      <c r="X4712" s="172"/>
      <c r="Y4712" s="172">
        <v>46129.09302853009</v>
      </c>
      <c r="Z4712" s="3">
        <v>46128.0</v>
      </c>
      <c r="AA4712" s="2" t="s">
        <v>14032</v>
      </c>
    </row>
    <row r="4713">
      <c r="A4713" s="3">
        <v>7.002063700227E12</v>
      </c>
      <c r="B4713" s="2" t="s">
        <v>18680</v>
      </c>
      <c r="C4713" s="2" t="s">
        <v>2722</v>
      </c>
      <c r="D4713" s="169">
        <v>46128.0</v>
      </c>
      <c r="E4713" s="2">
        <v>3.000585754E9</v>
      </c>
      <c r="F4713" s="2" t="s">
        <v>18678</v>
      </c>
      <c r="G4713" s="2" t="s">
        <v>493</v>
      </c>
      <c r="H4713" s="2">
        <v>3397.0</v>
      </c>
      <c r="I4713" s="2"/>
      <c r="J4713" s="3">
        <v>2.0</v>
      </c>
      <c r="K4713" s="2" t="s">
        <v>18681</v>
      </c>
      <c r="L4713" s="2" t="s">
        <v>17922</v>
      </c>
      <c r="M4713" s="2" t="s">
        <v>406</v>
      </c>
      <c r="N4713" s="2" t="s">
        <v>406</v>
      </c>
      <c r="O4713" s="3"/>
      <c r="P4713" s="2"/>
      <c r="Q4713" s="3">
        <v>720.0</v>
      </c>
      <c r="R4713" s="3">
        <v>0.5</v>
      </c>
      <c r="U4713" s="141"/>
      <c r="X4713" s="172"/>
      <c r="Y4713" s="172">
        <v>46129.09302853009</v>
      </c>
      <c r="Z4713" s="3">
        <v>46128.0</v>
      </c>
      <c r="AA4713" s="2" t="s">
        <v>14032</v>
      </c>
    </row>
    <row r="4714">
      <c r="A4714" s="3">
        <v>7.002109346051E12</v>
      </c>
      <c r="B4714" s="2" t="s">
        <v>18682</v>
      </c>
      <c r="C4714" s="2" t="s">
        <v>18683</v>
      </c>
      <c r="D4714" s="169">
        <v>46128.0</v>
      </c>
      <c r="E4714" s="173" t="s">
        <v>18684</v>
      </c>
      <c r="F4714" s="2" t="s">
        <v>18685</v>
      </c>
      <c r="G4714" s="2" t="s">
        <v>817</v>
      </c>
      <c r="H4714" s="2">
        <v>2700.0</v>
      </c>
      <c r="I4714" s="2"/>
      <c r="J4714" s="3">
        <v>2.0</v>
      </c>
      <c r="K4714" s="2" t="s">
        <v>18619</v>
      </c>
      <c r="L4714" s="2" t="s">
        <v>18686</v>
      </c>
      <c r="M4714" s="2" t="s">
        <v>406</v>
      </c>
      <c r="N4714" s="2" t="s">
        <v>406</v>
      </c>
      <c r="O4714" s="3"/>
      <c r="P4714" s="2"/>
      <c r="Q4714" s="3">
        <v>1100.0</v>
      </c>
      <c r="R4714" s="3">
        <v>0.5</v>
      </c>
      <c r="U4714" s="141"/>
      <c r="X4714" s="172"/>
      <c r="Y4714" s="172">
        <v>46129.09302853009</v>
      </c>
      <c r="Z4714" s="3">
        <v>46128.0</v>
      </c>
      <c r="AA4714" s="2" t="s">
        <v>14026</v>
      </c>
    </row>
    <row r="4715">
      <c r="A4715" s="3">
        <v>7.002115932419E12</v>
      </c>
      <c r="B4715" s="2" t="s">
        <v>18687</v>
      </c>
      <c r="C4715" s="2" t="s">
        <v>18688</v>
      </c>
      <c r="D4715" s="169">
        <v>46128.0</v>
      </c>
      <c r="E4715" s="173" t="s">
        <v>18689</v>
      </c>
      <c r="F4715" s="2" t="s">
        <v>18690</v>
      </c>
      <c r="G4715" s="2" t="s">
        <v>817</v>
      </c>
      <c r="H4715" s="2">
        <v>2788.0</v>
      </c>
      <c r="I4715" s="2">
        <v>2.7120050023609E13</v>
      </c>
      <c r="J4715" s="3">
        <v>2.0</v>
      </c>
      <c r="K4715" s="2" t="s">
        <v>18607</v>
      </c>
      <c r="L4715" s="2" t="s">
        <v>13413</v>
      </c>
      <c r="M4715" s="2" t="s">
        <v>409</v>
      </c>
      <c r="N4715" s="2" t="s">
        <v>406</v>
      </c>
      <c r="O4715" s="3"/>
      <c r="P4715" s="2" t="s">
        <v>73</v>
      </c>
      <c r="Q4715" s="3">
        <v>800.0</v>
      </c>
      <c r="R4715" s="3">
        <v>0.5</v>
      </c>
      <c r="U4715" s="141"/>
      <c r="X4715" s="172">
        <v>46131.081048622684</v>
      </c>
      <c r="Y4715" s="172">
        <v>46129.09302854167</v>
      </c>
      <c r="Z4715" s="3">
        <v>46128.0</v>
      </c>
      <c r="AA4715" s="2" t="s">
        <v>14026</v>
      </c>
    </row>
    <row r="4716">
      <c r="A4716" s="3">
        <v>7.002147651843E12</v>
      </c>
      <c r="B4716" s="2" t="s">
        <v>70</v>
      </c>
      <c r="C4716" s="2" t="s">
        <v>18691</v>
      </c>
      <c r="D4716" s="169">
        <v>46128.0</v>
      </c>
      <c r="E4716" s="2">
        <v>3.340689659E9</v>
      </c>
      <c r="F4716" s="2" t="s">
        <v>18692</v>
      </c>
      <c r="G4716" s="2" t="s">
        <v>368</v>
      </c>
      <c r="H4716" s="2">
        <v>3149.0</v>
      </c>
      <c r="I4716" s="2">
        <v>2.4120050023622E13</v>
      </c>
      <c r="J4716" s="3">
        <v>1.0</v>
      </c>
      <c r="K4716" s="2" t="s">
        <v>18693</v>
      </c>
      <c r="L4716" s="2" t="s">
        <v>12732</v>
      </c>
      <c r="M4716" s="2" t="s">
        <v>409</v>
      </c>
      <c r="N4716" s="2" t="s">
        <v>462</v>
      </c>
      <c r="O4716" s="3"/>
      <c r="P4716" s="2" t="s">
        <v>73</v>
      </c>
      <c r="Q4716" s="3">
        <v>1300.0</v>
      </c>
      <c r="R4716" s="3">
        <v>0.5</v>
      </c>
      <c r="T4716" s="2" t="s">
        <v>72</v>
      </c>
      <c r="U4716" s="171">
        <v>3149.0</v>
      </c>
      <c r="V4716" s="172">
        <v>46129.0</v>
      </c>
      <c r="W4716" s="3">
        <v>254.95</v>
      </c>
      <c r="X4716" s="172">
        <v>46130.081317488424</v>
      </c>
      <c r="Y4716" s="172">
        <v>46129.09302854167</v>
      </c>
      <c r="Z4716" s="3">
        <v>46128.0</v>
      </c>
      <c r="AA4716" s="2" t="s">
        <v>14022</v>
      </c>
    </row>
    <row r="4717">
      <c r="A4717" s="3">
        <v>7.002148405507E12</v>
      </c>
      <c r="B4717" s="2" t="s">
        <v>18694</v>
      </c>
      <c r="C4717" s="2" t="s">
        <v>18695</v>
      </c>
      <c r="D4717" s="169">
        <v>46128.0</v>
      </c>
      <c r="E4717" s="2">
        <v>3.335214441E9</v>
      </c>
      <c r="F4717" s="2" t="s">
        <v>18696</v>
      </c>
      <c r="G4717" s="2" t="s">
        <v>506</v>
      </c>
      <c r="H4717" s="2">
        <v>6100.0</v>
      </c>
      <c r="I4717" s="2">
        <v>2.1120050023633E13</v>
      </c>
      <c r="J4717" s="3">
        <v>4.0</v>
      </c>
      <c r="K4717" s="2" t="s">
        <v>204</v>
      </c>
      <c r="L4717" s="2" t="s">
        <v>18697</v>
      </c>
      <c r="M4717" s="2" t="s">
        <v>15328</v>
      </c>
      <c r="N4717" s="2" t="s">
        <v>406</v>
      </c>
      <c r="O4717" s="3"/>
      <c r="P4717" s="2" t="s">
        <v>73</v>
      </c>
      <c r="Q4717" s="3">
        <v>2200.0</v>
      </c>
      <c r="R4717" s="3">
        <v>0.5</v>
      </c>
      <c r="U4717" s="141"/>
      <c r="X4717" s="172">
        <v>46131.081048622684</v>
      </c>
      <c r="Y4717" s="172">
        <v>46129.09302854167</v>
      </c>
      <c r="Z4717" s="3">
        <v>46128.0</v>
      </c>
      <c r="AA4717" s="2" t="s">
        <v>14022</v>
      </c>
    </row>
    <row r="4718">
      <c r="A4718" s="3">
        <v>7.002166362371E12</v>
      </c>
      <c r="B4718" s="2" t="s">
        <v>18698</v>
      </c>
      <c r="C4718" s="2" t="s">
        <v>18699</v>
      </c>
      <c r="D4718" s="169">
        <v>46128.0</v>
      </c>
      <c r="E4718" s="2">
        <v>3.459221736E9</v>
      </c>
      <c r="F4718" s="2" t="s">
        <v>18700</v>
      </c>
      <c r="G4718" s="2" t="s">
        <v>18701</v>
      </c>
      <c r="H4718" s="2">
        <v>3397.0</v>
      </c>
      <c r="I4718" s="2">
        <v>2.7120050023621E13</v>
      </c>
      <c r="J4718" s="3">
        <v>2.0</v>
      </c>
      <c r="K4718" s="2"/>
      <c r="L4718" s="2" t="s">
        <v>17038</v>
      </c>
      <c r="M4718" s="2" t="s">
        <v>409</v>
      </c>
      <c r="N4718" s="2" t="s">
        <v>406</v>
      </c>
      <c r="O4718" s="3"/>
      <c r="P4718" s="2" t="s">
        <v>73</v>
      </c>
      <c r="Q4718" s="3">
        <v>800.0</v>
      </c>
      <c r="R4718" s="3">
        <v>0.5</v>
      </c>
      <c r="U4718" s="141"/>
      <c r="X4718" s="172">
        <v>46131.08104863426</v>
      </c>
      <c r="Y4718" s="172">
        <v>46129.09302854167</v>
      </c>
      <c r="Z4718" s="3">
        <v>46128.0</v>
      </c>
      <c r="AA4718" s="2" t="s">
        <v>14032</v>
      </c>
    </row>
    <row r="4719">
      <c r="A4719" s="3">
        <v>7.002186842371E12</v>
      </c>
      <c r="B4719" s="2" t="s">
        <v>18702</v>
      </c>
      <c r="C4719" s="2" t="s">
        <v>18703</v>
      </c>
      <c r="D4719" s="169">
        <v>46128.0</v>
      </c>
      <c r="E4719" s="173" t="s">
        <v>18704</v>
      </c>
      <c r="F4719" s="2" t="s">
        <v>18705</v>
      </c>
      <c r="G4719" s="2" t="s">
        <v>368</v>
      </c>
      <c r="H4719" s="2">
        <v>3699.0</v>
      </c>
      <c r="I4719" s="2">
        <v>2.3120050023608E13</v>
      </c>
      <c r="J4719" s="3">
        <v>2.0</v>
      </c>
      <c r="K4719" s="2" t="s">
        <v>18706</v>
      </c>
      <c r="L4719" s="2" t="s">
        <v>18707</v>
      </c>
      <c r="M4719" s="2" t="s">
        <v>409</v>
      </c>
      <c r="N4719" s="2" t="s">
        <v>406</v>
      </c>
      <c r="O4719" s="3"/>
      <c r="P4719" s="2" t="s">
        <v>73</v>
      </c>
      <c r="Q4719" s="3">
        <v>1010.0</v>
      </c>
      <c r="R4719" s="3">
        <v>0.5</v>
      </c>
      <c r="U4719" s="141"/>
      <c r="X4719" s="172">
        <v>46130.08131782408</v>
      </c>
      <c r="Y4719" s="172">
        <v>46129.09302854167</v>
      </c>
      <c r="Z4719" s="3">
        <v>46128.0</v>
      </c>
      <c r="AA4719" s="2" t="s">
        <v>14026</v>
      </c>
    </row>
    <row r="4720">
      <c r="A4720" s="3">
        <v>7.002199261443E12</v>
      </c>
      <c r="B4720" s="2" t="s">
        <v>18708</v>
      </c>
      <c r="C4720" s="2" t="s">
        <v>13526</v>
      </c>
      <c r="D4720" s="169">
        <v>46128.0</v>
      </c>
      <c r="E4720" s="2">
        <v>3.43536184E9</v>
      </c>
      <c r="F4720" s="2" t="s">
        <v>13527</v>
      </c>
      <c r="G4720" s="2" t="s">
        <v>13528</v>
      </c>
      <c r="H4720" s="2">
        <v>3350.0</v>
      </c>
      <c r="I4720" s="2">
        <v>2.412005002362E13</v>
      </c>
      <c r="J4720" s="3">
        <v>1.0</v>
      </c>
      <c r="K4720" s="2" t="s">
        <v>369</v>
      </c>
      <c r="L4720" s="2" t="s">
        <v>18709</v>
      </c>
      <c r="M4720" s="2" t="s">
        <v>409</v>
      </c>
      <c r="N4720" s="2" t="s">
        <v>406</v>
      </c>
      <c r="O4720" s="3"/>
      <c r="P4720" s="2" t="s">
        <v>73</v>
      </c>
      <c r="Q4720" s="3">
        <v>800.0</v>
      </c>
      <c r="R4720" s="3">
        <v>0.5</v>
      </c>
      <c r="U4720" s="141"/>
      <c r="X4720" s="172">
        <v>46131.081048645836</v>
      </c>
      <c r="Y4720" s="172">
        <v>46129.09302854167</v>
      </c>
      <c r="Z4720" s="3">
        <v>46128.0</v>
      </c>
      <c r="AA4720" s="2" t="s">
        <v>14026</v>
      </c>
    </row>
    <row r="4721">
      <c r="A4721" s="3">
        <v>7.002341802243E12</v>
      </c>
      <c r="B4721" s="2" t="s">
        <v>18710</v>
      </c>
      <c r="C4721" s="2" t="s">
        <v>16221</v>
      </c>
      <c r="D4721" s="169">
        <v>46128.0</v>
      </c>
      <c r="E4721" s="2">
        <v>3.008102209E9</v>
      </c>
      <c r="F4721" s="2" t="s">
        <v>16222</v>
      </c>
      <c r="G4721" s="2" t="s">
        <v>368</v>
      </c>
      <c r="H4721" s="2">
        <v>10200.0</v>
      </c>
      <c r="I4721" s="2" t="s">
        <v>18711</v>
      </c>
      <c r="J4721" s="3">
        <v>2.0</v>
      </c>
      <c r="K4721" s="2" t="s">
        <v>18712</v>
      </c>
      <c r="L4721" s="2" t="s">
        <v>18713</v>
      </c>
      <c r="M4721" s="2" t="s">
        <v>406</v>
      </c>
      <c r="N4721" s="2" t="s">
        <v>406</v>
      </c>
      <c r="O4721" s="3"/>
      <c r="P4721" s="2"/>
      <c r="Q4721" s="3">
        <v>0.0</v>
      </c>
      <c r="R4721" s="3">
        <v>0.5</v>
      </c>
      <c r="U4721" s="141"/>
      <c r="X4721" s="172"/>
      <c r="Y4721" s="172">
        <v>46129.09302854167</v>
      </c>
      <c r="Z4721" s="3">
        <v>46128.0</v>
      </c>
      <c r="AA4721" s="2" t="s">
        <v>14026</v>
      </c>
    </row>
    <row r="4722">
      <c r="A4722" s="3">
        <v>7.002599194883E12</v>
      </c>
      <c r="B4722" s="2" t="s">
        <v>18714</v>
      </c>
      <c r="C4722" s="2" t="s">
        <v>18715</v>
      </c>
      <c r="D4722" s="169">
        <v>46128.0</v>
      </c>
      <c r="E4722" s="2">
        <v>3.344015848E9</v>
      </c>
      <c r="F4722" s="2" t="s">
        <v>18716</v>
      </c>
      <c r="G4722" s="2" t="s">
        <v>368</v>
      </c>
      <c r="H4722" s="2">
        <v>3397.0</v>
      </c>
      <c r="I4722" s="2"/>
      <c r="J4722" s="3">
        <v>2.0</v>
      </c>
      <c r="K4722" s="2" t="s">
        <v>204</v>
      </c>
      <c r="L4722" s="2" t="s">
        <v>17922</v>
      </c>
      <c r="M4722" s="2" t="s">
        <v>406</v>
      </c>
      <c r="N4722" s="2" t="s">
        <v>406</v>
      </c>
      <c r="O4722" s="3"/>
      <c r="P4722" s="2"/>
      <c r="Q4722" s="3">
        <v>720.0</v>
      </c>
      <c r="R4722" s="3">
        <v>0.5</v>
      </c>
      <c r="U4722" s="141"/>
      <c r="X4722" s="172"/>
      <c r="Y4722" s="172">
        <v>46129.09302854167</v>
      </c>
      <c r="Z4722" s="3">
        <v>46128.0</v>
      </c>
      <c r="AA4722" s="2" t="s">
        <v>14053</v>
      </c>
    </row>
    <row r="4723">
      <c r="A4723" s="3">
        <v>7.003169390851E12</v>
      </c>
      <c r="B4723" s="2" t="s">
        <v>18717</v>
      </c>
      <c r="C4723" s="2" t="s">
        <v>18718</v>
      </c>
      <c r="D4723" s="169">
        <v>46128.0</v>
      </c>
      <c r="E4723" s="173" t="s">
        <v>18719</v>
      </c>
      <c r="F4723" s="2" t="s">
        <v>18720</v>
      </c>
      <c r="G4723" s="2" t="s">
        <v>368</v>
      </c>
      <c r="H4723" s="2">
        <v>3299.0</v>
      </c>
      <c r="I4723" s="2"/>
      <c r="J4723" s="3">
        <v>2.0</v>
      </c>
      <c r="K4723" s="2" t="s">
        <v>204</v>
      </c>
      <c r="L4723" s="2" t="s">
        <v>18721</v>
      </c>
      <c r="M4723" s="2" t="s">
        <v>406</v>
      </c>
      <c r="N4723" s="2" t="s">
        <v>406</v>
      </c>
      <c r="O4723" s="3"/>
      <c r="P4723" s="2"/>
      <c r="Q4723" s="3">
        <v>1100.0</v>
      </c>
      <c r="R4723" s="3">
        <v>0.5</v>
      </c>
      <c r="U4723" s="141"/>
      <c r="X4723" s="172"/>
      <c r="Y4723" s="172">
        <v>46129.09302854167</v>
      </c>
      <c r="Z4723" s="3">
        <v>46128.0</v>
      </c>
      <c r="AA4723" s="2" t="s">
        <v>14053</v>
      </c>
    </row>
    <row r="4724">
      <c r="A4724" s="3">
        <v>7.003769307395E12</v>
      </c>
      <c r="B4724" s="2" t="s">
        <v>18722</v>
      </c>
      <c r="C4724" s="2" t="s">
        <v>18723</v>
      </c>
      <c r="D4724" s="169">
        <v>46129.0</v>
      </c>
      <c r="E4724" s="2">
        <v>3.154286761E9</v>
      </c>
      <c r="F4724" s="2" t="s">
        <v>18724</v>
      </c>
      <c r="G4724" s="2" t="s">
        <v>18725</v>
      </c>
      <c r="H4724" s="2">
        <v>1898.0</v>
      </c>
      <c r="I4724" s="2"/>
      <c r="J4724" s="3">
        <v>1.0</v>
      </c>
      <c r="K4724" s="2" t="s">
        <v>15238</v>
      </c>
      <c r="L4724" s="2" t="s">
        <v>17077</v>
      </c>
      <c r="M4724" s="2" t="s">
        <v>406</v>
      </c>
      <c r="N4724" s="2" t="s">
        <v>406</v>
      </c>
      <c r="O4724" s="3"/>
      <c r="P4724" s="2"/>
      <c r="Q4724" s="3">
        <v>650.0</v>
      </c>
      <c r="R4724" s="3">
        <v>0.5</v>
      </c>
      <c r="U4724" s="141"/>
      <c r="X4724" s="172"/>
      <c r="Y4724" s="172">
        <v>46130.0930340162</v>
      </c>
      <c r="Z4724" s="3">
        <v>46129.0</v>
      </c>
      <c r="AA4724" s="2" t="s">
        <v>14032</v>
      </c>
    </row>
    <row r="4725">
      <c r="A4725" s="3">
        <v>7.003831959811E12</v>
      </c>
      <c r="B4725" s="2" t="s">
        <v>18726</v>
      </c>
      <c r="C4725" s="2" t="s">
        <v>18691</v>
      </c>
      <c r="D4725" s="169">
        <v>46129.0</v>
      </c>
      <c r="E4725" s="2">
        <v>3.340689659E9</v>
      </c>
      <c r="F4725" s="2" t="s">
        <v>18727</v>
      </c>
      <c r="G4725" s="2" t="s">
        <v>678</v>
      </c>
      <c r="H4725" s="2">
        <v>4998.0</v>
      </c>
      <c r="I4725" s="2">
        <v>2.0120050023632E13</v>
      </c>
      <c r="J4725" s="3">
        <v>3.0</v>
      </c>
      <c r="K4725" s="2" t="s">
        <v>4713</v>
      </c>
      <c r="L4725" s="2" t="s">
        <v>18728</v>
      </c>
      <c r="M4725" s="2" t="s">
        <v>15328</v>
      </c>
      <c r="N4725" s="2" t="s">
        <v>406</v>
      </c>
      <c r="O4725" s="3"/>
      <c r="P4725" s="2" t="s">
        <v>73</v>
      </c>
      <c r="Q4725" s="3">
        <v>1510.0</v>
      </c>
      <c r="R4725" s="3">
        <v>0.5</v>
      </c>
      <c r="U4725" s="141"/>
      <c r="X4725" s="172">
        <v>46131.08104866898</v>
      </c>
      <c r="Y4725" s="172">
        <v>46130.0930340162</v>
      </c>
      <c r="Z4725" s="3">
        <v>46129.0</v>
      </c>
      <c r="AA4725" s="2" t="s">
        <v>14022</v>
      </c>
    </row>
    <row r="4726">
      <c r="A4726" s="3">
        <v>7.003837071619E12</v>
      </c>
      <c r="B4726" s="2" t="s">
        <v>18729</v>
      </c>
      <c r="C4726" s="2" t="s">
        <v>18691</v>
      </c>
      <c r="D4726" s="169">
        <v>46129.0</v>
      </c>
      <c r="E4726" s="2">
        <v>3.340689659E9</v>
      </c>
      <c r="F4726" s="2" t="s">
        <v>18727</v>
      </c>
      <c r="G4726" s="2" t="s">
        <v>678</v>
      </c>
      <c r="H4726" s="2">
        <v>2997.0</v>
      </c>
      <c r="I4726" s="2"/>
      <c r="J4726" s="3">
        <v>2.0</v>
      </c>
      <c r="K4726" s="2" t="s">
        <v>7954</v>
      </c>
      <c r="L4726" s="2" t="s">
        <v>18349</v>
      </c>
      <c r="M4726" s="2" t="s">
        <v>406</v>
      </c>
      <c r="N4726" s="2" t="s">
        <v>406</v>
      </c>
      <c r="O4726" s="3"/>
      <c r="P4726" s="2"/>
      <c r="Q4726" s="3">
        <v>1300.0</v>
      </c>
      <c r="R4726" s="3">
        <v>0.5</v>
      </c>
      <c r="U4726" s="141"/>
      <c r="X4726" s="172"/>
      <c r="Y4726" s="172">
        <v>46130.0930340162</v>
      </c>
      <c r="Z4726" s="3">
        <v>46129.0</v>
      </c>
      <c r="AA4726" s="2" t="s">
        <v>14022</v>
      </c>
    </row>
    <row r="4727">
      <c r="A4727" s="3">
        <v>7.004097675523E12</v>
      </c>
      <c r="B4727" s="2" t="s">
        <v>18730</v>
      </c>
      <c r="C4727" s="2" t="s">
        <v>11630</v>
      </c>
      <c r="D4727" s="169">
        <v>46129.0</v>
      </c>
      <c r="E4727" s="173" t="s">
        <v>11631</v>
      </c>
      <c r="F4727" s="2" t="s">
        <v>11632</v>
      </c>
      <c r="G4727" s="2" t="s">
        <v>855</v>
      </c>
      <c r="H4727" s="2">
        <v>3299.0</v>
      </c>
      <c r="I4727" s="2"/>
      <c r="J4727" s="3">
        <v>2.0</v>
      </c>
      <c r="K4727" s="2" t="s">
        <v>315</v>
      </c>
      <c r="L4727" s="2" t="s">
        <v>18731</v>
      </c>
      <c r="M4727" s="2" t="s">
        <v>406</v>
      </c>
      <c r="N4727" s="2" t="s">
        <v>406</v>
      </c>
      <c r="O4727" s="3"/>
      <c r="P4727" s="2"/>
      <c r="Q4727" s="3">
        <v>1100.0</v>
      </c>
      <c r="R4727" s="3">
        <v>0.5</v>
      </c>
      <c r="U4727" s="141"/>
      <c r="X4727" s="172"/>
      <c r="Y4727" s="172">
        <v>46130.0930340162</v>
      </c>
      <c r="Z4727" s="3">
        <v>46129.0</v>
      </c>
      <c r="AA4727" s="2" t="s">
        <v>14032</v>
      </c>
    </row>
    <row r="4728">
      <c r="A4728" s="3">
        <v>7.004115960067E12</v>
      </c>
      <c r="B4728" s="2" t="s">
        <v>18732</v>
      </c>
      <c r="C4728" s="2" t="s">
        <v>17885</v>
      </c>
      <c r="D4728" s="169">
        <v>46129.0</v>
      </c>
      <c r="E4728" s="2">
        <v>3.152222009E9</v>
      </c>
      <c r="F4728" s="2" t="s">
        <v>17886</v>
      </c>
      <c r="G4728" s="2" t="s">
        <v>3305</v>
      </c>
      <c r="H4728" s="2">
        <v>2798.0</v>
      </c>
      <c r="I4728" s="2">
        <v>2.9120050023643E13</v>
      </c>
      <c r="J4728" s="3">
        <v>2.0</v>
      </c>
      <c r="K4728" s="2" t="s">
        <v>18733</v>
      </c>
      <c r="L4728" s="2" t="s">
        <v>18734</v>
      </c>
      <c r="M4728" s="2" t="s">
        <v>15328</v>
      </c>
      <c r="N4728" s="2" t="s">
        <v>406</v>
      </c>
      <c r="O4728" s="3"/>
      <c r="P4728" s="2" t="s">
        <v>73</v>
      </c>
      <c r="Q4728" s="3">
        <v>1100.0</v>
      </c>
      <c r="R4728" s="3">
        <v>0.5</v>
      </c>
      <c r="U4728" s="141"/>
      <c r="X4728" s="172">
        <v>46131.08104866898</v>
      </c>
      <c r="Y4728" s="172">
        <v>46130.0930340162</v>
      </c>
      <c r="Z4728" s="3">
        <v>46129.0</v>
      </c>
      <c r="AA4728" s="2" t="s">
        <v>14026</v>
      </c>
    </row>
    <row r="4729">
      <c r="A4729" s="3">
        <v>7.004187296003E12</v>
      </c>
      <c r="B4729" s="2" t="s">
        <v>18735</v>
      </c>
      <c r="C4729" s="2" t="s">
        <v>18736</v>
      </c>
      <c r="D4729" s="169">
        <v>46129.0</v>
      </c>
      <c r="E4729" s="173" t="s">
        <v>18737</v>
      </c>
      <c r="F4729" s="2" t="s">
        <v>18738</v>
      </c>
      <c r="G4729" s="2" t="s">
        <v>18739</v>
      </c>
      <c r="H4729" s="2">
        <v>3149.0</v>
      </c>
      <c r="I4729" s="2"/>
      <c r="J4729" s="3">
        <v>2.0</v>
      </c>
      <c r="K4729" s="2" t="s">
        <v>18740</v>
      </c>
      <c r="L4729" s="2" t="s">
        <v>50</v>
      </c>
      <c r="M4729" s="2" t="s">
        <v>406</v>
      </c>
      <c r="N4729" s="2" t="s">
        <v>406</v>
      </c>
      <c r="O4729" s="3"/>
      <c r="P4729" s="2"/>
      <c r="Q4729" s="3">
        <v>720.0</v>
      </c>
      <c r="R4729" s="3">
        <v>0.5</v>
      </c>
      <c r="U4729" s="141"/>
      <c r="X4729" s="172"/>
      <c r="Y4729" s="172">
        <v>46130.09303402778</v>
      </c>
      <c r="Z4729" s="3">
        <v>46129.0</v>
      </c>
      <c r="AA4729" s="2" t="s">
        <v>14026</v>
      </c>
    </row>
    <row r="4730">
      <c r="A4730" s="3">
        <v>7.004194603267E12</v>
      </c>
      <c r="B4730" s="2" t="s">
        <v>18741</v>
      </c>
      <c r="C4730" s="2" t="s">
        <v>18742</v>
      </c>
      <c r="D4730" s="169">
        <v>46129.0</v>
      </c>
      <c r="E4730" s="2">
        <v>3.354233123E9</v>
      </c>
      <c r="F4730" s="2" t="s">
        <v>18743</v>
      </c>
      <c r="G4730" s="2" t="s">
        <v>368</v>
      </c>
      <c r="H4730" s="2">
        <v>3397.0</v>
      </c>
      <c r="I4730" s="2">
        <v>2.9120050023631E13</v>
      </c>
      <c r="J4730" s="3">
        <v>2.0</v>
      </c>
      <c r="K4730" s="2" t="s">
        <v>204</v>
      </c>
      <c r="L4730" s="2" t="s">
        <v>17038</v>
      </c>
      <c r="M4730" s="2" t="s">
        <v>409</v>
      </c>
      <c r="N4730" s="2" t="s">
        <v>406</v>
      </c>
      <c r="O4730" s="3"/>
      <c r="P4730" s="2" t="s">
        <v>73</v>
      </c>
      <c r="Q4730" s="3">
        <v>800.0</v>
      </c>
      <c r="R4730" s="3">
        <v>0.5</v>
      </c>
      <c r="U4730" s="141"/>
      <c r="X4730" s="172">
        <v>46131.08104868056</v>
      </c>
      <c r="Y4730" s="172">
        <v>46130.09303402778</v>
      </c>
      <c r="Z4730" s="3">
        <v>46129.0</v>
      </c>
      <c r="AA4730" s="2" t="s">
        <v>14053</v>
      </c>
    </row>
    <row r="4731">
      <c r="A4731" s="3">
        <v>7.004242477315E12</v>
      </c>
      <c r="B4731" s="2" t="s">
        <v>18744</v>
      </c>
      <c r="C4731" s="2" t="s">
        <v>18745</v>
      </c>
      <c r="D4731" s="169">
        <v>46129.0</v>
      </c>
      <c r="E4731" s="2">
        <v>3.073676792E9</v>
      </c>
      <c r="F4731" s="2" t="s">
        <v>6000</v>
      </c>
      <c r="G4731" s="2" t="s">
        <v>945</v>
      </c>
      <c r="H4731" s="2">
        <v>2299.0</v>
      </c>
      <c r="I4731" s="2">
        <v>2.7120050023648E13</v>
      </c>
      <c r="J4731" s="3">
        <v>2.0</v>
      </c>
      <c r="K4731" s="2" t="s">
        <v>204</v>
      </c>
      <c r="L4731" s="2" t="s">
        <v>18746</v>
      </c>
      <c r="M4731" s="2" t="s">
        <v>15124</v>
      </c>
      <c r="N4731" s="2" t="s">
        <v>406</v>
      </c>
      <c r="O4731" s="3"/>
      <c r="P4731" s="2" t="s">
        <v>73</v>
      </c>
      <c r="Q4731" s="3">
        <v>1500.0</v>
      </c>
      <c r="R4731" s="3">
        <v>0.5</v>
      </c>
      <c r="U4731" s="141"/>
      <c r="X4731" s="172">
        <v>46131.081048692125</v>
      </c>
      <c r="Y4731" s="172">
        <v>46130.09303402778</v>
      </c>
      <c r="Z4731" s="3">
        <v>46129.0</v>
      </c>
      <c r="AA4731" s="2" t="s">
        <v>14032</v>
      </c>
    </row>
    <row r="4732">
      <c r="A4732" s="3">
        <v>7.004322562307E12</v>
      </c>
      <c r="B4732" s="2" t="s">
        <v>18747</v>
      </c>
      <c r="C4732" s="175" t="s">
        <v>18748</v>
      </c>
      <c r="D4732" s="169">
        <v>46129.0</v>
      </c>
      <c r="E4732" s="173" t="s">
        <v>18749</v>
      </c>
      <c r="F4732" s="175" t="s">
        <v>18750</v>
      </c>
      <c r="G4732" s="2" t="s">
        <v>18751</v>
      </c>
      <c r="H4732" s="2">
        <v>3399.0</v>
      </c>
      <c r="I4732" s="2">
        <v>2.9120050023647E13</v>
      </c>
      <c r="J4732" s="3">
        <v>2.0</v>
      </c>
      <c r="K4732" s="2" t="s">
        <v>18286</v>
      </c>
      <c r="L4732" s="2" t="s">
        <v>11183</v>
      </c>
      <c r="M4732" s="2" t="s">
        <v>15124</v>
      </c>
      <c r="N4732" s="2" t="s">
        <v>406</v>
      </c>
      <c r="O4732" s="3"/>
      <c r="P4732" s="2" t="s">
        <v>73</v>
      </c>
      <c r="Q4732" s="3">
        <v>800.0</v>
      </c>
      <c r="R4732" s="3">
        <v>0.5</v>
      </c>
      <c r="U4732" s="141"/>
      <c r="X4732" s="172">
        <v>46131.08104870371</v>
      </c>
      <c r="Y4732" s="172">
        <v>46130.09303402778</v>
      </c>
      <c r="Z4732" s="3">
        <v>46129.0</v>
      </c>
      <c r="AA4732" s="2" t="s">
        <v>14032</v>
      </c>
    </row>
    <row r="4733">
      <c r="A4733" s="3">
        <v>7.004504195331E12</v>
      </c>
      <c r="B4733" s="2" t="s">
        <v>18752</v>
      </c>
      <c r="C4733" s="2" t="s">
        <v>18753</v>
      </c>
      <c r="D4733" s="169">
        <v>46129.0</v>
      </c>
      <c r="E4733" s="173" t="s">
        <v>18754</v>
      </c>
      <c r="F4733" s="2" t="s">
        <v>18755</v>
      </c>
      <c r="G4733" s="2" t="s">
        <v>368</v>
      </c>
      <c r="H4733" s="2">
        <v>3099.0</v>
      </c>
      <c r="I4733" s="2">
        <v>2.2120050023646E13</v>
      </c>
      <c r="J4733" s="3">
        <v>2.0</v>
      </c>
      <c r="K4733" s="2" t="s">
        <v>204</v>
      </c>
      <c r="L4733" s="2" t="s">
        <v>18756</v>
      </c>
      <c r="M4733" s="2" t="s">
        <v>15328</v>
      </c>
      <c r="N4733" s="2" t="s">
        <v>406</v>
      </c>
      <c r="O4733" s="3"/>
      <c r="P4733" s="2" t="s">
        <v>73</v>
      </c>
      <c r="Q4733" s="3">
        <v>1100.0</v>
      </c>
      <c r="R4733" s="3">
        <v>0.5</v>
      </c>
      <c r="U4733" s="141"/>
      <c r="X4733" s="172">
        <v>46131.08104871528</v>
      </c>
      <c r="Y4733" s="172">
        <v>46130.09303402778</v>
      </c>
      <c r="Z4733" s="3">
        <v>46129.0</v>
      </c>
      <c r="AA4733" s="2" t="s">
        <v>14103</v>
      </c>
    </row>
    <row r="4734">
      <c r="A4734" s="3">
        <v>7.004638281987E12</v>
      </c>
      <c r="B4734" s="2" t="s">
        <v>18757</v>
      </c>
      <c r="C4734" s="2" t="s">
        <v>18758</v>
      </c>
      <c r="D4734" s="169">
        <v>46129.0</v>
      </c>
      <c r="E4734" s="2">
        <v>3.22645121E9</v>
      </c>
      <c r="F4734" s="2" t="s">
        <v>18759</v>
      </c>
      <c r="G4734" s="2" t="s">
        <v>366</v>
      </c>
      <c r="H4734" s="2">
        <v>2098.0</v>
      </c>
      <c r="I4734" s="2"/>
      <c r="J4734" s="3">
        <v>1.0</v>
      </c>
      <c r="K4734" s="2" t="s">
        <v>204</v>
      </c>
      <c r="L4734" s="2" t="s">
        <v>243</v>
      </c>
      <c r="M4734" s="2" t="s">
        <v>406</v>
      </c>
      <c r="N4734" s="2" t="s">
        <v>406</v>
      </c>
      <c r="O4734" s="3"/>
      <c r="P4734" s="2"/>
      <c r="Q4734" s="3">
        <v>360.0</v>
      </c>
      <c r="R4734" s="3">
        <v>0.5</v>
      </c>
      <c r="U4734" s="141"/>
      <c r="X4734" s="172"/>
      <c r="Y4734" s="172">
        <v>46130.09303402778</v>
      </c>
      <c r="Z4734" s="3">
        <v>46129.0</v>
      </c>
      <c r="AA4734" s="2" t="s">
        <v>14053</v>
      </c>
    </row>
    <row r="4735">
      <c r="A4735" s="3">
        <v>7.004840100099E12</v>
      </c>
      <c r="B4735" s="2" t="s">
        <v>18760</v>
      </c>
      <c r="C4735" s="2" t="s">
        <v>18761</v>
      </c>
      <c r="D4735" s="169">
        <v>46129.0</v>
      </c>
      <c r="E4735" s="2">
        <v>3.468230382E9</v>
      </c>
      <c r="F4735" s="2" t="s">
        <v>18762</v>
      </c>
      <c r="G4735" s="2" t="s">
        <v>4949</v>
      </c>
      <c r="H4735" s="2">
        <v>3572.27</v>
      </c>
      <c r="I4735" s="2">
        <v>2.0120050023653E13</v>
      </c>
      <c r="J4735" s="3">
        <v>2.0</v>
      </c>
      <c r="K4735" s="2" t="s">
        <v>204</v>
      </c>
      <c r="L4735" s="2" t="s">
        <v>18763</v>
      </c>
      <c r="M4735" s="2" t="s">
        <v>15124</v>
      </c>
      <c r="N4735" s="2" t="s">
        <v>406</v>
      </c>
      <c r="O4735" s="3"/>
      <c r="P4735" s="2" t="s">
        <v>73</v>
      </c>
      <c r="Q4735" s="3">
        <v>1000.0</v>
      </c>
      <c r="R4735" s="3">
        <v>0.5</v>
      </c>
      <c r="U4735" s="141"/>
      <c r="X4735" s="172">
        <v>46132.08120189815</v>
      </c>
      <c r="Y4735" s="172">
        <v>46130.09303402778</v>
      </c>
      <c r="Z4735" s="3">
        <v>46129.0</v>
      </c>
      <c r="AA4735" s="2" t="s">
        <v>14536</v>
      </c>
    </row>
    <row r="4736">
      <c r="A4736" s="3">
        <v>7.005045031171E12</v>
      </c>
      <c r="B4736" s="2" t="s">
        <v>18764</v>
      </c>
      <c r="C4736" s="2" t="s">
        <v>18765</v>
      </c>
      <c r="D4736" s="169">
        <v>46130.0</v>
      </c>
      <c r="E4736" s="2">
        <v>3.216983293E9</v>
      </c>
      <c r="F4736" s="2" t="s">
        <v>18766</v>
      </c>
      <c r="G4736" s="2" t="s">
        <v>368</v>
      </c>
      <c r="H4736" s="2">
        <v>6200.0</v>
      </c>
      <c r="I4736" s="2">
        <v>2.2120050023642E13</v>
      </c>
      <c r="J4736" s="3">
        <v>1.0</v>
      </c>
      <c r="K4736" s="2" t="s">
        <v>204</v>
      </c>
      <c r="L4736" s="2" t="s">
        <v>18767</v>
      </c>
      <c r="M4736" s="2" t="s">
        <v>15328</v>
      </c>
      <c r="N4736" s="2" t="s">
        <v>406</v>
      </c>
      <c r="O4736" s="3"/>
      <c r="P4736" s="2" t="s">
        <v>73</v>
      </c>
      <c r="Q4736" s="3">
        <v>1600.0</v>
      </c>
      <c r="R4736" s="3">
        <v>0.5</v>
      </c>
      <c r="U4736" s="141"/>
      <c r="X4736" s="172">
        <v>46132.08120392361</v>
      </c>
      <c r="Y4736" s="172">
        <v>46130.09303403935</v>
      </c>
      <c r="Z4736" s="3">
        <v>46130.0</v>
      </c>
      <c r="AA4736" s="2" t="s">
        <v>14032</v>
      </c>
    </row>
    <row r="4737">
      <c r="A4737" s="3">
        <v>7.005093658883E12</v>
      </c>
      <c r="B4737" s="2" t="s">
        <v>18768</v>
      </c>
      <c r="C4737" s="2" t="s">
        <v>18769</v>
      </c>
      <c r="D4737" s="169">
        <v>46130.0</v>
      </c>
      <c r="E4737" s="173" t="s">
        <v>18770</v>
      </c>
      <c r="F4737" s="2" t="s">
        <v>18771</v>
      </c>
      <c r="G4737" s="2" t="s">
        <v>366</v>
      </c>
      <c r="H4737" s="2">
        <v>2299.0</v>
      </c>
      <c r="I4737" s="2">
        <v>2.2120050023641E13</v>
      </c>
      <c r="J4737" s="3">
        <v>2.0</v>
      </c>
      <c r="K4737" s="2" t="s">
        <v>204</v>
      </c>
      <c r="L4737" s="2" t="s">
        <v>18772</v>
      </c>
      <c r="M4737" s="2" t="s">
        <v>17191</v>
      </c>
      <c r="N4737" s="2" t="s">
        <v>406</v>
      </c>
      <c r="O4737" s="3"/>
      <c r="P4737" s="2" t="s">
        <v>73</v>
      </c>
      <c r="Q4737" s="3">
        <v>1500.0</v>
      </c>
      <c r="R4737" s="3">
        <v>0.5</v>
      </c>
      <c r="U4737" s="141"/>
      <c r="X4737" s="172">
        <v>46132.08120512731</v>
      </c>
      <c r="Y4737" s="172">
        <v>46130.09303403935</v>
      </c>
      <c r="Z4737" s="3">
        <v>46130.0</v>
      </c>
      <c r="AA4737" s="2" t="s">
        <v>14032</v>
      </c>
    </row>
    <row r="4738">
      <c r="A4738" s="3">
        <v>7.005346365699E12</v>
      </c>
      <c r="B4738" s="2" t="s">
        <v>18773</v>
      </c>
      <c r="C4738" s="2" t="s">
        <v>18774</v>
      </c>
      <c r="D4738" s="169">
        <v>46130.0</v>
      </c>
      <c r="E4738" s="2">
        <v>3.056464974E9</v>
      </c>
      <c r="F4738" s="2" t="s">
        <v>18775</v>
      </c>
      <c r="G4738" s="2" t="s">
        <v>898</v>
      </c>
      <c r="H4738" s="2">
        <v>2098.0</v>
      </c>
      <c r="I4738" s="2">
        <v>2.112005002364E13</v>
      </c>
      <c r="J4738" s="3">
        <v>1.0</v>
      </c>
      <c r="K4738" s="2" t="s">
        <v>204</v>
      </c>
      <c r="L4738" s="2" t="s">
        <v>220</v>
      </c>
      <c r="M4738" s="2" t="s">
        <v>15328</v>
      </c>
      <c r="N4738" s="2" t="s">
        <v>406</v>
      </c>
      <c r="O4738" s="3"/>
      <c r="P4738" s="2" t="s">
        <v>73</v>
      </c>
      <c r="Q4738" s="3">
        <v>360.0</v>
      </c>
      <c r="R4738" s="3">
        <v>0.5</v>
      </c>
      <c r="U4738" s="141"/>
      <c r="X4738" s="172">
        <v>46132.0812071875</v>
      </c>
      <c r="Y4738" s="172">
        <v>46131.0929555787</v>
      </c>
      <c r="Z4738" s="3">
        <f t="shared" ref="Z4738:Z4775" si="1">DATEVALUE(D4738)</f>
        <v>46130</v>
      </c>
      <c r="AA4738" s="2" t="s">
        <v>14032</v>
      </c>
    </row>
    <row r="4739">
      <c r="A4739" s="3">
        <v>7.005383491843E12</v>
      </c>
      <c r="B4739" s="2" t="s">
        <v>18776</v>
      </c>
      <c r="C4739" s="2" t="s">
        <v>16315</v>
      </c>
      <c r="D4739" s="169">
        <v>46130.0</v>
      </c>
      <c r="E4739" s="173" t="s">
        <v>16318</v>
      </c>
      <c r="F4739" s="2" t="s">
        <v>16316</v>
      </c>
      <c r="G4739" s="2" t="s">
        <v>688</v>
      </c>
      <c r="H4739" s="2">
        <v>3397.0</v>
      </c>
      <c r="I4739" s="2">
        <v>2.7120050023639E13</v>
      </c>
      <c r="J4739" s="3">
        <v>2.0</v>
      </c>
      <c r="K4739" s="2" t="s">
        <v>204</v>
      </c>
      <c r="L4739" s="2" t="s">
        <v>11529</v>
      </c>
      <c r="M4739" s="2" t="s">
        <v>15124</v>
      </c>
      <c r="N4739" s="2" t="s">
        <v>406</v>
      </c>
      <c r="O4739" s="3"/>
      <c r="P4739" s="2" t="s">
        <v>73</v>
      </c>
      <c r="Q4739" s="3">
        <v>800.0</v>
      </c>
      <c r="R4739" s="3">
        <v>0.5</v>
      </c>
      <c r="U4739" s="141"/>
      <c r="X4739" s="172">
        <v>46132.08120836805</v>
      </c>
      <c r="Y4739" s="172">
        <v>46131.0929555787</v>
      </c>
      <c r="Z4739" s="3">
        <f t="shared" si="1"/>
        <v>46130</v>
      </c>
      <c r="AA4739" s="2" t="s">
        <v>14053</v>
      </c>
    </row>
    <row r="4740">
      <c r="A4740" s="3">
        <v>7.005731225859E12</v>
      </c>
      <c r="B4740" s="2" t="s">
        <v>18777</v>
      </c>
      <c r="C4740" s="2" t="s">
        <v>18778</v>
      </c>
      <c r="D4740" s="169">
        <v>46130.0</v>
      </c>
      <c r="E4740" s="173" t="s">
        <v>18779</v>
      </c>
      <c r="F4740" s="2" t="s">
        <v>18780</v>
      </c>
      <c r="G4740" s="2" t="s">
        <v>1087</v>
      </c>
      <c r="H4740" s="2">
        <v>4577.0</v>
      </c>
      <c r="I4740" s="2">
        <v>2.0120050023651E13</v>
      </c>
      <c r="J4740" s="3">
        <v>3.0</v>
      </c>
      <c r="K4740" s="2" t="s">
        <v>18781</v>
      </c>
      <c r="L4740" s="2" t="s">
        <v>18782</v>
      </c>
      <c r="M4740" s="2" t="s">
        <v>15124</v>
      </c>
      <c r="N4740" s="2" t="s">
        <v>406</v>
      </c>
      <c r="O4740" s="3"/>
      <c r="P4740" s="2" t="s">
        <v>73</v>
      </c>
      <c r="Q4740" s="3">
        <v>1080.0</v>
      </c>
      <c r="R4740" s="3">
        <v>0.5</v>
      </c>
      <c r="U4740" s="141"/>
      <c r="X4740" s="172">
        <v>46132.081210289354</v>
      </c>
      <c r="Y4740" s="172">
        <v>46131.0929555787</v>
      </c>
      <c r="Z4740" s="3">
        <f t="shared" si="1"/>
        <v>46130</v>
      </c>
      <c r="AA4740" s="2" t="s">
        <v>14026</v>
      </c>
    </row>
    <row r="4741">
      <c r="A4741" s="3">
        <v>7.005738762499E12</v>
      </c>
      <c r="B4741" s="2" t="s">
        <v>18783</v>
      </c>
      <c r="C4741" s="175" t="s">
        <v>18784</v>
      </c>
      <c r="D4741" s="169">
        <v>46130.0</v>
      </c>
      <c r="E4741" s="173" t="s">
        <v>18785</v>
      </c>
      <c r="F4741" s="175" t="s">
        <v>18786</v>
      </c>
      <c r="G4741" s="175" t="s">
        <v>18787</v>
      </c>
      <c r="H4741" s="2">
        <v>2049.0</v>
      </c>
      <c r="I4741" s="2">
        <v>2.512005002365E13</v>
      </c>
      <c r="J4741" s="3">
        <v>1.0</v>
      </c>
      <c r="K4741" s="2" t="s">
        <v>369</v>
      </c>
      <c r="L4741" s="2" t="s">
        <v>14458</v>
      </c>
      <c r="M4741" s="2" t="s">
        <v>15124</v>
      </c>
      <c r="N4741" s="2" t="s">
        <v>406</v>
      </c>
      <c r="O4741" s="3"/>
      <c r="P4741" s="2" t="s">
        <v>73</v>
      </c>
      <c r="Q4741" s="3">
        <v>400.0</v>
      </c>
      <c r="R4741" s="3">
        <v>0.5</v>
      </c>
      <c r="U4741" s="141"/>
      <c r="X4741" s="172">
        <v>46132.08121068287</v>
      </c>
      <c r="Y4741" s="172">
        <v>46131.0929555787</v>
      </c>
      <c r="Z4741" s="3">
        <f t="shared" si="1"/>
        <v>46130</v>
      </c>
      <c r="AA4741" s="2" t="s">
        <v>14026</v>
      </c>
    </row>
    <row r="4742">
      <c r="A4742" s="3">
        <v>7.005807444227E12</v>
      </c>
      <c r="B4742" s="2" t="s">
        <v>18788</v>
      </c>
      <c r="C4742" s="2" t="s">
        <v>18789</v>
      </c>
      <c r="D4742" s="169">
        <v>46130.0</v>
      </c>
      <c r="E4742" s="173" t="s">
        <v>18790</v>
      </c>
      <c r="F4742" s="2" t="s">
        <v>18791</v>
      </c>
      <c r="G4742" s="2" t="s">
        <v>18792</v>
      </c>
      <c r="H4742" s="2">
        <v>2098.0</v>
      </c>
      <c r="I4742" s="2">
        <v>2.0120050023652E13</v>
      </c>
      <c r="J4742" s="3">
        <v>1.0</v>
      </c>
      <c r="K4742" s="2"/>
      <c r="L4742" s="2" t="s">
        <v>16135</v>
      </c>
      <c r="M4742" s="2" t="s">
        <v>15124</v>
      </c>
      <c r="N4742" s="2" t="s">
        <v>406</v>
      </c>
      <c r="O4742" s="3"/>
      <c r="P4742" s="2" t="s">
        <v>73</v>
      </c>
      <c r="Q4742" s="3">
        <v>360.0</v>
      </c>
      <c r="R4742" s="3">
        <v>0.5</v>
      </c>
      <c r="U4742" s="141"/>
      <c r="X4742" s="172">
        <v>46132.08121071759</v>
      </c>
      <c r="Y4742" s="172">
        <v>46131.0929555787</v>
      </c>
      <c r="Z4742" s="3">
        <f t="shared" si="1"/>
        <v>46130</v>
      </c>
      <c r="AA4742" s="2" t="s">
        <v>14032</v>
      </c>
    </row>
    <row r="4743">
      <c r="A4743" s="3">
        <v>7.005830709507E12</v>
      </c>
      <c r="B4743" s="2" t="s">
        <v>18793</v>
      </c>
      <c r="C4743" s="2" t="s">
        <v>779</v>
      </c>
      <c r="D4743" s="169">
        <v>46130.0</v>
      </c>
      <c r="E4743" s="2">
        <v>3.008866551E9</v>
      </c>
      <c r="F4743" s="2" t="s">
        <v>18794</v>
      </c>
      <c r="G4743" s="2" t="s">
        <v>830</v>
      </c>
      <c r="H4743" s="2">
        <v>3397.0</v>
      </c>
      <c r="I4743" s="2"/>
      <c r="J4743" s="3">
        <v>2.0</v>
      </c>
      <c r="K4743" s="2"/>
      <c r="L4743" s="2" t="s">
        <v>4363</v>
      </c>
      <c r="M4743" s="2" t="s">
        <v>406</v>
      </c>
      <c r="N4743" s="2" t="s">
        <v>406</v>
      </c>
      <c r="O4743" s="3"/>
      <c r="P4743" s="2"/>
      <c r="Q4743" s="3">
        <v>720.0</v>
      </c>
      <c r="R4743" s="3">
        <v>0.5</v>
      </c>
      <c r="U4743" s="141"/>
      <c r="X4743" s="172"/>
      <c r="Y4743" s="172">
        <v>46131.0929555787</v>
      </c>
      <c r="Z4743" s="3">
        <f t="shared" si="1"/>
        <v>46130</v>
      </c>
      <c r="AA4743" s="2" t="s">
        <v>14032</v>
      </c>
    </row>
    <row r="4744">
      <c r="A4744" s="3">
        <v>7.005835100419E12</v>
      </c>
      <c r="B4744" s="2" t="s">
        <v>18795</v>
      </c>
      <c r="C4744" s="2" t="s">
        <v>18796</v>
      </c>
      <c r="D4744" s="169">
        <v>46130.0</v>
      </c>
      <c r="E4744" s="2">
        <v>3.193007726E9</v>
      </c>
      <c r="F4744" s="2" t="s">
        <v>18797</v>
      </c>
      <c r="G4744" s="2" t="s">
        <v>506</v>
      </c>
      <c r="H4744" s="2">
        <v>2299.0</v>
      </c>
      <c r="I4744" s="2">
        <v>2.0120050023649E13</v>
      </c>
      <c r="J4744" s="3">
        <v>2.0</v>
      </c>
      <c r="K4744" s="2"/>
      <c r="L4744" s="2" t="s">
        <v>18746</v>
      </c>
      <c r="M4744" s="2" t="s">
        <v>15328</v>
      </c>
      <c r="N4744" s="2" t="s">
        <v>406</v>
      </c>
      <c r="O4744" s="3"/>
      <c r="P4744" s="2" t="s">
        <v>73</v>
      </c>
      <c r="Q4744" s="3">
        <v>1500.0</v>
      </c>
      <c r="R4744" s="3">
        <v>0.5</v>
      </c>
      <c r="U4744" s="141"/>
      <c r="X4744" s="172">
        <v>46132.08121079861</v>
      </c>
      <c r="Y4744" s="172">
        <v>46131.0929555787</v>
      </c>
      <c r="Z4744" s="3">
        <f t="shared" si="1"/>
        <v>46130</v>
      </c>
      <c r="AA4744" s="2" t="s">
        <v>14032</v>
      </c>
    </row>
    <row r="4745">
      <c r="A4745" s="3">
        <v>7.005921935619E12</v>
      </c>
      <c r="B4745" s="2" t="s">
        <v>18798</v>
      </c>
      <c r="C4745" s="2" t="s">
        <v>18799</v>
      </c>
      <c r="D4745" s="169">
        <v>46130.0</v>
      </c>
      <c r="E4745" s="2">
        <v>3.008453E9</v>
      </c>
      <c r="F4745" s="2" t="s">
        <v>18800</v>
      </c>
      <c r="G4745" s="2" t="s">
        <v>17616</v>
      </c>
      <c r="H4745" s="2">
        <v>3397.0</v>
      </c>
      <c r="I4745" s="2"/>
      <c r="J4745" s="3">
        <v>2.0</v>
      </c>
      <c r="K4745" s="2"/>
      <c r="L4745" s="2" t="s">
        <v>27</v>
      </c>
      <c r="M4745" s="2" t="s">
        <v>406</v>
      </c>
      <c r="N4745" s="2" t="s">
        <v>406</v>
      </c>
      <c r="O4745" s="3"/>
      <c r="P4745" s="2"/>
      <c r="Q4745" s="3">
        <v>720.0</v>
      </c>
      <c r="R4745" s="3">
        <v>0.5</v>
      </c>
      <c r="U4745" s="141"/>
      <c r="X4745" s="172"/>
      <c r="Y4745" s="172">
        <v>46131.0929555787</v>
      </c>
      <c r="Z4745" s="3">
        <f t="shared" si="1"/>
        <v>46130</v>
      </c>
      <c r="AA4745" s="2" t="s">
        <v>14053</v>
      </c>
    </row>
    <row r="4746">
      <c r="A4746" s="3">
        <v>7.005935730947E12</v>
      </c>
      <c r="B4746" s="2" t="s">
        <v>18801</v>
      </c>
      <c r="C4746" s="2" t="s">
        <v>18802</v>
      </c>
      <c r="D4746" s="169">
        <v>46130.0</v>
      </c>
      <c r="E4746" s="2">
        <v>3.004651476E9</v>
      </c>
      <c r="F4746" s="2" t="s">
        <v>18803</v>
      </c>
      <c r="G4746" s="2" t="s">
        <v>368</v>
      </c>
      <c r="H4746" s="2">
        <v>2098.0</v>
      </c>
      <c r="I4746" s="2"/>
      <c r="J4746" s="3">
        <v>1.0</v>
      </c>
      <c r="K4746" s="2"/>
      <c r="L4746" s="2" t="s">
        <v>220</v>
      </c>
      <c r="M4746" s="2" t="s">
        <v>406</v>
      </c>
      <c r="N4746" s="2" t="s">
        <v>406</v>
      </c>
      <c r="O4746" s="3"/>
      <c r="P4746" s="2"/>
      <c r="Q4746" s="3">
        <v>360.0</v>
      </c>
      <c r="R4746" s="3">
        <v>0.5</v>
      </c>
      <c r="U4746" s="141"/>
      <c r="X4746" s="172"/>
      <c r="Y4746" s="172">
        <v>46131.0929555787</v>
      </c>
      <c r="Z4746" s="3">
        <f t="shared" si="1"/>
        <v>46130</v>
      </c>
      <c r="AA4746" s="2" t="s">
        <v>14032</v>
      </c>
    </row>
    <row r="4747">
      <c r="A4747" s="3">
        <v>7.005967253763E12</v>
      </c>
      <c r="B4747" s="2" t="s">
        <v>18804</v>
      </c>
      <c r="C4747" s="2" t="s">
        <v>18805</v>
      </c>
      <c r="D4747" s="169">
        <v>46130.0</v>
      </c>
      <c r="E4747" s="2">
        <v>3.325003319E9</v>
      </c>
      <c r="F4747" s="2" t="s">
        <v>18806</v>
      </c>
      <c r="G4747" s="2" t="s">
        <v>366</v>
      </c>
      <c r="H4747" s="2">
        <v>3099.0</v>
      </c>
      <c r="I4747" s="2"/>
      <c r="J4747" s="3">
        <v>2.0</v>
      </c>
      <c r="K4747" s="2"/>
      <c r="L4747" s="2" t="s">
        <v>18807</v>
      </c>
      <c r="M4747" s="2" t="s">
        <v>406</v>
      </c>
      <c r="N4747" s="2" t="s">
        <v>406</v>
      </c>
      <c r="O4747" s="3"/>
      <c r="P4747" s="2"/>
      <c r="Q4747" s="3">
        <v>1100.0</v>
      </c>
      <c r="R4747" s="3">
        <v>0.5</v>
      </c>
      <c r="U4747" s="141"/>
      <c r="X4747" s="172"/>
      <c r="Y4747" s="172">
        <v>46131.0929555787</v>
      </c>
      <c r="Z4747" s="3">
        <f t="shared" si="1"/>
        <v>46130</v>
      </c>
      <c r="AA4747" s="2" t="s">
        <v>14032</v>
      </c>
    </row>
    <row r="4748">
      <c r="A4748" s="3">
        <v>7.005972955395E12</v>
      </c>
      <c r="B4748" s="2" t="s">
        <v>18808</v>
      </c>
      <c r="C4748" s="2" t="s">
        <v>18809</v>
      </c>
      <c r="D4748" s="169">
        <v>46130.0</v>
      </c>
      <c r="E4748" s="2">
        <v>3.232455224E9</v>
      </c>
      <c r="F4748" s="2" t="s">
        <v>18810</v>
      </c>
      <c r="G4748" s="2" t="s">
        <v>493</v>
      </c>
      <c r="H4748" s="2">
        <v>3399.0</v>
      </c>
      <c r="I4748" s="2"/>
      <c r="J4748" s="3">
        <v>2.0</v>
      </c>
      <c r="K4748" s="2"/>
      <c r="L4748" s="2" t="s">
        <v>275</v>
      </c>
      <c r="M4748" s="2" t="s">
        <v>406</v>
      </c>
      <c r="N4748" s="2" t="s">
        <v>406</v>
      </c>
      <c r="O4748" s="3"/>
      <c r="P4748" s="2"/>
      <c r="Q4748" s="3">
        <v>800.0</v>
      </c>
      <c r="R4748" s="3">
        <v>0.5</v>
      </c>
      <c r="U4748" s="141"/>
      <c r="X4748" s="172"/>
      <c r="Y4748" s="172">
        <v>46131.0929555787</v>
      </c>
      <c r="Z4748" s="3">
        <f t="shared" si="1"/>
        <v>46130</v>
      </c>
      <c r="AA4748" s="2" t="s">
        <v>14032</v>
      </c>
    </row>
    <row r="4749">
      <c r="A4749" s="3">
        <v>7.006128734467E12</v>
      </c>
      <c r="B4749" s="2" t="s">
        <v>18811</v>
      </c>
      <c r="C4749" s="2" t="s">
        <v>18812</v>
      </c>
      <c r="D4749" s="169">
        <v>46130.0</v>
      </c>
      <c r="E4749" s="173" t="s">
        <v>18813</v>
      </c>
      <c r="F4749" s="2" t="s">
        <v>18814</v>
      </c>
      <c r="G4749" s="2" t="s">
        <v>688</v>
      </c>
      <c r="H4749" s="2">
        <v>2098.0</v>
      </c>
      <c r="I4749" s="2"/>
      <c r="J4749" s="3">
        <v>1.0</v>
      </c>
      <c r="K4749" s="2"/>
      <c r="L4749" s="2" t="s">
        <v>16983</v>
      </c>
      <c r="M4749" s="2" t="s">
        <v>406</v>
      </c>
      <c r="N4749" s="2" t="s">
        <v>406</v>
      </c>
      <c r="O4749" s="3"/>
      <c r="P4749" s="2"/>
      <c r="Q4749" s="3">
        <v>400.0</v>
      </c>
      <c r="R4749" s="3">
        <v>0.5</v>
      </c>
      <c r="U4749" s="141"/>
      <c r="X4749" s="172"/>
      <c r="Y4749" s="172">
        <v>46131.0929555787</v>
      </c>
      <c r="Z4749" s="3">
        <f t="shared" si="1"/>
        <v>46130</v>
      </c>
      <c r="AA4749" s="2" t="s">
        <v>14032</v>
      </c>
    </row>
    <row r="4750">
      <c r="A4750" s="3">
        <v>7.006226579715E12</v>
      </c>
      <c r="B4750" s="2" t="s">
        <v>18815</v>
      </c>
      <c r="C4750" s="2" t="s">
        <v>18816</v>
      </c>
      <c r="D4750" s="169">
        <v>46130.0</v>
      </c>
      <c r="E4750" s="2">
        <v>3.224464646E9</v>
      </c>
      <c r="F4750" s="2" t="s">
        <v>18817</v>
      </c>
      <c r="G4750" s="2" t="s">
        <v>368</v>
      </c>
      <c r="H4750" s="2">
        <v>2098.0</v>
      </c>
      <c r="I4750" s="2"/>
      <c r="J4750" s="3">
        <v>1.0</v>
      </c>
      <c r="K4750" s="2"/>
      <c r="L4750" s="2" t="s">
        <v>243</v>
      </c>
      <c r="M4750" s="2" t="s">
        <v>406</v>
      </c>
      <c r="N4750" s="2" t="s">
        <v>406</v>
      </c>
      <c r="O4750" s="3"/>
      <c r="P4750" s="2"/>
      <c r="Q4750" s="3">
        <v>360.0</v>
      </c>
      <c r="R4750" s="3">
        <v>0.5</v>
      </c>
      <c r="U4750" s="141"/>
      <c r="X4750" s="172"/>
      <c r="Y4750" s="172">
        <v>46131.0929555787</v>
      </c>
      <c r="Z4750" s="3">
        <f t="shared" si="1"/>
        <v>46130</v>
      </c>
      <c r="AA4750" s="2" t="s">
        <v>14032</v>
      </c>
    </row>
    <row r="4751">
      <c r="A4751" s="3">
        <v>7.006309449987E12</v>
      </c>
      <c r="B4751" s="2" t="s">
        <v>18818</v>
      </c>
      <c r="C4751" s="2" t="s">
        <v>18819</v>
      </c>
      <c r="D4751" s="169">
        <v>46130.0</v>
      </c>
      <c r="E4751" s="2">
        <v>3.425433303E9</v>
      </c>
      <c r="F4751" s="2" t="s">
        <v>18820</v>
      </c>
      <c r="G4751" s="2" t="s">
        <v>993</v>
      </c>
      <c r="H4751" s="2">
        <v>3397.0</v>
      </c>
      <c r="I4751" s="2"/>
      <c r="J4751" s="3">
        <v>1.0</v>
      </c>
      <c r="K4751" s="2"/>
      <c r="L4751" s="2" t="s">
        <v>18821</v>
      </c>
      <c r="M4751" s="2" t="s">
        <v>406</v>
      </c>
      <c r="N4751" s="2" t="s">
        <v>406</v>
      </c>
      <c r="O4751" s="3"/>
      <c r="P4751" s="2"/>
      <c r="Q4751" s="3">
        <v>720.0</v>
      </c>
      <c r="R4751" s="3">
        <v>0.5</v>
      </c>
      <c r="U4751" s="141"/>
      <c r="X4751" s="172"/>
      <c r="Y4751" s="172">
        <v>46131.0929555787</v>
      </c>
      <c r="Z4751" s="3">
        <f t="shared" si="1"/>
        <v>46130</v>
      </c>
      <c r="AA4751" s="2" t="s">
        <v>14032</v>
      </c>
    </row>
    <row r="4752">
      <c r="A4752" s="3">
        <v>7.006379311363E12</v>
      </c>
      <c r="B4752" s="2" t="s">
        <v>18822</v>
      </c>
      <c r="C4752" s="2" t="s">
        <v>13553</v>
      </c>
      <c r="D4752" s="169">
        <v>46130.0</v>
      </c>
      <c r="E4752" s="2">
        <v>3.003742471E9</v>
      </c>
      <c r="F4752" s="2" t="s">
        <v>18823</v>
      </c>
      <c r="G4752" s="2" t="s">
        <v>781</v>
      </c>
      <c r="H4752" s="2">
        <v>2098.0</v>
      </c>
      <c r="I4752" s="2"/>
      <c r="J4752" s="3">
        <v>1.0</v>
      </c>
      <c r="K4752" s="2"/>
      <c r="L4752" s="2" t="s">
        <v>243</v>
      </c>
      <c r="M4752" s="2" t="s">
        <v>406</v>
      </c>
      <c r="N4752" s="2" t="s">
        <v>406</v>
      </c>
      <c r="O4752" s="3"/>
      <c r="P4752" s="2"/>
      <c r="Q4752" s="3">
        <v>360.0</v>
      </c>
      <c r="R4752" s="3">
        <v>0.5</v>
      </c>
      <c r="U4752" s="141"/>
      <c r="X4752" s="172"/>
      <c r="Y4752" s="172">
        <v>46131.0929555787</v>
      </c>
      <c r="Z4752" s="3">
        <f t="shared" si="1"/>
        <v>46130</v>
      </c>
      <c r="AA4752" s="2" t="s">
        <v>14032</v>
      </c>
    </row>
    <row r="4753">
      <c r="A4753" s="3">
        <v>7.006466277635E12</v>
      </c>
      <c r="B4753" s="2" t="s">
        <v>18824</v>
      </c>
      <c r="C4753" s="2" t="s">
        <v>18825</v>
      </c>
      <c r="D4753" s="169">
        <v>46131.0</v>
      </c>
      <c r="E4753" s="2">
        <v>3.062807052E9</v>
      </c>
      <c r="F4753" s="2" t="s">
        <v>18826</v>
      </c>
      <c r="G4753" s="2" t="s">
        <v>1323</v>
      </c>
      <c r="H4753" s="2">
        <v>3399.0</v>
      </c>
      <c r="I4753" s="2"/>
      <c r="J4753" s="3">
        <v>2.0</v>
      </c>
      <c r="K4753" s="2"/>
      <c r="L4753" s="2" t="s">
        <v>18827</v>
      </c>
      <c r="M4753" s="2" t="s">
        <v>406</v>
      </c>
      <c r="N4753" s="2" t="s">
        <v>406</v>
      </c>
      <c r="O4753" s="3"/>
      <c r="P4753" s="2"/>
      <c r="Q4753" s="3">
        <v>860.0</v>
      </c>
      <c r="R4753" s="3">
        <v>0.5</v>
      </c>
      <c r="U4753" s="141"/>
      <c r="X4753" s="172"/>
      <c r="Y4753" s="172">
        <v>46131.0929555787</v>
      </c>
      <c r="Z4753" s="3">
        <f t="shared" si="1"/>
        <v>46131</v>
      </c>
      <c r="AA4753" s="2" t="s">
        <v>14103</v>
      </c>
    </row>
    <row r="4754">
      <c r="A4754" s="3">
        <v>7.006597153027E12</v>
      </c>
      <c r="B4754" s="2" t="s">
        <v>18828</v>
      </c>
      <c r="C4754" s="2" t="s">
        <v>18829</v>
      </c>
      <c r="D4754" s="169">
        <v>46131.0</v>
      </c>
      <c r="E4754" s="2">
        <v>3.36553298E9</v>
      </c>
      <c r="F4754" s="2" t="s">
        <v>18830</v>
      </c>
      <c r="G4754" s="2" t="s">
        <v>366</v>
      </c>
      <c r="H4754" s="2">
        <v>5049.0</v>
      </c>
      <c r="I4754" s="2"/>
      <c r="J4754" s="3">
        <v>4.0</v>
      </c>
      <c r="K4754" s="2"/>
      <c r="L4754" s="2" t="s">
        <v>18831</v>
      </c>
      <c r="M4754" s="2" t="s">
        <v>406</v>
      </c>
      <c r="N4754" s="2" t="s">
        <v>406</v>
      </c>
      <c r="O4754" s="3"/>
      <c r="P4754" s="2"/>
      <c r="Q4754" s="3">
        <v>2610.0</v>
      </c>
      <c r="R4754" s="3">
        <v>0.5</v>
      </c>
      <c r="U4754" s="141"/>
      <c r="X4754" s="172"/>
      <c r="Y4754" s="172">
        <v>46131.0929555787</v>
      </c>
      <c r="Z4754" s="3">
        <f t="shared" si="1"/>
        <v>46131</v>
      </c>
      <c r="AA4754" s="2" t="s">
        <v>14032</v>
      </c>
    </row>
    <row r="4755">
      <c r="A4755" s="3">
        <v>7.006717706499E12</v>
      </c>
      <c r="B4755" s="2" t="s">
        <v>18832</v>
      </c>
      <c r="C4755" s="2" t="s">
        <v>18833</v>
      </c>
      <c r="D4755" s="169">
        <v>46131.0</v>
      </c>
      <c r="E4755" s="2">
        <v>3.460595326E9</v>
      </c>
      <c r="F4755" s="2" t="s">
        <v>18834</v>
      </c>
      <c r="G4755" s="2" t="s">
        <v>506</v>
      </c>
      <c r="H4755" s="2">
        <v>2997.0</v>
      </c>
      <c r="I4755" s="2"/>
      <c r="J4755" s="3">
        <v>1.0</v>
      </c>
      <c r="K4755" s="2"/>
      <c r="L4755" s="2" t="s">
        <v>17789</v>
      </c>
      <c r="M4755" s="2" t="s">
        <v>406</v>
      </c>
      <c r="N4755" s="2" t="s">
        <v>406</v>
      </c>
      <c r="O4755" s="3"/>
      <c r="P4755" s="2"/>
      <c r="Q4755" s="3">
        <v>1300.0</v>
      </c>
      <c r="R4755" s="3">
        <v>0.5</v>
      </c>
      <c r="U4755" s="141"/>
      <c r="X4755" s="172"/>
      <c r="Y4755" s="172">
        <v>46132.09298133102</v>
      </c>
      <c r="Z4755" s="3">
        <f t="shared" si="1"/>
        <v>46131</v>
      </c>
      <c r="AA4755" s="2" t="s">
        <v>14053</v>
      </c>
    </row>
    <row r="4756">
      <c r="A4756" s="3">
        <v>7.006863950083E12</v>
      </c>
      <c r="B4756" s="2" t="s">
        <v>18835</v>
      </c>
      <c r="C4756" s="2" t="s">
        <v>18836</v>
      </c>
      <c r="D4756" s="169">
        <v>46131.0</v>
      </c>
      <c r="E4756" s="2">
        <v>3.086890801E9</v>
      </c>
      <c r="F4756" s="2" t="s">
        <v>18837</v>
      </c>
      <c r="G4756" s="2" t="s">
        <v>368</v>
      </c>
      <c r="H4756" s="2">
        <v>3397.0</v>
      </c>
      <c r="I4756" s="2"/>
      <c r="J4756" s="3">
        <v>2.0</v>
      </c>
      <c r="K4756" s="2"/>
      <c r="L4756" s="2" t="s">
        <v>280</v>
      </c>
      <c r="M4756" s="2" t="s">
        <v>406</v>
      </c>
      <c r="N4756" s="2" t="s">
        <v>406</v>
      </c>
      <c r="O4756" s="3"/>
      <c r="P4756" s="2"/>
      <c r="Q4756" s="3">
        <v>720.0</v>
      </c>
      <c r="R4756" s="3">
        <v>0.5</v>
      </c>
      <c r="U4756" s="141"/>
      <c r="X4756" s="172"/>
      <c r="Y4756" s="172">
        <v>46132.09298133102</v>
      </c>
      <c r="Z4756" s="3">
        <f t="shared" si="1"/>
        <v>46131</v>
      </c>
      <c r="AA4756" s="2" t="s">
        <v>14032</v>
      </c>
    </row>
    <row r="4757">
      <c r="A4757" s="3">
        <v>7.007036342531E12</v>
      </c>
      <c r="B4757" s="2" t="s">
        <v>18838</v>
      </c>
      <c r="C4757" s="2" t="s">
        <v>2239</v>
      </c>
      <c r="D4757" s="169">
        <v>46131.0</v>
      </c>
      <c r="E4757" s="2">
        <v>3.218866286E9</v>
      </c>
      <c r="F4757" s="2" t="s">
        <v>18839</v>
      </c>
      <c r="G4757" s="2" t="s">
        <v>18840</v>
      </c>
      <c r="H4757" s="2">
        <v>3397.0</v>
      </c>
      <c r="I4757" s="2"/>
      <c r="J4757" s="3">
        <v>2.0</v>
      </c>
      <c r="K4757" s="2"/>
      <c r="L4757" s="2" t="s">
        <v>234</v>
      </c>
      <c r="M4757" s="2" t="s">
        <v>406</v>
      </c>
      <c r="N4757" s="2" t="s">
        <v>406</v>
      </c>
      <c r="O4757" s="3"/>
      <c r="P4757" s="2"/>
      <c r="Q4757" s="3">
        <v>800.0</v>
      </c>
      <c r="R4757" s="3">
        <v>0.5</v>
      </c>
      <c r="U4757" s="141"/>
      <c r="X4757" s="172"/>
      <c r="Y4757" s="172">
        <v>46132.09298133102</v>
      </c>
      <c r="Z4757" s="3">
        <f t="shared" si="1"/>
        <v>46131</v>
      </c>
      <c r="AA4757" s="2" t="s">
        <v>14032</v>
      </c>
    </row>
    <row r="4758">
      <c r="A4758" s="3">
        <v>7.007067406595E12</v>
      </c>
      <c r="B4758" s="2" t="s">
        <v>18841</v>
      </c>
      <c r="C4758" s="2" t="s">
        <v>18842</v>
      </c>
      <c r="D4758" s="169">
        <v>46131.0</v>
      </c>
      <c r="E4758" s="173" t="s">
        <v>18843</v>
      </c>
      <c r="F4758" s="2" t="s">
        <v>18844</v>
      </c>
      <c r="G4758" s="2" t="s">
        <v>855</v>
      </c>
      <c r="H4758" s="2">
        <v>2098.0</v>
      </c>
      <c r="I4758" s="2"/>
      <c r="J4758" s="3">
        <v>1.0</v>
      </c>
      <c r="K4758" s="2"/>
      <c r="L4758" s="2" t="s">
        <v>220</v>
      </c>
      <c r="M4758" s="2" t="s">
        <v>406</v>
      </c>
      <c r="N4758" s="2" t="s">
        <v>406</v>
      </c>
      <c r="O4758" s="3"/>
      <c r="P4758" s="2"/>
      <c r="Q4758" s="3">
        <v>360.0</v>
      </c>
      <c r="R4758" s="3">
        <v>0.5</v>
      </c>
      <c r="U4758" s="141"/>
      <c r="X4758" s="172"/>
      <c r="Y4758" s="172">
        <v>46132.09298133102</v>
      </c>
      <c r="Z4758" s="3">
        <f t="shared" si="1"/>
        <v>46131</v>
      </c>
      <c r="AA4758" s="2" t="s">
        <v>14032</v>
      </c>
    </row>
    <row r="4759">
      <c r="A4759" s="3">
        <v>7.007106138371E12</v>
      </c>
      <c r="B4759" s="2" t="s">
        <v>18845</v>
      </c>
      <c r="C4759" s="2" t="s">
        <v>18846</v>
      </c>
      <c r="D4759" s="169">
        <v>46131.0</v>
      </c>
      <c r="E4759" s="2">
        <v>3.345731744E9</v>
      </c>
      <c r="F4759" s="2" t="s">
        <v>18847</v>
      </c>
      <c r="G4759" s="2" t="s">
        <v>3305</v>
      </c>
      <c r="H4759" s="2">
        <v>3648.0</v>
      </c>
      <c r="I4759" s="2"/>
      <c r="J4759" s="3">
        <v>2.0</v>
      </c>
      <c r="K4759" s="2"/>
      <c r="L4759" s="2" t="s">
        <v>18848</v>
      </c>
      <c r="M4759" s="2" t="s">
        <v>406</v>
      </c>
      <c r="N4759" s="2" t="s">
        <v>406</v>
      </c>
      <c r="O4759" s="3"/>
      <c r="P4759" s="2"/>
      <c r="Q4759" s="3">
        <v>1150.0</v>
      </c>
      <c r="R4759" s="3">
        <v>0.5</v>
      </c>
      <c r="U4759" s="141"/>
      <c r="X4759" s="172"/>
      <c r="Y4759" s="172">
        <v>46132.09298133102</v>
      </c>
      <c r="Z4759" s="3">
        <f t="shared" si="1"/>
        <v>46131</v>
      </c>
      <c r="AA4759" s="2" t="s">
        <v>14053</v>
      </c>
    </row>
    <row r="4760">
      <c r="A4760" s="3">
        <v>7.007121309955E12</v>
      </c>
      <c r="B4760" s="2" t="s">
        <v>18849</v>
      </c>
      <c r="C4760" s="2" t="s">
        <v>18850</v>
      </c>
      <c r="D4760" s="169">
        <v>46131.0</v>
      </c>
      <c r="E4760" s="2">
        <v>3.107177782E9</v>
      </c>
      <c r="F4760" s="2" t="s">
        <v>18851</v>
      </c>
      <c r="G4760" s="2" t="s">
        <v>993</v>
      </c>
      <c r="H4760" s="2">
        <v>3397.0</v>
      </c>
      <c r="I4760" s="2"/>
      <c r="J4760" s="3">
        <v>2.0</v>
      </c>
      <c r="K4760" s="2"/>
      <c r="L4760" s="2" t="s">
        <v>17765</v>
      </c>
      <c r="M4760" s="2" t="s">
        <v>406</v>
      </c>
      <c r="N4760" s="2" t="s">
        <v>406</v>
      </c>
      <c r="O4760" s="3"/>
      <c r="P4760" s="2"/>
      <c r="Q4760" s="3">
        <v>800.0</v>
      </c>
      <c r="R4760" s="3">
        <v>0.5</v>
      </c>
      <c r="U4760" s="141"/>
      <c r="X4760" s="172"/>
      <c r="Y4760" s="172">
        <v>46132.09298133102</v>
      </c>
      <c r="Z4760" s="3">
        <f t="shared" si="1"/>
        <v>46131</v>
      </c>
      <c r="AA4760" s="2" t="s">
        <v>14536</v>
      </c>
    </row>
    <row r="4761">
      <c r="A4761" s="3">
        <v>7.007201067267E12</v>
      </c>
      <c r="B4761" s="2" t="s">
        <v>18852</v>
      </c>
      <c r="C4761" s="2" t="s">
        <v>18853</v>
      </c>
      <c r="D4761" s="169">
        <v>46131.0</v>
      </c>
      <c r="E4761" s="2">
        <v>3.335045011E9</v>
      </c>
      <c r="F4761" s="2" t="s">
        <v>18854</v>
      </c>
      <c r="G4761" s="2" t="s">
        <v>855</v>
      </c>
      <c r="H4761" s="2">
        <v>3397.0</v>
      </c>
      <c r="I4761" s="2"/>
      <c r="J4761" s="3">
        <v>2.0</v>
      </c>
      <c r="K4761" s="2"/>
      <c r="L4761" s="2" t="s">
        <v>17922</v>
      </c>
      <c r="M4761" s="2" t="s">
        <v>406</v>
      </c>
      <c r="N4761" s="2" t="s">
        <v>406</v>
      </c>
      <c r="O4761" s="3"/>
      <c r="P4761" s="2"/>
      <c r="Q4761" s="3">
        <v>720.0</v>
      </c>
      <c r="R4761" s="3">
        <v>0.5</v>
      </c>
      <c r="U4761" s="141"/>
      <c r="X4761" s="172"/>
      <c r="Y4761" s="172">
        <v>46132.09298134259</v>
      </c>
      <c r="Z4761" s="3">
        <f t="shared" si="1"/>
        <v>46131</v>
      </c>
      <c r="AA4761" s="2" t="s">
        <v>14032</v>
      </c>
    </row>
    <row r="4762">
      <c r="A4762" s="3">
        <v>7.007210930435E12</v>
      </c>
      <c r="B4762" s="2" t="s">
        <v>18855</v>
      </c>
      <c r="C4762" s="2" t="s">
        <v>18856</v>
      </c>
      <c r="D4762" s="169">
        <v>46131.0</v>
      </c>
      <c r="E4762" s="2">
        <v>3.280199996E9</v>
      </c>
      <c r="F4762" s="2" t="s">
        <v>18857</v>
      </c>
      <c r="G4762" s="2" t="s">
        <v>368</v>
      </c>
      <c r="H4762" s="2">
        <v>2099.0</v>
      </c>
      <c r="I4762" s="2"/>
      <c r="J4762" s="3">
        <v>1.0</v>
      </c>
      <c r="K4762" s="2"/>
      <c r="L4762" s="2" t="s">
        <v>6602</v>
      </c>
      <c r="M4762" s="2" t="s">
        <v>406</v>
      </c>
      <c r="N4762" s="2" t="s">
        <v>406</v>
      </c>
      <c r="O4762" s="3"/>
      <c r="P4762" s="2"/>
      <c r="Q4762" s="3">
        <v>500.0</v>
      </c>
      <c r="R4762" s="3">
        <v>0.5</v>
      </c>
      <c r="U4762" s="141"/>
      <c r="X4762" s="172"/>
      <c r="Y4762" s="172">
        <v>46132.09298134259</v>
      </c>
      <c r="Z4762" s="3">
        <f t="shared" si="1"/>
        <v>46131</v>
      </c>
      <c r="AA4762" s="2" t="s">
        <v>14032</v>
      </c>
    </row>
    <row r="4763">
      <c r="A4763" s="3">
        <v>7.007240061187E12</v>
      </c>
      <c r="B4763" s="2" t="s">
        <v>18858</v>
      </c>
      <c r="C4763" s="2" t="s">
        <v>18819</v>
      </c>
      <c r="D4763" s="169">
        <v>46131.0</v>
      </c>
      <c r="E4763" s="2">
        <v>3.425433303E9</v>
      </c>
      <c r="F4763" s="2" t="s">
        <v>18820</v>
      </c>
      <c r="G4763" s="2" t="s">
        <v>993</v>
      </c>
      <c r="H4763" s="2">
        <v>3397.0</v>
      </c>
      <c r="I4763" s="2"/>
      <c r="J4763" s="3">
        <v>2.0</v>
      </c>
      <c r="K4763" s="2"/>
      <c r="L4763" s="2" t="s">
        <v>280</v>
      </c>
      <c r="M4763" s="2" t="s">
        <v>406</v>
      </c>
      <c r="N4763" s="2" t="s">
        <v>406</v>
      </c>
      <c r="O4763" s="3"/>
      <c r="P4763" s="2"/>
      <c r="Q4763" s="3">
        <v>720.0</v>
      </c>
      <c r="R4763" s="3">
        <v>0.5</v>
      </c>
      <c r="U4763" s="141"/>
      <c r="X4763" s="172"/>
      <c r="Y4763" s="172">
        <v>46132.09298134259</v>
      </c>
      <c r="Z4763" s="3">
        <f t="shared" si="1"/>
        <v>46131</v>
      </c>
      <c r="AA4763" s="2" t="s">
        <v>14032</v>
      </c>
    </row>
    <row r="4764">
      <c r="A4764" s="3">
        <v>7.007246942467E12</v>
      </c>
      <c r="B4764" s="2" t="s">
        <v>18859</v>
      </c>
      <c r="C4764" s="2" t="s">
        <v>18860</v>
      </c>
      <c r="D4764" s="169">
        <v>46131.0</v>
      </c>
      <c r="E4764" s="173" t="s">
        <v>18861</v>
      </c>
      <c r="F4764" s="2" t="s">
        <v>17924</v>
      </c>
      <c r="G4764" s="2" t="s">
        <v>17925</v>
      </c>
      <c r="H4764" s="2">
        <v>3399.0</v>
      </c>
      <c r="I4764" s="2"/>
      <c r="J4764" s="3">
        <v>2.0</v>
      </c>
      <c r="K4764" s="2"/>
      <c r="L4764" s="2" t="s">
        <v>18862</v>
      </c>
      <c r="M4764" s="2" t="s">
        <v>406</v>
      </c>
      <c r="N4764" s="2" t="s">
        <v>406</v>
      </c>
      <c r="O4764" s="3"/>
      <c r="P4764" s="2"/>
      <c r="Q4764" s="3">
        <v>720.0</v>
      </c>
      <c r="R4764" s="3">
        <v>0.5</v>
      </c>
      <c r="U4764" s="141"/>
      <c r="X4764" s="172"/>
      <c r="Y4764" s="172">
        <v>46132.09298134259</v>
      </c>
      <c r="Z4764" s="3">
        <f t="shared" si="1"/>
        <v>46131</v>
      </c>
      <c r="AA4764" s="2" t="s">
        <v>14022</v>
      </c>
    </row>
    <row r="4765">
      <c r="A4765" s="3">
        <v>7.007270437123E12</v>
      </c>
      <c r="B4765" s="2" t="s">
        <v>18863</v>
      </c>
      <c r="C4765" s="2" t="s">
        <v>8508</v>
      </c>
      <c r="D4765" s="169">
        <v>46131.0</v>
      </c>
      <c r="E4765" s="2">
        <v>3.0844264E9</v>
      </c>
      <c r="F4765" s="2" t="s">
        <v>18864</v>
      </c>
      <c r="G4765" s="2" t="s">
        <v>368</v>
      </c>
      <c r="H4765" s="2">
        <v>6696.0</v>
      </c>
      <c r="I4765" s="2"/>
      <c r="J4765" s="3">
        <v>2.0</v>
      </c>
      <c r="K4765" s="2"/>
      <c r="L4765" s="2" t="s">
        <v>18865</v>
      </c>
      <c r="M4765" s="2" t="s">
        <v>406</v>
      </c>
      <c r="N4765" s="2" t="s">
        <v>406</v>
      </c>
      <c r="O4765" s="3"/>
      <c r="P4765" s="2"/>
      <c r="Q4765" s="3">
        <v>1440.0</v>
      </c>
      <c r="R4765" s="3">
        <v>0.5</v>
      </c>
      <c r="U4765" s="141"/>
      <c r="X4765" s="172"/>
      <c r="Y4765" s="172">
        <v>46132.09298134259</v>
      </c>
      <c r="Z4765" s="3">
        <f t="shared" si="1"/>
        <v>46131</v>
      </c>
      <c r="AA4765" s="2" t="s">
        <v>14032</v>
      </c>
    </row>
    <row r="4766">
      <c r="A4766" s="3">
        <v>7.007274959107E12</v>
      </c>
      <c r="B4766" s="2" t="s">
        <v>18866</v>
      </c>
      <c r="C4766" s="2" t="s">
        <v>18867</v>
      </c>
      <c r="D4766" s="169">
        <v>46131.0</v>
      </c>
      <c r="E4766" s="2">
        <v>3.468347772E9</v>
      </c>
      <c r="F4766" s="2" t="s">
        <v>18868</v>
      </c>
      <c r="G4766" s="2" t="s">
        <v>1395</v>
      </c>
      <c r="H4766" s="2">
        <v>2099.0</v>
      </c>
      <c r="I4766" s="2"/>
      <c r="J4766" s="3">
        <v>1.0</v>
      </c>
      <c r="K4766" s="2"/>
      <c r="L4766" s="2" t="s">
        <v>18869</v>
      </c>
      <c r="M4766" s="2" t="s">
        <v>406</v>
      </c>
      <c r="N4766" s="2" t="s">
        <v>406</v>
      </c>
      <c r="O4766" s="3"/>
      <c r="P4766" s="2"/>
      <c r="Q4766" s="3">
        <v>500.0</v>
      </c>
      <c r="R4766" s="3">
        <v>0.5</v>
      </c>
      <c r="U4766" s="141"/>
      <c r="X4766" s="172"/>
      <c r="Y4766" s="172">
        <v>46132.09298134259</v>
      </c>
      <c r="Z4766" s="3">
        <f t="shared" si="1"/>
        <v>46131</v>
      </c>
      <c r="AA4766" s="2" t="s">
        <v>14053</v>
      </c>
    </row>
    <row r="4767">
      <c r="A4767" s="3">
        <v>7.007286493443E12</v>
      </c>
      <c r="B4767" s="2" t="s">
        <v>18870</v>
      </c>
      <c r="C4767" s="2" t="s">
        <v>18871</v>
      </c>
      <c r="D4767" s="169">
        <v>46131.0</v>
      </c>
      <c r="E4767" s="2">
        <v>3.336468E9</v>
      </c>
      <c r="F4767" s="2" t="s">
        <v>18872</v>
      </c>
      <c r="G4767" s="2" t="s">
        <v>18873</v>
      </c>
      <c r="H4767" s="2">
        <v>2049.0</v>
      </c>
      <c r="I4767" s="2"/>
      <c r="J4767" s="3">
        <v>1.0</v>
      </c>
      <c r="K4767" s="2"/>
      <c r="L4767" s="2" t="s">
        <v>17669</v>
      </c>
      <c r="M4767" s="2" t="s">
        <v>406</v>
      </c>
      <c r="N4767" s="2" t="s">
        <v>406</v>
      </c>
      <c r="O4767" s="3"/>
      <c r="P4767" s="2"/>
      <c r="Q4767" s="3">
        <v>550.0</v>
      </c>
      <c r="R4767" s="3">
        <v>0.5</v>
      </c>
      <c r="U4767" s="141"/>
      <c r="X4767" s="172"/>
      <c r="Y4767" s="172">
        <v>46132.09298134259</v>
      </c>
      <c r="Z4767" s="3">
        <f t="shared" si="1"/>
        <v>46131</v>
      </c>
      <c r="AA4767" s="2" t="s">
        <v>14032</v>
      </c>
    </row>
    <row r="4768">
      <c r="A4768" s="3">
        <v>7.007293997315E12</v>
      </c>
      <c r="B4768" s="2" t="s">
        <v>18874</v>
      </c>
      <c r="C4768" s="2" t="s">
        <v>10663</v>
      </c>
      <c r="D4768" s="169">
        <v>46131.0</v>
      </c>
      <c r="E4768" s="2">
        <v>3.005452707E9</v>
      </c>
      <c r="F4768" s="2" t="s">
        <v>18875</v>
      </c>
      <c r="G4768" s="2" t="s">
        <v>9453</v>
      </c>
      <c r="H4768" s="2">
        <v>2098.0</v>
      </c>
      <c r="I4768" s="2"/>
      <c r="J4768" s="3">
        <v>1.0</v>
      </c>
      <c r="K4768" s="2"/>
      <c r="L4768" s="2" t="s">
        <v>243</v>
      </c>
      <c r="M4768" s="2" t="s">
        <v>406</v>
      </c>
      <c r="N4768" s="2" t="s">
        <v>406</v>
      </c>
      <c r="O4768" s="3"/>
      <c r="P4768" s="2"/>
      <c r="Q4768" s="3">
        <v>360.0</v>
      </c>
      <c r="R4768" s="3">
        <v>0.5</v>
      </c>
      <c r="U4768" s="141"/>
      <c r="X4768" s="172"/>
      <c r="Y4768" s="172">
        <v>46132.09298134259</v>
      </c>
      <c r="Z4768" s="3">
        <f t="shared" si="1"/>
        <v>46131</v>
      </c>
      <c r="AA4768" s="2" t="s">
        <v>14032</v>
      </c>
    </row>
    <row r="4769">
      <c r="A4769" s="3">
        <v>7.007518687491E12</v>
      </c>
      <c r="B4769" s="2" t="s">
        <v>18876</v>
      </c>
      <c r="C4769" s="2" t="s">
        <v>18877</v>
      </c>
      <c r="D4769" s="169">
        <v>46131.0</v>
      </c>
      <c r="E4769" s="2">
        <v>3.125062294E9</v>
      </c>
      <c r="F4769" s="2" t="s">
        <v>18878</v>
      </c>
      <c r="G4769" s="2" t="s">
        <v>506</v>
      </c>
      <c r="H4769" s="2">
        <v>2098.0</v>
      </c>
      <c r="I4769" s="2"/>
      <c r="J4769" s="3">
        <v>1.0</v>
      </c>
      <c r="K4769" s="2"/>
      <c r="L4769" s="2" t="s">
        <v>12408</v>
      </c>
      <c r="M4769" s="2" t="s">
        <v>406</v>
      </c>
      <c r="N4769" s="2" t="s">
        <v>406</v>
      </c>
      <c r="O4769" s="3"/>
      <c r="P4769" s="2"/>
      <c r="Q4769" s="3">
        <v>360.0</v>
      </c>
      <c r="R4769" s="3">
        <v>0.5</v>
      </c>
      <c r="U4769" s="141"/>
      <c r="X4769" s="172"/>
      <c r="Y4769" s="172">
        <v>46132.09298134259</v>
      </c>
      <c r="Z4769" s="3">
        <f t="shared" si="1"/>
        <v>46131</v>
      </c>
      <c r="AA4769" s="2" t="s">
        <v>14032</v>
      </c>
    </row>
    <row r="4770">
      <c r="A4770" s="3">
        <v>7.007599788291E12</v>
      </c>
      <c r="B4770" s="2" t="s">
        <v>18879</v>
      </c>
      <c r="C4770" s="2" t="s">
        <v>18880</v>
      </c>
      <c r="D4770" s="169">
        <v>46131.0</v>
      </c>
      <c r="E4770" s="2">
        <v>3.002815316E9</v>
      </c>
      <c r="F4770" s="2" t="s">
        <v>18881</v>
      </c>
      <c r="G4770" s="2" t="s">
        <v>493</v>
      </c>
      <c r="H4770" s="2">
        <v>3397.0</v>
      </c>
      <c r="I4770" s="2"/>
      <c r="J4770" s="3">
        <v>2.0</v>
      </c>
      <c r="K4770" s="2"/>
      <c r="L4770" s="2" t="s">
        <v>17922</v>
      </c>
      <c r="M4770" s="2" t="s">
        <v>406</v>
      </c>
      <c r="N4770" s="2" t="s">
        <v>406</v>
      </c>
      <c r="O4770" s="3"/>
      <c r="P4770" s="2"/>
      <c r="Q4770" s="3">
        <v>720.0</v>
      </c>
      <c r="R4770" s="3">
        <v>0.5</v>
      </c>
      <c r="U4770" s="141"/>
      <c r="X4770" s="172"/>
      <c r="Y4770" s="172">
        <v>46132.09298134259</v>
      </c>
      <c r="Z4770" s="3">
        <f t="shared" si="1"/>
        <v>46131</v>
      </c>
      <c r="AA4770" s="2" t="s">
        <v>14032</v>
      </c>
    </row>
    <row r="4771">
      <c r="A4771" s="3">
        <v>7.007606571267E12</v>
      </c>
      <c r="B4771" s="2" t="s">
        <v>18882</v>
      </c>
      <c r="C4771" s="2" t="s">
        <v>1546</v>
      </c>
      <c r="D4771" s="169">
        <v>46131.0</v>
      </c>
      <c r="E4771" s="2">
        <v>3.119047563E9</v>
      </c>
      <c r="F4771" s="2" t="s">
        <v>18883</v>
      </c>
      <c r="G4771" s="2" t="s">
        <v>18884</v>
      </c>
      <c r="H4771" s="2">
        <v>3699.0</v>
      </c>
      <c r="I4771" s="2"/>
      <c r="J4771" s="3">
        <v>2.0</v>
      </c>
      <c r="K4771" s="2"/>
      <c r="L4771" s="2" t="s">
        <v>2562</v>
      </c>
      <c r="M4771" s="2" t="s">
        <v>406</v>
      </c>
      <c r="N4771" s="2" t="s">
        <v>406</v>
      </c>
      <c r="O4771" s="3"/>
      <c r="P4771" s="2"/>
      <c r="Q4771" s="3">
        <v>1000.0</v>
      </c>
      <c r="R4771" s="3">
        <v>0.5</v>
      </c>
      <c r="U4771" s="141"/>
      <c r="X4771" s="172"/>
      <c r="Y4771" s="172">
        <v>46132.09298134259</v>
      </c>
      <c r="Z4771" s="3">
        <f t="shared" si="1"/>
        <v>46131</v>
      </c>
      <c r="AA4771" s="2" t="s">
        <v>14032</v>
      </c>
    </row>
    <row r="4772">
      <c r="A4772" s="3">
        <v>7.007642943747E12</v>
      </c>
      <c r="B4772" s="2" t="s">
        <v>18885</v>
      </c>
      <c r="C4772" s="2" t="s">
        <v>18886</v>
      </c>
      <c r="D4772" s="169">
        <v>46131.0</v>
      </c>
      <c r="E4772" s="2">
        <v>3.3161718E9</v>
      </c>
      <c r="F4772" s="2" t="s">
        <v>18887</v>
      </c>
      <c r="G4772" s="2" t="s">
        <v>688</v>
      </c>
      <c r="H4772" s="2">
        <v>2098.0</v>
      </c>
      <c r="I4772" s="2"/>
      <c r="J4772" s="3">
        <v>1.0</v>
      </c>
      <c r="K4772" s="2"/>
      <c r="L4772" s="2" t="s">
        <v>243</v>
      </c>
      <c r="M4772" s="2" t="s">
        <v>406</v>
      </c>
      <c r="N4772" s="2" t="s">
        <v>406</v>
      </c>
      <c r="O4772" s="3"/>
      <c r="P4772" s="2"/>
      <c r="Q4772" s="3">
        <v>360.0</v>
      </c>
      <c r="R4772" s="3">
        <v>0.5</v>
      </c>
      <c r="U4772" s="141"/>
      <c r="X4772" s="172"/>
      <c r="Y4772" s="172">
        <v>46132.09298134259</v>
      </c>
      <c r="Z4772" s="3">
        <f t="shared" si="1"/>
        <v>46131</v>
      </c>
      <c r="AA4772" s="2" t="s">
        <v>14032</v>
      </c>
    </row>
    <row r="4773">
      <c r="A4773" s="3">
        <v>7.007662342403E12</v>
      </c>
      <c r="B4773" s="2" t="s">
        <v>18888</v>
      </c>
      <c r="C4773" s="2" t="s">
        <v>18889</v>
      </c>
      <c r="D4773" s="169">
        <v>46131.0</v>
      </c>
      <c r="E4773" s="2">
        <v>3.016244677E9</v>
      </c>
      <c r="F4773" s="2" t="s">
        <v>18890</v>
      </c>
      <c r="G4773" s="2" t="s">
        <v>993</v>
      </c>
      <c r="H4773" s="2">
        <v>5648.0</v>
      </c>
      <c r="I4773" s="2"/>
      <c r="J4773" s="3">
        <v>3.0</v>
      </c>
      <c r="K4773" s="2"/>
      <c r="L4773" s="2" t="s">
        <v>18891</v>
      </c>
      <c r="M4773" s="2" t="s">
        <v>406</v>
      </c>
      <c r="N4773" s="2" t="s">
        <v>406</v>
      </c>
      <c r="O4773" s="3"/>
      <c r="P4773" s="2"/>
      <c r="Q4773" s="3">
        <v>1570.0</v>
      </c>
      <c r="R4773" s="3">
        <v>0.5</v>
      </c>
      <c r="U4773" s="141"/>
      <c r="X4773" s="172"/>
      <c r="Y4773" s="172">
        <v>46132.09298134259</v>
      </c>
      <c r="Z4773" s="3">
        <f t="shared" si="1"/>
        <v>46131</v>
      </c>
      <c r="AA4773" s="2" t="s">
        <v>14032</v>
      </c>
    </row>
    <row r="4774">
      <c r="A4774" s="3">
        <v>7.007846138115E12</v>
      </c>
      <c r="B4774" s="2" t="s">
        <v>18892</v>
      </c>
      <c r="C4774" s="2" t="s">
        <v>18893</v>
      </c>
      <c r="D4774" s="169">
        <v>46132.0</v>
      </c>
      <c r="E4774" s="2">
        <v>3.005025056E9</v>
      </c>
      <c r="F4774" s="2" t="s">
        <v>18894</v>
      </c>
      <c r="G4774" s="2" t="s">
        <v>368</v>
      </c>
      <c r="H4774" s="2">
        <v>2098.0</v>
      </c>
      <c r="I4774" s="2"/>
      <c r="J4774" s="3">
        <v>1.0</v>
      </c>
      <c r="K4774" s="2"/>
      <c r="L4774" s="2" t="s">
        <v>16135</v>
      </c>
      <c r="M4774" s="2" t="s">
        <v>406</v>
      </c>
      <c r="N4774" s="2" t="s">
        <v>406</v>
      </c>
      <c r="O4774" s="3"/>
      <c r="P4774" s="2"/>
      <c r="Q4774" s="3">
        <v>360.0</v>
      </c>
      <c r="R4774" s="3">
        <v>0.5</v>
      </c>
      <c r="U4774" s="141"/>
      <c r="X4774" s="172"/>
      <c r="Y4774" s="172">
        <v>46132.09298134259</v>
      </c>
      <c r="Z4774" s="3">
        <f t="shared" si="1"/>
        <v>46132</v>
      </c>
      <c r="AA4774" s="2" t="s">
        <v>14032</v>
      </c>
    </row>
    <row r="4775">
      <c r="A4775" s="3">
        <v>7.007940083971E12</v>
      </c>
      <c r="B4775" s="2" t="s">
        <v>18895</v>
      </c>
      <c r="C4775" s="2" t="s">
        <v>18896</v>
      </c>
      <c r="D4775" s="169">
        <v>46132.0</v>
      </c>
      <c r="E4775" s="2">
        <v>3.120856664E9</v>
      </c>
      <c r="F4775" s="2" t="s">
        <v>18897</v>
      </c>
      <c r="G4775" s="2" t="s">
        <v>506</v>
      </c>
      <c r="H4775" s="2">
        <v>2999.0</v>
      </c>
      <c r="I4775" s="2"/>
      <c r="J4775" s="3">
        <v>2.0</v>
      </c>
      <c r="K4775" s="2"/>
      <c r="L4775" s="2" t="s">
        <v>2324</v>
      </c>
      <c r="M4775" s="2" t="s">
        <v>406</v>
      </c>
      <c r="N4775" s="2" t="s">
        <v>406</v>
      </c>
      <c r="O4775" s="3"/>
      <c r="P4775" s="2"/>
      <c r="Q4775" s="3">
        <v>720.0</v>
      </c>
      <c r="R4775" s="3">
        <v>0.5</v>
      </c>
      <c r="U4775" s="141"/>
      <c r="X4775" s="172"/>
      <c r="Y4775" s="172">
        <v>46132.09298134259</v>
      </c>
      <c r="Z4775" s="3">
        <f t="shared" si="1"/>
        <v>46132</v>
      </c>
      <c r="AA4775" s="2" t="s">
        <v>14032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2.63"/>
  </cols>
  <sheetData>
    <row r="1">
      <c r="A1" s="177" t="s">
        <v>18898</v>
      </c>
      <c r="B1" s="177" t="s">
        <v>18899</v>
      </c>
      <c r="E1" s="178" t="s">
        <v>18900</v>
      </c>
      <c r="F1" s="178" t="s">
        <v>18901</v>
      </c>
      <c r="G1" s="178" t="s">
        <v>18902</v>
      </c>
      <c r="H1" s="178" t="s">
        <v>18903</v>
      </c>
      <c r="I1" s="178" t="s">
        <v>62</v>
      </c>
      <c r="J1" s="178" t="s">
        <v>18904</v>
      </c>
      <c r="K1" s="178" t="s">
        <v>18905</v>
      </c>
      <c r="L1" s="178" t="s">
        <v>18906</v>
      </c>
      <c r="M1" s="178" t="s">
        <v>18907</v>
      </c>
    </row>
    <row r="2">
      <c r="A2" s="2" t="s">
        <v>18908</v>
      </c>
      <c r="B2" s="2" t="s">
        <v>18909</v>
      </c>
      <c r="C2" s="2" t="s">
        <v>348</v>
      </c>
    </row>
    <row r="3">
      <c r="A3" s="2" t="s">
        <v>18910</v>
      </c>
      <c r="B3" s="2" t="s">
        <v>18911</v>
      </c>
      <c r="C3" s="2" t="s">
        <v>18912</v>
      </c>
    </row>
    <row r="4">
      <c r="A4" s="2" t="s">
        <v>18913</v>
      </c>
      <c r="B4" s="2" t="s">
        <v>18914</v>
      </c>
      <c r="C4" s="2" t="s">
        <v>18915</v>
      </c>
    </row>
    <row r="5">
      <c r="A5" s="2" t="s">
        <v>18916</v>
      </c>
      <c r="B5" s="2" t="s">
        <v>18917</v>
      </c>
      <c r="C5" s="2" t="s">
        <v>18918</v>
      </c>
    </row>
    <row r="6">
      <c r="A6" s="2" t="s">
        <v>18919</v>
      </c>
      <c r="B6" s="2" t="s">
        <v>18920</v>
      </c>
      <c r="C6" s="2" t="s">
        <v>18921</v>
      </c>
    </row>
    <row r="7">
      <c r="A7" s="2" t="s">
        <v>18922</v>
      </c>
      <c r="B7" s="2" t="s">
        <v>406</v>
      </c>
    </row>
    <row r="8">
      <c r="A8" s="2" t="s">
        <v>18923</v>
      </c>
      <c r="B8" s="2" t="s">
        <v>409</v>
      </c>
    </row>
    <row r="9">
      <c r="A9" s="2" t="s">
        <v>346</v>
      </c>
      <c r="B9" s="2" t="s">
        <v>455</v>
      </c>
    </row>
    <row r="10">
      <c r="A10" s="2" t="s">
        <v>18924</v>
      </c>
      <c r="B10" s="2" t="s">
        <v>468</v>
      </c>
    </row>
    <row r="11">
      <c r="B11" s="2" t="s">
        <v>347</v>
      </c>
    </row>
    <row r="12">
      <c r="B12" s="2" t="s">
        <v>18925</v>
      </c>
    </row>
    <row r="13">
      <c r="B13" s="2" t="s">
        <v>18926</v>
      </c>
      <c r="E13" s="2" t="s">
        <v>18927</v>
      </c>
      <c r="F13" s="2" t="s">
        <v>18922</v>
      </c>
      <c r="H13" s="2" t="s">
        <v>18911</v>
      </c>
      <c r="J13" s="2" t="s">
        <v>18928</v>
      </c>
    </row>
    <row r="14">
      <c r="B14" s="2" t="s">
        <v>18929</v>
      </c>
      <c r="E14" s="2" t="s">
        <v>18930</v>
      </c>
      <c r="F14" s="2" t="s">
        <v>346</v>
      </c>
      <c r="I14" s="2" t="s">
        <v>347</v>
      </c>
      <c r="K14" s="2" t="s">
        <v>18931</v>
      </c>
      <c r="L14" s="2" t="s">
        <v>348</v>
      </c>
      <c r="M14" s="2" t="s">
        <v>18932</v>
      </c>
    </row>
    <row r="15">
      <c r="E15" s="2" t="s">
        <v>18933</v>
      </c>
      <c r="F15" s="2" t="s">
        <v>18922</v>
      </c>
      <c r="I15" s="2" t="s">
        <v>409</v>
      </c>
      <c r="J15" s="2" t="s">
        <v>18934</v>
      </c>
      <c r="K15" s="2" t="s">
        <v>18935</v>
      </c>
      <c r="L15" s="2" t="s">
        <v>348</v>
      </c>
      <c r="M15" s="2" t="s">
        <v>18936</v>
      </c>
    </row>
    <row r="16">
      <c r="E16" s="2" t="s">
        <v>18937</v>
      </c>
      <c r="F16" s="2" t="s">
        <v>18919</v>
      </c>
      <c r="I16" s="2" t="s">
        <v>455</v>
      </c>
      <c r="K16" s="2" t="s">
        <v>18938</v>
      </c>
      <c r="L16" s="2" t="s">
        <v>18918</v>
      </c>
      <c r="M16" s="2" t="s">
        <v>18939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18940</v>
      </c>
      <c r="J1" s="2" t="s">
        <v>18941</v>
      </c>
    </row>
    <row r="2">
      <c r="A2" s="113">
        <v>27742.0</v>
      </c>
      <c r="B2" s="113">
        <v>5.88</v>
      </c>
      <c r="J2" s="2" t="s">
        <v>18942</v>
      </c>
    </row>
    <row r="3">
      <c r="A3" s="113">
        <v>28559.0</v>
      </c>
      <c r="B3" s="113">
        <v>5.23</v>
      </c>
      <c r="J3" s="2" t="s">
        <v>18943</v>
      </c>
    </row>
    <row r="4">
      <c r="A4" s="113">
        <v>33743.0</v>
      </c>
      <c r="B4" s="113">
        <v>5.27</v>
      </c>
      <c r="C4" s="179">
        <v>46370.0</v>
      </c>
      <c r="J4" s="2" t="s">
        <v>18944</v>
      </c>
    </row>
    <row r="5">
      <c r="A5" s="113">
        <v>32601.0</v>
      </c>
      <c r="B5" s="113">
        <v>3.58</v>
      </c>
      <c r="C5" s="179">
        <v>46371.0</v>
      </c>
      <c r="J5" s="2" t="s">
        <v>18945</v>
      </c>
    </row>
    <row r="6">
      <c r="A6" s="113">
        <v>37007.0</v>
      </c>
      <c r="B6" s="113">
        <v>5.45</v>
      </c>
      <c r="C6" s="179">
        <v>46372.0</v>
      </c>
      <c r="J6" s="2" t="s">
        <v>18946</v>
      </c>
    </row>
    <row r="7">
      <c r="A7" s="113">
        <v>30674.0</v>
      </c>
      <c r="B7" s="113">
        <v>5.79</v>
      </c>
      <c r="C7" s="179">
        <v>46373.0</v>
      </c>
    </row>
    <row r="8">
      <c r="A8" s="113">
        <v>31249.0</v>
      </c>
      <c r="B8" s="113">
        <v>5.18</v>
      </c>
      <c r="C8" s="179">
        <v>46374.0</v>
      </c>
    </row>
    <row r="9">
      <c r="A9" s="113">
        <v>34315.0</v>
      </c>
      <c r="B9" s="113">
        <v>4.66</v>
      </c>
      <c r="C9" s="179">
        <v>46375.0</v>
      </c>
    </row>
    <row r="10">
      <c r="A10" s="113">
        <v>30382.0</v>
      </c>
      <c r="B10" s="113">
        <v>5.18</v>
      </c>
      <c r="C10" s="179">
        <v>46376.0</v>
      </c>
    </row>
    <row r="11">
      <c r="A11" s="113">
        <v>38499.0</v>
      </c>
      <c r="B11" s="113">
        <v>3.96</v>
      </c>
      <c r="C11" s="179">
        <v>46377.0</v>
      </c>
    </row>
    <row r="12">
      <c r="A12" s="113">
        <v>25409.0</v>
      </c>
      <c r="B12" s="113">
        <v>3.56</v>
      </c>
      <c r="C12" s="179">
        <v>46378.0</v>
      </c>
    </row>
    <row r="13">
      <c r="A13" s="113">
        <v>26967.0</v>
      </c>
      <c r="B13" s="113">
        <v>3.92</v>
      </c>
      <c r="C13" s="179">
        <v>46379.0</v>
      </c>
    </row>
    <row r="14">
      <c r="A14" s="113">
        <v>28577.0</v>
      </c>
      <c r="B14" s="113">
        <v>2.39</v>
      </c>
      <c r="C14" s="179">
        <v>46380.0</v>
      </c>
    </row>
    <row r="15">
      <c r="A15" s="113">
        <v>29450.0</v>
      </c>
      <c r="B15" s="113">
        <v>4.4</v>
      </c>
      <c r="C15" s="179">
        <v>46381.0</v>
      </c>
    </row>
    <row r="16">
      <c r="A16" s="113">
        <v>26706.0</v>
      </c>
      <c r="B16" s="113">
        <v>4.78</v>
      </c>
      <c r="C16" s="179">
        <v>46382.0</v>
      </c>
    </row>
    <row r="17">
      <c r="A17" s="113">
        <v>25184.0</v>
      </c>
      <c r="B17" s="113">
        <v>3.92</v>
      </c>
      <c r="C17" s="179">
        <v>46383.0</v>
      </c>
    </row>
    <row r="18">
      <c r="A18" s="113">
        <v>19820.0</v>
      </c>
      <c r="B18" s="113">
        <v>4.25</v>
      </c>
      <c r="C18" s="179">
        <v>46384.0</v>
      </c>
    </row>
    <row r="19">
      <c r="A19" s="113">
        <v>23775.0</v>
      </c>
      <c r="B19" s="113">
        <v>4.8</v>
      </c>
      <c r="C19" s="179">
        <v>46385.0</v>
      </c>
    </row>
    <row r="20">
      <c r="A20" s="113">
        <v>24693.0</v>
      </c>
      <c r="B20" s="113">
        <v>4.01</v>
      </c>
      <c r="C20" s="179">
        <v>46386.0</v>
      </c>
    </row>
    <row r="21">
      <c r="A21" s="113">
        <v>23558.0</v>
      </c>
      <c r="B21" s="113">
        <v>3.97</v>
      </c>
      <c r="C21" s="179">
        <v>46387.0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56</v>
      </c>
      <c r="B1" s="2" t="s">
        <v>18947</v>
      </c>
      <c r="C1" s="2" t="s">
        <v>5</v>
      </c>
      <c r="D1" s="2" t="s">
        <v>18948</v>
      </c>
      <c r="E1" s="2" t="s">
        <v>18949</v>
      </c>
      <c r="F1" s="2" t="s">
        <v>7</v>
      </c>
      <c r="G1" s="2" t="s">
        <v>62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63"/>
  </cols>
  <sheetData>
    <row r="1">
      <c r="A1" s="10" t="s">
        <v>56</v>
      </c>
      <c r="B1" s="12" t="s">
        <v>18950</v>
      </c>
      <c r="C1" s="12" t="s">
        <v>355</v>
      </c>
      <c r="D1" s="12" t="s">
        <v>445</v>
      </c>
      <c r="E1" s="12" t="s">
        <v>443</v>
      </c>
      <c r="F1" s="12" t="s">
        <v>444</v>
      </c>
      <c r="H1" s="172"/>
    </row>
    <row r="2">
      <c r="A2" s="180">
        <v>2.7120050022845E13</v>
      </c>
      <c r="B2" s="181" t="s">
        <v>71</v>
      </c>
      <c r="C2" s="180">
        <v>3499.0</v>
      </c>
      <c r="D2" s="180">
        <v>376.0</v>
      </c>
      <c r="E2" s="181" t="s">
        <v>14037</v>
      </c>
      <c r="F2" s="182">
        <v>46112.0</v>
      </c>
      <c r="H2" s="172"/>
    </row>
    <row r="3">
      <c r="A3" s="180">
        <v>2.5120050022902E13</v>
      </c>
      <c r="B3" s="181" t="s">
        <v>71</v>
      </c>
      <c r="C3" s="180">
        <v>2199.0</v>
      </c>
      <c r="D3" s="180">
        <v>324.0</v>
      </c>
      <c r="E3" s="181" t="s">
        <v>14037</v>
      </c>
      <c r="F3" s="182">
        <v>46112.0</v>
      </c>
      <c r="H3" s="172"/>
    </row>
    <row r="4">
      <c r="A4" s="180">
        <v>2.2120050022796E13</v>
      </c>
      <c r="B4" s="181" t="s">
        <v>71</v>
      </c>
      <c r="C4" s="180">
        <v>249.0</v>
      </c>
      <c r="D4" s="180">
        <v>344.0</v>
      </c>
      <c r="E4" s="181" t="s">
        <v>14037</v>
      </c>
      <c r="F4" s="182">
        <v>46112.0</v>
      </c>
      <c r="H4" s="172"/>
    </row>
    <row r="5">
      <c r="A5" s="180">
        <v>2.6120050022786E13</v>
      </c>
      <c r="B5" s="181" t="s">
        <v>71</v>
      </c>
      <c r="C5" s="180">
        <v>249.0</v>
      </c>
      <c r="D5" s="180">
        <v>347.0</v>
      </c>
      <c r="E5" s="181" t="s">
        <v>14037</v>
      </c>
      <c r="F5" s="182">
        <v>46112.0</v>
      </c>
      <c r="H5" s="172"/>
    </row>
    <row r="6">
      <c r="A6" s="180">
        <v>2.7120050022827E13</v>
      </c>
      <c r="B6" s="181" t="s">
        <v>71</v>
      </c>
      <c r="C6" s="180">
        <v>2500.0</v>
      </c>
      <c r="D6" s="180">
        <v>236.0</v>
      </c>
      <c r="E6" s="181" t="s">
        <v>14037</v>
      </c>
      <c r="F6" s="182">
        <v>46112.0</v>
      </c>
      <c r="H6" s="172"/>
    </row>
    <row r="7">
      <c r="A7" s="183"/>
      <c r="B7" s="184"/>
      <c r="C7" s="183"/>
      <c r="D7" s="183"/>
      <c r="E7" s="183"/>
      <c r="F7" s="185"/>
      <c r="H7" s="172"/>
    </row>
    <row r="8">
      <c r="A8" s="183"/>
      <c r="B8" s="184"/>
      <c r="C8" s="183"/>
      <c r="D8" s="183"/>
      <c r="E8" s="183"/>
      <c r="F8" s="185"/>
    </row>
    <row r="9">
      <c r="A9" s="183"/>
      <c r="B9" s="184"/>
      <c r="C9" s="183"/>
      <c r="D9" s="183"/>
      <c r="E9" s="183"/>
      <c r="F9" s="185"/>
      <c r="H9" s="172"/>
    </row>
    <row r="10">
      <c r="A10" s="183"/>
      <c r="B10" s="184"/>
      <c r="C10" s="183"/>
      <c r="D10" s="183"/>
      <c r="E10" s="183"/>
      <c r="F10" s="185"/>
      <c r="H10" s="172"/>
    </row>
    <row r="11">
      <c r="A11" s="183"/>
      <c r="B11" s="184"/>
      <c r="C11" s="183"/>
      <c r="D11" s="183"/>
      <c r="E11" s="183"/>
      <c r="F11" s="185"/>
      <c r="H11" s="172"/>
    </row>
    <row r="12">
      <c r="A12" s="183"/>
      <c r="B12" s="184"/>
      <c r="C12" s="183"/>
      <c r="D12" s="183"/>
      <c r="E12" s="183"/>
      <c r="F12" s="185"/>
      <c r="H12" s="172"/>
    </row>
    <row r="13">
      <c r="A13" s="183"/>
      <c r="B13" s="184"/>
      <c r="C13" s="183"/>
      <c r="D13" s="183"/>
      <c r="E13" s="183"/>
      <c r="F13" s="185"/>
      <c r="H13" s="172"/>
    </row>
    <row r="14">
      <c r="A14" s="183"/>
      <c r="B14" s="184"/>
      <c r="C14" s="183"/>
      <c r="D14" s="183"/>
      <c r="E14" s="183"/>
      <c r="F14" s="185"/>
    </row>
    <row r="15">
      <c r="A15" s="183"/>
      <c r="B15" s="184"/>
      <c r="C15" s="183"/>
      <c r="D15" s="183"/>
      <c r="E15" s="183"/>
      <c r="F15" s="185"/>
      <c r="H15" s="172"/>
    </row>
    <row r="16">
      <c r="A16" s="183"/>
      <c r="B16" s="184"/>
      <c r="C16" s="183"/>
      <c r="D16" s="183"/>
      <c r="E16" s="183"/>
      <c r="F16" s="185"/>
    </row>
    <row r="17">
      <c r="A17" s="183"/>
      <c r="B17" s="184"/>
      <c r="C17" s="183"/>
      <c r="D17" s="183"/>
      <c r="E17" s="183"/>
      <c r="F17" s="185"/>
      <c r="H17" s="172"/>
    </row>
    <row r="18">
      <c r="A18" s="183"/>
      <c r="B18" s="184"/>
      <c r="C18" s="183"/>
      <c r="D18" s="183"/>
      <c r="E18" s="183"/>
      <c r="F18" s="185"/>
      <c r="H18" s="172"/>
    </row>
    <row r="19">
      <c r="A19" s="183"/>
      <c r="B19" s="184"/>
      <c r="C19" s="183"/>
      <c r="D19" s="183"/>
      <c r="E19" s="183"/>
      <c r="F19" s="185"/>
      <c r="H19" s="172"/>
    </row>
    <row r="20">
      <c r="A20" s="183"/>
      <c r="B20" s="184"/>
      <c r="C20" s="183"/>
      <c r="D20" s="183"/>
      <c r="E20" s="183"/>
      <c r="F20" s="185"/>
      <c r="H20" s="172"/>
    </row>
    <row r="21">
      <c r="A21" s="183"/>
      <c r="B21" s="184"/>
      <c r="C21" s="183"/>
      <c r="D21" s="183"/>
      <c r="E21" s="183"/>
      <c r="F21" s="185"/>
    </row>
    <row r="22">
      <c r="A22" s="183"/>
      <c r="B22" s="184"/>
      <c r="C22" s="183"/>
      <c r="D22" s="183"/>
      <c r="E22" s="183"/>
      <c r="F22" s="185"/>
      <c r="H22" s="172"/>
    </row>
    <row r="23">
      <c r="A23" s="183"/>
      <c r="B23" s="184"/>
      <c r="C23" s="183"/>
      <c r="D23" s="183"/>
      <c r="E23" s="183"/>
      <c r="F23" s="185"/>
      <c r="H23" s="172"/>
    </row>
    <row r="24">
      <c r="A24" s="183"/>
      <c r="B24" s="184"/>
      <c r="C24" s="183"/>
      <c r="D24" s="183"/>
      <c r="E24" s="183"/>
      <c r="F24" s="185"/>
      <c r="H24" s="172"/>
    </row>
    <row r="25">
      <c r="A25" s="183"/>
      <c r="B25" s="184"/>
      <c r="C25" s="183"/>
      <c r="D25" s="183"/>
      <c r="E25" s="183"/>
      <c r="F25" s="185"/>
      <c r="H25" s="172"/>
    </row>
    <row r="26">
      <c r="A26" s="183"/>
      <c r="B26" s="184"/>
      <c r="C26" s="183"/>
      <c r="D26" s="183"/>
      <c r="E26" s="183"/>
      <c r="F26" s="185"/>
      <c r="H26" s="172"/>
    </row>
    <row r="27">
      <c r="A27" s="183"/>
      <c r="B27" s="184"/>
      <c r="C27" s="183"/>
      <c r="D27" s="183"/>
      <c r="E27" s="183"/>
      <c r="F27" s="185"/>
      <c r="H27" s="172"/>
    </row>
    <row r="28">
      <c r="A28" s="183"/>
      <c r="B28" s="184"/>
      <c r="C28" s="183"/>
      <c r="D28" s="183"/>
      <c r="E28" s="183"/>
      <c r="F28" s="185"/>
      <c r="H28" s="172"/>
    </row>
    <row r="29">
      <c r="A29" s="183"/>
      <c r="B29" s="184"/>
      <c r="C29" s="183"/>
      <c r="D29" s="183"/>
      <c r="E29" s="183"/>
      <c r="F29" s="185"/>
      <c r="H29" s="172"/>
    </row>
    <row r="30">
      <c r="A30" s="183"/>
      <c r="B30" s="184"/>
      <c r="C30" s="183"/>
      <c r="D30" s="183"/>
      <c r="E30" s="183"/>
      <c r="F30" s="185"/>
    </row>
    <row r="31">
      <c r="A31" s="183"/>
      <c r="B31" s="184"/>
      <c r="C31" s="183"/>
      <c r="D31" s="183"/>
      <c r="E31" s="183"/>
      <c r="F31" s="185"/>
      <c r="H31" s="172"/>
    </row>
    <row r="32">
      <c r="A32" s="183"/>
      <c r="B32" s="184"/>
      <c r="C32" s="183"/>
      <c r="D32" s="183"/>
      <c r="E32" s="183"/>
      <c r="F32" s="185"/>
      <c r="H32" s="172"/>
    </row>
    <row r="33">
      <c r="A33" s="183"/>
      <c r="B33" s="184"/>
      <c r="C33" s="183"/>
      <c r="D33" s="183"/>
      <c r="E33" s="183"/>
      <c r="F33" s="185"/>
      <c r="H33" s="172"/>
    </row>
    <row r="34">
      <c r="A34" s="183"/>
      <c r="B34" s="184"/>
      <c r="C34" s="183"/>
      <c r="D34" s="183"/>
      <c r="E34" s="183"/>
      <c r="F34" s="185"/>
      <c r="H34" s="172"/>
    </row>
    <row r="35">
      <c r="A35" s="183"/>
      <c r="B35" s="184"/>
      <c r="C35" s="183"/>
      <c r="D35" s="183"/>
      <c r="E35" s="183"/>
      <c r="F35" s="185"/>
    </row>
    <row r="36">
      <c r="A36" s="183"/>
      <c r="B36" s="184"/>
      <c r="C36" s="183"/>
      <c r="D36" s="183"/>
      <c r="E36" s="183"/>
      <c r="F36" s="185"/>
      <c r="H36" s="172"/>
    </row>
    <row r="37">
      <c r="A37" s="183"/>
      <c r="B37" s="184"/>
      <c r="C37" s="183"/>
      <c r="D37" s="183"/>
      <c r="E37" s="183"/>
      <c r="F37" s="185"/>
    </row>
    <row r="38">
      <c r="A38" s="183"/>
      <c r="B38" s="184"/>
      <c r="C38" s="183"/>
      <c r="D38" s="183"/>
      <c r="E38" s="183"/>
      <c r="F38" s="185"/>
      <c r="H38" s="172"/>
    </row>
    <row r="39">
      <c r="A39" s="186"/>
      <c r="B39" s="184"/>
      <c r="C39" s="183"/>
      <c r="E39" s="183"/>
      <c r="F39" s="185"/>
      <c r="H39" s="172"/>
    </row>
    <row r="40">
      <c r="A40" s="186"/>
      <c r="B40" s="184"/>
      <c r="C40" s="183"/>
      <c r="E40" s="183"/>
      <c r="F40" s="185"/>
      <c r="H40" s="172"/>
    </row>
    <row r="41">
      <c r="A41" s="186"/>
      <c r="B41" s="184"/>
      <c r="C41" s="183"/>
      <c r="E41" s="183"/>
      <c r="F41" s="185"/>
    </row>
    <row r="42">
      <c r="A42" s="186"/>
      <c r="B42" s="184"/>
      <c r="C42" s="183"/>
      <c r="E42" s="183"/>
      <c r="F42" s="185"/>
    </row>
    <row r="43">
      <c r="A43" s="186"/>
      <c r="B43" s="184"/>
      <c r="C43" s="183"/>
      <c r="E43" s="183"/>
      <c r="F43" s="185"/>
      <c r="H43" s="172"/>
    </row>
    <row r="44">
      <c r="A44" s="186"/>
      <c r="B44" s="184"/>
      <c r="C44" s="183"/>
      <c r="E44" s="183"/>
      <c r="F44" s="185"/>
      <c r="H44" s="172"/>
    </row>
    <row r="45">
      <c r="A45" s="186"/>
      <c r="B45" s="184"/>
      <c r="C45" s="183"/>
      <c r="E45" s="183"/>
      <c r="F45" s="185"/>
      <c r="H45" s="172"/>
    </row>
    <row r="46">
      <c r="A46" s="186"/>
      <c r="B46" s="184"/>
      <c r="C46" s="183"/>
      <c r="E46" s="183"/>
      <c r="F46" s="185"/>
      <c r="H46" s="172"/>
    </row>
    <row r="47">
      <c r="A47" s="186"/>
      <c r="B47" s="184"/>
      <c r="C47" s="183"/>
      <c r="E47" s="183"/>
      <c r="F47" s="185"/>
    </row>
    <row r="48">
      <c r="A48" s="186"/>
      <c r="B48" s="184"/>
      <c r="C48" s="183"/>
      <c r="E48" s="183"/>
      <c r="F48" s="185"/>
      <c r="H48" s="172"/>
    </row>
    <row r="49">
      <c r="A49" s="186"/>
      <c r="B49" s="184"/>
      <c r="C49" s="183"/>
      <c r="E49" s="183"/>
      <c r="F49" s="185"/>
    </row>
    <row r="50">
      <c r="A50" s="186"/>
      <c r="B50" s="184"/>
      <c r="C50" s="183"/>
      <c r="E50" s="183"/>
      <c r="F50" s="185"/>
    </row>
    <row r="51">
      <c r="A51" s="186"/>
      <c r="B51" s="184"/>
      <c r="C51" s="183"/>
      <c r="E51" s="183"/>
      <c r="F51" s="185"/>
      <c r="H51" s="172"/>
    </row>
    <row r="52">
      <c r="A52" s="186"/>
      <c r="B52" s="184"/>
      <c r="C52" s="183"/>
      <c r="E52" s="183"/>
      <c r="F52" s="185"/>
      <c r="H52" s="172"/>
    </row>
    <row r="53">
      <c r="A53" s="183"/>
      <c r="B53" s="184"/>
      <c r="C53" s="186"/>
      <c r="D53" s="183"/>
      <c r="E53" s="183"/>
      <c r="F53" s="185"/>
    </row>
    <row r="54">
      <c r="A54" s="183"/>
      <c r="B54" s="184"/>
      <c r="C54" s="186"/>
      <c r="D54" s="183"/>
      <c r="E54" s="183"/>
      <c r="F54" s="185"/>
      <c r="H54" s="172"/>
    </row>
    <row r="55">
      <c r="A55" s="183"/>
      <c r="B55" s="184"/>
      <c r="C55" s="186"/>
      <c r="D55" s="183"/>
      <c r="E55" s="183"/>
      <c r="F55" s="185"/>
      <c r="H55" s="172"/>
    </row>
    <row r="56">
      <c r="A56" s="183"/>
      <c r="B56" s="184"/>
      <c r="C56" s="186"/>
      <c r="D56" s="183"/>
      <c r="E56" s="183"/>
      <c r="F56" s="185"/>
      <c r="H56" s="172"/>
    </row>
    <row r="57">
      <c r="A57" s="183"/>
      <c r="B57" s="184"/>
      <c r="C57" s="186"/>
      <c r="D57" s="183"/>
      <c r="E57" s="183"/>
      <c r="F57" s="185"/>
    </row>
    <row r="58">
      <c r="A58" s="183"/>
      <c r="B58" s="184"/>
      <c r="C58" s="186"/>
      <c r="D58" s="183"/>
      <c r="E58" s="183"/>
      <c r="F58" s="185"/>
      <c r="H58" s="172"/>
    </row>
    <row r="59">
      <c r="A59" s="183"/>
      <c r="B59" s="184"/>
      <c r="C59" s="186"/>
      <c r="D59" s="183"/>
      <c r="E59" s="183"/>
      <c r="F59" s="185"/>
      <c r="H59" s="172"/>
    </row>
    <row r="60">
      <c r="A60" s="183"/>
      <c r="B60" s="184"/>
      <c r="C60" s="186"/>
      <c r="D60" s="183"/>
      <c r="E60" s="183"/>
      <c r="F60" s="185"/>
      <c r="H60" s="172"/>
    </row>
    <row r="61">
      <c r="A61" s="183"/>
      <c r="B61" s="184"/>
      <c r="C61" s="186"/>
      <c r="D61" s="183"/>
      <c r="E61" s="183"/>
      <c r="F61" s="185"/>
      <c r="H61" s="172"/>
    </row>
    <row r="62">
      <c r="A62" s="183"/>
      <c r="B62" s="184"/>
      <c r="C62" s="186"/>
      <c r="D62" s="183"/>
      <c r="E62" s="183"/>
      <c r="F62" s="185"/>
      <c r="H62" s="172"/>
    </row>
    <row r="63">
      <c r="A63" s="183"/>
      <c r="B63" s="184"/>
      <c r="C63" s="186"/>
      <c r="D63" s="183"/>
      <c r="E63" s="183"/>
      <c r="F63" s="185"/>
      <c r="H63" s="172"/>
    </row>
    <row r="64">
      <c r="A64" s="183"/>
      <c r="B64" s="184"/>
      <c r="C64" s="186"/>
      <c r="D64" s="183"/>
      <c r="E64" s="183"/>
      <c r="F64" s="185"/>
    </row>
    <row r="65">
      <c r="A65" s="183"/>
      <c r="B65" s="184"/>
      <c r="C65" s="186"/>
      <c r="D65" s="183"/>
      <c r="E65" s="183"/>
      <c r="F65" s="185"/>
      <c r="H65" s="172"/>
    </row>
    <row r="66">
      <c r="A66" s="183"/>
      <c r="B66" s="184"/>
      <c r="C66" s="186"/>
      <c r="D66" s="183"/>
      <c r="E66" s="183"/>
      <c r="F66" s="185"/>
    </row>
    <row r="67">
      <c r="A67" s="183"/>
      <c r="B67" s="184"/>
      <c r="C67" s="186"/>
      <c r="D67" s="183"/>
      <c r="E67" s="183"/>
      <c r="F67" s="185"/>
      <c r="H67" s="172"/>
    </row>
    <row r="68">
      <c r="A68" s="183"/>
      <c r="B68" s="184"/>
      <c r="C68" s="186"/>
      <c r="D68" s="183"/>
      <c r="E68" s="183"/>
      <c r="F68" s="185"/>
      <c r="H68" s="172"/>
    </row>
    <row r="69">
      <c r="A69" s="183"/>
      <c r="B69" s="184"/>
      <c r="C69" s="186"/>
      <c r="D69" s="183"/>
      <c r="E69" s="183"/>
      <c r="F69" s="185"/>
      <c r="H69" s="172"/>
    </row>
    <row r="70">
      <c r="A70" s="183"/>
      <c r="B70" s="184"/>
      <c r="C70" s="186"/>
      <c r="D70" s="183"/>
      <c r="E70" s="183"/>
      <c r="F70" s="185"/>
    </row>
    <row r="71">
      <c r="A71" s="183"/>
      <c r="B71" s="184"/>
      <c r="C71" s="186"/>
      <c r="D71" s="183"/>
      <c r="E71" s="183"/>
      <c r="F71" s="185"/>
    </row>
    <row r="72">
      <c r="A72" s="183"/>
      <c r="B72" s="184"/>
      <c r="C72" s="186"/>
      <c r="D72" s="183"/>
      <c r="E72" s="183"/>
      <c r="F72" s="185"/>
      <c r="H72" s="172"/>
    </row>
    <row r="73">
      <c r="A73" s="183"/>
      <c r="B73" s="184"/>
      <c r="C73" s="186"/>
      <c r="D73" s="183"/>
      <c r="E73" s="183"/>
      <c r="F73" s="185"/>
    </row>
    <row r="74">
      <c r="A74" s="183"/>
      <c r="B74" s="184"/>
      <c r="C74" s="186"/>
      <c r="D74" s="183"/>
      <c r="E74" s="183"/>
      <c r="F74" s="185"/>
      <c r="H74" s="172"/>
    </row>
    <row r="75">
      <c r="A75" s="183"/>
      <c r="B75" s="184"/>
      <c r="C75" s="186"/>
      <c r="D75" s="183"/>
      <c r="E75" s="183"/>
      <c r="F75" s="185"/>
      <c r="H75" s="172"/>
    </row>
    <row r="76">
      <c r="A76" s="183"/>
      <c r="B76" s="184"/>
      <c r="C76" s="186"/>
      <c r="D76" s="183"/>
      <c r="E76" s="183"/>
      <c r="F76" s="185"/>
      <c r="H76" s="172"/>
    </row>
    <row r="77">
      <c r="A77" s="183"/>
      <c r="B77" s="184"/>
      <c r="C77" s="186"/>
      <c r="D77" s="183"/>
      <c r="E77" s="183"/>
      <c r="F77" s="185"/>
    </row>
    <row r="78">
      <c r="A78" s="183"/>
      <c r="B78" s="184"/>
      <c r="C78" s="186"/>
      <c r="D78" s="183"/>
      <c r="E78" s="183"/>
      <c r="F78" s="185"/>
      <c r="H78" s="172"/>
    </row>
    <row r="79">
      <c r="A79" s="183"/>
      <c r="B79" s="184"/>
      <c r="C79" s="186"/>
      <c r="D79" s="183"/>
      <c r="E79" s="183"/>
      <c r="F79" s="185"/>
      <c r="H79" s="172"/>
    </row>
    <row r="80">
      <c r="A80" s="186"/>
      <c r="B80" s="184"/>
      <c r="C80" s="186"/>
      <c r="D80" s="186"/>
      <c r="E80" s="184"/>
      <c r="F80" s="185"/>
    </row>
    <row r="81">
      <c r="A81" s="186"/>
      <c r="B81" s="184"/>
      <c r="C81" s="186"/>
      <c r="D81" s="186"/>
      <c r="E81" s="184"/>
      <c r="F81" s="185"/>
      <c r="H81" s="172"/>
    </row>
    <row r="82">
      <c r="A82" s="186"/>
      <c r="B82" s="184"/>
      <c r="C82" s="186"/>
      <c r="D82" s="186"/>
      <c r="E82" s="184"/>
      <c r="F82" s="185"/>
      <c r="H82" s="172"/>
    </row>
    <row r="83">
      <c r="A83" s="186"/>
      <c r="B83" s="184"/>
      <c r="C83" s="186"/>
      <c r="D83" s="186"/>
      <c r="E83" s="184"/>
      <c r="F83" s="185"/>
    </row>
    <row r="84">
      <c r="A84" s="186"/>
      <c r="B84" s="184"/>
      <c r="C84" s="186"/>
      <c r="D84" s="186"/>
      <c r="E84" s="184"/>
      <c r="F84" s="185"/>
    </row>
    <row r="85">
      <c r="A85" s="186"/>
      <c r="B85" s="184"/>
      <c r="C85" s="186"/>
      <c r="D85" s="186"/>
      <c r="E85" s="184"/>
      <c r="F85" s="185"/>
    </row>
    <row r="86">
      <c r="A86" s="186"/>
      <c r="B86" s="184"/>
      <c r="C86" s="186"/>
      <c r="D86" s="186"/>
      <c r="E86" s="184"/>
      <c r="F86" s="185"/>
      <c r="H86" s="172"/>
    </row>
    <row r="87">
      <c r="A87" s="186"/>
      <c r="B87" s="184"/>
      <c r="C87" s="186"/>
      <c r="D87" s="186"/>
      <c r="E87" s="184"/>
      <c r="F87" s="185"/>
      <c r="H87" s="172"/>
    </row>
    <row r="88">
      <c r="A88" s="186"/>
      <c r="B88" s="184"/>
      <c r="C88" s="186"/>
      <c r="D88" s="186"/>
      <c r="E88" s="184"/>
      <c r="F88" s="185"/>
      <c r="H88" s="172"/>
    </row>
    <row r="89">
      <c r="A89" s="186"/>
      <c r="B89" s="184"/>
      <c r="C89" s="186"/>
      <c r="D89" s="186"/>
      <c r="E89" s="184"/>
      <c r="F89" s="185"/>
    </row>
    <row r="90">
      <c r="A90" s="186"/>
      <c r="B90" s="184"/>
      <c r="C90" s="186"/>
      <c r="D90" s="186"/>
      <c r="E90" s="184"/>
      <c r="F90" s="185"/>
    </row>
    <row r="91">
      <c r="A91" s="186"/>
      <c r="B91" s="184"/>
      <c r="C91" s="186"/>
      <c r="D91" s="186"/>
      <c r="E91" s="184"/>
      <c r="F91" s="185"/>
    </row>
    <row r="92">
      <c r="A92" s="186"/>
      <c r="B92" s="184"/>
      <c r="C92" s="186"/>
      <c r="D92" s="186"/>
      <c r="E92" s="184"/>
      <c r="F92" s="185"/>
    </row>
    <row r="93">
      <c r="A93" s="186"/>
      <c r="B93" s="184"/>
      <c r="C93" s="186"/>
      <c r="D93" s="186"/>
      <c r="E93" s="184"/>
      <c r="F93" s="185"/>
      <c r="H93" s="172"/>
    </row>
    <row r="94">
      <c r="A94" s="186"/>
      <c r="B94" s="184"/>
      <c r="C94" s="186"/>
      <c r="D94" s="186"/>
      <c r="E94" s="184"/>
      <c r="F94" s="185"/>
    </row>
    <row r="95">
      <c r="A95" s="186"/>
      <c r="B95" s="184"/>
      <c r="C95" s="186"/>
      <c r="D95" s="186"/>
      <c r="E95" s="184"/>
      <c r="F95" s="185"/>
      <c r="H95" s="172"/>
    </row>
    <row r="96">
      <c r="A96" s="186"/>
      <c r="B96" s="184"/>
      <c r="C96" s="186"/>
      <c r="D96" s="186"/>
      <c r="E96" s="184"/>
      <c r="F96" s="185"/>
      <c r="H96" s="172"/>
    </row>
    <row r="97">
      <c r="A97" s="186"/>
      <c r="B97" s="184"/>
      <c r="C97" s="186"/>
      <c r="D97" s="186"/>
      <c r="E97" s="184"/>
      <c r="F97" s="185"/>
    </row>
    <row r="98">
      <c r="A98" s="186"/>
      <c r="B98" s="184"/>
      <c r="C98" s="186"/>
      <c r="D98" s="186"/>
      <c r="E98" s="184"/>
      <c r="F98" s="185"/>
    </row>
    <row r="99">
      <c r="A99" s="186"/>
      <c r="B99" s="184"/>
      <c r="C99" s="186"/>
      <c r="D99" s="186"/>
      <c r="E99" s="184"/>
      <c r="F99" s="185"/>
      <c r="H99" s="172"/>
    </row>
    <row r="100">
      <c r="A100" s="186"/>
      <c r="B100" s="184"/>
      <c r="C100" s="186"/>
      <c r="D100" s="186"/>
      <c r="E100" s="184"/>
      <c r="F100" s="185"/>
      <c r="H100" s="172"/>
    </row>
    <row r="101">
      <c r="A101" s="186"/>
      <c r="B101" s="184"/>
      <c r="C101" s="186"/>
      <c r="D101" s="186"/>
      <c r="E101" s="184"/>
      <c r="F101" s="185"/>
    </row>
    <row r="102">
      <c r="A102" s="186"/>
      <c r="B102" s="184"/>
      <c r="C102" s="186"/>
      <c r="D102" s="186"/>
      <c r="E102" s="184"/>
      <c r="F102" s="185"/>
      <c r="H102" s="172"/>
    </row>
    <row r="103">
      <c r="A103" s="186"/>
      <c r="B103" s="184"/>
      <c r="C103" s="186"/>
      <c r="D103" s="186"/>
      <c r="E103" s="184"/>
      <c r="F103" s="185"/>
      <c r="H103" s="172"/>
    </row>
    <row r="104">
      <c r="A104" s="186"/>
      <c r="B104" s="184"/>
      <c r="C104" s="186"/>
      <c r="D104" s="186"/>
      <c r="E104" s="184"/>
      <c r="F104" s="185"/>
    </row>
    <row r="105">
      <c r="A105" s="186"/>
      <c r="B105" s="184"/>
      <c r="C105" s="186"/>
      <c r="D105" s="186"/>
      <c r="E105" s="184"/>
      <c r="F105" s="185"/>
      <c r="H105" s="172"/>
    </row>
    <row r="106">
      <c r="A106" s="186"/>
      <c r="B106" s="184"/>
      <c r="C106" s="186"/>
      <c r="D106" s="186"/>
      <c r="E106" s="184"/>
      <c r="F106" s="185"/>
      <c r="H106" s="172"/>
    </row>
    <row r="107">
      <c r="A107" s="186"/>
      <c r="B107" s="184"/>
      <c r="C107" s="186"/>
      <c r="D107" s="186"/>
      <c r="E107" s="184"/>
      <c r="F107" s="185"/>
      <c r="H107" s="172"/>
    </row>
    <row r="108">
      <c r="A108" s="186"/>
      <c r="B108" s="184"/>
      <c r="C108" s="186"/>
      <c r="D108" s="186"/>
      <c r="E108" s="184"/>
      <c r="F108" s="185"/>
      <c r="H108" s="172"/>
    </row>
    <row r="109">
      <c r="A109" s="186"/>
      <c r="B109" s="184"/>
      <c r="C109" s="186"/>
      <c r="D109" s="186"/>
      <c r="E109" s="184"/>
      <c r="F109" s="185"/>
      <c r="H109" s="172"/>
    </row>
    <row r="110">
      <c r="A110" s="186"/>
      <c r="B110" s="184"/>
      <c r="C110" s="186"/>
      <c r="D110" s="186"/>
      <c r="E110" s="184"/>
      <c r="F110" s="185"/>
    </row>
    <row r="111">
      <c r="A111" s="186"/>
      <c r="B111" s="184"/>
      <c r="C111" s="186"/>
      <c r="D111" s="186"/>
      <c r="E111" s="184"/>
      <c r="F111" s="185"/>
    </row>
    <row r="112">
      <c r="A112" s="186"/>
      <c r="B112" s="184"/>
      <c r="C112" s="186"/>
      <c r="D112" s="186"/>
      <c r="E112" s="184"/>
      <c r="F112" s="185"/>
    </row>
    <row r="113">
      <c r="A113" s="186"/>
      <c r="B113" s="184"/>
      <c r="C113" s="186"/>
      <c r="D113" s="186"/>
      <c r="E113" s="184"/>
      <c r="F113" s="187"/>
      <c r="H113" s="172"/>
    </row>
    <row r="114">
      <c r="A114" s="186"/>
      <c r="B114" s="184"/>
      <c r="C114" s="186"/>
      <c r="D114" s="186"/>
      <c r="E114" s="184"/>
      <c r="F114" s="187"/>
      <c r="H114" s="172"/>
    </row>
    <row r="115">
      <c r="A115" s="186"/>
      <c r="B115" s="184"/>
      <c r="C115" s="186"/>
      <c r="D115" s="186"/>
      <c r="E115" s="184"/>
      <c r="F115" s="187"/>
      <c r="H115" s="172"/>
    </row>
    <row r="116">
      <c r="A116" s="186"/>
      <c r="B116" s="184"/>
      <c r="C116" s="186"/>
      <c r="D116" s="186"/>
      <c r="E116" s="184"/>
      <c r="F116" s="187"/>
    </row>
    <row r="117">
      <c r="A117" s="186"/>
      <c r="B117" s="184"/>
      <c r="C117" s="186"/>
      <c r="D117" s="186"/>
      <c r="E117" s="184"/>
      <c r="F117" s="187"/>
      <c r="H117" s="172"/>
    </row>
    <row r="118">
      <c r="A118" s="186"/>
      <c r="B118" s="184"/>
      <c r="C118" s="186"/>
      <c r="D118" s="186"/>
      <c r="E118" s="184"/>
      <c r="F118" s="187"/>
    </row>
    <row r="119">
      <c r="A119" s="186"/>
      <c r="B119" s="184"/>
      <c r="C119" s="186"/>
      <c r="D119" s="186"/>
      <c r="E119" s="184"/>
      <c r="F119" s="187"/>
      <c r="H119" s="172"/>
    </row>
    <row r="120">
      <c r="A120" s="186"/>
      <c r="B120" s="184"/>
      <c r="C120" s="186"/>
      <c r="D120" s="186"/>
      <c r="E120" s="184"/>
      <c r="F120" s="187"/>
      <c r="H120" s="172"/>
    </row>
    <row r="121">
      <c r="A121" s="186"/>
      <c r="B121" s="184"/>
      <c r="C121" s="186"/>
      <c r="D121" s="186"/>
      <c r="E121" s="184"/>
      <c r="F121" s="187"/>
      <c r="H121" s="172"/>
    </row>
    <row r="122">
      <c r="A122" s="186"/>
      <c r="B122" s="184"/>
      <c r="C122" s="186"/>
      <c r="D122" s="186"/>
      <c r="E122" s="184"/>
      <c r="F122" s="187"/>
    </row>
    <row r="123">
      <c r="A123" s="186"/>
      <c r="B123" s="184"/>
      <c r="C123" s="186"/>
      <c r="D123" s="186"/>
      <c r="E123" s="184"/>
      <c r="F123" s="187"/>
    </row>
    <row r="124">
      <c r="A124" s="186"/>
      <c r="B124" s="184"/>
      <c r="C124" s="186"/>
      <c r="D124" s="186"/>
      <c r="E124" s="184"/>
      <c r="F124" s="187"/>
      <c r="H124" s="172"/>
    </row>
    <row r="125">
      <c r="A125" s="186"/>
      <c r="B125" s="184"/>
      <c r="C125" s="186"/>
      <c r="D125" s="186"/>
      <c r="E125" s="184"/>
      <c r="F125" s="187"/>
      <c r="H125" s="172"/>
    </row>
    <row r="126">
      <c r="A126" s="186"/>
      <c r="B126" s="184"/>
      <c r="C126" s="186"/>
      <c r="D126" s="186"/>
      <c r="E126" s="184"/>
      <c r="F126" s="187"/>
      <c r="H126" s="172"/>
    </row>
    <row r="127">
      <c r="A127" s="186"/>
      <c r="B127" s="184"/>
      <c r="C127" s="186"/>
      <c r="D127" s="186"/>
      <c r="E127" s="184"/>
      <c r="F127" s="187"/>
    </row>
    <row r="128">
      <c r="A128" s="186"/>
      <c r="B128" s="184"/>
      <c r="C128" s="186"/>
      <c r="D128" s="186"/>
      <c r="E128" s="184"/>
      <c r="F128" s="187"/>
      <c r="H128" s="172"/>
    </row>
    <row r="129">
      <c r="A129" s="186"/>
      <c r="B129" s="184"/>
      <c r="C129" s="186"/>
      <c r="D129" s="186"/>
      <c r="E129" s="184"/>
      <c r="F129" s="187"/>
      <c r="H129" s="172"/>
    </row>
    <row r="130">
      <c r="A130" s="186"/>
      <c r="B130" s="184"/>
      <c r="C130" s="186"/>
      <c r="D130" s="186"/>
      <c r="E130" s="184"/>
      <c r="F130" s="187"/>
    </row>
    <row r="131">
      <c r="A131" s="186"/>
      <c r="B131" s="184"/>
      <c r="C131" s="186"/>
      <c r="D131" s="186"/>
      <c r="E131" s="184"/>
      <c r="F131" s="187"/>
    </row>
    <row r="132">
      <c r="A132" s="186"/>
      <c r="B132" s="184"/>
      <c r="C132" s="186"/>
      <c r="D132" s="186"/>
      <c r="E132" s="184"/>
      <c r="F132" s="187"/>
    </row>
    <row r="133">
      <c r="A133" s="186"/>
      <c r="B133" s="184"/>
      <c r="C133" s="186"/>
      <c r="D133" s="186"/>
      <c r="E133" s="184"/>
      <c r="F133" s="187"/>
    </row>
    <row r="134">
      <c r="A134" s="186"/>
      <c r="B134" s="184"/>
      <c r="C134" s="186"/>
      <c r="D134" s="186"/>
      <c r="E134" s="184"/>
      <c r="F134" s="187"/>
      <c r="H134" s="172"/>
    </row>
    <row r="135">
      <c r="A135" s="186"/>
      <c r="B135" s="184"/>
      <c r="C135" s="186"/>
      <c r="D135" s="186"/>
      <c r="E135" s="184"/>
      <c r="F135" s="187"/>
      <c r="H135" s="172"/>
    </row>
    <row r="136">
      <c r="A136" s="186"/>
      <c r="B136" s="184"/>
      <c r="C136" s="186"/>
      <c r="D136" s="186"/>
      <c r="E136" s="184"/>
      <c r="F136" s="187"/>
      <c r="H136" s="172"/>
    </row>
    <row r="137">
      <c r="A137" s="186"/>
      <c r="B137" s="184"/>
      <c r="C137" s="186"/>
      <c r="D137" s="186"/>
      <c r="E137" s="184"/>
      <c r="F137" s="187"/>
    </row>
    <row r="138">
      <c r="A138" s="186"/>
      <c r="B138" s="184"/>
      <c r="C138" s="186"/>
      <c r="D138" s="186"/>
      <c r="E138" s="184"/>
      <c r="F138" s="187"/>
      <c r="H138" s="172"/>
    </row>
    <row r="139">
      <c r="A139" s="186"/>
      <c r="B139" s="184"/>
      <c r="C139" s="186"/>
      <c r="D139" s="186"/>
      <c r="E139" s="184"/>
      <c r="F139" s="187"/>
      <c r="H139" s="172"/>
    </row>
    <row r="140">
      <c r="A140" s="186"/>
      <c r="B140" s="184"/>
      <c r="C140" s="186"/>
      <c r="D140" s="186"/>
      <c r="E140" s="184"/>
      <c r="F140" s="187"/>
      <c r="H140" s="172"/>
    </row>
    <row r="141">
      <c r="A141" s="186"/>
      <c r="B141" s="184"/>
      <c r="C141" s="186"/>
      <c r="D141" s="186"/>
      <c r="E141" s="184"/>
      <c r="F141" s="187"/>
      <c r="H141" s="172"/>
    </row>
    <row r="142">
      <c r="A142" s="186"/>
      <c r="B142" s="184"/>
      <c r="C142" s="186"/>
      <c r="D142" s="186"/>
      <c r="E142" s="184"/>
      <c r="F142" s="187"/>
      <c r="H142" s="172"/>
    </row>
    <row r="143">
      <c r="A143" s="186"/>
      <c r="B143" s="184"/>
      <c r="C143" s="186"/>
      <c r="D143" s="186"/>
      <c r="E143" s="184"/>
      <c r="F143" s="187"/>
    </row>
    <row r="144">
      <c r="A144" s="186"/>
      <c r="B144" s="184"/>
      <c r="C144" s="186"/>
      <c r="D144" s="186"/>
      <c r="E144" s="184"/>
      <c r="F144" s="187"/>
    </row>
    <row r="145">
      <c r="A145" s="186"/>
      <c r="B145" s="184"/>
      <c r="C145" s="186"/>
      <c r="D145" s="186"/>
      <c r="E145" s="184"/>
      <c r="F145" s="187"/>
    </row>
    <row r="146">
      <c r="A146" s="186"/>
      <c r="B146" s="184"/>
      <c r="C146" s="186"/>
      <c r="D146" s="186"/>
      <c r="E146" s="184"/>
      <c r="F146" s="187"/>
    </row>
    <row r="147">
      <c r="A147" s="186"/>
      <c r="B147" s="186"/>
      <c r="C147" s="186"/>
      <c r="D147" s="186"/>
      <c r="E147" s="184"/>
      <c r="F147" s="187"/>
    </row>
    <row r="148">
      <c r="A148" s="186"/>
      <c r="B148" s="186"/>
      <c r="C148" s="186"/>
      <c r="D148" s="186"/>
      <c r="E148" s="184"/>
      <c r="F148" s="187"/>
      <c r="H148" s="172"/>
    </row>
    <row r="149">
      <c r="A149" s="186"/>
      <c r="B149" s="186"/>
      <c r="C149" s="186"/>
      <c r="D149" s="186"/>
      <c r="E149" s="184"/>
      <c r="F149" s="187"/>
      <c r="H149" s="172"/>
    </row>
    <row r="150">
      <c r="A150" s="186"/>
      <c r="B150" s="186"/>
      <c r="C150" s="186"/>
      <c r="D150" s="186"/>
      <c r="E150" s="184"/>
      <c r="F150" s="187"/>
      <c r="H150" s="172"/>
    </row>
    <row r="151">
      <c r="A151" s="186"/>
      <c r="B151" s="186"/>
      <c r="C151" s="186"/>
      <c r="D151" s="186"/>
      <c r="E151" s="184"/>
      <c r="F151" s="187"/>
      <c r="H151" s="172"/>
    </row>
    <row r="152">
      <c r="A152" s="186"/>
      <c r="B152" s="186"/>
      <c r="C152" s="186"/>
      <c r="D152" s="186"/>
      <c r="E152" s="184"/>
      <c r="F152" s="187"/>
      <c r="H152" s="172"/>
    </row>
    <row r="153">
      <c r="H153" s="172"/>
    </row>
    <row r="154">
      <c r="H154" s="172"/>
    </row>
    <row r="156">
      <c r="H156" s="172"/>
    </row>
    <row r="157">
      <c r="H157" s="172"/>
    </row>
    <row r="159">
      <c r="H159" s="172"/>
    </row>
    <row r="163">
      <c r="H163" s="172"/>
    </row>
    <row r="166">
      <c r="H166" s="172"/>
    </row>
    <row r="167">
      <c r="H167" s="172"/>
    </row>
    <row r="168">
      <c r="H168" s="172"/>
    </row>
    <row r="169">
      <c r="H169" s="172"/>
    </row>
    <row r="170">
      <c r="H170" s="172"/>
    </row>
    <row r="171">
      <c r="H171" s="172"/>
    </row>
    <row r="172">
      <c r="H172" s="172"/>
    </row>
    <row r="173">
      <c r="H173" s="172"/>
    </row>
    <row r="174">
      <c r="H174" s="172"/>
    </row>
    <row r="175">
      <c r="H175" s="172"/>
    </row>
    <row r="176">
      <c r="H176" s="172"/>
    </row>
    <row r="178">
      <c r="H178" s="172"/>
    </row>
    <row r="179">
      <c r="H179" s="172"/>
    </row>
    <row r="180">
      <c r="H180" s="172"/>
    </row>
    <row r="181">
      <c r="H181" s="172"/>
    </row>
    <row r="182">
      <c r="H182" s="172"/>
    </row>
    <row r="183">
      <c r="H183" s="172"/>
    </row>
    <row r="184">
      <c r="H184" s="172"/>
    </row>
    <row r="186">
      <c r="H186" s="172"/>
    </row>
    <row r="187">
      <c r="H187" s="172"/>
    </row>
    <row r="188">
      <c r="H188" s="172"/>
    </row>
    <row r="190">
      <c r="H190" s="172"/>
    </row>
    <row r="191">
      <c r="H191" s="172"/>
    </row>
    <row r="192">
      <c r="H192" s="172"/>
    </row>
    <row r="193">
      <c r="H193" s="172"/>
    </row>
    <row r="194">
      <c r="H194" s="172"/>
    </row>
    <row r="196">
      <c r="H196" s="172"/>
    </row>
    <row r="197">
      <c r="H197" s="172"/>
    </row>
    <row r="198">
      <c r="H198" s="172"/>
    </row>
    <row r="199">
      <c r="H199" s="172"/>
    </row>
    <row r="200">
      <c r="H200" s="172"/>
    </row>
    <row r="201">
      <c r="H201" s="172"/>
    </row>
    <row r="202">
      <c r="H202" s="172"/>
    </row>
    <row r="203">
      <c r="H203" s="172"/>
    </row>
    <row r="206">
      <c r="H206" s="172"/>
    </row>
    <row r="207">
      <c r="H207" s="172"/>
    </row>
    <row r="208">
      <c r="H208" s="172"/>
    </row>
    <row r="209">
      <c r="H209" s="172"/>
    </row>
    <row r="210">
      <c r="H210" s="172"/>
    </row>
    <row r="211">
      <c r="H211" s="172"/>
    </row>
    <row r="212">
      <c r="H212" s="172"/>
    </row>
    <row r="214">
      <c r="H214" s="172"/>
    </row>
    <row r="215">
      <c r="H215" s="172"/>
    </row>
    <row r="218">
      <c r="H218" s="172"/>
    </row>
    <row r="220">
      <c r="H220" s="172"/>
    </row>
    <row r="221">
      <c r="H221" s="172"/>
    </row>
    <row r="222">
      <c r="H222" s="172"/>
    </row>
    <row r="225">
      <c r="H225" s="172"/>
    </row>
    <row r="226">
      <c r="H226" s="172"/>
    </row>
    <row r="227">
      <c r="H227" s="172"/>
    </row>
    <row r="230">
      <c r="H230" s="172"/>
    </row>
    <row r="231">
      <c r="H231" s="172"/>
    </row>
    <row r="239">
      <c r="H239" s="172"/>
    </row>
    <row r="240">
      <c r="H240" s="172"/>
    </row>
    <row r="241">
      <c r="H241" s="172"/>
    </row>
    <row r="242">
      <c r="H242" s="172"/>
    </row>
    <row r="243">
      <c r="H243" s="172"/>
    </row>
    <row r="244">
      <c r="H244" s="172"/>
    </row>
    <row r="245">
      <c r="H245" s="172"/>
    </row>
    <row r="246">
      <c r="H246" s="172"/>
    </row>
    <row r="247">
      <c r="H247" s="172"/>
    </row>
    <row r="248">
      <c r="H248" s="172"/>
    </row>
    <row r="249">
      <c r="H249" s="172"/>
    </row>
    <row r="250">
      <c r="H250" s="172"/>
    </row>
    <row r="253">
      <c r="H253" s="172"/>
    </row>
    <row r="254">
      <c r="H254" s="172"/>
    </row>
    <row r="255">
      <c r="H255" s="172"/>
    </row>
    <row r="258">
      <c r="H258" s="172"/>
    </row>
    <row r="259">
      <c r="H259" s="172"/>
    </row>
    <row r="261">
      <c r="H261" s="172"/>
    </row>
    <row r="263">
      <c r="H263" s="172"/>
    </row>
    <row r="266">
      <c r="H266" s="172"/>
    </row>
    <row r="267">
      <c r="H267" s="172"/>
    </row>
    <row r="268">
      <c r="H268" s="172"/>
    </row>
    <row r="269">
      <c r="H269" s="172"/>
    </row>
    <row r="270">
      <c r="H270" s="172"/>
    </row>
    <row r="271">
      <c r="H271" s="172"/>
    </row>
    <row r="273">
      <c r="H273" s="172"/>
    </row>
    <row r="274">
      <c r="H274" s="172"/>
    </row>
    <row r="275">
      <c r="H275" s="172"/>
    </row>
    <row r="276">
      <c r="H276" s="172"/>
    </row>
    <row r="277">
      <c r="H277" s="172"/>
    </row>
    <row r="279">
      <c r="H279" s="172"/>
    </row>
    <row r="280">
      <c r="H280" s="172"/>
    </row>
    <row r="281">
      <c r="H281" s="172"/>
    </row>
    <row r="282">
      <c r="H282" s="172"/>
    </row>
    <row r="284">
      <c r="H284" s="172"/>
    </row>
    <row r="285">
      <c r="H285" s="172"/>
    </row>
    <row r="287">
      <c r="H287" s="172"/>
    </row>
    <row r="288">
      <c r="H288" s="172"/>
    </row>
    <row r="289">
      <c r="H289" s="172"/>
    </row>
    <row r="290">
      <c r="H290" s="172"/>
    </row>
    <row r="291">
      <c r="H291" s="172"/>
    </row>
    <row r="292">
      <c r="H292" s="172"/>
    </row>
    <row r="293">
      <c r="H293" s="172"/>
    </row>
    <row r="294">
      <c r="H294" s="172"/>
    </row>
    <row r="295">
      <c r="H295" s="172"/>
    </row>
    <row r="296">
      <c r="H296" s="172"/>
    </row>
    <row r="297">
      <c r="H297" s="172"/>
    </row>
    <row r="298">
      <c r="H298" s="172"/>
    </row>
    <row r="299">
      <c r="H299" s="172"/>
    </row>
    <row r="300">
      <c r="H300" s="172"/>
    </row>
    <row r="301">
      <c r="H301" s="172"/>
    </row>
    <row r="303">
      <c r="H303" s="172"/>
    </row>
    <row r="304">
      <c r="H304" s="172"/>
    </row>
    <row r="305">
      <c r="H305" s="172"/>
    </row>
    <row r="306">
      <c r="H306" s="172"/>
    </row>
    <row r="308">
      <c r="H308" s="172"/>
    </row>
    <row r="309">
      <c r="H309" s="172"/>
    </row>
    <row r="310">
      <c r="H310" s="172"/>
    </row>
    <row r="311">
      <c r="H311" s="172"/>
    </row>
    <row r="312">
      <c r="H312" s="172"/>
    </row>
    <row r="313">
      <c r="H313" s="172"/>
    </row>
    <row r="314">
      <c r="H314" s="172"/>
    </row>
    <row r="315">
      <c r="H315" s="172"/>
    </row>
    <row r="316">
      <c r="H316" s="172"/>
    </row>
    <row r="317">
      <c r="H317" s="172"/>
    </row>
    <row r="320">
      <c r="H320" s="172"/>
    </row>
    <row r="321">
      <c r="H321" s="172"/>
    </row>
    <row r="322">
      <c r="H322" s="172"/>
    </row>
    <row r="323">
      <c r="H323" s="172"/>
    </row>
    <row r="324">
      <c r="H324" s="172"/>
    </row>
    <row r="325">
      <c r="H325" s="172"/>
    </row>
    <row r="327">
      <c r="H327" s="172"/>
    </row>
    <row r="328">
      <c r="H328" s="172"/>
    </row>
    <row r="330">
      <c r="H330" s="172"/>
    </row>
    <row r="331">
      <c r="H331" s="172"/>
    </row>
    <row r="332">
      <c r="H332" s="172"/>
    </row>
    <row r="333">
      <c r="H333" s="172"/>
    </row>
    <row r="334">
      <c r="H334" s="172"/>
    </row>
    <row r="335">
      <c r="H335" s="172"/>
    </row>
    <row r="336">
      <c r="H336" s="172"/>
    </row>
    <row r="337">
      <c r="H337" s="172"/>
    </row>
    <row r="338">
      <c r="H338" s="172"/>
    </row>
    <row r="339">
      <c r="H339" s="172"/>
    </row>
    <row r="340">
      <c r="H340" s="172"/>
    </row>
    <row r="341">
      <c r="H341" s="172"/>
    </row>
    <row r="342">
      <c r="H342" s="172"/>
    </row>
    <row r="343">
      <c r="H343" s="172"/>
    </row>
    <row r="344">
      <c r="H344" s="172"/>
    </row>
    <row r="345">
      <c r="H345" s="172"/>
    </row>
    <row r="346">
      <c r="H346" s="172"/>
    </row>
    <row r="348">
      <c r="H348" s="172"/>
    </row>
    <row r="349">
      <c r="H349" s="172"/>
    </row>
    <row r="350">
      <c r="H350" s="172"/>
    </row>
    <row r="351">
      <c r="H351" s="172"/>
    </row>
    <row r="353">
      <c r="H353" s="172"/>
    </row>
    <row r="354">
      <c r="H354" s="172"/>
    </row>
    <row r="355">
      <c r="H355" s="172"/>
    </row>
    <row r="356">
      <c r="H356" s="172"/>
    </row>
    <row r="357">
      <c r="H357" s="172"/>
    </row>
    <row r="360">
      <c r="H360" s="172"/>
    </row>
    <row r="361">
      <c r="H361" s="172"/>
    </row>
    <row r="362">
      <c r="H362" s="172"/>
    </row>
    <row r="363">
      <c r="H363" s="172"/>
    </row>
    <row r="364">
      <c r="H364" s="172"/>
    </row>
    <row r="365">
      <c r="H365" s="172"/>
    </row>
    <row r="366">
      <c r="H366" s="172"/>
    </row>
    <row r="367">
      <c r="H367" s="172"/>
    </row>
    <row r="368">
      <c r="H368" s="172"/>
    </row>
    <row r="369">
      <c r="H369" s="172"/>
    </row>
    <row r="370">
      <c r="H370" s="172"/>
    </row>
    <row r="372">
      <c r="H372" s="172"/>
    </row>
    <row r="373">
      <c r="H373" s="172"/>
    </row>
    <row r="374">
      <c r="H374" s="172"/>
    </row>
    <row r="375">
      <c r="H375" s="172"/>
    </row>
    <row r="377">
      <c r="H377" s="172"/>
    </row>
    <row r="378">
      <c r="H378" s="172"/>
    </row>
    <row r="379">
      <c r="H379" s="172"/>
    </row>
    <row r="380">
      <c r="H380" s="172"/>
    </row>
    <row r="381">
      <c r="H381" s="172"/>
    </row>
    <row r="382">
      <c r="H382" s="172"/>
    </row>
    <row r="383">
      <c r="H383" s="172"/>
    </row>
    <row r="384">
      <c r="H384" s="172"/>
    </row>
    <row r="385">
      <c r="H385" s="172"/>
    </row>
    <row r="386">
      <c r="H386" s="172"/>
    </row>
    <row r="387">
      <c r="H387" s="172"/>
    </row>
    <row r="388">
      <c r="H388" s="172"/>
    </row>
    <row r="390">
      <c r="H390" s="172"/>
    </row>
    <row r="391">
      <c r="H391" s="172"/>
    </row>
    <row r="392">
      <c r="H392" s="172"/>
    </row>
    <row r="393">
      <c r="H393" s="172"/>
    </row>
    <row r="394">
      <c r="H394" s="172"/>
    </row>
    <row r="395">
      <c r="H395" s="172"/>
    </row>
    <row r="396">
      <c r="H396" s="172"/>
    </row>
    <row r="397">
      <c r="H397" s="172"/>
    </row>
    <row r="398">
      <c r="H398" s="172"/>
    </row>
    <row r="399">
      <c r="H399" s="172"/>
    </row>
    <row r="400">
      <c r="H400" s="172"/>
    </row>
    <row r="401">
      <c r="H401" s="172"/>
    </row>
    <row r="403">
      <c r="H403" s="172"/>
    </row>
    <row r="404">
      <c r="H404" s="172"/>
    </row>
    <row r="405">
      <c r="H405" s="172"/>
    </row>
    <row r="407">
      <c r="H407" s="172"/>
    </row>
    <row r="408">
      <c r="H408" s="172"/>
    </row>
    <row r="409">
      <c r="H409" s="172"/>
    </row>
    <row r="410">
      <c r="H410" s="172"/>
    </row>
    <row r="411">
      <c r="H411" s="172"/>
    </row>
    <row r="412">
      <c r="H412" s="172"/>
    </row>
    <row r="413">
      <c r="H413" s="172"/>
    </row>
    <row r="414">
      <c r="H414" s="172"/>
    </row>
    <row r="415">
      <c r="H415" s="172"/>
    </row>
    <row r="417">
      <c r="H417" s="172"/>
    </row>
    <row r="418">
      <c r="H418" s="172"/>
    </row>
    <row r="419">
      <c r="H419" s="172"/>
    </row>
    <row r="420">
      <c r="H420" s="172"/>
    </row>
    <row r="421">
      <c r="H421" s="172"/>
    </row>
    <row r="422">
      <c r="H422" s="172"/>
    </row>
    <row r="423">
      <c r="H423" s="172"/>
    </row>
    <row r="424">
      <c r="H424" s="172"/>
    </row>
    <row r="425">
      <c r="H425" s="172"/>
    </row>
    <row r="426">
      <c r="H426" s="172"/>
    </row>
    <row r="427">
      <c r="H427" s="172"/>
    </row>
    <row r="428">
      <c r="H428" s="172"/>
    </row>
    <row r="429">
      <c r="H429" s="172"/>
    </row>
    <row r="430">
      <c r="H430" s="172"/>
    </row>
    <row r="431">
      <c r="H431" s="172"/>
    </row>
    <row r="432">
      <c r="H432" s="172"/>
    </row>
    <row r="433">
      <c r="H433" s="172"/>
    </row>
    <row r="434">
      <c r="H434" s="172"/>
    </row>
    <row r="435">
      <c r="H435" s="172"/>
    </row>
    <row r="436">
      <c r="H436" s="172"/>
    </row>
    <row r="437">
      <c r="H437" s="172"/>
    </row>
    <row r="438">
      <c r="H438" s="172"/>
    </row>
    <row r="439">
      <c r="H439" s="172"/>
    </row>
    <row r="440">
      <c r="H440" s="172"/>
    </row>
    <row r="441">
      <c r="H441" s="172"/>
    </row>
    <row r="442">
      <c r="H442" s="172"/>
    </row>
    <row r="443">
      <c r="H443" s="172"/>
    </row>
    <row r="444">
      <c r="H444" s="172"/>
    </row>
    <row r="445">
      <c r="H445" s="172"/>
    </row>
    <row r="446">
      <c r="H446" s="172"/>
    </row>
    <row r="447">
      <c r="H447" s="172"/>
    </row>
    <row r="448">
      <c r="H448" s="172"/>
    </row>
    <row r="449">
      <c r="H449" s="172"/>
    </row>
    <row r="450">
      <c r="H450" s="172"/>
    </row>
    <row r="451">
      <c r="H451" s="172"/>
    </row>
    <row r="454">
      <c r="H454" s="172"/>
    </row>
    <row r="455">
      <c r="H455" s="172"/>
    </row>
    <row r="456">
      <c r="H456" s="172"/>
    </row>
    <row r="457">
      <c r="H457" s="172"/>
    </row>
    <row r="458">
      <c r="H458" s="172"/>
    </row>
    <row r="459">
      <c r="H459" s="172"/>
    </row>
    <row r="460">
      <c r="H460" s="172"/>
    </row>
    <row r="461">
      <c r="H461" s="172"/>
    </row>
    <row r="462">
      <c r="H462" s="172"/>
    </row>
    <row r="463">
      <c r="H463" s="172"/>
    </row>
    <row r="465">
      <c r="H465" s="172"/>
    </row>
    <row r="466">
      <c r="H466" s="172"/>
    </row>
    <row r="467">
      <c r="H467" s="172"/>
    </row>
    <row r="468">
      <c r="H468" s="172"/>
    </row>
    <row r="469">
      <c r="H469" s="172"/>
    </row>
    <row r="470">
      <c r="H470" s="172"/>
    </row>
    <row r="471">
      <c r="H471" s="172"/>
    </row>
    <row r="472">
      <c r="H472" s="172"/>
    </row>
    <row r="473">
      <c r="H473" s="172"/>
    </row>
    <row r="474">
      <c r="H474" s="172"/>
    </row>
    <row r="476">
      <c r="H476" s="172"/>
    </row>
    <row r="477">
      <c r="H477" s="172"/>
    </row>
    <row r="478">
      <c r="H478" s="172"/>
    </row>
    <row r="479">
      <c r="H479" s="172"/>
    </row>
    <row r="480">
      <c r="H480" s="172"/>
    </row>
    <row r="482">
      <c r="H482" s="172"/>
    </row>
    <row r="483">
      <c r="H483" s="172"/>
    </row>
    <row r="484">
      <c r="H484" s="172"/>
    </row>
    <row r="485">
      <c r="H485" s="172"/>
    </row>
    <row r="486">
      <c r="H486" s="172"/>
    </row>
    <row r="487">
      <c r="H487" s="172"/>
    </row>
    <row r="488">
      <c r="H488" s="172"/>
    </row>
    <row r="489">
      <c r="H489" s="172"/>
    </row>
    <row r="490">
      <c r="H490" s="172"/>
    </row>
    <row r="491">
      <c r="H491" s="172"/>
    </row>
    <row r="492">
      <c r="H492" s="172"/>
    </row>
    <row r="493">
      <c r="H493" s="172"/>
    </row>
    <row r="494">
      <c r="H494" s="172"/>
    </row>
    <row r="495">
      <c r="H495" s="172"/>
    </row>
    <row r="496">
      <c r="H496" s="172"/>
    </row>
    <row r="497">
      <c r="H497" s="172"/>
    </row>
    <row r="499">
      <c r="H499" s="172"/>
    </row>
    <row r="500">
      <c r="H500" s="172"/>
    </row>
    <row r="501">
      <c r="H501" s="172"/>
    </row>
    <row r="502">
      <c r="H502" s="172"/>
    </row>
    <row r="504">
      <c r="H504" s="172"/>
    </row>
    <row r="505">
      <c r="H505" s="172"/>
    </row>
    <row r="506">
      <c r="H506" s="172"/>
    </row>
    <row r="507">
      <c r="H507" s="172"/>
    </row>
    <row r="508">
      <c r="H508" s="172"/>
    </row>
    <row r="509">
      <c r="H509" s="172"/>
    </row>
    <row r="510">
      <c r="H510" s="172"/>
    </row>
    <row r="511">
      <c r="H511" s="172"/>
    </row>
    <row r="514">
      <c r="H514" s="172"/>
    </row>
    <row r="515">
      <c r="H515" s="172"/>
    </row>
    <row r="516">
      <c r="H516" s="172"/>
    </row>
    <row r="517">
      <c r="H517" s="172"/>
    </row>
    <row r="518">
      <c r="H518" s="172"/>
    </row>
    <row r="520">
      <c r="H520" s="172"/>
    </row>
    <row r="521">
      <c r="H521" s="172"/>
    </row>
    <row r="522">
      <c r="H522" s="172"/>
    </row>
    <row r="523">
      <c r="H523" s="172"/>
    </row>
    <row r="525">
      <c r="H525" s="172"/>
    </row>
    <row r="528">
      <c r="H528" s="172"/>
    </row>
    <row r="531">
      <c r="H531" s="172"/>
    </row>
    <row r="532">
      <c r="H532" s="172"/>
    </row>
    <row r="533">
      <c r="H533" s="172"/>
    </row>
    <row r="534">
      <c r="H534" s="172"/>
    </row>
    <row r="535">
      <c r="H535" s="172"/>
    </row>
    <row r="536">
      <c r="H536" s="172"/>
    </row>
    <row r="537">
      <c r="H537" s="172"/>
    </row>
    <row r="538">
      <c r="H538" s="172"/>
    </row>
    <row r="539">
      <c r="H539" s="172"/>
    </row>
    <row r="540">
      <c r="H540" s="172"/>
    </row>
    <row r="541">
      <c r="H541" s="172"/>
    </row>
    <row r="544">
      <c r="H544" s="172"/>
    </row>
    <row r="545">
      <c r="H545" s="172"/>
    </row>
    <row r="546">
      <c r="H546" s="172"/>
    </row>
    <row r="547">
      <c r="H547" s="172"/>
    </row>
    <row r="550">
      <c r="H550" s="172"/>
    </row>
    <row r="551">
      <c r="H551" s="172"/>
    </row>
    <row r="553">
      <c r="H553" s="172"/>
    </row>
    <row r="555">
      <c r="H555" s="172"/>
    </row>
    <row r="556">
      <c r="H556" s="172"/>
    </row>
    <row r="557">
      <c r="H557" s="172"/>
    </row>
    <row r="558">
      <c r="H558" s="172"/>
    </row>
    <row r="560">
      <c r="H560" s="172"/>
    </row>
    <row r="561">
      <c r="H561" s="172"/>
    </row>
    <row r="562">
      <c r="H562" s="172"/>
    </row>
    <row r="563">
      <c r="H563" s="172"/>
    </row>
    <row r="564">
      <c r="H564" s="172"/>
    </row>
    <row r="565">
      <c r="H565" s="172"/>
    </row>
    <row r="566">
      <c r="H566" s="172"/>
    </row>
    <row r="567">
      <c r="H567" s="172"/>
    </row>
    <row r="568">
      <c r="H568" s="172"/>
    </row>
    <row r="569">
      <c r="H569" s="172"/>
    </row>
    <row r="570">
      <c r="H570" s="172"/>
    </row>
    <row r="571">
      <c r="H571" s="172"/>
    </row>
    <row r="573">
      <c r="H573" s="172"/>
    </row>
    <row r="574">
      <c r="H574" s="172"/>
    </row>
    <row r="575">
      <c r="H575" s="172"/>
    </row>
    <row r="576">
      <c r="H576" s="172"/>
    </row>
    <row r="577">
      <c r="H577" s="172"/>
    </row>
    <row r="578">
      <c r="H578" s="172"/>
    </row>
    <row r="579">
      <c r="H579" s="172"/>
    </row>
    <row r="580">
      <c r="H580" s="172"/>
    </row>
    <row r="581">
      <c r="H581" s="172"/>
    </row>
    <row r="583">
      <c r="H583" s="172"/>
    </row>
    <row r="584">
      <c r="H584" s="172"/>
    </row>
    <row r="585">
      <c r="H585" s="172"/>
    </row>
    <row r="586">
      <c r="H586" s="172"/>
    </row>
    <row r="587">
      <c r="H587" s="172"/>
    </row>
    <row r="588">
      <c r="H588" s="172"/>
    </row>
    <row r="589">
      <c r="H589" s="172"/>
    </row>
    <row r="590">
      <c r="H590" s="172"/>
    </row>
    <row r="592">
      <c r="H592" s="172"/>
    </row>
    <row r="593">
      <c r="H593" s="172"/>
    </row>
    <row r="594">
      <c r="H594" s="172"/>
    </row>
    <row r="595">
      <c r="H595" s="172"/>
    </row>
    <row r="596">
      <c r="H596" s="172"/>
    </row>
    <row r="597">
      <c r="H597" s="172"/>
    </row>
    <row r="598">
      <c r="H598" s="172"/>
    </row>
    <row r="601">
      <c r="H601" s="172"/>
    </row>
    <row r="602">
      <c r="H602" s="172"/>
    </row>
    <row r="603">
      <c r="H603" s="172"/>
    </row>
    <row r="604">
      <c r="H604" s="172"/>
    </row>
    <row r="606">
      <c r="H606" s="172"/>
    </row>
    <row r="607">
      <c r="H607" s="172"/>
    </row>
    <row r="608">
      <c r="H608" s="172"/>
    </row>
    <row r="609">
      <c r="H609" s="172"/>
    </row>
    <row r="610">
      <c r="H610" s="172"/>
    </row>
    <row r="611">
      <c r="H611" s="172"/>
    </row>
    <row r="612">
      <c r="H612" s="172"/>
    </row>
    <row r="613">
      <c r="H613" s="172"/>
    </row>
    <row r="614">
      <c r="H614" s="172"/>
    </row>
    <row r="615">
      <c r="H615" s="172"/>
    </row>
    <row r="617">
      <c r="H617" s="172"/>
    </row>
    <row r="618">
      <c r="H618" s="172"/>
    </row>
    <row r="620">
      <c r="H620" s="172"/>
    </row>
    <row r="621">
      <c r="H621" s="172"/>
    </row>
    <row r="622">
      <c r="H622" s="172"/>
    </row>
    <row r="624">
      <c r="H624" s="172"/>
    </row>
    <row r="625">
      <c r="H625" s="172"/>
    </row>
    <row r="626">
      <c r="H626" s="172"/>
    </row>
    <row r="627">
      <c r="H627" s="172"/>
    </row>
    <row r="628">
      <c r="H628" s="172"/>
    </row>
    <row r="629">
      <c r="H629" s="172"/>
    </row>
    <row r="630">
      <c r="H630" s="172"/>
    </row>
    <row r="631">
      <c r="H631" s="172"/>
    </row>
    <row r="632">
      <c r="H632" s="172"/>
    </row>
    <row r="633">
      <c r="H633" s="172"/>
    </row>
    <row r="634">
      <c r="H634" s="172"/>
    </row>
    <row r="635">
      <c r="H635" s="172"/>
    </row>
    <row r="636">
      <c r="H636" s="172"/>
    </row>
    <row r="638">
      <c r="H638" s="172"/>
    </row>
    <row r="639">
      <c r="H639" s="172"/>
    </row>
    <row r="640">
      <c r="H640" s="172"/>
    </row>
    <row r="641">
      <c r="H641" s="172"/>
    </row>
    <row r="642">
      <c r="H642" s="172"/>
    </row>
    <row r="644">
      <c r="H644" s="172"/>
    </row>
    <row r="645">
      <c r="H645" s="172"/>
    </row>
    <row r="646">
      <c r="H646" s="172"/>
    </row>
    <row r="647">
      <c r="H647" s="172"/>
    </row>
    <row r="648">
      <c r="H648" s="172"/>
    </row>
    <row r="649">
      <c r="H649" s="172"/>
    </row>
    <row r="650">
      <c r="H650" s="172"/>
    </row>
    <row r="651">
      <c r="H651" s="172"/>
    </row>
    <row r="652">
      <c r="H652" s="172"/>
    </row>
    <row r="653">
      <c r="H653" s="172"/>
    </row>
    <row r="654">
      <c r="H654" s="172"/>
    </row>
    <row r="656">
      <c r="H656" s="172"/>
    </row>
    <row r="657">
      <c r="H657" s="172"/>
    </row>
    <row r="658">
      <c r="H658" s="172"/>
    </row>
    <row r="659">
      <c r="H659" s="172"/>
    </row>
    <row r="660">
      <c r="H660" s="172"/>
    </row>
    <row r="661">
      <c r="H661" s="172"/>
    </row>
    <row r="662">
      <c r="H662" s="172"/>
    </row>
    <row r="663">
      <c r="H663" s="172"/>
    </row>
    <row r="664">
      <c r="H664" s="172"/>
    </row>
    <row r="665">
      <c r="H665" s="172"/>
    </row>
    <row r="666">
      <c r="H666" s="172"/>
    </row>
    <row r="667">
      <c r="H667" s="172"/>
    </row>
    <row r="668">
      <c r="H668" s="172"/>
    </row>
    <row r="669">
      <c r="H669" s="172"/>
    </row>
    <row r="670">
      <c r="H670" s="172"/>
    </row>
    <row r="671">
      <c r="H671" s="172"/>
    </row>
    <row r="673">
      <c r="H673" s="172"/>
    </row>
    <row r="674">
      <c r="H674" s="172"/>
    </row>
    <row r="675">
      <c r="H675" s="172"/>
    </row>
    <row r="677">
      <c r="H677" s="172"/>
    </row>
    <row r="678">
      <c r="H678" s="172"/>
    </row>
    <row r="679">
      <c r="H679" s="172"/>
    </row>
    <row r="681">
      <c r="H681" s="172"/>
    </row>
    <row r="682">
      <c r="H682" s="172"/>
    </row>
    <row r="683">
      <c r="H683" s="172"/>
    </row>
    <row r="684">
      <c r="E684" s="188"/>
      <c r="H684" s="172"/>
    </row>
    <row r="685">
      <c r="A685" s="188"/>
    </row>
    <row r="686">
      <c r="H686" s="172"/>
    </row>
    <row r="687">
      <c r="H687" s="172"/>
    </row>
    <row r="688">
      <c r="H688" s="172"/>
    </row>
    <row r="689">
      <c r="E689" s="188"/>
      <c r="H689" s="172"/>
    </row>
    <row r="690">
      <c r="A690" s="188"/>
      <c r="H690" s="172"/>
    </row>
    <row r="691">
      <c r="H691" s="172"/>
    </row>
    <row r="692">
      <c r="H692" s="172"/>
    </row>
    <row r="693">
      <c r="H693" s="172"/>
    </row>
    <row r="695">
      <c r="H695" s="172"/>
    </row>
    <row r="696">
      <c r="H696" s="172"/>
    </row>
    <row r="698">
      <c r="H698" s="172"/>
    </row>
    <row r="700">
      <c r="H700" s="172"/>
    </row>
    <row r="702">
      <c r="H702" s="172"/>
    </row>
    <row r="703">
      <c r="H703" s="172"/>
    </row>
    <row r="704">
      <c r="H704" s="172"/>
    </row>
    <row r="705">
      <c r="H705" s="172"/>
    </row>
    <row r="706">
      <c r="H706" s="172"/>
    </row>
    <row r="707">
      <c r="H707" s="172"/>
    </row>
    <row r="709">
      <c r="H709" s="172"/>
    </row>
    <row r="710">
      <c r="H710" s="172"/>
    </row>
    <row r="711">
      <c r="H711" s="172"/>
    </row>
    <row r="712">
      <c r="H712" s="172"/>
    </row>
    <row r="714">
      <c r="H714" s="172"/>
    </row>
    <row r="715">
      <c r="H715" s="172"/>
    </row>
    <row r="716">
      <c r="E716" s="189"/>
      <c r="H716" s="172"/>
    </row>
    <row r="717">
      <c r="A717" s="189"/>
      <c r="H717" s="172"/>
    </row>
    <row r="718">
      <c r="H718" s="172"/>
    </row>
    <row r="719">
      <c r="H719" s="172"/>
    </row>
    <row r="720">
      <c r="H720" s="172"/>
    </row>
    <row r="721">
      <c r="H721" s="172"/>
    </row>
    <row r="722">
      <c r="H722" s="172"/>
    </row>
    <row r="723">
      <c r="H723" s="172"/>
    </row>
    <row r="724">
      <c r="H724" s="172"/>
    </row>
    <row r="725">
      <c r="H725" s="172"/>
    </row>
    <row r="726">
      <c r="H726" s="172"/>
    </row>
    <row r="729">
      <c r="H729" s="172"/>
    </row>
    <row r="730">
      <c r="H730" s="172"/>
    </row>
    <row r="731">
      <c r="H731" s="172"/>
    </row>
    <row r="732">
      <c r="H732" s="172"/>
    </row>
    <row r="733">
      <c r="H733" s="172"/>
    </row>
    <row r="735">
      <c r="H735" s="172"/>
    </row>
    <row r="736">
      <c r="H736" s="172"/>
    </row>
    <row r="737">
      <c r="H737" s="172"/>
    </row>
    <row r="738">
      <c r="H738" s="172"/>
    </row>
    <row r="739">
      <c r="H739" s="172"/>
    </row>
    <row r="740">
      <c r="H740" s="172"/>
    </row>
    <row r="742">
      <c r="H742" s="172"/>
    </row>
    <row r="743">
      <c r="H743" s="172"/>
    </row>
    <row r="744">
      <c r="H744" s="172"/>
    </row>
    <row r="745">
      <c r="H745" s="172"/>
    </row>
    <row r="746">
      <c r="H746" s="172"/>
    </row>
    <row r="747">
      <c r="H747" s="172"/>
    </row>
    <row r="749">
      <c r="H749" s="172"/>
    </row>
    <row r="750">
      <c r="H750" s="172"/>
    </row>
    <row r="751">
      <c r="H751" s="172"/>
    </row>
    <row r="753">
      <c r="H753" s="172"/>
    </row>
    <row r="754">
      <c r="H754" s="172"/>
    </row>
    <row r="755">
      <c r="H755" s="172"/>
    </row>
    <row r="757">
      <c r="H757" s="172"/>
    </row>
    <row r="758">
      <c r="H758" s="172"/>
    </row>
    <row r="759">
      <c r="H759" s="172"/>
    </row>
    <row r="761">
      <c r="H761" s="172"/>
    </row>
    <row r="762">
      <c r="H762" s="172"/>
    </row>
    <row r="765">
      <c r="H765" s="172"/>
    </row>
    <row r="766">
      <c r="H766" s="172"/>
    </row>
    <row r="767">
      <c r="H767" s="172"/>
    </row>
    <row r="768">
      <c r="H768" s="172"/>
    </row>
    <row r="770">
      <c r="H770" s="172"/>
    </row>
    <row r="771">
      <c r="H771" s="172"/>
    </row>
    <row r="772">
      <c r="H772" s="172"/>
    </row>
    <row r="773">
      <c r="H773" s="172"/>
    </row>
    <row r="774">
      <c r="H774" s="172"/>
    </row>
    <row r="775">
      <c r="H775" s="172"/>
    </row>
    <row r="776">
      <c r="H776" s="172"/>
    </row>
    <row r="777">
      <c r="H777" s="172"/>
    </row>
    <row r="778">
      <c r="H778" s="172"/>
    </row>
    <row r="779">
      <c r="H779" s="172"/>
    </row>
    <row r="780">
      <c r="H780" s="172"/>
    </row>
    <row r="782">
      <c r="H782" s="172"/>
    </row>
    <row r="783">
      <c r="H783" s="172"/>
    </row>
    <row r="784">
      <c r="H784" s="172"/>
    </row>
    <row r="785">
      <c r="H785" s="172"/>
    </row>
    <row r="786">
      <c r="H786" s="172"/>
    </row>
    <row r="787">
      <c r="H787" s="172"/>
    </row>
    <row r="788">
      <c r="H788" s="172"/>
    </row>
    <row r="789">
      <c r="H789" s="172"/>
    </row>
    <row r="790">
      <c r="H790" s="172"/>
    </row>
    <row r="794">
      <c r="H794" s="172"/>
    </row>
    <row r="795">
      <c r="H795" s="172"/>
    </row>
    <row r="796">
      <c r="H796" s="172"/>
    </row>
    <row r="797">
      <c r="H797" s="172"/>
    </row>
    <row r="798">
      <c r="H798" s="172"/>
    </row>
    <row r="799">
      <c r="H799" s="172"/>
    </row>
    <row r="801">
      <c r="H801" s="172"/>
    </row>
    <row r="802">
      <c r="H802" s="172"/>
    </row>
    <row r="804">
      <c r="H804" s="172"/>
    </row>
    <row r="805">
      <c r="H805" s="172"/>
    </row>
    <row r="806">
      <c r="H806" s="172"/>
    </row>
    <row r="807">
      <c r="H807" s="172"/>
    </row>
    <row r="809">
      <c r="H809" s="172"/>
    </row>
    <row r="810">
      <c r="H810" s="172"/>
    </row>
    <row r="811">
      <c r="H811" s="172"/>
    </row>
    <row r="812">
      <c r="H812" s="172"/>
    </row>
    <row r="813">
      <c r="H813" s="172"/>
    </row>
    <row r="814">
      <c r="H814" s="172"/>
    </row>
    <row r="819">
      <c r="H819" s="172"/>
    </row>
    <row r="820">
      <c r="H820" s="172"/>
    </row>
    <row r="821">
      <c r="H821" s="172"/>
    </row>
    <row r="822">
      <c r="H822" s="172"/>
    </row>
    <row r="823">
      <c r="H823" s="172"/>
    </row>
    <row r="824">
      <c r="H824" s="172"/>
    </row>
    <row r="825">
      <c r="H825" s="172"/>
    </row>
    <row r="827">
      <c r="H827" s="172"/>
    </row>
    <row r="829">
      <c r="H829" s="172"/>
    </row>
    <row r="830">
      <c r="H830" s="172"/>
    </row>
    <row r="831">
      <c r="H831" s="172"/>
    </row>
    <row r="832">
      <c r="H832" s="172"/>
    </row>
    <row r="833">
      <c r="H833" s="172"/>
    </row>
    <row r="834">
      <c r="H834" s="172"/>
    </row>
    <row r="835">
      <c r="H835" s="172"/>
    </row>
    <row r="836">
      <c r="H836" s="172"/>
    </row>
    <row r="838">
      <c r="H838" s="172"/>
    </row>
    <row r="840">
      <c r="H840" s="172"/>
    </row>
    <row r="841">
      <c r="H841" s="172"/>
    </row>
    <row r="842">
      <c r="H842" s="172"/>
    </row>
    <row r="843">
      <c r="H843" s="172"/>
    </row>
    <row r="846">
      <c r="H846" s="172"/>
    </row>
    <row r="847">
      <c r="H847" s="172"/>
    </row>
    <row r="848">
      <c r="H848" s="172"/>
    </row>
    <row r="849">
      <c r="H849" s="172"/>
    </row>
    <row r="851">
      <c r="H851" s="172"/>
    </row>
    <row r="852">
      <c r="H852" s="172"/>
    </row>
    <row r="853">
      <c r="H853" s="172"/>
    </row>
    <row r="854">
      <c r="H854" s="172"/>
    </row>
    <row r="857">
      <c r="H857" s="172"/>
    </row>
    <row r="858">
      <c r="H858" s="172"/>
    </row>
    <row r="859">
      <c r="H859" s="172"/>
    </row>
    <row r="860">
      <c r="H860" s="172"/>
    </row>
    <row r="861">
      <c r="H861" s="172"/>
    </row>
    <row r="862">
      <c r="H862" s="172"/>
    </row>
    <row r="863">
      <c r="H863" s="172"/>
    </row>
    <row r="864">
      <c r="H864" s="172"/>
    </row>
    <row r="866">
      <c r="H866" s="172"/>
    </row>
    <row r="868">
      <c r="H868" s="172"/>
    </row>
    <row r="870">
      <c r="H870" s="172"/>
    </row>
    <row r="871">
      <c r="H871" s="172"/>
    </row>
    <row r="872">
      <c r="H872" s="172"/>
    </row>
    <row r="873">
      <c r="H873" s="172"/>
    </row>
    <row r="874">
      <c r="H874" s="172"/>
    </row>
    <row r="876">
      <c r="H876" s="172"/>
    </row>
    <row r="878">
      <c r="H878" s="172"/>
    </row>
    <row r="879">
      <c r="H879" s="172"/>
    </row>
    <row r="880">
      <c r="H880" s="172"/>
    </row>
    <row r="883">
      <c r="H883" s="172"/>
    </row>
    <row r="884">
      <c r="H884" s="172"/>
    </row>
    <row r="885">
      <c r="H885" s="172"/>
    </row>
    <row r="890">
      <c r="H890" s="172"/>
    </row>
    <row r="891">
      <c r="H891" s="172"/>
    </row>
    <row r="892">
      <c r="H892" s="172"/>
    </row>
    <row r="895">
      <c r="H895" s="172"/>
    </row>
    <row r="896">
      <c r="H896" s="172"/>
    </row>
    <row r="897">
      <c r="H897" s="172"/>
    </row>
    <row r="898">
      <c r="H898" s="172"/>
    </row>
    <row r="899">
      <c r="H899" s="172"/>
    </row>
    <row r="900">
      <c r="H900" s="172"/>
    </row>
    <row r="901">
      <c r="H901" s="172"/>
    </row>
    <row r="902">
      <c r="H902" s="172"/>
    </row>
    <row r="903">
      <c r="H903" s="172"/>
    </row>
    <row r="904">
      <c r="H904" s="172"/>
    </row>
    <row r="905">
      <c r="H905" s="172"/>
    </row>
    <row r="906">
      <c r="H906" s="172"/>
    </row>
    <row r="908">
      <c r="H908" s="172"/>
    </row>
    <row r="910">
      <c r="H910" s="172"/>
    </row>
    <row r="911">
      <c r="H911" s="172"/>
    </row>
    <row r="913">
      <c r="H913" s="172"/>
    </row>
    <row r="915">
      <c r="H915" s="172"/>
    </row>
    <row r="916">
      <c r="H916" s="172"/>
    </row>
    <row r="917">
      <c r="H917" s="172"/>
    </row>
    <row r="918">
      <c r="H918" s="172"/>
    </row>
    <row r="919">
      <c r="H919" s="172"/>
    </row>
    <row r="923">
      <c r="H923" s="172"/>
    </row>
    <row r="924">
      <c r="H924" s="172"/>
    </row>
    <row r="926">
      <c r="H926" s="172"/>
    </row>
    <row r="931">
      <c r="H931" s="172"/>
    </row>
    <row r="932">
      <c r="H932" s="172"/>
    </row>
    <row r="934">
      <c r="H934" s="172"/>
    </row>
    <row r="935">
      <c r="H935" s="172"/>
    </row>
    <row r="936">
      <c r="H936" s="172"/>
    </row>
    <row r="940">
      <c r="H940" s="172"/>
    </row>
    <row r="941">
      <c r="H941" s="172"/>
    </row>
    <row r="942">
      <c r="H942" s="172"/>
    </row>
    <row r="943">
      <c r="H943" s="172"/>
    </row>
    <row r="945">
      <c r="H945" s="172"/>
    </row>
    <row r="946">
      <c r="H946" s="172"/>
    </row>
    <row r="948">
      <c r="H948" s="172"/>
    </row>
    <row r="951">
      <c r="H951" s="172"/>
    </row>
    <row r="954">
      <c r="H954" s="172"/>
    </row>
    <row r="955">
      <c r="H955" s="172"/>
    </row>
    <row r="957">
      <c r="H957" s="172"/>
    </row>
    <row r="961">
      <c r="H961" s="172"/>
    </row>
    <row r="962">
      <c r="H962" s="172"/>
    </row>
    <row r="963">
      <c r="H963" s="172"/>
    </row>
    <row r="964">
      <c r="H964" s="172"/>
    </row>
    <row r="966">
      <c r="H966" s="172"/>
    </row>
    <row r="969">
      <c r="H969" s="172"/>
    </row>
    <row r="973">
      <c r="H973" s="172"/>
    </row>
    <row r="974">
      <c r="H974" s="172"/>
    </row>
    <row r="979">
      <c r="H979" s="172"/>
    </row>
    <row r="980">
      <c r="H980" s="172"/>
    </row>
    <row r="985">
      <c r="H985" s="172"/>
    </row>
    <row r="986">
      <c r="H986" s="172"/>
    </row>
    <row r="987">
      <c r="H987" s="172"/>
    </row>
    <row r="990">
      <c r="H990" s="172"/>
    </row>
    <row r="992">
      <c r="H992" s="172"/>
    </row>
    <row r="994">
      <c r="H994" s="172"/>
    </row>
    <row r="995">
      <c r="H995" s="172"/>
    </row>
    <row r="996">
      <c r="H996" s="172"/>
    </row>
    <row r="998">
      <c r="H998" s="172"/>
    </row>
    <row r="999">
      <c r="H999" s="172"/>
    </row>
    <row r="1001">
      <c r="H1001" s="172"/>
    </row>
    <row r="1002">
      <c r="H1002" s="172"/>
    </row>
    <row r="1003">
      <c r="H1003" s="172"/>
    </row>
    <row r="1004">
      <c r="H1004" s="172"/>
    </row>
    <row r="1005">
      <c r="H1005" s="172"/>
    </row>
    <row r="1008">
      <c r="H1008" s="172"/>
    </row>
    <row r="1009">
      <c r="H1009" s="172"/>
    </row>
    <row r="1010">
      <c r="H1010" s="172"/>
    </row>
    <row r="1012">
      <c r="H1012" s="172"/>
    </row>
    <row r="1014">
      <c r="H1014" s="172"/>
    </row>
    <row r="1015">
      <c r="H1015" s="172"/>
    </row>
    <row r="1017">
      <c r="H1017" s="172"/>
    </row>
    <row r="1020">
      <c r="H1020" s="172"/>
    </row>
    <row r="1021">
      <c r="H1021" s="172"/>
    </row>
    <row r="1022">
      <c r="H1022" s="172"/>
    </row>
    <row r="1023">
      <c r="H1023" s="172"/>
    </row>
    <row r="1024">
      <c r="H1024" s="172"/>
    </row>
    <row r="1025">
      <c r="H1025" s="172"/>
    </row>
    <row r="1028">
      <c r="H1028" s="172"/>
    </row>
    <row r="1029">
      <c r="H1029" s="172"/>
    </row>
    <row r="1031">
      <c r="H1031" s="172"/>
    </row>
    <row r="1032">
      <c r="H1032" s="172"/>
    </row>
    <row r="1034">
      <c r="H1034" s="172"/>
    </row>
    <row r="1035">
      <c r="H1035" s="172"/>
    </row>
    <row r="1036">
      <c r="H1036" s="172"/>
    </row>
    <row r="1039">
      <c r="H1039" s="172"/>
    </row>
    <row r="1041">
      <c r="H1041" s="172"/>
    </row>
    <row r="1043">
      <c r="H1043" s="172"/>
    </row>
    <row r="1044">
      <c r="H1044" s="172"/>
    </row>
    <row r="1045">
      <c r="H1045" s="172"/>
    </row>
    <row r="1046">
      <c r="H1046" s="172"/>
    </row>
    <row r="1047">
      <c r="H1047" s="172"/>
    </row>
    <row r="1048">
      <c r="H1048" s="172"/>
    </row>
    <row r="1049">
      <c r="H1049" s="172"/>
    </row>
    <row r="1050">
      <c r="H1050" s="172"/>
    </row>
    <row r="1052">
      <c r="H1052" s="172"/>
    </row>
    <row r="1053">
      <c r="H1053" s="172"/>
    </row>
    <row r="1056">
      <c r="H1056" s="172"/>
    </row>
    <row r="1057">
      <c r="H1057" s="172"/>
    </row>
    <row r="1058">
      <c r="H1058" s="172"/>
    </row>
    <row r="1060">
      <c r="H1060" s="172"/>
    </row>
    <row r="1061">
      <c r="H1061" s="172"/>
    </row>
    <row r="1064">
      <c r="H1064" s="172"/>
    </row>
    <row r="1065">
      <c r="H1065" s="172"/>
    </row>
    <row r="1067">
      <c r="H1067" s="172"/>
    </row>
    <row r="1068">
      <c r="H1068" s="172"/>
    </row>
    <row r="1069">
      <c r="H1069" s="172"/>
    </row>
    <row r="1070">
      <c r="H1070" s="172"/>
    </row>
    <row r="1073">
      <c r="H1073" s="172"/>
    </row>
    <row r="1074">
      <c r="H1074" s="172"/>
    </row>
    <row r="1076">
      <c r="H1076" s="172"/>
    </row>
    <row r="1077">
      <c r="H1077" s="172"/>
    </row>
    <row r="1078">
      <c r="H1078" s="172"/>
    </row>
    <row r="1079">
      <c r="H1079" s="172"/>
    </row>
    <row r="1081">
      <c r="H1081" s="172"/>
    </row>
    <row r="1082">
      <c r="H1082" s="172"/>
    </row>
    <row r="1083">
      <c r="H1083" s="172"/>
    </row>
    <row r="1084">
      <c r="H1084" s="172"/>
    </row>
    <row r="1087">
      <c r="H1087" s="172"/>
    </row>
    <row r="1088">
      <c r="H1088" s="172"/>
    </row>
    <row r="1090">
      <c r="H1090" s="172"/>
    </row>
    <row r="1093">
      <c r="H1093" s="172"/>
    </row>
    <row r="1095">
      <c r="H1095" s="172"/>
    </row>
    <row r="1097">
      <c r="H1097" s="172"/>
    </row>
    <row r="1100">
      <c r="H1100" s="172"/>
    </row>
    <row r="1106">
      <c r="H1106" s="172"/>
    </row>
    <row r="1109">
      <c r="H1109" s="172"/>
    </row>
    <row r="1110">
      <c r="H1110" s="172"/>
    </row>
    <row r="1111">
      <c r="H1111" s="172"/>
    </row>
    <row r="1112">
      <c r="H1112" s="172"/>
    </row>
    <row r="1113">
      <c r="H1113" s="172"/>
    </row>
    <row r="1114">
      <c r="H1114" s="172"/>
    </row>
    <row r="1115">
      <c r="H1115" s="172"/>
    </row>
    <row r="1116">
      <c r="H1116" s="172"/>
    </row>
    <row r="1117">
      <c r="H1117" s="172"/>
    </row>
    <row r="1118">
      <c r="H1118" s="172"/>
    </row>
    <row r="1121">
      <c r="H1121" s="172"/>
    </row>
    <row r="1122">
      <c r="H1122" s="172"/>
    </row>
    <row r="1125">
      <c r="H1125" s="172"/>
    </row>
    <row r="1126">
      <c r="H1126" s="172"/>
    </row>
    <row r="1128">
      <c r="H1128" s="172"/>
    </row>
    <row r="1137">
      <c r="H1137" s="172"/>
    </row>
    <row r="1138">
      <c r="H1138" s="172"/>
    </row>
    <row r="1139">
      <c r="H1139" s="172"/>
    </row>
    <row r="1140">
      <c r="H1140" s="172"/>
    </row>
    <row r="1142">
      <c r="H1142" s="172"/>
    </row>
    <row r="1144">
      <c r="H1144" s="172"/>
    </row>
    <row r="1145">
      <c r="H1145" s="172"/>
    </row>
    <row r="1148">
      <c r="H1148" s="172"/>
    </row>
    <row r="1152">
      <c r="H1152" s="172"/>
    </row>
    <row r="1153">
      <c r="H1153" s="172"/>
    </row>
    <row r="1156">
      <c r="H1156" s="172"/>
    </row>
    <row r="1161">
      <c r="H1161" s="172"/>
    </row>
    <row r="1162">
      <c r="H1162" s="172"/>
    </row>
    <row r="1164">
      <c r="H1164" s="172"/>
    </row>
    <row r="1167">
      <c r="H1167" s="172"/>
    </row>
    <row r="1175">
      <c r="H1175" s="172"/>
    </row>
    <row r="1179">
      <c r="H1179" s="172"/>
    </row>
    <row r="1181">
      <c r="H1181" s="172"/>
    </row>
    <row r="1182">
      <c r="H1182" s="172"/>
    </row>
    <row r="1183">
      <c r="H1183" s="172"/>
    </row>
    <row r="1184">
      <c r="H1184" s="172"/>
    </row>
    <row r="1187">
      <c r="H1187" s="172"/>
    </row>
    <row r="1190">
      <c r="H1190" s="172"/>
    </row>
    <row r="1191">
      <c r="H1191" s="172"/>
    </row>
    <row r="1192">
      <c r="H1192" s="172"/>
    </row>
    <row r="1196">
      <c r="H1196" s="172"/>
    </row>
    <row r="1202">
      <c r="H1202" s="172"/>
    </row>
    <row r="1206">
      <c r="H1206" s="172"/>
    </row>
    <row r="1208">
      <c r="H1208" s="172"/>
    </row>
    <row r="1209">
      <c r="H1209" s="172"/>
    </row>
    <row r="1212">
      <c r="H1212" s="172"/>
    </row>
    <row r="1213">
      <c r="H1213" s="172"/>
    </row>
    <row r="1215">
      <c r="H1215" s="172"/>
    </row>
    <row r="1216">
      <c r="H1216" s="172"/>
    </row>
    <row r="1218">
      <c r="H1218" s="172"/>
    </row>
    <row r="1219">
      <c r="H1219" s="172"/>
    </row>
    <row r="1220">
      <c r="H1220" s="172"/>
    </row>
    <row r="1221">
      <c r="H1221" s="172"/>
    </row>
    <row r="1222">
      <c r="H1222" s="172"/>
    </row>
    <row r="1224">
      <c r="H1224" s="172"/>
    </row>
    <row r="1226">
      <c r="H1226" s="172"/>
    </row>
    <row r="1227">
      <c r="H1227" s="172"/>
    </row>
    <row r="1228">
      <c r="H1228" s="172"/>
    </row>
    <row r="1229">
      <c r="H1229" s="172"/>
    </row>
    <row r="1231">
      <c r="H1231" s="172"/>
    </row>
    <row r="1232">
      <c r="H1232" s="172"/>
    </row>
    <row r="1233">
      <c r="H1233" s="172"/>
    </row>
    <row r="1234">
      <c r="H1234" s="172"/>
    </row>
    <row r="1235">
      <c r="H1235" s="172"/>
    </row>
    <row r="1236">
      <c r="H1236" s="172"/>
    </row>
    <row r="1238">
      <c r="H1238" s="172"/>
    </row>
    <row r="1240">
      <c r="H1240" s="172"/>
    </row>
    <row r="1241">
      <c r="H1241" s="172"/>
    </row>
    <row r="1245">
      <c r="H1245" s="172"/>
    </row>
    <row r="1247">
      <c r="H1247" s="172"/>
    </row>
    <row r="1248">
      <c r="H1248" s="172"/>
    </row>
    <row r="1251">
      <c r="H1251" s="172"/>
    </row>
    <row r="1252">
      <c r="H1252" s="172"/>
    </row>
    <row r="1255">
      <c r="H1255" s="172"/>
    </row>
    <row r="1258">
      <c r="H1258" s="172"/>
    </row>
    <row r="1259">
      <c r="H1259" s="172"/>
    </row>
    <row r="1261">
      <c r="H1261" s="172"/>
    </row>
    <row r="1262">
      <c r="H1262" s="172"/>
    </row>
    <row r="1263">
      <c r="H1263" s="172"/>
    </row>
    <row r="1265">
      <c r="H1265" s="172"/>
    </row>
    <row r="1266">
      <c r="H1266" s="172"/>
    </row>
    <row r="1268">
      <c r="H1268" s="172"/>
    </row>
    <row r="1269">
      <c r="H1269" s="172"/>
    </row>
    <row r="1270">
      <c r="H1270" s="172"/>
    </row>
    <row r="1272">
      <c r="H1272" s="172"/>
    </row>
    <row r="1273">
      <c r="H1273" s="172"/>
    </row>
    <row r="1275">
      <c r="H1275" s="172"/>
    </row>
    <row r="1276">
      <c r="H1276" s="172"/>
    </row>
    <row r="1281">
      <c r="H1281" s="172"/>
    </row>
    <row r="1282">
      <c r="H1282" s="172"/>
    </row>
    <row r="1283">
      <c r="H1283" s="172"/>
    </row>
    <row r="1285">
      <c r="H1285" s="172"/>
    </row>
    <row r="1286">
      <c r="H1286" s="172"/>
    </row>
    <row r="1289">
      <c r="H1289" s="172"/>
    </row>
    <row r="1290">
      <c r="H1290" s="172"/>
    </row>
    <row r="1291">
      <c r="H1291" s="172"/>
    </row>
    <row r="1293">
      <c r="H1293" s="172"/>
    </row>
    <row r="1294">
      <c r="H1294" s="172"/>
    </row>
    <row r="1296">
      <c r="H1296" s="172"/>
    </row>
    <row r="1297">
      <c r="H1297" s="172"/>
    </row>
    <row r="1298">
      <c r="H1298" s="172"/>
    </row>
    <row r="1307">
      <c r="H1307" s="172"/>
    </row>
    <row r="1309">
      <c r="H1309" s="172"/>
    </row>
    <row r="1315">
      <c r="H1315" s="172"/>
    </row>
    <row r="1318">
      <c r="H1318" s="172"/>
    </row>
    <row r="1319">
      <c r="H1319" s="172"/>
    </row>
    <row r="1320">
      <c r="H1320" s="172"/>
    </row>
    <row r="1323">
      <c r="H1323" s="172"/>
    </row>
    <row r="1326">
      <c r="H1326" s="172"/>
    </row>
    <row r="1331">
      <c r="H1331" s="172"/>
    </row>
    <row r="1333">
      <c r="H1333" s="172"/>
    </row>
    <row r="1334">
      <c r="H1334" s="172"/>
    </row>
    <row r="1335">
      <c r="H1335" s="172"/>
    </row>
    <row r="1338">
      <c r="H1338" s="172"/>
    </row>
    <row r="1339">
      <c r="H1339" s="172"/>
    </row>
    <row r="1340">
      <c r="H1340" s="172"/>
    </row>
    <row r="1342">
      <c r="H1342" s="172"/>
    </row>
    <row r="1344">
      <c r="H1344" s="172"/>
    </row>
    <row r="1345">
      <c r="H1345" s="172"/>
    </row>
    <row r="1349">
      <c r="H1349" s="172"/>
    </row>
    <row r="1350">
      <c r="H1350" s="172"/>
    </row>
    <row r="1351">
      <c r="H1351" s="172"/>
    </row>
    <row r="1353">
      <c r="H1353" s="172"/>
    </row>
    <row r="1354">
      <c r="H1354" s="172"/>
    </row>
    <row r="1357">
      <c r="H1357" s="172"/>
    </row>
    <row r="1358">
      <c r="H1358" s="172"/>
    </row>
    <row r="1362">
      <c r="H1362" s="172"/>
    </row>
    <row r="1364">
      <c r="H1364" s="172"/>
    </row>
    <row r="1368">
      <c r="H1368" s="172"/>
    </row>
    <row r="1371">
      <c r="H1371" s="172"/>
    </row>
    <row r="1375">
      <c r="H1375" s="172"/>
    </row>
    <row r="1378">
      <c r="H1378" s="172"/>
    </row>
    <row r="1379">
      <c r="H1379" s="172"/>
    </row>
    <row r="1384">
      <c r="H1384" s="172"/>
    </row>
    <row r="1385">
      <c r="H1385" s="172"/>
    </row>
    <row r="1386">
      <c r="H1386" s="172"/>
    </row>
    <row r="1388">
      <c r="H1388" s="172"/>
    </row>
    <row r="1392">
      <c r="H1392" s="172"/>
    </row>
    <row r="1393">
      <c r="H1393" s="172"/>
    </row>
    <row r="1408">
      <c r="H1408" s="172"/>
    </row>
    <row r="1414">
      <c r="H1414" s="172"/>
    </row>
    <row r="1425">
      <c r="H1425" s="172"/>
    </row>
    <row r="1436">
      <c r="H1436" s="172"/>
    </row>
    <row r="1439">
      <c r="H1439" s="172"/>
    </row>
    <row r="1463">
      <c r="H1463" s="17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63"/>
    <col customWidth="1" min="4" max="4" width="9.38"/>
  </cols>
  <sheetData>
    <row r="1">
      <c r="A1" s="12" t="s">
        <v>55</v>
      </c>
      <c r="B1" s="12" t="s">
        <v>18951</v>
      </c>
      <c r="C1" s="12" t="s">
        <v>18952</v>
      </c>
      <c r="D1" s="12" t="s">
        <v>18953</v>
      </c>
      <c r="E1" s="12" t="s">
        <v>62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4" max="4" width="87.38"/>
    <col customWidth="1" min="6" max="6" width="48.75"/>
    <col customWidth="1" min="8" max="8" width="14.75"/>
    <col customWidth="1" min="10" max="10" width="63.38"/>
    <col customWidth="1" min="11" max="11" width="19.38"/>
    <col customWidth="1" min="12" max="12" width="25.13"/>
  </cols>
  <sheetData>
    <row r="1">
      <c r="A1" s="178" t="s">
        <v>0</v>
      </c>
      <c r="B1" s="178" t="s">
        <v>189</v>
      </c>
      <c r="C1" s="178" t="s">
        <v>18954</v>
      </c>
      <c r="D1" s="178" t="s">
        <v>18955</v>
      </c>
      <c r="E1" s="178" t="s">
        <v>12</v>
      </c>
      <c r="F1" s="178" t="s">
        <v>18956</v>
      </c>
      <c r="G1" s="178" t="s">
        <v>7</v>
      </c>
      <c r="H1" s="178" t="s">
        <v>18957</v>
      </c>
      <c r="I1" s="178" t="s">
        <v>192</v>
      </c>
      <c r="J1" s="178" t="s">
        <v>193</v>
      </c>
      <c r="K1" s="178" t="s">
        <v>18958</v>
      </c>
      <c r="L1" s="178" t="s">
        <v>18959</v>
      </c>
    </row>
    <row r="2">
      <c r="A2" s="2" t="s">
        <v>213</v>
      </c>
      <c r="B2" s="2" t="s">
        <v>214</v>
      </c>
      <c r="C2" s="2" t="s">
        <v>215</v>
      </c>
      <c r="D2" s="2" t="s">
        <v>217</v>
      </c>
      <c r="E2" s="34"/>
      <c r="F2" s="34"/>
      <c r="G2" s="172">
        <v>46132.59567599537</v>
      </c>
      <c r="H2" s="7" t="str">
        <f t="shared" ref="H2:H7" si="1">HYPERLINK("https://api.whatsapp.com/send?text=" &amp; ENCODEURL("🚨 *PostEx~TRACE PK*" &amp; CHAR(10) &amp; "📦 Tracking: " &amp; A2 &amp; CHAR(10) &amp; "💬 PostEx Msg: " &amp; D2 &amp; CHAR(10) &amp; "👉 *Instruction:* " &amp; IF(L2="", "Please check sheet", L2)), "🚀 Send to Group")</f>
        <v>🚀 Send to Group</v>
      </c>
      <c r="I2" s="3">
        <v>3348.0</v>
      </c>
      <c r="J2" s="2" t="s">
        <v>218</v>
      </c>
      <c r="K2" s="34"/>
      <c r="L2" s="34"/>
    </row>
    <row r="3">
      <c r="A3" s="2">
        <v>2.7120050023626E13</v>
      </c>
      <c r="B3" s="2" t="s">
        <v>16903</v>
      </c>
      <c r="C3" s="2" t="s">
        <v>18960</v>
      </c>
      <c r="D3" s="34"/>
      <c r="E3" s="6"/>
      <c r="G3" s="172">
        <v>46132.59567603009</v>
      </c>
      <c r="H3" s="7" t="str">
        <f t="shared" si="1"/>
        <v>🚀 Send to Group</v>
      </c>
      <c r="I3" s="3">
        <v>1899.0</v>
      </c>
      <c r="J3" s="2" t="s">
        <v>16905</v>
      </c>
    </row>
    <row r="4">
      <c r="A4" s="2" t="s">
        <v>250</v>
      </c>
      <c r="B4" s="2" t="s">
        <v>251</v>
      </c>
      <c r="C4" s="2" t="s">
        <v>215</v>
      </c>
      <c r="D4" s="2" t="s">
        <v>252</v>
      </c>
      <c r="E4" s="6"/>
      <c r="G4" s="172">
        <v>46132.59567603009</v>
      </c>
      <c r="H4" s="7" t="str">
        <f t="shared" si="1"/>
        <v>🚀 Send to Group</v>
      </c>
      <c r="I4" s="3">
        <v>1848.0</v>
      </c>
      <c r="J4" s="2" t="s">
        <v>253</v>
      </c>
    </row>
    <row r="5">
      <c r="A5" s="2" t="s">
        <v>293</v>
      </c>
      <c r="B5" s="2" t="s">
        <v>294</v>
      </c>
      <c r="C5" s="2" t="s">
        <v>215</v>
      </c>
      <c r="D5" s="2" t="s">
        <v>295</v>
      </c>
      <c r="E5" s="6"/>
      <c r="G5" s="172">
        <v>46132.59567604167</v>
      </c>
      <c r="H5" s="7" t="str">
        <f t="shared" si="1"/>
        <v>🚀 Send to Group</v>
      </c>
      <c r="I5" s="3">
        <v>3398.0</v>
      </c>
      <c r="J5" s="2" t="s">
        <v>296</v>
      </c>
    </row>
    <row r="6">
      <c r="A6" s="2">
        <v>2.2120050023594E13</v>
      </c>
      <c r="B6" s="2" t="s">
        <v>18223</v>
      </c>
      <c r="C6" s="2" t="s">
        <v>18960</v>
      </c>
      <c r="D6" s="2" t="s">
        <v>204</v>
      </c>
      <c r="E6" s="6"/>
      <c r="G6" s="172">
        <v>46132.59567605324</v>
      </c>
      <c r="H6" s="7" t="str">
        <f t="shared" si="1"/>
        <v>🚀 Send to Group</v>
      </c>
      <c r="I6" s="3">
        <v>3099.0</v>
      </c>
      <c r="J6" s="2" t="s">
        <v>18225</v>
      </c>
    </row>
    <row r="7">
      <c r="A7" s="2">
        <v>2.4120050023618E13</v>
      </c>
      <c r="B7" s="2" t="s">
        <v>6062</v>
      </c>
      <c r="C7" s="2" t="s">
        <v>18960</v>
      </c>
      <c r="D7" s="2" t="s">
        <v>204</v>
      </c>
      <c r="E7" s="6"/>
      <c r="G7" s="172">
        <v>46132.59567607639</v>
      </c>
      <c r="H7" s="7" t="str">
        <f t="shared" si="1"/>
        <v>🚀 Send to Group</v>
      </c>
      <c r="I7" s="3">
        <v>3399.0</v>
      </c>
      <c r="J7" s="2" t="s">
        <v>11183</v>
      </c>
    </row>
    <row r="8">
      <c r="A8" s="34"/>
      <c r="B8" s="34"/>
      <c r="C8" s="34"/>
      <c r="D8" s="34"/>
      <c r="E8" s="6"/>
      <c r="G8" s="35"/>
      <c r="J8" s="34"/>
    </row>
    <row r="9">
      <c r="A9" s="34"/>
      <c r="B9" s="34"/>
      <c r="C9" s="34"/>
      <c r="D9" s="34"/>
      <c r="E9" s="6"/>
      <c r="G9" s="35"/>
      <c r="J9" s="34"/>
    </row>
    <row r="10">
      <c r="A10" s="34"/>
      <c r="B10" s="34"/>
      <c r="C10" s="34"/>
      <c r="D10" s="34"/>
      <c r="E10" s="6"/>
      <c r="G10" s="35"/>
      <c r="J10" s="34"/>
    </row>
    <row r="11">
      <c r="A11" s="34"/>
      <c r="B11" s="34"/>
      <c r="C11" s="34"/>
      <c r="D11" s="34"/>
      <c r="E11" s="6"/>
      <c r="G11" s="35"/>
      <c r="J11" s="34"/>
    </row>
    <row r="12">
      <c r="A12" s="34"/>
      <c r="B12" s="34"/>
      <c r="C12" s="34"/>
      <c r="D12" s="34"/>
      <c r="E12" s="6"/>
      <c r="G12" s="35"/>
      <c r="J12" s="34"/>
    </row>
    <row r="13">
      <c r="A13" s="34"/>
      <c r="B13" s="34"/>
      <c r="C13" s="34"/>
      <c r="D13" s="34"/>
      <c r="E13" s="6"/>
      <c r="G13" s="35"/>
      <c r="J13" s="34"/>
    </row>
    <row r="14">
      <c r="A14" s="34"/>
      <c r="B14" s="34"/>
      <c r="C14" s="34"/>
      <c r="D14" s="34"/>
      <c r="E14" s="6"/>
      <c r="G14" s="35"/>
      <c r="J14" s="34"/>
    </row>
    <row r="15">
      <c r="A15" s="34"/>
      <c r="B15" s="34"/>
      <c r="C15" s="34"/>
      <c r="D15" s="34"/>
      <c r="E15" s="6"/>
      <c r="G15" s="35"/>
      <c r="J15" s="34"/>
    </row>
    <row r="16">
      <c r="A16" s="34"/>
      <c r="B16" s="34"/>
      <c r="C16" s="34"/>
      <c r="D16" s="34"/>
      <c r="E16" s="6"/>
      <c r="G16" s="35"/>
      <c r="J16" s="34"/>
    </row>
    <row r="17">
      <c r="A17" s="34"/>
      <c r="B17" s="34"/>
      <c r="C17" s="34"/>
      <c r="D17" s="34"/>
      <c r="E17" s="6"/>
      <c r="G17" s="35"/>
      <c r="J17" s="34"/>
    </row>
    <row r="18">
      <c r="A18" s="34"/>
      <c r="B18" s="34"/>
      <c r="C18" s="34"/>
      <c r="D18" s="34"/>
      <c r="E18" s="6"/>
      <c r="G18" s="35"/>
      <c r="J18" s="34"/>
    </row>
    <row r="19">
      <c r="A19" s="34"/>
      <c r="B19" s="34"/>
      <c r="C19" s="34"/>
      <c r="D19" s="34"/>
      <c r="E19" s="6"/>
      <c r="G19" s="35"/>
      <c r="J19" s="34"/>
    </row>
    <row r="20">
      <c r="A20" s="34"/>
      <c r="B20" s="34"/>
      <c r="C20" s="34"/>
      <c r="D20" s="34"/>
      <c r="E20" s="6"/>
      <c r="G20" s="35"/>
      <c r="J20" s="34"/>
    </row>
    <row r="21">
      <c r="A21" s="34"/>
      <c r="B21" s="34"/>
      <c r="C21" s="34"/>
      <c r="D21" s="34"/>
      <c r="E21" s="6"/>
      <c r="G21" s="35"/>
      <c r="J21" s="34"/>
    </row>
    <row r="22">
      <c r="A22" s="34"/>
      <c r="B22" s="34"/>
      <c r="C22" s="34"/>
      <c r="D22" s="34"/>
      <c r="E22" s="6"/>
      <c r="G22" s="35"/>
      <c r="J22" s="34"/>
    </row>
    <row r="23">
      <c r="A23" s="34"/>
      <c r="B23" s="34"/>
      <c r="C23" s="34"/>
      <c r="D23" s="34"/>
      <c r="E23" s="6"/>
      <c r="G23" s="35"/>
      <c r="J23" s="34"/>
    </row>
    <row r="24">
      <c r="A24" s="34"/>
      <c r="B24" s="34"/>
      <c r="C24" s="34"/>
      <c r="D24" s="34"/>
      <c r="E24" s="6"/>
      <c r="G24" s="35"/>
      <c r="J24" s="34"/>
    </row>
    <row r="25">
      <c r="A25" s="34"/>
      <c r="B25" s="34"/>
      <c r="C25" s="34"/>
      <c r="D25" s="34"/>
      <c r="E25" s="6"/>
      <c r="G25" s="35"/>
      <c r="J25" s="34"/>
    </row>
    <row r="26">
      <c r="A26" s="34"/>
      <c r="B26" s="34"/>
      <c r="C26" s="34"/>
      <c r="D26" s="34"/>
      <c r="E26" s="6"/>
      <c r="G26" s="35"/>
      <c r="J26" s="34"/>
    </row>
    <row r="27">
      <c r="A27" s="34"/>
      <c r="B27" s="34"/>
      <c r="C27" s="34"/>
      <c r="D27" s="34"/>
      <c r="E27" s="6"/>
      <c r="G27" s="35"/>
      <c r="J27" s="34"/>
    </row>
    <row r="28">
      <c r="A28" s="34"/>
      <c r="B28" s="34"/>
      <c r="C28" s="34"/>
      <c r="D28" s="34"/>
      <c r="E28" s="6"/>
      <c r="G28" s="35"/>
      <c r="J28" s="34"/>
    </row>
    <row r="29">
      <c r="A29" s="34"/>
      <c r="B29" s="34"/>
      <c r="C29" s="34"/>
      <c r="D29" s="34"/>
      <c r="E29" s="6"/>
      <c r="G29" s="35"/>
      <c r="J29" s="34"/>
    </row>
    <row r="30">
      <c r="A30" s="34"/>
      <c r="B30" s="34"/>
      <c r="C30" s="34"/>
      <c r="D30" s="34"/>
      <c r="E30" s="6"/>
      <c r="G30" s="35"/>
      <c r="J30" s="34"/>
    </row>
    <row r="31">
      <c r="A31" s="34"/>
      <c r="B31" s="34"/>
      <c r="C31" s="34"/>
      <c r="D31" s="34"/>
      <c r="E31" s="6"/>
      <c r="G31" s="35"/>
      <c r="J31" s="34"/>
    </row>
    <row r="32">
      <c r="A32" s="34"/>
      <c r="B32" s="34"/>
      <c r="C32" s="34"/>
      <c r="D32" s="34"/>
      <c r="E32" s="6"/>
      <c r="G32" s="35"/>
      <c r="J32" s="34"/>
    </row>
    <row r="33">
      <c r="A33" s="34"/>
      <c r="B33" s="34"/>
      <c r="C33" s="34"/>
      <c r="D33" s="34"/>
      <c r="E33" s="6"/>
      <c r="G33" s="35"/>
      <c r="J33" s="34"/>
    </row>
    <row r="34">
      <c r="A34" s="34"/>
      <c r="B34" s="34"/>
      <c r="C34" s="34"/>
      <c r="D34" s="34"/>
      <c r="E34" s="6"/>
      <c r="G34" s="35"/>
      <c r="J34" s="34"/>
    </row>
    <row r="35">
      <c r="A35" s="34"/>
      <c r="B35" s="34"/>
      <c r="C35" s="34"/>
      <c r="D35" s="34"/>
      <c r="E35" s="6"/>
      <c r="G35" s="35"/>
      <c r="J35" s="34"/>
    </row>
    <row r="36">
      <c r="A36" s="34"/>
      <c r="B36" s="34"/>
      <c r="C36" s="34"/>
      <c r="D36" s="34"/>
      <c r="E36" s="6"/>
      <c r="G36" s="35"/>
      <c r="J36" s="34"/>
    </row>
    <row r="37">
      <c r="A37" s="34"/>
      <c r="B37" s="34"/>
      <c r="C37" s="34"/>
      <c r="D37" s="34"/>
      <c r="E37" s="6"/>
      <c r="G37" s="35"/>
      <c r="J37" s="34"/>
    </row>
    <row r="38">
      <c r="A38" s="34"/>
      <c r="B38" s="34"/>
      <c r="C38" s="34"/>
      <c r="D38" s="34"/>
      <c r="E38" s="6"/>
      <c r="G38" s="35"/>
      <c r="J38" s="34"/>
    </row>
    <row r="39">
      <c r="A39" s="34"/>
      <c r="B39" s="34"/>
      <c r="C39" s="34"/>
      <c r="D39" s="34"/>
      <c r="E39" s="6"/>
      <c r="G39" s="35"/>
      <c r="J39" s="34"/>
    </row>
    <row r="40">
      <c r="A40" s="34"/>
      <c r="B40" s="34"/>
      <c r="C40" s="34"/>
      <c r="D40" s="34"/>
      <c r="E40" s="6"/>
      <c r="G40" s="35"/>
      <c r="J40" s="34"/>
    </row>
    <row r="41">
      <c r="A41" s="34"/>
      <c r="B41" s="34"/>
      <c r="C41" s="34"/>
      <c r="D41" s="34"/>
      <c r="E41" s="6"/>
      <c r="G41" s="35"/>
      <c r="J41" s="34"/>
    </row>
    <row r="42">
      <c r="A42" s="34"/>
      <c r="B42" s="34"/>
      <c r="C42" s="34"/>
      <c r="D42" s="34"/>
      <c r="E42" s="6"/>
      <c r="G42" s="35"/>
      <c r="J42" s="34"/>
    </row>
    <row r="43">
      <c r="A43" s="34"/>
      <c r="B43" s="34"/>
      <c r="C43" s="34"/>
      <c r="D43" s="34"/>
      <c r="E43" s="6"/>
      <c r="G43" s="35"/>
      <c r="J43" s="34"/>
    </row>
    <row r="44">
      <c r="A44" s="34"/>
      <c r="B44" s="34"/>
      <c r="C44" s="34"/>
      <c r="D44" s="34"/>
      <c r="E44" s="6"/>
      <c r="G44" s="35"/>
      <c r="J44" s="34"/>
    </row>
    <row r="45">
      <c r="A45" s="34"/>
      <c r="B45" s="34"/>
      <c r="C45" s="34"/>
      <c r="D45" s="34"/>
      <c r="E45" s="6"/>
      <c r="G45" s="35"/>
      <c r="J45" s="34"/>
    </row>
    <row r="46">
      <c r="A46" s="34"/>
      <c r="B46" s="34"/>
      <c r="C46" s="34"/>
      <c r="D46" s="34"/>
      <c r="E46" s="6"/>
      <c r="G46" s="35"/>
      <c r="J46" s="34"/>
    </row>
    <row r="47">
      <c r="A47" s="34"/>
      <c r="B47" s="34"/>
      <c r="C47" s="34"/>
      <c r="D47" s="34"/>
      <c r="E47" s="6"/>
      <c r="G47" s="35"/>
      <c r="J47" s="34"/>
    </row>
    <row r="48">
      <c r="A48" s="34"/>
      <c r="B48" s="34"/>
      <c r="C48" s="34"/>
      <c r="D48" s="34"/>
      <c r="E48" s="6"/>
      <c r="G48" s="35"/>
      <c r="J48" s="34"/>
    </row>
    <row r="49">
      <c r="A49" s="34"/>
      <c r="B49" s="34"/>
      <c r="C49" s="34"/>
      <c r="D49" s="34"/>
      <c r="E49" s="6"/>
      <c r="G49" s="35"/>
      <c r="J49" s="34"/>
    </row>
    <row r="50">
      <c r="A50" s="34"/>
      <c r="B50" s="34"/>
      <c r="C50" s="34"/>
      <c r="D50" s="34"/>
      <c r="E50" s="6"/>
      <c r="G50" s="35"/>
      <c r="J50" s="34"/>
    </row>
    <row r="51">
      <c r="A51" s="34"/>
      <c r="B51" s="34"/>
      <c r="C51" s="34"/>
      <c r="D51" s="34"/>
      <c r="E51" s="6"/>
      <c r="G51" s="35"/>
      <c r="J51" s="34"/>
    </row>
    <row r="52">
      <c r="A52" s="34"/>
      <c r="B52" s="34"/>
      <c r="C52" s="34"/>
      <c r="D52" s="34"/>
      <c r="E52" s="6"/>
      <c r="G52" s="35"/>
      <c r="J52" s="34"/>
    </row>
    <row r="53">
      <c r="A53" s="34"/>
      <c r="B53" s="34"/>
      <c r="C53" s="34"/>
      <c r="D53" s="34"/>
      <c r="E53" s="6"/>
      <c r="G53" s="35"/>
      <c r="J53" s="34"/>
    </row>
    <row r="54">
      <c r="A54" s="34"/>
      <c r="B54" s="34"/>
      <c r="C54" s="34"/>
      <c r="D54" s="34"/>
      <c r="E54" s="6"/>
      <c r="G54" s="35"/>
      <c r="J54" s="34"/>
    </row>
    <row r="55">
      <c r="A55" s="34"/>
      <c r="B55" s="34"/>
      <c r="C55" s="34"/>
      <c r="D55" s="34"/>
      <c r="E55" s="6"/>
      <c r="G55" s="35"/>
      <c r="J55" s="34"/>
    </row>
    <row r="56">
      <c r="A56" s="34"/>
      <c r="B56" s="34"/>
      <c r="C56" s="34"/>
      <c r="D56" s="34"/>
      <c r="E56" s="6"/>
      <c r="G56" s="35"/>
      <c r="J56" s="34"/>
    </row>
    <row r="57">
      <c r="A57" s="34"/>
      <c r="B57" s="34"/>
      <c r="C57" s="34"/>
      <c r="D57" s="34"/>
      <c r="E57" s="6"/>
      <c r="G57" s="35"/>
      <c r="J57" s="34"/>
    </row>
  </sheetData>
  <dataValidations>
    <dataValidation type="list" allowBlank="1" sqref="E2:E57">
      <formula1>"Reattempt,Return,Hold,🚫 Force Ignore"</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1.88"/>
    <col customWidth="1" min="3" max="3" width="11.5"/>
    <col customWidth="1" min="4" max="4" width="15.75"/>
    <col customWidth="1" min="5" max="5" width="19.13"/>
    <col customWidth="1" min="6" max="6" width="24.88"/>
  </cols>
  <sheetData>
    <row r="1">
      <c r="A1" s="190" t="s">
        <v>56</v>
      </c>
      <c r="B1" s="190" t="s">
        <v>18961</v>
      </c>
      <c r="C1" s="190" t="s">
        <v>18962</v>
      </c>
      <c r="D1" s="190" t="s">
        <v>18963</v>
      </c>
      <c r="E1" s="190" t="s">
        <v>18964</v>
      </c>
      <c r="F1" s="190" t="s">
        <v>18965</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63"/>
    <col customWidth="1" min="2" max="2" width="18.88"/>
    <col customWidth="1" min="3" max="3" width="31.38"/>
    <col customWidth="1" min="4" max="4" width="37.63"/>
  </cols>
  <sheetData>
    <row r="1">
      <c r="A1" s="12" t="s">
        <v>18966</v>
      </c>
      <c r="B1" s="2" t="b">
        <v>1</v>
      </c>
      <c r="C1" s="8" t="s">
        <v>18967</v>
      </c>
      <c r="D1" s="2" t="b">
        <v>1</v>
      </c>
    </row>
    <row r="2">
      <c r="B2" s="191" t="s">
        <v>18968</v>
      </c>
      <c r="D2" s="191" t="s">
        <v>18969</v>
      </c>
    </row>
    <row r="3">
      <c r="A3" s="192" t="s">
        <v>18970</v>
      </c>
      <c r="B3" s="192" t="s">
        <v>18971</v>
      </c>
      <c r="C3" s="192" t="s">
        <v>18972</v>
      </c>
      <c r="D3" s="192" t="s">
        <v>18973</v>
      </c>
    </row>
    <row r="4">
      <c r="A4" s="193"/>
      <c r="B4" s="34"/>
      <c r="C4" s="34"/>
    </row>
    <row r="5">
      <c r="A5" s="193"/>
      <c r="B5" s="34"/>
      <c r="C5" s="34"/>
    </row>
    <row r="6">
      <c r="A6" s="193"/>
      <c r="B6" s="34"/>
      <c r="C6" s="34"/>
    </row>
    <row r="7">
      <c r="A7" s="193"/>
      <c r="B7" s="34"/>
      <c r="C7" s="34"/>
    </row>
    <row r="8">
      <c r="A8" s="193"/>
      <c r="B8" s="34"/>
      <c r="C8" s="34"/>
    </row>
    <row r="9">
      <c r="A9" s="193"/>
      <c r="B9" s="34"/>
      <c r="C9" s="34"/>
    </row>
    <row r="10">
      <c r="A10" s="193"/>
      <c r="B10" s="34"/>
      <c r="C10" s="34"/>
    </row>
    <row r="11">
      <c r="A11" s="193"/>
      <c r="B11" s="34"/>
      <c r="C11" s="34"/>
    </row>
    <row r="12">
      <c r="A12" s="193"/>
      <c r="B12" s="34"/>
      <c r="C12" s="34"/>
    </row>
    <row r="13">
      <c r="A13" s="193"/>
      <c r="B13" s="34"/>
      <c r="C13" s="34"/>
    </row>
    <row r="14">
      <c r="A14" s="193"/>
      <c r="B14" s="34"/>
      <c r="C14" s="34"/>
    </row>
    <row r="15">
      <c r="A15" s="193"/>
      <c r="B15" s="34"/>
      <c r="C15" s="34"/>
    </row>
    <row r="16">
      <c r="A16" s="193"/>
      <c r="B16" s="34"/>
      <c r="C16" s="34"/>
    </row>
    <row r="17">
      <c r="A17" s="193"/>
      <c r="B17" s="34"/>
      <c r="C17" s="34"/>
    </row>
    <row r="18">
      <c r="A18" s="193"/>
      <c r="B18" s="34"/>
      <c r="C18" s="34"/>
    </row>
    <row r="19">
      <c r="A19" s="193"/>
      <c r="B19" s="34"/>
      <c r="C19" s="34"/>
    </row>
    <row r="20">
      <c r="A20" s="193"/>
      <c r="B20" s="34"/>
      <c r="C20" s="34"/>
    </row>
    <row r="21">
      <c r="A21" s="193"/>
      <c r="B21" s="34"/>
      <c r="C21" s="34"/>
    </row>
    <row r="22">
      <c r="A22" s="193"/>
      <c r="B22" s="34"/>
      <c r="C22" s="34"/>
    </row>
    <row r="23">
      <c r="A23" s="193"/>
      <c r="B23" s="34"/>
      <c r="C23" s="34"/>
    </row>
    <row r="24">
      <c r="A24" s="193"/>
      <c r="B24" s="34"/>
      <c r="C24" s="34"/>
    </row>
    <row r="25">
      <c r="A25" s="193"/>
      <c r="B25" s="34"/>
      <c r="C25" s="34"/>
    </row>
    <row r="26">
      <c r="A26" s="193"/>
      <c r="B26" s="34"/>
      <c r="C26" s="34"/>
    </row>
    <row r="27">
      <c r="A27" s="193"/>
      <c r="B27" s="34"/>
      <c r="C27" s="34"/>
    </row>
    <row r="28">
      <c r="A28" s="193"/>
      <c r="B28" s="34"/>
      <c r="C28" s="34"/>
    </row>
    <row r="29">
      <c r="A29" s="193"/>
      <c r="B29" s="34"/>
      <c r="C29" s="34"/>
    </row>
    <row r="30">
      <c r="A30" s="193"/>
      <c r="B30" s="34"/>
      <c r="C30" s="34"/>
    </row>
    <row r="31">
      <c r="A31" s="193"/>
      <c r="B31" s="34"/>
      <c r="C31" s="34"/>
    </row>
    <row r="32">
      <c r="A32" s="193"/>
      <c r="B32" s="34"/>
      <c r="C32" s="34"/>
    </row>
    <row r="33">
      <c r="A33" s="193"/>
      <c r="B33" s="34"/>
      <c r="C33" s="34"/>
    </row>
    <row r="34">
      <c r="A34" s="193"/>
      <c r="B34" s="34"/>
      <c r="C34" s="34"/>
    </row>
    <row r="35">
      <c r="A35" s="193"/>
      <c r="B35" s="34"/>
      <c r="C35" s="34"/>
    </row>
    <row r="36">
      <c r="A36" s="193"/>
      <c r="B36" s="34"/>
      <c r="C36" s="34"/>
    </row>
    <row r="37">
      <c r="A37" s="193"/>
      <c r="B37" s="34"/>
      <c r="C37" s="34"/>
    </row>
    <row r="38">
      <c r="A38" s="193"/>
      <c r="B38" s="34"/>
      <c r="C38" s="34"/>
    </row>
    <row r="39">
      <c r="A39" s="193"/>
      <c r="B39" s="34"/>
      <c r="C39" s="34"/>
    </row>
    <row r="40">
      <c r="A40" s="193"/>
      <c r="B40" s="34"/>
      <c r="C40" s="34"/>
    </row>
    <row r="41">
      <c r="A41" s="193"/>
      <c r="B41" s="34"/>
      <c r="C41" s="34"/>
    </row>
    <row r="42">
      <c r="A42" s="193"/>
      <c r="B42" s="34"/>
      <c r="C42" s="34"/>
    </row>
    <row r="43">
      <c r="A43" s="193"/>
      <c r="B43" s="34"/>
      <c r="C43" s="34"/>
    </row>
    <row r="44">
      <c r="A44" s="193"/>
      <c r="B44" s="34"/>
      <c r="C44" s="34"/>
    </row>
    <row r="45">
      <c r="A45" s="193"/>
      <c r="B45" s="34"/>
      <c r="C45" s="34"/>
    </row>
    <row r="46">
      <c r="A46" s="193"/>
      <c r="B46" s="34"/>
      <c r="C46" s="34"/>
    </row>
    <row r="47">
      <c r="A47" s="193"/>
      <c r="B47" s="34"/>
      <c r="C47" s="34"/>
    </row>
    <row r="48">
      <c r="A48" s="193"/>
      <c r="B48" s="34"/>
      <c r="C48" s="34"/>
    </row>
    <row r="49">
      <c r="A49" s="193"/>
      <c r="B49" s="34"/>
      <c r="C49" s="34"/>
    </row>
    <row r="50">
      <c r="A50" s="193"/>
      <c r="B50" s="34"/>
      <c r="C50" s="34"/>
    </row>
    <row r="51">
      <c r="A51" s="193"/>
      <c r="B51" s="34"/>
      <c r="C51" s="34"/>
    </row>
    <row r="52">
      <c r="A52" s="193"/>
      <c r="B52" s="34"/>
      <c r="C52" s="34"/>
    </row>
    <row r="53">
      <c r="A53" s="193"/>
      <c r="B53" s="34"/>
      <c r="C53" s="34"/>
    </row>
    <row r="54">
      <c r="A54" s="193"/>
      <c r="B54" s="34"/>
      <c r="C54" s="34"/>
    </row>
    <row r="55">
      <c r="A55" s="193"/>
      <c r="B55" s="34"/>
      <c r="C55" s="34"/>
    </row>
    <row r="56">
      <c r="A56" s="193"/>
      <c r="B56" s="34"/>
      <c r="C56" s="34"/>
    </row>
    <row r="57">
      <c r="A57" s="193"/>
      <c r="B57" s="34"/>
      <c r="C57" s="34"/>
    </row>
    <row r="58">
      <c r="A58" s="193"/>
      <c r="B58" s="34"/>
      <c r="C58" s="34"/>
    </row>
    <row r="59">
      <c r="A59" s="193"/>
      <c r="B59" s="34"/>
      <c r="C59" s="34"/>
    </row>
    <row r="60">
      <c r="A60" s="193"/>
      <c r="B60" s="34"/>
      <c r="C60" s="34"/>
    </row>
    <row r="61">
      <c r="A61" s="193"/>
      <c r="B61" s="34"/>
      <c r="C61" s="34"/>
    </row>
    <row r="62">
      <c r="A62" s="193"/>
      <c r="B62" s="34"/>
      <c r="C62" s="34"/>
    </row>
    <row r="63">
      <c r="A63" s="193"/>
    </row>
    <row r="64">
      <c r="A64" s="193"/>
    </row>
    <row r="65">
      <c r="A65" s="193"/>
    </row>
    <row r="66">
      <c r="A66" s="193"/>
    </row>
    <row r="67">
      <c r="A67" s="193"/>
    </row>
    <row r="68">
      <c r="A68" s="193"/>
    </row>
    <row r="69">
      <c r="A69" s="193"/>
    </row>
    <row r="70">
      <c r="A70" s="193"/>
    </row>
    <row r="71">
      <c r="A71" s="193"/>
    </row>
    <row r="72">
      <c r="A72" s="193"/>
    </row>
    <row r="73">
      <c r="A73" s="193"/>
    </row>
    <row r="74">
      <c r="A74" s="193"/>
    </row>
    <row r="75">
      <c r="A75" s="193"/>
    </row>
    <row r="76">
      <c r="A76" s="193"/>
    </row>
    <row r="77">
      <c r="A77" s="193"/>
    </row>
    <row r="78">
      <c r="A78" s="193"/>
    </row>
    <row r="79">
      <c r="A79" s="193"/>
    </row>
    <row r="80">
      <c r="A80" s="193"/>
    </row>
    <row r="81">
      <c r="A81" s="193"/>
    </row>
    <row r="82">
      <c r="A82" s="193"/>
    </row>
    <row r="83">
      <c r="A83" s="193"/>
    </row>
    <row r="84">
      <c r="A84" s="193"/>
    </row>
    <row r="85">
      <c r="A85" s="193"/>
    </row>
    <row r="86">
      <c r="A86" s="193"/>
    </row>
    <row r="87">
      <c r="A87" s="193"/>
    </row>
    <row r="88">
      <c r="A88" s="193"/>
    </row>
    <row r="89">
      <c r="A89" s="193"/>
    </row>
    <row r="90">
      <c r="A90" s="193"/>
    </row>
    <row r="91">
      <c r="A91" s="193"/>
    </row>
    <row r="92">
      <c r="A92" s="193"/>
    </row>
    <row r="93">
      <c r="A93" s="193"/>
    </row>
    <row r="94">
      <c r="A94" s="193"/>
    </row>
    <row r="95">
      <c r="A95" s="193"/>
    </row>
    <row r="96">
      <c r="A96" s="193"/>
    </row>
    <row r="97">
      <c r="A97" s="193"/>
    </row>
    <row r="98">
      <c r="A98" s="193"/>
    </row>
    <row r="99">
      <c r="A99" s="193"/>
    </row>
    <row r="100">
      <c r="A100" s="193"/>
    </row>
    <row r="101">
      <c r="A101" s="193"/>
    </row>
    <row r="102">
      <c r="A102" s="193"/>
    </row>
    <row r="103">
      <c r="A103" s="193"/>
    </row>
    <row r="104">
      <c r="A104" s="193"/>
    </row>
    <row r="105">
      <c r="A105" s="193"/>
    </row>
    <row r="106">
      <c r="A106" s="193"/>
    </row>
    <row r="107">
      <c r="A107" s="193"/>
    </row>
    <row r="108">
      <c r="A108" s="193"/>
    </row>
    <row r="109">
      <c r="A109" s="193"/>
    </row>
    <row r="110">
      <c r="A110" s="193"/>
    </row>
    <row r="111">
      <c r="A111" s="193"/>
    </row>
    <row r="112">
      <c r="A112" s="193"/>
    </row>
    <row r="113">
      <c r="A113" s="193"/>
    </row>
    <row r="114">
      <c r="A114" s="193"/>
    </row>
    <row r="115">
      <c r="A115" s="193"/>
    </row>
    <row r="116">
      <c r="A116" s="193"/>
    </row>
    <row r="117">
      <c r="A117" s="193"/>
    </row>
    <row r="118">
      <c r="A118" s="193"/>
    </row>
    <row r="119">
      <c r="A119" s="193"/>
    </row>
    <row r="120">
      <c r="A120" s="193"/>
    </row>
    <row r="121">
      <c r="A121" s="193"/>
    </row>
    <row r="122">
      <c r="A122" s="193"/>
    </row>
    <row r="123">
      <c r="A123" s="193"/>
    </row>
    <row r="124">
      <c r="A124" s="193"/>
    </row>
    <row r="125">
      <c r="A125" s="193"/>
    </row>
    <row r="126">
      <c r="A126" s="193"/>
    </row>
    <row r="127">
      <c r="A127" s="193"/>
    </row>
    <row r="128">
      <c r="A128" s="193"/>
    </row>
    <row r="129">
      <c r="A129" s="193"/>
    </row>
    <row r="130">
      <c r="A130" s="193"/>
    </row>
    <row r="131">
      <c r="A131" s="193"/>
    </row>
    <row r="132">
      <c r="A132" s="193"/>
    </row>
    <row r="133">
      <c r="A133" s="193"/>
    </row>
    <row r="134">
      <c r="A134" s="193"/>
    </row>
    <row r="135">
      <c r="A135" s="193"/>
    </row>
    <row r="136">
      <c r="A136" s="193"/>
    </row>
    <row r="137">
      <c r="A137" s="193"/>
    </row>
    <row r="138">
      <c r="A138" s="193"/>
    </row>
    <row r="139">
      <c r="A139" s="193"/>
    </row>
    <row r="140">
      <c r="A140" s="193"/>
    </row>
    <row r="141">
      <c r="A141" s="193"/>
    </row>
    <row r="142">
      <c r="A142" s="193"/>
    </row>
    <row r="143">
      <c r="A143" s="193"/>
    </row>
    <row r="144">
      <c r="A144" s="193"/>
    </row>
    <row r="145">
      <c r="A145" s="193"/>
    </row>
    <row r="146">
      <c r="A146" s="193"/>
    </row>
    <row r="147">
      <c r="A147" s="193"/>
    </row>
    <row r="148">
      <c r="A148" s="193"/>
    </row>
    <row r="149">
      <c r="A149" s="193"/>
    </row>
    <row r="150">
      <c r="A150" s="193"/>
    </row>
    <row r="151">
      <c r="A151" s="193"/>
    </row>
    <row r="152">
      <c r="A152" s="193"/>
    </row>
    <row r="153">
      <c r="A153" s="193"/>
    </row>
    <row r="154">
      <c r="A154" s="193"/>
    </row>
    <row r="155">
      <c r="A155" s="193"/>
    </row>
    <row r="156">
      <c r="A156" s="193"/>
    </row>
    <row r="157">
      <c r="A157" s="193"/>
    </row>
    <row r="158">
      <c r="A158" s="193"/>
    </row>
    <row r="159">
      <c r="A159" s="193"/>
    </row>
    <row r="160">
      <c r="A160" s="193"/>
    </row>
    <row r="161">
      <c r="A161" s="193"/>
    </row>
    <row r="162">
      <c r="A162" s="193"/>
    </row>
    <row r="163">
      <c r="A163" s="193"/>
    </row>
    <row r="164">
      <c r="A164" s="193"/>
    </row>
    <row r="165">
      <c r="A165" s="193"/>
    </row>
    <row r="166">
      <c r="A166" s="193"/>
    </row>
    <row r="167">
      <c r="A167" s="193"/>
    </row>
    <row r="168">
      <c r="A168" s="193"/>
    </row>
    <row r="169">
      <c r="A169" s="193"/>
    </row>
    <row r="170">
      <c r="A170" s="193"/>
    </row>
    <row r="171">
      <c r="A171" s="193"/>
    </row>
    <row r="172">
      <c r="A172" s="193"/>
    </row>
    <row r="173">
      <c r="A173" s="193"/>
    </row>
    <row r="174">
      <c r="A174" s="193"/>
    </row>
    <row r="175">
      <c r="A175" s="193"/>
    </row>
    <row r="176">
      <c r="A176" s="193"/>
    </row>
    <row r="177">
      <c r="A177" s="193"/>
    </row>
    <row r="178">
      <c r="A178" s="193"/>
    </row>
    <row r="179">
      <c r="A179" s="193"/>
    </row>
    <row r="180">
      <c r="A180" s="193"/>
    </row>
    <row r="181">
      <c r="A181" s="193"/>
    </row>
    <row r="182">
      <c r="A182" s="193"/>
    </row>
    <row r="183">
      <c r="A183" s="193"/>
    </row>
    <row r="184">
      <c r="A184" s="193"/>
    </row>
    <row r="185">
      <c r="A185" s="193"/>
    </row>
    <row r="186">
      <c r="A186" s="193"/>
    </row>
    <row r="187">
      <c r="A187" s="193"/>
    </row>
    <row r="188">
      <c r="A188" s="193"/>
    </row>
    <row r="189">
      <c r="A189" s="193"/>
    </row>
    <row r="190">
      <c r="A190" s="193"/>
    </row>
    <row r="191">
      <c r="A191" s="193"/>
    </row>
    <row r="192">
      <c r="A192" s="193"/>
    </row>
    <row r="193">
      <c r="A193" s="193"/>
    </row>
    <row r="194">
      <c r="A194" s="193"/>
    </row>
    <row r="195">
      <c r="A195" s="193"/>
    </row>
    <row r="196">
      <c r="A196" s="193"/>
    </row>
    <row r="197">
      <c r="A197" s="193"/>
    </row>
    <row r="198">
      <c r="A198" s="193"/>
    </row>
    <row r="199">
      <c r="A199" s="193"/>
    </row>
    <row r="200">
      <c r="A200" s="193"/>
    </row>
    <row r="201">
      <c r="A201" s="193"/>
    </row>
    <row r="202">
      <c r="A202" s="193"/>
    </row>
    <row r="203">
      <c r="A203" s="193"/>
    </row>
    <row r="204">
      <c r="A204" s="193"/>
    </row>
    <row r="205">
      <c r="A205" s="193"/>
    </row>
    <row r="206">
      <c r="A206" s="193"/>
    </row>
    <row r="207">
      <c r="A207" s="193"/>
    </row>
    <row r="208">
      <c r="A208" s="193"/>
    </row>
    <row r="209">
      <c r="A209" s="193"/>
    </row>
    <row r="210">
      <c r="A210" s="193"/>
    </row>
    <row r="211">
      <c r="A211" s="193"/>
    </row>
    <row r="212">
      <c r="A212" s="193"/>
    </row>
    <row r="213">
      <c r="A213" s="193"/>
    </row>
    <row r="214">
      <c r="A214" s="193"/>
    </row>
    <row r="215">
      <c r="A215" s="193"/>
    </row>
    <row r="216">
      <c r="A216" s="193"/>
    </row>
    <row r="217">
      <c r="A217" s="193"/>
    </row>
    <row r="218">
      <c r="A218" s="193"/>
    </row>
    <row r="219">
      <c r="A219" s="193"/>
    </row>
    <row r="220">
      <c r="A220" s="193"/>
    </row>
    <row r="221">
      <c r="A221" s="193"/>
    </row>
    <row r="222">
      <c r="A222" s="193"/>
    </row>
    <row r="223">
      <c r="A223" s="193"/>
    </row>
    <row r="224">
      <c r="A224" s="193"/>
    </row>
    <row r="225">
      <c r="A225" s="193"/>
    </row>
    <row r="226">
      <c r="A226" s="193"/>
    </row>
    <row r="227">
      <c r="A227" s="193"/>
    </row>
    <row r="228">
      <c r="A228" s="193"/>
    </row>
    <row r="229">
      <c r="A229" s="193"/>
    </row>
    <row r="230">
      <c r="A230" s="193"/>
    </row>
    <row r="231">
      <c r="A231" s="193"/>
    </row>
    <row r="232">
      <c r="A232" s="193"/>
    </row>
    <row r="233">
      <c r="A233" s="193"/>
    </row>
    <row r="234">
      <c r="A234" s="193"/>
    </row>
    <row r="235">
      <c r="A235" s="193"/>
    </row>
    <row r="236">
      <c r="A236" s="193"/>
    </row>
    <row r="237">
      <c r="A237" s="193"/>
    </row>
    <row r="238">
      <c r="A238" s="193"/>
    </row>
    <row r="239">
      <c r="A239" s="193"/>
    </row>
    <row r="240">
      <c r="A240" s="193"/>
    </row>
    <row r="241">
      <c r="A241" s="193"/>
    </row>
    <row r="242">
      <c r="A242" s="193"/>
    </row>
    <row r="243">
      <c r="A243" s="193"/>
    </row>
    <row r="244">
      <c r="A244" s="193"/>
    </row>
    <row r="245">
      <c r="A245" s="193"/>
    </row>
    <row r="246">
      <c r="A246" s="193"/>
    </row>
    <row r="247">
      <c r="A247" s="193"/>
    </row>
    <row r="248">
      <c r="A248" s="193"/>
    </row>
    <row r="249">
      <c r="A249" s="193"/>
    </row>
    <row r="250">
      <c r="A250" s="193"/>
    </row>
    <row r="251">
      <c r="A251" s="193"/>
    </row>
    <row r="252">
      <c r="A252" s="193"/>
    </row>
    <row r="253">
      <c r="A253" s="193"/>
    </row>
    <row r="254">
      <c r="A254" s="193"/>
    </row>
    <row r="255">
      <c r="A255" s="193"/>
    </row>
    <row r="256">
      <c r="A256" s="193"/>
    </row>
    <row r="257">
      <c r="A257" s="193"/>
    </row>
    <row r="258">
      <c r="A258" s="193"/>
    </row>
    <row r="259">
      <c r="A259" s="193"/>
    </row>
    <row r="260">
      <c r="A260" s="193"/>
    </row>
    <row r="261">
      <c r="A261" s="193"/>
    </row>
    <row r="262">
      <c r="A262" s="193"/>
    </row>
    <row r="263">
      <c r="A263" s="193"/>
    </row>
    <row r="264">
      <c r="A264" s="193"/>
    </row>
    <row r="265">
      <c r="A265" s="193"/>
    </row>
    <row r="266">
      <c r="A266" s="193"/>
    </row>
    <row r="267">
      <c r="A267" s="193"/>
    </row>
    <row r="268">
      <c r="A268" s="193"/>
    </row>
    <row r="269">
      <c r="A269" s="193"/>
    </row>
    <row r="270">
      <c r="A270" s="193"/>
    </row>
    <row r="271">
      <c r="A271" s="193"/>
    </row>
    <row r="272">
      <c r="A272" s="193"/>
    </row>
    <row r="273">
      <c r="A273" s="193"/>
    </row>
    <row r="274">
      <c r="A274" s="193"/>
    </row>
    <row r="275">
      <c r="A275" s="193"/>
    </row>
    <row r="276">
      <c r="A276" s="193"/>
    </row>
    <row r="277">
      <c r="A277" s="193"/>
    </row>
    <row r="278">
      <c r="A278" s="193"/>
    </row>
    <row r="279">
      <c r="A279" s="193"/>
    </row>
    <row r="280">
      <c r="A280" s="193"/>
    </row>
    <row r="281">
      <c r="A281" s="193"/>
    </row>
    <row r="282">
      <c r="A282" s="193"/>
    </row>
    <row r="283">
      <c r="A283" s="193"/>
    </row>
    <row r="284">
      <c r="A284" s="193"/>
    </row>
    <row r="285">
      <c r="A285" s="193"/>
    </row>
    <row r="286">
      <c r="A286" s="193"/>
    </row>
    <row r="287">
      <c r="A287" s="193"/>
    </row>
    <row r="288">
      <c r="A288" s="193"/>
    </row>
    <row r="289">
      <c r="A289" s="193"/>
    </row>
    <row r="290">
      <c r="A290" s="193"/>
    </row>
    <row r="291">
      <c r="A291" s="193"/>
    </row>
    <row r="292">
      <c r="A292" s="193"/>
    </row>
    <row r="293">
      <c r="A293" s="193"/>
    </row>
    <row r="294">
      <c r="A294" s="193"/>
    </row>
    <row r="295">
      <c r="A295" s="193"/>
    </row>
    <row r="296">
      <c r="A296" s="193"/>
    </row>
    <row r="297">
      <c r="A297" s="193"/>
    </row>
    <row r="298">
      <c r="A298" s="193"/>
    </row>
    <row r="299">
      <c r="A299" s="193"/>
    </row>
    <row r="300">
      <c r="A300" s="193"/>
    </row>
    <row r="301">
      <c r="A301" s="193"/>
    </row>
    <row r="302">
      <c r="A302" s="193"/>
    </row>
    <row r="303">
      <c r="A303" s="193"/>
    </row>
    <row r="304">
      <c r="A304" s="193"/>
    </row>
    <row r="305">
      <c r="A305" s="193"/>
    </row>
    <row r="306">
      <c r="A306" s="193"/>
    </row>
    <row r="307">
      <c r="A307" s="193"/>
    </row>
    <row r="308">
      <c r="A308" s="193"/>
    </row>
    <row r="309">
      <c r="A309" s="193"/>
    </row>
    <row r="310">
      <c r="A310" s="193"/>
    </row>
    <row r="311">
      <c r="A311" s="193"/>
    </row>
    <row r="312">
      <c r="A312" s="193"/>
    </row>
    <row r="313">
      <c r="A313" s="193"/>
    </row>
    <row r="314">
      <c r="A314" s="193"/>
    </row>
    <row r="315">
      <c r="A315" s="193"/>
    </row>
    <row r="316">
      <c r="A316" s="193"/>
    </row>
    <row r="317">
      <c r="A317" s="193"/>
    </row>
    <row r="318">
      <c r="A318" s="193"/>
    </row>
    <row r="319">
      <c r="A319" s="193"/>
    </row>
    <row r="320">
      <c r="A320" s="193"/>
    </row>
    <row r="321">
      <c r="A321" s="193"/>
    </row>
    <row r="322">
      <c r="A322" s="193"/>
    </row>
    <row r="323">
      <c r="A323" s="193"/>
    </row>
    <row r="324">
      <c r="A324" s="193"/>
    </row>
    <row r="325">
      <c r="A325" s="193"/>
    </row>
    <row r="326">
      <c r="A326" s="193"/>
    </row>
    <row r="327">
      <c r="A327" s="193"/>
    </row>
    <row r="328">
      <c r="A328" s="193"/>
    </row>
    <row r="329">
      <c r="A329" s="193"/>
    </row>
    <row r="330">
      <c r="A330" s="193"/>
    </row>
    <row r="331">
      <c r="A331" s="193"/>
    </row>
    <row r="332">
      <c r="A332" s="193"/>
    </row>
    <row r="333">
      <c r="A333" s="193"/>
    </row>
    <row r="334">
      <c r="A334" s="193"/>
    </row>
    <row r="335">
      <c r="A335" s="193"/>
    </row>
    <row r="336">
      <c r="A336" s="193"/>
    </row>
    <row r="337">
      <c r="A337" s="193"/>
    </row>
    <row r="338">
      <c r="A338" s="193"/>
    </row>
    <row r="339">
      <c r="A339" s="193"/>
    </row>
    <row r="340">
      <c r="A340" s="193"/>
    </row>
    <row r="341">
      <c r="A341" s="193"/>
    </row>
    <row r="342">
      <c r="A342" s="193"/>
    </row>
    <row r="343">
      <c r="A343" s="193"/>
    </row>
    <row r="344">
      <c r="A344" s="193"/>
    </row>
    <row r="345">
      <c r="A345" s="193"/>
    </row>
    <row r="346">
      <c r="A346" s="193"/>
    </row>
    <row r="347">
      <c r="A347" s="193"/>
    </row>
    <row r="348">
      <c r="A348" s="193"/>
    </row>
    <row r="349">
      <c r="A349" s="193"/>
    </row>
    <row r="350">
      <c r="A350" s="193"/>
    </row>
    <row r="351">
      <c r="A351" s="193"/>
    </row>
    <row r="352">
      <c r="A352" s="193"/>
    </row>
    <row r="353">
      <c r="A353" s="193"/>
    </row>
    <row r="354">
      <c r="A354" s="193"/>
    </row>
    <row r="355">
      <c r="A355" s="193"/>
    </row>
    <row r="356">
      <c r="A356" s="193"/>
    </row>
    <row r="357">
      <c r="A357" s="193"/>
    </row>
    <row r="358">
      <c r="A358" s="193"/>
    </row>
    <row r="359">
      <c r="A359" s="193"/>
    </row>
    <row r="360">
      <c r="A360" s="193"/>
    </row>
    <row r="361">
      <c r="A361" s="193"/>
    </row>
    <row r="362">
      <c r="A362" s="193"/>
    </row>
    <row r="363">
      <c r="A363" s="193"/>
    </row>
    <row r="364">
      <c r="A364" s="193"/>
    </row>
    <row r="365">
      <c r="A365" s="193"/>
    </row>
    <row r="366">
      <c r="A366" s="193"/>
    </row>
    <row r="367">
      <c r="A367" s="193"/>
    </row>
    <row r="368">
      <c r="A368" s="193"/>
    </row>
    <row r="369">
      <c r="A369" s="193"/>
    </row>
    <row r="370">
      <c r="A370" s="193"/>
    </row>
    <row r="371">
      <c r="A371" s="193"/>
    </row>
    <row r="372">
      <c r="A372" s="193"/>
    </row>
    <row r="373">
      <c r="A373" s="193"/>
    </row>
    <row r="374">
      <c r="A374" s="193"/>
    </row>
    <row r="375">
      <c r="A375" s="193"/>
    </row>
    <row r="376">
      <c r="A376" s="193"/>
    </row>
    <row r="377">
      <c r="A377" s="193"/>
    </row>
    <row r="378">
      <c r="A378" s="193"/>
    </row>
    <row r="379">
      <c r="A379" s="193"/>
    </row>
    <row r="380">
      <c r="A380" s="193"/>
    </row>
    <row r="381">
      <c r="A381" s="193"/>
    </row>
    <row r="382">
      <c r="A382" s="193"/>
    </row>
    <row r="383">
      <c r="A383" s="193"/>
    </row>
    <row r="384">
      <c r="A384" s="193"/>
    </row>
    <row r="385">
      <c r="A385" s="193"/>
    </row>
    <row r="386">
      <c r="A386" s="193"/>
    </row>
    <row r="387">
      <c r="A387" s="193"/>
    </row>
    <row r="388">
      <c r="A388" s="193"/>
    </row>
    <row r="389">
      <c r="A389" s="193"/>
    </row>
    <row r="390">
      <c r="A390" s="193"/>
    </row>
    <row r="391">
      <c r="A391" s="193"/>
    </row>
    <row r="392">
      <c r="A392" s="193"/>
    </row>
    <row r="393">
      <c r="A393" s="193"/>
    </row>
    <row r="394">
      <c r="A394" s="193"/>
    </row>
    <row r="395">
      <c r="A395" s="193"/>
    </row>
    <row r="396">
      <c r="A396" s="193"/>
    </row>
    <row r="397">
      <c r="A397" s="193"/>
    </row>
    <row r="398">
      <c r="A398" s="193"/>
    </row>
    <row r="399">
      <c r="A399" s="193"/>
    </row>
    <row r="400">
      <c r="A400" s="193"/>
    </row>
    <row r="401">
      <c r="A401" s="193"/>
    </row>
    <row r="402">
      <c r="A402" s="193"/>
    </row>
    <row r="403">
      <c r="A403" s="193"/>
    </row>
    <row r="404">
      <c r="A404" s="193"/>
    </row>
    <row r="405">
      <c r="A405" s="193"/>
    </row>
    <row r="406">
      <c r="A406" s="193"/>
    </row>
    <row r="407">
      <c r="A407" s="193"/>
    </row>
    <row r="408">
      <c r="A408" s="193"/>
    </row>
    <row r="409">
      <c r="A409" s="193"/>
    </row>
    <row r="410">
      <c r="A410" s="193"/>
    </row>
    <row r="411">
      <c r="A411" s="193"/>
    </row>
    <row r="412">
      <c r="A412" s="193"/>
    </row>
    <row r="413">
      <c r="A413" s="193"/>
    </row>
    <row r="414">
      <c r="A414" s="193"/>
    </row>
    <row r="415">
      <c r="A415" s="193"/>
    </row>
    <row r="416">
      <c r="A416" s="193"/>
    </row>
    <row r="417">
      <c r="A417" s="193"/>
    </row>
    <row r="418">
      <c r="A418" s="193"/>
    </row>
    <row r="419">
      <c r="A419" s="193"/>
    </row>
    <row r="420">
      <c r="A420" s="193"/>
    </row>
    <row r="421">
      <c r="A421" s="193"/>
    </row>
    <row r="422">
      <c r="A422" s="193"/>
    </row>
    <row r="423">
      <c r="A423" s="193"/>
    </row>
    <row r="424">
      <c r="A424" s="193"/>
    </row>
    <row r="425">
      <c r="A425" s="193"/>
    </row>
    <row r="426">
      <c r="A426" s="193"/>
    </row>
    <row r="427">
      <c r="A427" s="193"/>
    </row>
    <row r="428">
      <c r="A428" s="193"/>
    </row>
    <row r="429">
      <c r="A429" s="193"/>
    </row>
    <row r="430">
      <c r="A430" s="193"/>
    </row>
    <row r="431">
      <c r="A431" s="193"/>
    </row>
    <row r="432">
      <c r="A432" s="193"/>
    </row>
    <row r="433">
      <c r="A433" s="193"/>
    </row>
    <row r="434">
      <c r="A434" s="193"/>
    </row>
    <row r="435">
      <c r="A435" s="193"/>
    </row>
    <row r="436">
      <c r="A436" s="193"/>
    </row>
    <row r="437">
      <c r="A437" s="193"/>
    </row>
    <row r="438">
      <c r="A438" s="193"/>
    </row>
    <row r="439">
      <c r="A439" s="193"/>
    </row>
    <row r="440">
      <c r="A440" s="193"/>
    </row>
    <row r="441">
      <c r="A441" s="193"/>
    </row>
    <row r="442">
      <c r="A442" s="193"/>
    </row>
    <row r="443">
      <c r="A443" s="193"/>
    </row>
    <row r="444">
      <c r="A444" s="193"/>
    </row>
    <row r="445">
      <c r="A445" s="193"/>
    </row>
    <row r="446">
      <c r="A446" s="193"/>
    </row>
    <row r="447">
      <c r="A447" s="193"/>
    </row>
    <row r="448">
      <c r="A448" s="193"/>
    </row>
    <row r="449">
      <c r="A449" s="193"/>
    </row>
    <row r="450">
      <c r="A450" s="193"/>
    </row>
    <row r="451">
      <c r="A451" s="193"/>
    </row>
    <row r="452">
      <c r="A452" s="193"/>
    </row>
    <row r="453">
      <c r="A453" s="193"/>
    </row>
    <row r="454">
      <c r="A454" s="193"/>
    </row>
    <row r="455">
      <c r="A455" s="193"/>
    </row>
    <row r="456">
      <c r="A456" s="193"/>
    </row>
    <row r="457">
      <c r="A457" s="193"/>
    </row>
    <row r="458">
      <c r="A458" s="193"/>
    </row>
    <row r="459">
      <c r="A459" s="193"/>
    </row>
    <row r="460">
      <c r="A460" s="193"/>
    </row>
    <row r="461">
      <c r="A461" s="193"/>
    </row>
    <row r="462">
      <c r="A462" s="193"/>
    </row>
    <row r="463">
      <c r="A463" s="193"/>
    </row>
    <row r="464">
      <c r="A464" s="193"/>
    </row>
    <row r="465">
      <c r="A465" s="193"/>
    </row>
    <row r="466">
      <c r="A466" s="193"/>
    </row>
    <row r="467">
      <c r="A467" s="193"/>
    </row>
    <row r="468">
      <c r="A468" s="193"/>
    </row>
    <row r="469">
      <c r="A469" s="193"/>
    </row>
    <row r="470">
      <c r="A470" s="193"/>
    </row>
    <row r="471">
      <c r="A471" s="193"/>
    </row>
    <row r="472">
      <c r="A472" s="193"/>
    </row>
    <row r="473">
      <c r="A473" s="193"/>
    </row>
    <row r="474">
      <c r="A474" s="193"/>
    </row>
    <row r="475">
      <c r="A475" s="193"/>
    </row>
    <row r="476">
      <c r="A476" s="193"/>
    </row>
    <row r="477">
      <c r="A477" s="193"/>
    </row>
    <row r="478">
      <c r="A478" s="193"/>
    </row>
    <row r="479">
      <c r="A479" s="193"/>
    </row>
    <row r="480">
      <c r="A480" s="193"/>
    </row>
    <row r="481">
      <c r="A481" s="193"/>
    </row>
    <row r="482">
      <c r="A482" s="193"/>
    </row>
    <row r="483">
      <c r="A483" s="193"/>
    </row>
    <row r="484">
      <c r="A484" s="193"/>
    </row>
    <row r="485">
      <c r="A485" s="193"/>
    </row>
    <row r="486">
      <c r="A486" s="193"/>
    </row>
    <row r="487">
      <c r="A487" s="193"/>
    </row>
    <row r="488">
      <c r="A488" s="193"/>
    </row>
    <row r="489">
      <c r="A489" s="193"/>
    </row>
    <row r="490">
      <c r="A490" s="193"/>
    </row>
    <row r="491">
      <c r="A491" s="193"/>
    </row>
    <row r="492">
      <c r="A492" s="193"/>
    </row>
    <row r="493">
      <c r="A493" s="193"/>
    </row>
    <row r="494">
      <c r="A494" s="193"/>
    </row>
    <row r="495">
      <c r="A495" s="193"/>
    </row>
    <row r="496">
      <c r="A496" s="193"/>
    </row>
    <row r="497">
      <c r="A497" s="193"/>
    </row>
    <row r="498">
      <c r="A498" s="193"/>
    </row>
    <row r="499">
      <c r="A499" s="193"/>
    </row>
    <row r="500">
      <c r="A500" s="193"/>
    </row>
    <row r="501">
      <c r="A501" s="193"/>
    </row>
    <row r="502">
      <c r="A502" s="193"/>
    </row>
    <row r="503">
      <c r="A503" s="193"/>
    </row>
    <row r="504">
      <c r="A504" s="193"/>
    </row>
    <row r="505">
      <c r="A505" s="193"/>
    </row>
    <row r="506">
      <c r="A506" s="193"/>
    </row>
    <row r="507">
      <c r="A507" s="193"/>
    </row>
    <row r="508">
      <c r="A508" s="193"/>
    </row>
    <row r="509">
      <c r="A509" s="193"/>
    </row>
    <row r="510">
      <c r="A510" s="193"/>
    </row>
    <row r="511">
      <c r="A511" s="193"/>
    </row>
    <row r="512">
      <c r="A512" s="193"/>
    </row>
    <row r="513">
      <c r="A513" s="193"/>
    </row>
    <row r="514">
      <c r="A514" s="193"/>
    </row>
    <row r="515">
      <c r="A515" s="193"/>
    </row>
    <row r="516">
      <c r="A516" s="193"/>
    </row>
    <row r="517">
      <c r="A517" s="193"/>
    </row>
    <row r="518">
      <c r="A518" s="193"/>
    </row>
    <row r="519">
      <c r="A519" s="193"/>
    </row>
    <row r="520">
      <c r="A520" s="193"/>
    </row>
    <row r="521">
      <c r="A521" s="193"/>
    </row>
    <row r="522">
      <c r="A522" s="193"/>
    </row>
    <row r="523">
      <c r="A523" s="193"/>
    </row>
    <row r="524">
      <c r="A524" s="193"/>
    </row>
    <row r="525">
      <c r="A525" s="193"/>
    </row>
    <row r="526">
      <c r="A526" s="193"/>
    </row>
    <row r="527">
      <c r="A527" s="193"/>
    </row>
    <row r="528">
      <c r="A528" s="193"/>
    </row>
    <row r="529">
      <c r="A529" s="193"/>
    </row>
    <row r="530">
      <c r="A530" s="193"/>
    </row>
    <row r="531">
      <c r="A531" s="193"/>
    </row>
    <row r="532">
      <c r="A532" s="193"/>
    </row>
    <row r="533">
      <c r="A533" s="193"/>
    </row>
    <row r="534">
      <c r="A534" s="193"/>
    </row>
    <row r="535">
      <c r="A535" s="193"/>
    </row>
    <row r="536">
      <c r="A536" s="193"/>
    </row>
    <row r="537">
      <c r="A537" s="193"/>
    </row>
    <row r="538">
      <c r="A538" s="193"/>
    </row>
    <row r="539">
      <c r="A539" s="193"/>
    </row>
    <row r="540">
      <c r="A540" s="193"/>
    </row>
    <row r="541">
      <c r="A541" s="193"/>
    </row>
    <row r="542">
      <c r="A542" s="193"/>
    </row>
    <row r="543">
      <c r="A543" s="193"/>
    </row>
    <row r="544">
      <c r="A544" s="193"/>
    </row>
    <row r="545">
      <c r="A545" s="193"/>
    </row>
    <row r="546">
      <c r="A546" s="193"/>
    </row>
    <row r="547">
      <c r="A547" s="193"/>
    </row>
    <row r="548">
      <c r="A548" s="193"/>
    </row>
    <row r="549">
      <c r="A549" s="193"/>
    </row>
    <row r="550">
      <c r="A550" s="193"/>
    </row>
    <row r="551">
      <c r="A551" s="193"/>
    </row>
    <row r="552">
      <c r="A552" s="193"/>
    </row>
    <row r="553">
      <c r="A553" s="193"/>
    </row>
    <row r="554">
      <c r="A554" s="193"/>
    </row>
    <row r="555">
      <c r="A555" s="193"/>
    </row>
    <row r="556">
      <c r="A556" s="193"/>
    </row>
    <row r="557">
      <c r="A557" s="193"/>
    </row>
    <row r="558">
      <c r="A558" s="193"/>
    </row>
    <row r="559">
      <c r="A559" s="193"/>
    </row>
    <row r="560">
      <c r="A560" s="193"/>
    </row>
    <row r="561">
      <c r="A561" s="193"/>
    </row>
    <row r="562">
      <c r="A562" s="193"/>
    </row>
    <row r="563">
      <c r="A563" s="193"/>
    </row>
    <row r="564">
      <c r="A564" s="193"/>
    </row>
    <row r="565">
      <c r="A565" s="193"/>
    </row>
    <row r="566">
      <c r="A566" s="193"/>
    </row>
    <row r="567">
      <c r="A567" s="193"/>
    </row>
    <row r="568">
      <c r="A568" s="193"/>
    </row>
    <row r="569">
      <c r="A569" s="193"/>
    </row>
    <row r="570">
      <c r="A570" s="193"/>
    </row>
    <row r="571">
      <c r="A571" s="193"/>
    </row>
    <row r="572">
      <c r="A572" s="193"/>
    </row>
    <row r="573">
      <c r="A573" s="193"/>
    </row>
    <row r="574">
      <c r="A574" s="193"/>
    </row>
    <row r="575">
      <c r="A575" s="193"/>
    </row>
    <row r="576">
      <c r="A576" s="193"/>
    </row>
    <row r="577">
      <c r="A577" s="193"/>
    </row>
    <row r="578">
      <c r="A578" s="193"/>
    </row>
    <row r="579">
      <c r="A579" s="193"/>
    </row>
    <row r="580">
      <c r="A580" s="193"/>
    </row>
    <row r="581">
      <c r="A581" s="193"/>
    </row>
    <row r="582">
      <c r="A582" s="193"/>
    </row>
    <row r="583">
      <c r="A583" s="193"/>
    </row>
    <row r="584">
      <c r="A584" s="193"/>
    </row>
    <row r="585">
      <c r="A585" s="193"/>
    </row>
    <row r="586">
      <c r="A586" s="193"/>
    </row>
    <row r="587">
      <c r="A587" s="193"/>
    </row>
    <row r="588">
      <c r="A588" s="193"/>
    </row>
    <row r="589">
      <c r="A589" s="193"/>
    </row>
    <row r="590">
      <c r="A590" s="193"/>
    </row>
    <row r="591">
      <c r="A591" s="193"/>
    </row>
    <row r="592">
      <c r="A592" s="193"/>
    </row>
    <row r="593">
      <c r="A593" s="193"/>
    </row>
    <row r="594">
      <c r="A594" s="193"/>
    </row>
    <row r="595">
      <c r="A595" s="193"/>
    </row>
    <row r="596">
      <c r="A596" s="193"/>
    </row>
    <row r="597">
      <c r="A597" s="193"/>
    </row>
    <row r="598">
      <c r="A598" s="193"/>
    </row>
    <row r="599">
      <c r="A599" s="193"/>
    </row>
    <row r="600">
      <c r="A600" s="193"/>
    </row>
    <row r="601">
      <c r="A601" s="193"/>
    </row>
    <row r="602">
      <c r="A602" s="193"/>
    </row>
    <row r="603">
      <c r="A603" s="193"/>
    </row>
    <row r="604">
      <c r="A604" s="193"/>
    </row>
    <row r="605">
      <c r="A605" s="193"/>
    </row>
    <row r="606">
      <c r="A606" s="193"/>
    </row>
    <row r="607">
      <c r="A607" s="193"/>
    </row>
    <row r="608">
      <c r="A608" s="193"/>
    </row>
    <row r="609">
      <c r="A609" s="193"/>
    </row>
    <row r="610">
      <c r="A610" s="193"/>
    </row>
    <row r="611">
      <c r="A611" s="193"/>
    </row>
    <row r="612">
      <c r="A612" s="193"/>
    </row>
    <row r="613">
      <c r="A613" s="193"/>
    </row>
    <row r="614">
      <c r="A614" s="193"/>
    </row>
    <row r="615">
      <c r="A615" s="193"/>
    </row>
    <row r="616">
      <c r="A616" s="193"/>
    </row>
    <row r="617">
      <c r="A617" s="193"/>
    </row>
    <row r="618">
      <c r="A618" s="193"/>
    </row>
    <row r="619">
      <c r="A619" s="193"/>
    </row>
    <row r="620">
      <c r="A620" s="193"/>
    </row>
    <row r="621">
      <c r="A621" s="193"/>
    </row>
    <row r="622">
      <c r="A622" s="193"/>
    </row>
    <row r="623">
      <c r="A623" s="193"/>
    </row>
    <row r="624">
      <c r="A624" s="193"/>
    </row>
    <row r="625">
      <c r="A625" s="193"/>
    </row>
    <row r="626">
      <c r="A626" s="193"/>
    </row>
    <row r="627">
      <c r="A627" s="193"/>
    </row>
    <row r="628">
      <c r="A628" s="193"/>
    </row>
    <row r="629">
      <c r="A629" s="193"/>
    </row>
    <row r="630">
      <c r="A630" s="193"/>
    </row>
    <row r="631">
      <c r="A631" s="193"/>
    </row>
    <row r="632">
      <c r="A632" s="193"/>
    </row>
    <row r="633">
      <c r="A633" s="193"/>
    </row>
    <row r="634">
      <c r="A634" s="193"/>
    </row>
    <row r="635">
      <c r="A635" s="193"/>
    </row>
    <row r="636">
      <c r="A636" s="193"/>
    </row>
    <row r="637">
      <c r="A637" s="193"/>
    </row>
    <row r="638">
      <c r="A638" s="193"/>
    </row>
    <row r="639">
      <c r="A639" s="193"/>
    </row>
    <row r="640">
      <c r="A640" s="193"/>
    </row>
    <row r="641">
      <c r="A641" s="193"/>
    </row>
    <row r="642">
      <c r="A642" s="193"/>
    </row>
    <row r="643">
      <c r="A643" s="193"/>
    </row>
    <row r="644">
      <c r="A644" s="193"/>
    </row>
    <row r="645">
      <c r="A645" s="193"/>
    </row>
    <row r="646">
      <c r="A646" s="193"/>
    </row>
    <row r="647">
      <c r="A647" s="193"/>
    </row>
    <row r="648">
      <c r="A648" s="193"/>
    </row>
    <row r="649">
      <c r="A649" s="193"/>
    </row>
    <row r="650">
      <c r="A650" s="193"/>
    </row>
    <row r="651">
      <c r="A651" s="193"/>
    </row>
    <row r="652">
      <c r="A652" s="193"/>
    </row>
    <row r="653">
      <c r="A653" s="193"/>
    </row>
    <row r="654">
      <c r="A654" s="193"/>
    </row>
    <row r="655">
      <c r="A655" s="193"/>
    </row>
    <row r="656">
      <c r="A656" s="193"/>
    </row>
    <row r="657">
      <c r="A657" s="193"/>
    </row>
    <row r="658">
      <c r="A658" s="193"/>
    </row>
    <row r="659">
      <c r="A659" s="193"/>
    </row>
    <row r="660">
      <c r="A660" s="193"/>
    </row>
    <row r="661">
      <c r="A661" s="193"/>
    </row>
    <row r="662">
      <c r="A662" s="193"/>
    </row>
    <row r="663">
      <c r="A663" s="193"/>
    </row>
    <row r="664">
      <c r="A664" s="193"/>
    </row>
    <row r="665">
      <c r="A665" s="193"/>
    </row>
    <row r="666">
      <c r="A666" s="193"/>
    </row>
    <row r="667">
      <c r="A667" s="193"/>
    </row>
    <row r="668">
      <c r="A668" s="193"/>
    </row>
    <row r="669">
      <c r="A669" s="193"/>
    </row>
    <row r="670">
      <c r="A670" s="193"/>
    </row>
    <row r="671">
      <c r="A671" s="193"/>
    </row>
    <row r="672">
      <c r="A672" s="193"/>
    </row>
    <row r="673">
      <c r="A673" s="193"/>
    </row>
    <row r="674">
      <c r="A674" s="193"/>
    </row>
    <row r="675">
      <c r="A675" s="193"/>
    </row>
    <row r="676">
      <c r="A676" s="193"/>
    </row>
    <row r="677">
      <c r="A677" s="193"/>
    </row>
    <row r="678">
      <c r="A678" s="193"/>
    </row>
    <row r="679">
      <c r="A679" s="193"/>
    </row>
    <row r="680">
      <c r="A680" s="193"/>
    </row>
    <row r="681">
      <c r="A681" s="193"/>
    </row>
    <row r="682">
      <c r="A682" s="193"/>
    </row>
    <row r="683">
      <c r="A683" s="193"/>
    </row>
    <row r="684">
      <c r="A684" s="193"/>
    </row>
    <row r="685">
      <c r="A685" s="193"/>
    </row>
    <row r="686">
      <c r="A686" s="193"/>
    </row>
    <row r="687">
      <c r="A687" s="193"/>
    </row>
    <row r="688">
      <c r="A688" s="193"/>
    </row>
    <row r="689">
      <c r="A689" s="193"/>
    </row>
    <row r="690">
      <c r="A690" s="193"/>
    </row>
    <row r="691">
      <c r="A691" s="193"/>
    </row>
    <row r="692">
      <c r="A692" s="193"/>
    </row>
    <row r="693">
      <c r="A693" s="193"/>
    </row>
    <row r="694">
      <c r="A694" s="193"/>
    </row>
    <row r="695">
      <c r="A695" s="193"/>
    </row>
    <row r="696">
      <c r="A696" s="193"/>
    </row>
    <row r="697">
      <c r="A697" s="193"/>
    </row>
    <row r="698">
      <c r="A698" s="193"/>
    </row>
    <row r="699">
      <c r="A699" s="193"/>
    </row>
    <row r="700">
      <c r="A700" s="193"/>
    </row>
    <row r="701">
      <c r="A701" s="193"/>
    </row>
    <row r="702">
      <c r="A702" s="193"/>
    </row>
    <row r="703">
      <c r="A703" s="193"/>
    </row>
    <row r="704">
      <c r="A704" s="193"/>
    </row>
    <row r="705">
      <c r="A705" s="193"/>
    </row>
    <row r="706">
      <c r="A706" s="193"/>
    </row>
    <row r="707">
      <c r="A707" s="193"/>
    </row>
    <row r="708">
      <c r="A708" s="193"/>
    </row>
    <row r="709">
      <c r="A709" s="193"/>
    </row>
    <row r="710">
      <c r="A710" s="193"/>
    </row>
    <row r="711">
      <c r="A711" s="193"/>
    </row>
    <row r="712">
      <c r="A712" s="193"/>
    </row>
    <row r="713">
      <c r="A713" s="193"/>
    </row>
    <row r="714">
      <c r="A714" s="193"/>
    </row>
    <row r="715">
      <c r="A715" s="193"/>
    </row>
    <row r="716">
      <c r="A716" s="193"/>
    </row>
    <row r="717">
      <c r="A717" s="193"/>
    </row>
    <row r="718">
      <c r="A718" s="193"/>
    </row>
    <row r="719">
      <c r="A719" s="193"/>
    </row>
    <row r="720">
      <c r="A720" s="193"/>
    </row>
    <row r="721">
      <c r="A721" s="193"/>
    </row>
    <row r="722">
      <c r="A722" s="193"/>
    </row>
    <row r="723">
      <c r="A723" s="193"/>
    </row>
    <row r="724">
      <c r="A724" s="193"/>
    </row>
    <row r="725">
      <c r="A725" s="193"/>
    </row>
    <row r="726">
      <c r="A726" s="193"/>
    </row>
    <row r="727">
      <c r="A727" s="193"/>
    </row>
    <row r="728">
      <c r="A728" s="193"/>
    </row>
    <row r="729">
      <c r="A729" s="193"/>
    </row>
    <row r="730">
      <c r="A730" s="193"/>
    </row>
    <row r="731">
      <c r="A731" s="193"/>
    </row>
    <row r="732">
      <c r="A732" s="193"/>
    </row>
    <row r="733">
      <c r="A733" s="193"/>
    </row>
    <row r="734">
      <c r="A734" s="193"/>
    </row>
    <row r="735">
      <c r="A735" s="193"/>
    </row>
    <row r="736">
      <c r="A736" s="193"/>
    </row>
    <row r="737">
      <c r="A737" s="193"/>
    </row>
    <row r="738">
      <c r="A738" s="193"/>
    </row>
    <row r="739">
      <c r="A739" s="193"/>
    </row>
    <row r="740">
      <c r="A740" s="193"/>
    </row>
    <row r="741">
      <c r="A741" s="193"/>
    </row>
    <row r="742">
      <c r="A742" s="193"/>
    </row>
    <row r="743">
      <c r="A743" s="193"/>
    </row>
    <row r="744">
      <c r="A744" s="193"/>
    </row>
    <row r="745">
      <c r="A745" s="193"/>
    </row>
    <row r="746">
      <c r="A746" s="193"/>
    </row>
    <row r="747">
      <c r="A747" s="193"/>
    </row>
    <row r="748">
      <c r="A748" s="193"/>
    </row>
    <row r="749">
      <c r="A749" s="193"/>
    </row>
    <row r="750">
      <c r="A750" s="193"/>
    </row>
    <row r="751">
      <c r="A751" s="193"/>
    </row>
    <row r="752">
      <c r="A752" s="193"/>
    </row>
    <row r="753">
      <c r="A753" s="193"/>
    </row>
    <row r="754">
      <c r="A754" s="193"/>
    </row>
    <row r="755">
      <c r="A755" s="193"/>
    </row>
    <row r="756">
      <c r="A756" s="193"/>
    </row>
    <row r="757">
      <c r="A757" s="193"/>
    </row>
    <row r="758">
      <c r="A758" s="193"/>
    </row>
    <row r="759">
      <c r="A759" s="193"/>
    </row>
    <row r="760">
      <c r="A760" s="193"/>
    </row>
    <row r="761">
      <c r="A761" s="193"/>
    </row>
    <row r="762">
      <c r="A762" s="193"/>
    </row>
    <row r="763">
      <c r="A763" s="193"/>
    </row>
    <row r="764">
      <c r="A764" s="193"/>
    </row>
    <row r="765">
      <c r="A765" s="193"/>
    </row>
    <row r="766">
      <c r="A766" s="193"/>
    </row>
    <row r="767">
      <c r="A767" s="193"/>
    </row>
    <row r="768">
      <c r="A768" s="193"/>
    </row>
    <row r="769">
      <c r="A769" s="193"/>
    </row>
    <row r="770">
      <c r="A770" s="193"/>
    </row>
    <row r="771">
      <c r="A771" s="193"/>
    </row>
    <row r="772">
      <c r="A772" s="193"/>
    </row>
    <row r="773">
      <c r="A773" s="193"/>
    </row>
    <row r="774">
      <c r="A774" s="193"/>
    </row>
    <row r="775">
      <c r="A775" s="193"/>
    </row>
    <row r="776">
      <c r="A776" s="193"/>
    </row>
    <row r="777">
      <c r="A777" s="193"/>
    </row>
    <row r="778">
      <c r="A778" s="193"/>
    </row>
    <row r="779">
      <c r="A779" s="193"/>
    </row>
    <row r="780">
      <c r="A780" s="193"/>
    </row>
    <row r="781">
      <c r="A781" s="193"/>
    </row>
    <row r="782">
      <c r="A782" s="193"/>
    </row>
    <row r="783">
      <c r="A783" s="193"/>
    </row>
    <row r="784">
      <c r="A784" s="193"/>
    </row>
    <row r="785">
      <c r="A785" s="193"/>
    </row>
    <row r="786">
      <c r="A786" s="193"/>
    </row>
    <row r="787">
      <c r="A787" s="193"/>
    </row>
    <row r="788">
      <c r="A788" s="193"/>
    </row>
    <row r="789">
      <c r="A789" s="193"/>
    </row>
    <row r="790">
      <c r="A790" s="193"/>
    </row>
    <row r="791">
      <c r="A791" s="193"/>
    </row>
    <row r="792">
      <c r="A792" s="193"/>
    </row>
    <row r="793">
      <c r="A793" s="193"/>
    </row>
    <row r="794">
      <c r="A794" s="193"/>
    </row>
    <row r="795">
      <c r="A795" s="193"/>
    </row>
    <row r="796">
      <c r="A796" s="193"/>
    </row>
    <row r="797">
      <c r="A797" s="193"/>
    </row>
    <row r="798">
      <c r="A798" s="193"/>
    </row>
    <row r="799">
      <c r="A799" s="193"/>
    </row>
    <row r="800">
      <c r="A800" s="193"/>
    </row>
    <row r="801">
      <c r="A801" s="193"/>
    </row>
    <row r="802">
      <c r="A802" s="193"/>
    </row>
    <row r="803">
      <c r="A803" s="193"/>
    </row>
    <row r="804">
      <c r="A804" s="193"/>
    </row>
    <row r="805">
      <c r="A805" s="193"/>
    </row>
    <row r="806">
      <c r="A806" s="193"/>
    </row>
    <row r="807">
      <c r="A807" s="193"/>
    </row>
    <row r="808">
      <c r="A808" s="193"/>
    </row>
    <row r="809">
      <c r="A809" s="193"/>
    </row>
    <row r="810">
      <c r="A810" s="193"/>
    </row>
    <row r="811">
      <c r="A811" s="193"/>
    </row>
    <row r="812">
      <c r="A812" s="193"/>
    </row>
    <row r="813">
      <c r="A813" s="193"/>
    </row>
    <row r="814">
      <c r="A814" s="193"/>
    </row>
    <row r="815">
      <c r="A815" s="193"/>
    </row>
    <row r="816">
      <c r="A816" s="193"/>
    </row>
    <row r="817">
      <c r="A817" s="193"/>
    </row>
    <row r="818">
      <c r="A818" s="193"/>
    </row>
    <row r="819">
      <c r="A819" s="193"/>
    </row>
    <row r="820">
      <c r="A820" s="193"/>
    </row>
    <row r="821">
      <c r="A821" s="193"/>
    </row>
    <row r="822">
      <c r="A822" s="193"/>
    </row>
    <row r="823">
      <c r="A823" s="193"/>
    </row>
    <row r="824">
      <c r="A824" s="193"/>
    </row>
    <row r="825">
      <c r="A825" s="193"/>
    </row>
    <row r="826">
      <c r="A826" s="193"/>
    </row>
    <row r="827">
      <c r="A827" s="193"/>
    </row>
    <row r="828">
      <c r="A828" s="193"/>
    </row>
    <row r="829">
      <c r="A829" s="193"/>
    </row>
    <row r="830">
      <c r="A830" s="193"/>
    </row>
    <row r="831">
      <c r="A831" s="193"/>
    </row>
    <row r="832">
      <c r="A832" s="193"/>
    </row>
    <row r="833">
      <c r="A833" s="193"/>
    </row>
    <row r="834">
      <c r="A834" s="193"/>
    </row>
    <row r="835">
      <c r="A835" s="193"/>
    </row>
    <row r="836">
      <c r="A836" s="193"/>
    </row>
    <row r="837">
      <c r="A837" s="193"/>
    </row>
    <row r="838">
      <c r="A838" s="193"/>
    </row>
    <row r="839">
      <c r="A839" s="193"/>
    </row>
    <row r="840">
      <c r="A840" s="193"/>
    </row>
    <row r="841">
      <c r="A841" s="193"/>
    </row>
    <row r="842">
      <c r="A842" s="193"/>
    </row>
    <row r="843">
      <c r="A843" s="193"/>
    </row>
    <row r="844">
      <c r="A844" s="193"/>
    </row>
    <row r="845">
      <c r="A845" s="193"/>
    </row>
    <row r="846">
      <c r="A846" s="193"/>
    </row>
    <row r="847">
      <c r="A847" s="193"/>
    </row>
    <row r="848">
      <c r="A848" s="193"/>
    </row>
    <row r="849">
      <c r="A849" s="193"/>
    </row>
    <row r="850">
      <c r="A850" s="193"/>
    </row>
    <row r="851">
      <c r="A851" s="193"/>
    </row>
    <row r="852">
      <c r="A852" s="193"/>
    </row>
    <row r="853">
      <c r="A853" s="193"/>
    </row>
    <row r="854">
      <c r="A854" s="193"/>
    </row>
    <row r="855">
      <c r="A855" s="193"/>
    </row>
    <row r="856">
      <c r="A856" s="193"/>
    </row>
    <row r="857">
      <c r="A857" s="193"/>
    </row>
    <row r="858">
      <c r="A858" s="193"/>
    </row>
    <row r="859">
      <c r="A859" s="193"/>
    </row>
    <row r="860">
      <c r="A860" s="193"/>
    </row>
    <row r="861">
      <c r="A861" s="193"/>
    </row>
    <row r="862">
      <c r="A862" s="193"/>
    </row>
    <row r="863">
      <c r="A863" s="193"/>
    </row>
    <row r="864">
      <c r="A864" s="193"/>
    </row>
    <row r="865">
      <c r="A865" s="193"/>
    </row>
    <row r="866">
      <c r="A866" s="193"/>
    </row>
    <row r="867">
      <c r="A867" s="193"/>
    </row>
    <row r="868">
      <c r="A868" s="193"/>
    </row>
    <row r="869">
      <c r="A869" s="193"/>
    </row>
    <row r="870">
      <c r="A870" s="193"/>
    </row>
    <row r="871">
      <c r="A871" s="193"/>
    </row>
    <row r="872">
      <c r="A872" s="193"/>
    </row>
    <row r="873">
      <c r="A873" s="193"/>
    </row>
    <row r="874">
      <c r="A874" s="193"/>
    </row>
    <row r="875">
      <c r="A875" s="193"/>
    </row>
    <row r="876">
      <c r="A876" s="193"/>
    </row>
    <row r="877">
      <c r="A877" s="193"/>
    </row>
    <row r="878">
      <c r="A878" s="193"/>
    </row>
    <row r="879">
      <c r="A879" s="193"/>
    </row>
    <row r="880">
      <c r="A880" s="193"/>
    </row>
    <row r="881">
      <c r="A881" s="193"/>
    </row>
    <row r="882">
      <c r="A882" s="193"/>
    </row>
    <row r="883">
      <c r="A883" s="193"/>
    </row>
    <row r="884">
      <c r="A884" s="193"/>
    </row>
    <row r="885">
      <c r="A885" s="193"/>
    </row>
    <row r="886">
      <c r="A886" s="193"/>
    </row>
    <row r="887">
      <c r="A887" s="193"/>
    </row>
    <row r="888">
      <c r="A888" s="193"/>
    </row>
    <row r="889">
      <c r="A889" s="193"/>
    </row>
    <row r="890">
      <c r="A890" s="193"/>
    </row>
    <row r="891">
      <c r="A891" s="193"/>
    </row>
    <row r="892">
      <c r="A892" s="193"/>
    </row>
    <row r="893">
      <c r="A893" s="193"/>
    </row>
    <row r="894">
      <c r="A894" s="193"/>
    </row>
    <row r="895">
      <c r="A895" s="193"/>
    </row>
    <row r="896">
      <c r="A896" s="193"/>
    </row>
    <row r="897">
      <c r="A897" s="193"/>
    </row>
    <row r="898">
      <c r="A898" s="193"/>
    </row>
    <row r="899">
      <c r="A899" s="193"/>
    </row>
    <row r="900">
      <c r="A900" s="193"/>
    </row>
    <row r="901">
      <c r="A901" s="193"/>
    </row>
    <row r="902">
      <c r="A902" s="193"/>
    </row>
    <row r="903">
      <c r="A903" s="193"/>
    </row>
    <row r="904">
      <c r="A904" s="193"/>
    </row>
    <row r="905">
      <c r="A905" s="193"/>
    </row>
    <row r="906">
      <c r="A906" s="193"/>
    </row>
    <row r="907">
      <c r="A907" s="193"/>
    </row>
    <row r="908">
      <c r="A908" s="193"/>
    </row>
    <row r="909">
      <c r="A909" s="193"/>
    </row>
    <row r="910">
      <c r="A910" s="193"/>
    </row>
    <row r="911">
      <c r="A911" s="193"/>
    </row>
    <row r="912">
      <c r="A912" s="193"/>
    </row>
    <row r="913">
      <c r="A913" s="193"/>
    </row>
    <row r="914">
      <c r="A914" s="193"/>
    </row>
    <row r="915">
      <c r="A915" s="193"/>
    </row>
    <row r="916">
      <c r="A916" s="193"/>
    </row>
    <row r="917">
      <c r="A917" s="193"/>
    </row>
    <row r="918">
      <c r="A918" s="193"/>
    </row>
    <row r="919">
      <c r="A919" s="193"/>
    </row>
    <row r="920">
      <c r="A920" s="193"/>
    </row>
    <row r="921">
      <c r="A921" s="193"/>
    </row>
    <row r="922">
      <c r="A922" s="193"/>
    </row>
    <row r="923">
      <c r="A923" s="193"/>
    </row>
    <row r="924">
      <c r="A924" s="193"/>
    </row>
    <row r="925">
      <c r="A925" s="193"/>
    </row>
    <row r="926">
      <c r="A926" s="193"/>
    </row>
    <row r="927">
      <c r="A927" s="193"/>
    </row>
    <row r="928">
      <c r="A928" s="193"/>
    </row>
    <row r="929">
      <c r="A929" s="193"/>
    </row>
    <row r="930">
      <c r="A930" s="193"/>
    </row>
    <row r="931">
      <c r="A931" s="193"/>
    </row>
    <row r="932">
      <c r="A932" s="193"/>
    </row>
    <row r="933">
      <c r="A933" s="193"/>
    </row>
    <row r="934">
      <c r="A934" s="193"/>
    </row>
    <row r="935">
      <c r="A935" s="193"/>
    </row>
    <row r="936">
      <c r="A936" s="193"/>
    </row>
    <row r="937">
      <c r="A937" s="193"/>
    </row>
    <row r="938">
      <c r="A938" s="193"/>
    </row>
    <row r="939">
      <c r="A939" s="193"/>
    </row>
    <row r="940">
      <c r="A940" s="193"/>
    </row>
    <row r="941">
      <c r="A941" s="193"/>
    </row>
    <row r="942">
      <c r="A942" s="193"/>
    </row>
    <row r="943">
      <c r="A943" s="193"/>
    </row>
    <row r="944">
      <c r="A944" s="193"/>
    </row>
    <row r="945">
      <c r="A945" s="193"/>
    </row>
    <row r="946">
      <c r="A946" s="193"/>
    </row>
    <row r="947">
      <c r="A947" s="193"/>
    </row>
    <row r="948">
      <c r="A948" s="193"/>
    </row>
    <row r="949">
      <c r="A949" s="193"/>
    </row>
    <row r="950">
      <c r="A950" s="193"/>
    </row>
    <row r="951">
      <c r="A951" s="193"/>
    </row>
    <row r="952">
      <c r="A952" s="193"/>
    </row>
    <row r="953">
      <c r="A953" s="193"/>
    </row>
    <row r="954">
      <c r="A954" s="193"/>
    </row>
    <row r="955">
      <c r="A955" s="193"/>
    </row>
    <row r="956">
      <c r="A956" s="193"/>
    </row>
    <row r="957">
      <c r="A957" s="193"/>
    </row>
    <row r="958">
      <c r="A958" s="193"/>
    </row>
    <row r="959">
      <c r="A959" s="193"/>
    </row>
    <row r="960">
      <c r="A960" s="193"/>
    </row>
    <row r="961">
      <c r="A961" s="193"/>
    </row>
    <row r="962">
      <c r="A962" s="193"/>
    </row>
    <row r="963">
      <c r="A963" s="193"/>
    </row>
    <row r="964">
      <c r="A964" s="193"/>
    </row>
    <row r="965">
      <c r="A965" s="193"/>
    </row>
    <row r="966">
      <c r="A966" s="193"/>
    </row>
    <row r="967">
      <c r="A967" s="193"/>
    </row>
    <row r="968">
      <c r="A968" s="193"/>
    </row>
    <row r="969">
      <c r="A969" s="193"/>
    </row>
    <row r="970">
      <c r="A970" s="193"/>
    </row>
    <row r="971">
      <c r="A971" s="193"/>
    </row>
    <row r="972">
      <c r="A972" s="193"/>
    </row>
    <row r="973">
      <c r="A973" s="193"/>
    </row>
    <row r="974">
      <c r="A974" s="193"/>
    </row>
    <row r="975">
      <c r="A975" s="193"/>
    </row>
    <row r="976">
      <c r="A976" s="193"/>
    </row>
    <row r="977">
      <c r="A977" s="193"/>
    </row>
    <row r="978">
      <c r="A978" s="193"/>
    </row>
    <row r="979">
      <c r="A979" s="193"/>
    </row>
    <row r="980">
      <c r="A980" s="193"/>
    </row>
    <row r="981">
      <c r="A981" s="193"/>
    </row>
    <row r="982">
      <c r="A982" s="193"/>
    </row>
    <row r="983">
      <c r="A983" s="193"/>
    </row>
    <row r="984">
      <c r="A984" s="193"/>
    </row>
    <row r="985">
      <c r="A985" s="193"/>
    </row>
    <row r="986">
      <c r="A986" s="193"/>
    </row>
    <row r="987">
      <c r="A987" s="193"/>
    </row>
    <row r="988">
      <c r="A988" s="193"/>
    </row>
    <row r="989">
      <c r="A989" s="193"/>
    </row>
    <row r="990">
      <c r="A990" s="193"/>
    </row>
    <row r="991">
      <c r="A991" s="193"/>
    </row>
    <row r="992">
      <c r="A992" s="193"/>
    </row>
    <row r="993">
      <c r="A993" s="193"/>
    </row>
    <row r="994">
      <c r="A994" s="193"/>
    </row>
    <row r="995">
      <c r="A995" s="193"/>
    </row>
    <row r="996">
      <c r="A996" s="193"/>
    </row>
    <row r="997">
      <c r="A997" s="193"/>
    </row>
    <row r="998">
      <c r="A998" s="193"/>
    </row>
    <row r="999">
      <c r="A999" s="193"/>
    </row>
    <row r="1000">
      <c r="A1000" s="19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26.25"/>
    <col customWidth="1" min="8" max="8" width="40.88"/>
    <col customWidth="1" min="14" max="14" width="18.88"/>
  </cols>
  <sheetData>
    <row r="1">
      <c r="A1" s="9" t="s">
        <v>18974</v>
      </c>
      <c r="B1" s="9" t="s">
        <v>18975</v>
      </c>
      <c r="C1" s="9" t="s">
        <v>18976</v>
      </c>
      <c r="D1" s="9" t="s">
        <v>18977</v>
      </c>
      <c r="E1" s="9" t="s">
        <v>18978</v>
      </c>
      <c r="F1" s="9" t="s">
        <v>18979</v>
      </c>
    </row>
    <row r="2" ht="37.5" customHeight="1">
      <c r="A2" s="194" t="s">
        <v>18980</v>
      </c>
      <c r="B2" s="195" t="s">
        <v>18981</v>
      </c>
      <c r="C2" s="196" t="s">
        <v>18982</v>
      </c>
      <c r="D2" s="197" t="s">
        <v>18983</v>
      </c>
      <c r="E2" s="198" t="s">
        <v>18984</v>
      </c>
      <c r="F2" s="199" t="s">
        <v>18985</v>
      </c>
      <c r="G2" s="200" t="s">
        <v>18986</v>
      </c>
      <c r="H2" s="201" t="s">
        <v>18987</v>
      </c>
    </row>
    <row r="3" ht="22.5" customHeight="1">
      <c r="A3" s="190" t="s">
        <v>55</v>
      </c>
      <c r="B3" s="190" t="s">
        <v>7</v>
      </c>
      <c r="C3" s="190" t="s">
        <v>18988</v>
      </c>
      <c r="D3" s="190" t="s">
        <v>1</v>
      </c>
      <c r="E3" s="190" t="s">
        <v>18989</v>
      </c>
      <c r="F3" s="190" t="s">
        <v>18990</v>
      </c>
      <c r="G3" s="190" t="s">
        <v>353</v>
      </c>
      <c r="H3" s="190" t="s">
        <v>3</v>
      </c>
      <c r="I3" s="190" t="s">
        <v>354</v>
      </c>
      <c r="J3" s="190" t="s">
        <v>358</v>
      </c>
      <c r="K3" s="190" t="s">
        <v>192</v>
      </c>
      <c r="L3" s="190" t="s">
        <v>18991</v>
      </c>
      <c r="M3" s="190" t="s">
        <v>18992</v>
      </c>
      <c r="N3" s="190" t="s">
        <v>18993</v>
      </c>
      <c r="O3" s="190" t="s">
        <v>195</v>
      </c>
    </row>
    <row r="4" ht="45.0" customHeight="1">
      <c r="A4" s="3">
        <v>6.886945718531E12</v>
      </c>
      <c r="B4" s="172">
        <v>46051.0</v>
      </c>
      <c r="C4" s="3">
        <v>57.0</v>
      </c>
      <c r="D4" s="2" t="s">
        <v>9363</v>
      </c>
      <c r="E4" s="6" t="str">
        <f>IMAGE("https://cdn.shopify.com/s/files/1/0678/5515/5459/files/WhatsApp_Image_2024-07-05_at_19.29.56_1a67777b.jpg?v=1732874957", 1)</f>
        <v/>
      </c>
      <c r="F4" s="7" t="str">
        <f>HYPERLINK("https://wa.me/923231407162", "💬 Chat")</f>
        <v>💬 Chat</v>
      </c>
      <c r="G4" s="173" t="s">
        <v>9364</v>
      </c>
      <c r="H4" s="2" t="s">
        <v>9365</v>
      </c>
      <c r="I4" s="2" t="s">
        <v>1619</v>
      </c>
      <c r="J4" s="6"/>
      <c r="K4" s="3">
        <v>184300.0</v>
      </c>
      <c r="L4" s="7" t="str">
        <f>HYPERLINK("https://admin.shopify.com/store/041839-3/orders/6886945718531", "🛍️ Open")</f>
        <v>🛍️ Open</v>
      </c>
      <c r="M4" s="2" t="s">
        <v>406</v>
      </c>
      <c r="N4" s="2" t="s">
        <v>18994</v>
      </c>
      <c r="O4" s="6"/>
    </row>
    <row r="5" ht="45.0" customHeight="1">
      <c r="A5" s="3">
        <v>6.933809496323E12</v>
      </c>
      <c r="B5" s="172">
        <v>46083.0</v>
      </c>
      <c r="C5" s="3">
        <v>25.0</v>
      </c>
      <c r="D5" s="2" t="s">
        <v>4920</v>
      </c>
      <c r="E5" s="6" t="str">
        <f>IMAGE("https://cdn.shopify.com/s/files/1/0678/5515/5459/files/175973621018311.jpg?v=1759741893", 1)</f>
        <v/>
      </c>
      <c r="F5" s="7" t="str">
        <f>HYPERLINK("https://wa.me/3406599219", "💬 Chat")</f>
        <v>💬 Chat</v>
      </c>
      <c r="G5" s="2">
        <v>3.406599219E9</v>
      </c>
      <c r="H5" s="2" t="s">
        <v>5716</v>
      </c>
      <c r="I5" s="2" t="s">
        <v>5717</v>
      </c>
      <c r="J5" s="6"/>
      <c r="K5" s="3">
        <v>2749.0</v>
      </c>
      <c r="L5" s="7" t="str">
        <f>HYPERLINK("https://admin.shopify.com/store/041839-3/orders/6933809496323", "🛍️ Open")</f>
        <v>🛍️ Open</v>
      </c>
      <c r="M5" s="2" t="s">
        <v>406</v>
      </c>
      <c r="N5" s="2" t="s">
        <v>18994</v>
      </c>
      <c r="O5" s="6"/>
    </row>
    <row r="6" ht="45.0" customHeight="1">
      <c r="A6" s="3">
        <v>6.933892235523E12</v>
      </c>
      <c r="B6" s="172">
        <v>46083.0</v>
      </c>
      <c r="C6" s="3">
        <v>25.0</v>
      </c>
      <c r="D6" s="2" t="s">
        <v>12499</v>
      </c>
      <c r="E6" s="6" t="str">
        <f>IMAGE("https://cdn.shopify.com/s/files/1/0678/5515/5459/files/rn-image_picker_lib_temp_b1f75277-e909-4991-b729-60218170bd9c.jpg?v=1739055124", 1)</f>
        <v/>
      </c>
      <c r="F6" s="7" t="str">
        <f>HYPERLINK("https://wa.me/3290028014", "💬 Chat")</f>
        <v>💬 Chat</v>
      </c>
      <c r="G6" s="2">
        <v>3.290028014E9</v>
      </c>
      <c r="H6" s="2" t="s">
        <v>12500</v>
      </c>
      <c r="I6" s="2" t="s">
        <v>4186</v>
      </c>
      <c r="J6" s="6"/>
      <c r="K6" s="3">
        <v>8950.0</v>
      </c>
      <c r="L6" s="7" t="str">
        <f>HYPERLINK("https://admin.shopify.com/store/041839-3/orders/6933892235523", "🛍️ Open")</f>
        <v>🛍️ Open</v>
      </c>
      <c r="M6" s="2" t="s">
        <v>406</v>
      </c>
      <c r="N6" s="2" t="s">
        <v>18995</v>
      </c>
      <c r="O6" s="6"/>
    </row>
    <row r="7" ht="45.0" customHeight="1">
      <c r="A7" s="3">
        <v>6.937768067331E12</v>
      </c>
      <c r="B7" s="172">
        <v>46086.0</v>
      </c>
      <c r="C7" s="3">
        <v>22.0</v>
      </c>
      <c r="D7" s="2" t="s">
        <v>12307</v>
      </c>
      <c r="E7" s="6" t="str">
        <f>IMAGE("https://cdn.shopify.com/s/files/1/0678/5515/5459/files/175958355750511.jpg?v=1759583838", 1)</f>
        <v/>
      </c>
      <c r="F7" s="7" t="str">
        <f>HYPERLINK("https://wa.me/3000446010", "💬 Chat")</f>
        <v>💬 Chat</v>
      </c>
      <c r="G7" s="2">
        <v>3.00044601E9</v>
      </c>
      <c r="H7" s="2" t="s">
        <v>12308</v>
      </c>
      <c r="I7" s="2" t="s">
        <v>368</v>
      </c>
      <c r="J7" s="6"/>
      <c r="K7" s="3">
        <v>7900.0</v>
      </c>
      <c r="L7" s="7" t="str">
        <f>HYPERLINK("https://admin.shopify.com/store/041839-3/orders/6937768067331", "🛍️ Open")</f>
        <v>🛍️ Open</v>
      </c>
      <c r="M7" s="2" t="s">
        <v>14076</v>
      </c>
      <c r="N7" s="2" t="s">
        <v>18994</v>
      </c>
      <c r="O7" s="6"/>
    </row>
    <row r="8" ht="45.0" customHeight="1">
      <c r="A8" s="3">
        <v>6.941201006851E12</v>
      </c>
      <c r="B8" s="172">
        <v>46088.0</v>
      </c>
      <c r="C8" s="3">
        <v>20.0</v>
      </c>
      <c r="D8" s="2" t="s">
        <v>11639</v>
      </c>
      <c r="E8" s="6" t="str">
        <f>IMAGE("https://cdn.shopify.com/s/files/1/0678/5515/5459/files/175973621018311.jpg?v=1759741893", 1)</f>
        <v/>
      </c>
      <c r="F8" s="7" t="str">
        <f>HYPERLINK("https://wa.me/923424830451", "💬 Chat")</f>
        <v>💬 Chat</v>
      </c>
      <c r="G8" s="2">
        <v>9.23424830451E11</v>
      </c>
      <c r="H8" s="2" t="s">
        <v>13157</v>
      </c>
      <c r="I8" s="2" t="s">
        <v>13158</v>
      </c>
      <c r="J8" s="6"/>
      <c r="K8" s="3">
        <v>2924.0</v>
      </c>
      <c r="L8" s="7" t="str">
        <f>HYPERLINK("https://admin.shopify.com/store/041839-3/orders/6941201006851", "🛍️ Open")</f>
        <v>🛍️ Open</v>
      </c>
      <c r="M8" s="2" t="s">
        <v>406</v>
      </c>
      <c r="N8" s="2" t="s">
        <v>18996</v>
      </c>
      <c r="O8" s="6"/>
    </row>
    <row r="9" ht="45.0" customHeight="1">
      <c r="A9" s="3">
        <v>6.943092506883E12</v>
      </c>
      <c r="B9" s="172">
        <v>46089.0</v>
      </c>
      <c r="C9" s="3">
        <v>19.0</v>
      </c>
      <c r="D9" s="2" t="s">
        <v>13330</v>
      </c>
      <c r="E9" s="6" t="str">
        <f>IMAGE("https://cdn.shopify.com/s/files/1/0678/5515/5459/files/White-T-Shirt_Ourdoor.jpg?v=1767461074", 1)</f>
        <v/>
      </c>
      <c r="F9" s="7" t="str">
        <f>HYPERLINK("https://wa.me/3216149491", "💬 Chat")</f>
        <v>💬 Chat</v>
      </c>
      <c r="G9" s="2">
        <v>3.216149491E9</v>
      </c>
      <c r="H9" s="2" t="s">
        <v>13331</v>
      </c>
      <c r="I9" s="2" t="s">
        <v>368</v>
      </c>
      <c r="J9" s="6"/>
      <c r="K9" s="3">
        <v>3348.0</v>
      </c>
      <c r="L9" s="7" t="str">
        <f>HYPERLINK("https://admin.shopify.com/store/041839-3/orders/6943092506883", "🛍️ Open")</f>
        <v>🛍️ Open</v>
      </c>
      <c r="M9" s="2" t="s">
        <v>406</v>
      </c>
      <c r="N9" s="2" t="s">
        <v>18997</v>
      </c>
      <c r="O9" s="6"/>
    </row>
    <row r="10" ht="45.0" customHeight="1">
      <c r="A10" s="3">
        <v>6.945575469315E12</v>
      </c>
      <c r="B10" s="172">
        <v>46091.0</v>
      </c>
      <c r="C10" s="3">
        <v>17.0</v>
      </c>
      <c r="D10" s="2" t="s">
        <v>13539</v>
      </c>
      <c r="E10" s="6" t="str">
        <f>IMAGE("https://cdn.shopify.com/s/files/1/0678/5515/5459/files/175973621018311.jpg?v=1759741893", 1)</f>
        <v/>
      </c>
      <c r="F10" s="7" t="str">
        <f>HYPERLINK("https://wa.me/3408300150", "💬 Chat")</f>
        <v>💬 Chat</v>
      </c>
      <c r="G10" s="2">
        <v>3.40830015E9</v>
      </c>
      <c r="H10" s="2" t="s">
        <v>13540</v>
      </c>
      <c r="I10" s="2" t="s">
        <v>493</v>
      </c>
      <c r="J10" s="6"/>
      <c r="K10" s="3">
        <v>2924.0</v>
      </c>
      <c r="L10" s="7" t="str">
        <f>HYPERLINK("https://admin.shopify.com/store/041839-3/orders/6945575469315", "🛍️ Open")</f>
        <v>🛍️ Open</v>
      </c>
      <c r="M10" s="2" t="s">
        <v>406</v>
      </c>
      <c r="N10" s="2"/>
      <c r="O10" s="6"/>
    </row>
    <row r="11" ht="45.0" customHeight="1">
      <c r="A11" s="3">
        <v>6.946121285891E12</v>
      </c>
      <c r="B11" s="172">
        <v>46091.0</v>
      </c>
      <c r="C11" s="3">
        <v>17.0</v>
      </c>
      <c r="D11" s="2" t="s">
        <v>12713</v>
      </c>
      <c r="E11" s="6" t="str">
        <f>IMAGE("https://cdn.shopify.com/s/files/1/0678/5515/5459/files/Black-T-Shirt_Jogging_Ourdoor.jpg?v=1767461074", 1)</f>
        <v/>
      </c>
      <c r="F11" s="7" t="str">
        <f>HYPERLINK("https://wa.me/923012444944", "💬 Chat")</f>
        <v>💬 Chat</v>
      </c>
      <c r="G11" s="173" t="s">
        <v>12831</v>
      </c>
      <c r="H11" s="2" t="s">
        <v>12832</v>
      </c>
      <c r="I11" s="2" t="s">
        <v>368</v>
      </c>
      <c r="J11" s="6"/>
      <c r="K11" s="3">
        <v>3098.0</v>
      </c>
      <c r="L11" s="7" t="str">
        <f>HYPERLINK("https://admin.shopify.com/store/041839-3/orders/6946121285891", "🛍️ Open")</f>
        <v>🛍️ Open</v>
      </c>
      <c r="M11" s="2" t="s">
        <v>406</v>
      </c>
      <c r="N11" s="2"/>
      <c r="O11" s="6"/>
    </row>
    <row r="12" ht="45.0" customHeight="1">
      <c r="A12" s="3">
        <v>6.946549006595E12</v>
      </c>
      <c r="B12" s="172">
        <v>46092.0</v>
      </c>
      <c r="C12" s="3">
        <v>16.0</v>
      </c>
      <c r="D12" s="2" t="s">
        <v>13651</v>
      </c>
      <c r="E12" s="6" t="str">
        <f>IMAGE("https://cdn.shopify.com/s/files/1/0678/5515/5459/files/175958355750511.jpg?v=1759583838", 1)</f>
        <v/>
      </c>
      <c r="F12" s="7" t="str">
        <f>HYPERLINK("https://wa.me/923314734411", "💬 Chat")</f>
        <v>💬 Chat</v>
      </c>
      <c r="G12" s="173" t="s">
        <v>13652</v>
      </c>
      <c r="H12" s="2" t="s">
        <v>13653</v>
      </c>
      <c r="I12" s="2" t="s">
        <v>368</v>
      </c>
      <c r="J12" s="6"/>
      <c r="K12" s="3">
        <v>2199.0</v>
      </c>
      <c r="L12" s="7" t="str">
        <f>HYPERLINK("https://admin.shopify.com/store/041839-3/orders/6946549006595", "🛍️ Open")</f>
        <v>🛍️ Open</v>
      </c>
      <c r="M12" s="2" t="s">
        <v>406</v>
      </c>
      <c r="N12" s="2" t="s">
        <v>18997</v>
      </c>
      <c r="O12" s="6"/>
    </row>
    <row r="13" ht="45.0" customHeight="1">
      <c r="A13" s="3">
        <v>6.947048882435E12</v>
      </c>
      <c r="B13" s="172">
        <v>46092.0</v>
      </c>
      <c r="C13" s="3">
        <v>16.0</v>
      </c>
      <c r="D13" s="2" t="s">
        <v>13112</v>
      </c>
      <c r="E13" s="6" t="str">
        <f>IMAGE("https://cdn.shopify.com/s/files/1/0678/5515/5459/files/rn-image_picker_lib_temp_91ff1145-b887-4632-b880-fb58391f16f3.jpg?v=1760780088", 1)</f>
        <v/>
      </c>
      <c r="F13" s="7" t="str">
        <f>HYPERLINK("https://wa.me/3702434679", "💬 Chat")</f>
        <v>💬 Chat</v>
      </c>
      <c r="G13" s="2">
        <v>3.702434679E9</v>
      </c>
      <c r="H13" s="2" t="s">
        <v>13113</v>
      </c>
      <c r="I13" s="2" t="s">
        <v>13114</v>
      </c>
      <c r="J13" s="6"/>
      <c r="K13" s="3">
        <v>2814.0</v>
      </c>
      <c r="L13" s="7" t="str">
        <f>HYPERLINK("https://admin.shopify.com/store/041839-3/orders/6947048882435", "🛍️ Open")</f>
        <v>🛍️ Open</v>
      </c>
      <c r="M13" s="2" t="s">
        <v>406</v>
      </c>
      <c r="N13" s="2" t="s">
        <v>18994</v>
      </c>
      <c r="O13" s="6"/>
    </row>
    <row r="14" ht="45.0" customHeight="1">
      <c r="A14" s="3">
        <v>6.947202433283E12</v>
      </c>
      <c r="B14" s="172">
        <v>46092.0</v>
      </c>
      <c r="C14" s="3">
        <v>16.0</v>
      </c>
      <c r="D14" s="2" t="s">
        <v>1892</v>
      </c>
      <c r="E14" s="6" t="str">
        <f>IMAGE("https://cdn.shopify.com/s/files/1/0678/5515/5459/files/175958355750511.jpg?v=1759583838", 1)</f>
        <v/>
      </c>
      <c r="F14" s="7" t="str">
        <f>HYPERLINK("https://wa.me/3170106073", "💬 Chat")</f>
        <v>💬 Chat</v>
      </c>
      <c r="G14" s="2">
        <v>3.170106073E9</v>
      </c>
      <c r="H14" s="2" t="s">
        <v>13727</v>
      </c>
      <c r="I14" s="2" t="s">
        <v>1323</v>
      </c>
      <c r="J14" s="6"/>
      <c r="K14" s="3">
        <v>3348.0</v>
      </c>
      <c r="L14" s="7" t="str">
        <f>HYPERLINK("https://admin.shopify.com/store/041839-3/orders/6947202433283", "🛍️ Open")</f>
        <v>🛍️ Open</v>
      </c>
      <c r="M14" s="2" t="s">
        <v>406</v>
      </c>
      <c r="N14" s="2" t="s">
        <v>18998</v>
      </c>
      <c r="O14" s="6"/>
    </row>
    <row r="15" ht="45.0" customHeight="1">
      <c r="A15" s="3">
        <v>6.947660038403E12</v>
      </c>
      <c r="B15" s="172">
        <v>46092.0</v>
      </c>
      <c r="C15" s="3">
        <v>16.0</v>
      </c>
      <c r="D15" s="2" t="s">
        <v>1431</v>
      </c>
      <c r="E15" s="6" t="str">
        <f>IMAGE("https://cdn.shopify.com/s/files/1/0678/5515/5459/files/Black-T-Shirt_Jogging_Ourdoor.jpg?v=1767461074", 1)</f>
        <v/>
      </c>
      <c r="F15" s="7" t="str">
        <f>HYPERLINK("https://wa.me/923224744266", "💬 Chat")</f>
        <v>💬 Chat</v>
      </c>
      <c r="G15" s="173" t="s">
        <v>12998</v>
      </c>
      <c r="H15" s="2" t="s">
        <v>12999</v>
      </c>
      <c r="I15" s="2" t="s">
        <v>368</v>
      </c>
      <c r="J15" s="6"/>
      <c r="K15" s="3">
        <v>3347.0</v>
      </c>
      <c r="L15" s="7" t="str">
        <f>HYPERLINK("https://admin.shopify.com/store/041839-3/orders/6947660038403", "🛍️ Open")</f>
        <v>🛍️ Open</v>
      </c>
      <c r="M15" s="2" t="s">
        <v>406</v>
      </c>
      <c r="N15" s="2" t="s">
        <v>18998</v>
      </c>
      <c r="O15" s="6"/>
    </row>
    <row r="16" ht="45.0" customHeight="1">
      <c r="A16" s="3">
        <v>6.947839705347E12</v>
      </c>
      <c r="B16" s="172">
        <v>46092.0</v>
      </c>
      <c r="C16" s="3">
        <v>16.0</v>
      </c>
      <c r="D16" s="2" t="s">
        <v>3829</v>
      </c>
      <c r="E16" s="6" t="str">
        <f>IMAGE("https://cdn.shopify.com/s/files/1/0678/5515/5459/files/White-T-Shirt_Ourdoor.jpg?v=1767461074", 1)</f>
        <v/>
      </c>
      <c r="F16" s="7" t="str">
        <f>HYPERLINK("https://wa.me/3003181587", "💬 Chat")</f>
        <v>💬 Chat</v>
      </c>
      <c r="G16" s="3">
        <v>3.003181587E9</v>
      </c>
      <c r="H16" s="2" t="s">
        <v>13838</v>
      </c>
      <c r="I16" s="2" t="s">
        <v>1466</v>
      </c>
      <c r="J16" s="6"/>
      <c r="K16" s="3">
        <v>3348.0</v>
      </c>
      <c r="L16" s="7" t="str">
        <f>HYPERLINK("https://admin.shopify.com/store/041839-3/orders/6947839705347", "🛍️ Open")</f>
        <v>🛍️ Open</v>
      </c>
      <c r="M16" s="2" t="s">
        <v>406</v>
      </c>
      <c r="N16" s="2"/>
      <c r="O16" s="6"/>
    </row>
    <row r="17" ht="45.0" customHeight="1">
      <c r="A17" s="3">
        <v>6.948040212739E12</v>
      </c>
      <c r="B17" s="172">
        <v>46093.0</v>
      </c>
      <c r="C17" s="3">
        <v>15.0</v>
      </c>
      <c r="D17" s="2" t="s">
        <v>13863</v>
      </c>
      <c r="E17" s="6" t="str">
        <f>IMAGE("https://cdn.shopify.com/s/files/1/0678/5515/5459/files/175958355750511.jpg?v=1759583838", 1)</f>
        <v/>
      </c>
      <c r="F17" s="7" t="str">
        <f>HYPERLINK("https://wa.me/3448838474", "💬 Chat")</f>
        <v>💬 Chat</v>
      </c>
      <c r="G17" s="2">
        <v>3.448838474E9</v>
      </c>
      <c r="H17" s="2" t="s">
        <v>13864</v>
      </c>
      <c r="I17" s="2" t="s">
        <v>366</v>
      </c>
      <c r="J17" s="6"/>
      <c r="K17" s="3">
        <v>3348.0</v>
      </c>
      <c r="L17" s="7" t="str">
        <f>HYPERLINK("https://admin.shopify.com/store/041839-3/orders/6948040212739", "🛍️ Open")</f>
        <v>🛍️ Open</v>
      </c>
      <c r="M17" s="2" t="s">
        <v>406</v>
      </c>
      <c r="N17" s="2"/>
      <c r="O17" s="6"/>
    </row>
    <row r="18" ht="45.0" customHeight="1">
      <c r="A18" s="3">
        <v>6.948538089731E12</v>
      </c>
      <c r="B18" s="172">
        <v>46093.0</v>
      </c>
      <c r="C18" s="3">
        <v>15.0</v>
      </c>
      <c r="D18" s="2" t="s">
        <v>13561</v>
      </c>
      <c r="E18" s="6" t="str">
        <f>IMAGE("https://cdn.shopify.com/s/files/1/0678/5515/5459/files/rn-image_picker_lib_temp_ca33f0b9-9340-4a26-804c-f15ccfa355c1.jpg?v=1760501632", 1)</f>
        <v/>
      </c>
      <c r="F18" s="7" t="str">
        <f>HYPERLINK("https://wa.me/3204773911", "💬 Chat")</f>
        <v>💬 Chat</v>
      </c>
      <c r="G18" s="2">
        <v>3.204773911E9</v>
      </c>
      <c r="H18" s="2" t="s">
        <v>13562</v>
      </c>
      <c r="I18" s="2" t="s">
        <v>368</v>
      </c>
      <c r="J18" s="6"/>
      <c r="K18" s="3">
        <v>5699.0</v>
      </c>
      <c r="L18" s="7" t="str">
        <f>HYPERLINK("https://admin.shopify.com/store/041839-3/orders/6948538089731", "🛍️ Open")</f>
        <v>🛍️ Open</v>
      </c>
      <c r="M18" s="2" t="s">
        <v>406</v>
      </c>
      <c r="N18" s="2" t="s">
        <v>18999</v>
      </c>
      <c r="O18" s="6"/>
    </row>
    <row r="19" ht="45.0" customHeight="1">
      <c r="A19" s="3">
        <v>6.948877435139E12</v>
      </c>
      <c r="B19" s="172">
        <v>46093.0</v>
      </c>
      <c r="C19" s="3">
        <v>15.0</v>
      </c>
      <c r="D19" s="2" t="s">
        <v>13989</v>
      </c>
      <c r="E19" s="6" t="str">
        <f>IMAGE("https://cdn.shopify.com/s/files/1/0678/5515/5459/files/Picsart-25-10-07_09-54-57-97511.jpg?v=1759820285", 1)</f>
        <v/>
      </c>
      <c r="F19" s="7" t="str">
        <f>HYPERLINK("https://wa.me/3002958670", "💬 Chat")</f>
        <v>💬 Chat</v>
      </c>
      <c r="G19" s="2">
        <v>3.00295867E9</v>
      </c>
      <c r="H19" s="2" t="s">
        <v>13990</v>
      </c>
      <c r="I19" s="2" t="s">
        <v>493</v>
      </c>
      <c r="J19" s="6"/>
      <c r="K19" s="3">
        <v>3348.0</v>
      </c>
      <c r="L19" s="7" t="str">
        <f>HYPERLINK("https://admin.shopify.com/store/041839-3/orders/6948877435139", "🛍️ Open")</f>
        <v>🛍️ Open</v>
      </c>
      <c r="M19" s="2" t="s">
        <v>406</v>
      </c>
      <c r="N19" s="2"/>
      <c r="O19" s="6"/>
    </row>
    <row r="20" ht="45.0" customHeight="1">
      <c r="A20" s="3">
        <v>6.948895719683E12</v>
      </c>
      <c r="B20" s="172">
        <v>46093.0</v>
      </c>
      <c r="C20" s="3">
        <v>15.0</v>
      </c>
      <c r="D20" s="2" t="s">
        <v>13998</v>
      </c>
      <c r="E20" s="6" t="str">
        <f>IMAGE("https://cdn.shopify.com/s/files/1/0678/5515/5459/files/175973621018311.jpg?v=1759741893", 1)</f>
        <v/>
      </c>
      <c r="F20" s="7" t="str">
        <f t="shared" ref="F20:F21" si="1">HYPERLINK("https://wa.me/3017838684", "💬 Chat")</f>
        <v>💬 Chat</v>
      </c>
      <c r="G20" s="3">
        <v>3.017838684E9</v>
      </c>
      <c r="H20" s="2" t="s">
        <v>13999</v>
      </c>
      <c r="I20" s="2" t="s">
        <v>541</v>
      </c>
      <c r="J20" s="6"/>
      <c r="K20" s="3">
        <v>3248.0</v>
      </c>
      <c r="L20" s="7" t="str">
        <f>HYPERLINK("https://admin.shopify.com/store/041839-3/orders/6948895719683", "🛍️ Open")</f>
        <v>🛍️ Open</v>
      </c>
      <c r="M20" s="2" t="s">
        <v>406</v>
      </c>
      <c r="N20" s="2"/>
      <c r="O20" s="6"/>
    </row>
    <row r="21" ht="45.0" customHeight="1">
      <c r="A21" s="3">
        <v>6.948901650691E12</v>
      </c>
      <c r="B21" s="172">
        <v>46093.0</v>
      </c>
      <c r="C21" s="3">
        <v>15.0</v>
      </c>
      <c r="D21" s="2" t="s">
        <v>13998</v>
      </c>
      <c r="E21" s="6" t="str">
        <f>IMAGE("https://cdn.shopify.com/s/files/1/0678/5515/5459/files/rn-image_picker_lib_temp_91ff1145-b887-4632-b880-fb58391f16f3.jpg?v=1760780088", 1)</f>
        <v/>
      </c>
      <c r="F21" s="7" t="str">
        <f t="shared" si="1"/>
        <v>💬 Chat</v>
      </c>
      <c r="G21" s="3">
        <v>3.017838684E9</v>
      </c>
      <c r="H21" s="2" t="s">
        <v>13999</v>
      </c>
      <c r="I21" s="2" t="s">
        <v>541</v>
      </c>
      <c r="J21" s="6"/>
      <c r="K21" s="3">
        <v>3348.0</v>
      </c>
      <c r="L21" s="7" t="str">
        <f>HYPERLINK("https://admin.shopify.com/store/041839-3/orders/6948901650691", "🛍️ Open")</f>
        <v>🛍️ Open</v>
      </c>
      <c r="M21" s="2" t="s">
        <v>406</v>
      </c>
      <c r="N21" s="2"/>
      <c r="O21" s="6"/>
    </row>
    <row r="22" ht="45.0" customHeight="1">
      <c r="A22" s="3">
        <v>6.949149638915E12</v>
      </c>
      <c r="B22" s="172">
        <v>46093.0</v>
      </c>
      <c r="C22" s="3">
        <v>15.0</v>
      </c>
      <c r="D22" s="2" t="s">
        <v>13352</v>
      </c>
      <c r="E22" s="6" t="str">
        <f t="shared" ref="E22:E23" si="2">IMAGE("https://cdn.shopify.com/s/files/1/0678/5515/5459/files/White-T-Shirt_Ourdoor.jpg?v=1767461074", 1)</f>
        <v/>
      </c>
      <c r="F22" s="7" t="str">
        <f>HYPERLINK("https://wa.me/3004008889", "💬 Chat")</f>
        <v>💬 Chat</v>
      </c>
      <c r="G22" s="2">
        <v>3.004008889E9</v>
      </c>
      <c r="H22" s="2" t="s">
        <v>13353</v>
      </c>
      <c r="I22" s="2" t="s">
        <v>368</v>
      </c>
      <c r="J22" s="6"/>
      <c r="K22" s="3">
        <v>3347.0</v>
      </c>
      <c r="L22" s="7" t="str">
        <f>HYPERLINK("https://admin.shopify.com/store/041839-3/orders/6949149638915", "🛍️ Open")</f>
        <v>🛍️ Open</v>
      </c>
      <c r="M22" s="2" t="s">
        <v>406</v>
      </c>
      <c r="N22" s="2"/>
      <c r="O22" s="6"/>
    </row>
    <row r="23" ht="45.0" customHeight="1">
      <c r="A23" s="3">
        <v>6.949433770243E12</v>
      </c>
      <c r="B23" s="172">
        <v>46093.0</v>
      </c>
      <c r="C23" s="3">
        <v>15.0</v>
      </c>
      <c r="D23" s="2" t="s">
        <v>14049</v>
      </c>
      <c r="E23" s="6" t="str">
        <f t="shared" si="2"/>
        <v/>
      </c>
      <c r="F23" s="7" t="str">
        <f>HYPERLINK("https://wa.me/555317754", "💬 Chat")</f>
        <v>💬 Chat</v>
      </c>
      <c r="G23" s="3">
        <v>5.55317754E8</v>
      </c>
      <c r="H23" s="2" t="s">
        <v>14050</v>
      </c>
      <c r="I23" s="2" t="s">
        <v>14051</v>
      </c>
      <c r="J23" s="6"/>
      <c r="K23" s="3">
        <v>3348.0</v>
      </c>
      <c r="L23" s="7" t="str">
        <f>HYPERLINK("https://admin.shopify.com/store/041839-3/orders/6949433770243", "🛍️ Open")</f>
        <v>🛍️ Open</v>
      </c>
      <c r="M23" s="2" t="s">
        <v>406</v>
      </c>
      <c r="N23" s="2"/>
      <c r="O23" s="6"/>
    </row>
    <row r="24" ht="45.0" customHeight="1">
      <c r="A24" s="3">
        <v>6.949568872707E12</v>
      </c>
      <c r="B24" s="172">
        <v>46094.0</v>
      </c>
      <c r="C24" s="3">
        <v>14.0</v>
      </c>
      <c r="D24" s="2" t="s">
        <v>14065</v>
      </c>
      <c r="E24" s="6" t="str">
        <f>IMAGE("https://cdn.shopify.com/s/files/1/0678/5515/5459/files/175973621018311.jpg?v=1759741893", 1)</f>
        <v/>
      </c>
      <c r="F24" s="7" t="str">
        <f>HYPERLINK("https://wa.me/3005430918", "💬 Chat")</f>
        <v>💬 Chat</v>
      </c>
      <c r="G24" s="2">
        <v>3.005430918E9</v>
      </c>
      <c r="H24" s="2" t="s">
        <v>14066</v>
      </c>
      <c r="I24" s="2" t="s">
        <v>4949</v>
      </c>
      <c r="J24" s="6"/>
      <c r="K24" s="3">
        <v>3248.0</v>
      </c>
      <c r="L24" s="7" t="str">
        <f>HYPERLINK("https://admin.shopify.com/store/041839-3/orders/6949568872707", "🛍️ Open")</f>
        <v>🛍️ Open</v>
      </c>
      <c r="M24" s="2" t="s">
        <v>406</v>
      </c>
      <c r="N24" s="2"/>
      <c r="O24" s="6"/>
    </row>
    <row r="25" ht="45.0" customHeight="1">
      <c r="A25" s="3">
        <v>6.949796577539E12</v>
      </c>
      <c r="B25" s="172">
        <v>46094.0</v>
      </c>
      <c r="C25" s="3">
        <v>14.0</v>
      </c>
      <c r="D25" s="2" t="s">
        <v>14096</v>
      </c>
      <c r="E25" s="6" t="str">
        <f t="shared" ref="E25:E26" si="3">IMAGE("https://cdn.shopify.com/s/files/1/0678/5515/5459/files/175958355750511.jpg?v=1759583838", 1)</f>
        <v/>
      </c>
      <c r="F25" s="7" t="str">
        <f>HYPERLINK("https://wa.me/3156547235", "💬 Chat")</f>
        <v>💬 Chat</v>
      </c>
      <c r="G25" s="2">
        <v>3.156547235E9</v>
      </c>
      <c r="H25" s="2" t="s">
        <v>14097</v>
      </c>
      <c r="I25" s="2" t="s">
        <v>14098</v>
      </c>
      <c r="J25" s="6"/>
      <c r="K25" s="3">
        <v>3348.0</v>
      </c>
      <c r="L25" s="7" t="str">
        <f>HYPERLINK("https://admin.shopify.com/store/041839-3/orders/6949796577539", "🛍️ Open")</f>
        <v>🛍️ Open</v>
      </c>
      <c r="M25" s="2" t="s">
        <v>406</v>
      </c>
      <c r="N25" s="2"/>
      <c r="O25" s="6"/>
    </row>
    <row r="26" ht="45.0" customHeight="1">
      <c r="A26" s="3">
        <v>6.950261195011E12</v>
      </c>
      <c r="B26" s="172">
        <v>46094.0</v>
      </c>
      <c r="C26" s="3">
        <v>14.0</v>
      </c>
      <c r="D26" s="2" t="s">
        <v>14171</v>
      </c>
      <c r="E26" s="6" t="str">
        <f t="shared" si="3"/>
        <v/>
      </c>
      <c r="F26" s="7" t="str">
        <f>HYPERLINK("https://wa.me/3041430109", "💬 Chat")</f>
        <v>💬 Chat</v>
      </c>
      <c r="G26" s="3">
        <v>3.041430109E9</v>
      </c>
      <c r="H26" s="2" t="s">
        <v>14172</v>
      </c>
      <c r="I26" s="2" t="s">
        <v>14173</v>
      </c>
      <c r="J26" s="6"/>
      <c r="K26" s="3">
        <v>3348.0</v>
      </c>
      <c r="L26" s="7" t="str">
        <f>HYPERLINK("https://admin.shopify.com/store/041839-3/orders/6950261195011", "🛍️ Open")</f>
        <v>🛍️ Open</v>
      </c>
      <c r="M26" s="2" t="s">
        <v>406</v>
      </c>
      <c r="N26" s="2"/>
      <c r="O26" s="6"/>
    </row>
    <row r="27" ht="45.0" customHeight="1">
      <c r="A27" s="3">
        <v>6.950785057027E12</v>
      </c>
      <c r="B27" s="172">
        <v>46094.0</v>
      </c>
      <c r="C27" s="3">
        <v>14.0</v>
      </c>
      <c r="D27" s="2" t="s">
        <v>14267</v>
      </c>
      <c r="E27" s="6" t="str">
        <f t="shared" ref="E27:E28" si="4">IMAGE("https://cdn.shopify.com/s/files/1/0678/5515/5459/files/White-T-Shirt_Ourdoor.jpg?v=1767461074", 1)</f>
        <v/>
      </c>
      <c r="F27" s="7" t="str">
        <f>HYPERLINK("https://wa.me/3452281426", "💬 Chat")</f>
        <v>💬 Chat</v>
      </c>
      <c r="G27" s="2">
        <v>3.452281426E9</v>
      </c>
      <c r="H27" s="2" t="s">
        <v>14268</v>
      </c>
      <c r="I27" s="2" t="s">
        <v>366</v>
      </c>
      <c r="J27" s="6"/>
      <c r="K27" s="3">
        <v>3348.0</v>
      </c>
      <c r="L27" s="7" t="str">
        <f>HYPERLINK("https://admin.shopify.com/store/041839-3/orders/6950785057027", "🛍️ Open")</f>
        <v>🛍️ Open</v>
      </c>
      <c r="M27" s="2" t="s">
        <v>406</v>
      </c>
      <c r="N27" s="2"/>
      <c r="O27" s="6"/>
    </row>
    <row r="28" ht="45.0" customHeight="1">
      <c r="A28" s="3">
        <v>6.951274938627E12</v>
      </c>
      <c r="B28" s="172">
        <v>46095.0</v>
      </c>
      <c r="C28" s="3">
        <v>13.0</v>
      </c>
      <c r="D28" s="2" t="s">
        <v>14287</v>
      </c>
      <c r="E28" s="6" t="str">
        <f t="shared" si="4"/>
        <v/>
      </c>
      <c r="F28" s="7" t="str">
        <f>HYPERLINK("https://wa.me/3102578457", "💬 Chat")</f>
        <v>💬 Chat</v>
      </c>
      <c r="G28" s="3">
        <v>3.102578457E9</v>
      </c>
      <c r="H28" s="2" t="s">
        <v>14288</v>
      </c>
      <c r="I28" s="2" t="s">
        <v>493</v>
      </c>
      <c r="J28" s="6"/>
      <c r="K28" s="3">
        <v>3348.0</v>
      </c>
      <c r="L28" s="7" t="str">
        <f>HYPERLINK("https://admin.shopify.com/store/041839-3/orders/6951274938627", "🛍️ Open")</f>
        <v>🛍️ Open</v>
      </c>
      <c r="M28" s="2" t="s">
        <v>406</v>
      </c>
      <c r="N28" s="2"/>
      <c r="O28" s="6"/>
    </row>
    <row r="29" ht="45.0" customHeight="1">
      <c r="A29" s="3">
        <v>6.951864467715E12</v>
      </c>
      <c r="B29" s="172">
        <v>46095.0</v>
      </c>
      <c r="C29" s="3">
        <v>13.0</v>
      </c>
      <c r="D29" s="2" t="s">
        <v>14391</v>
      </c>
      <c r="E29" s="6" t="str">
        <f>IMAGE("https://cdn.shopify.com/s/files/1/0678/5515/5459/files/20260214-020615.jpg?v=1771054613", 1)</f>
        <v/>
      </c>
      <c r="F29" s="7" t="str">
        <f>HYPERLINK("https://wa.me/3332773790", "💬 Chat")</f>
        <v>💬 Chat</v>
      </c>
      <c r="G29" s="2">
        <v>3.33277379E9</v>
      </c>
      <c r="H29" s="2" t="s">
        <v>14392</v>
      </c>
      <c r="I29" s="2" t="s">
        <v>14393</v>
      </c>
      <c r="J29" s="6"/>
      <c r="K29" s="3">
        <v>1899.0</v>
      </c>
      <c r="L29" s="7" t="str">
        <f>HYPERLINK("https://admin.shopify.com/store/041839-3/orders/6951864467715", "🛍️ Open")</f>
        <v>🛍️ Open</v>
      </c>
      <c r="M29" s="2" t="s">
        <v>406</v>
      </c>
      <c r="N29" s="2"/>
      <c r="O29" s="6"/>
    </row>
    <row r="30" ht="45.0" customHeight="1">
      <c r="A30" s="3">
        <v>6.951915094275E12</v>
      </c>
      <c r="B30" s="172">
        <v>46095.0</v>
      </c>
      <c r="C30" s="3">
        <v>13.0</v>
      </c>
      <c r="D30" s="2" t="s">
        <v>13300</v>
      </c>
      <c r="E30" s="6" t="str">
        <f>IMAGE("https://cdn.shopify.com/s/files/1/0678/5515/5459/files/9b6c3256-9ac9-47ad-b843-268b813705d5.jpg?v=1761602340", 1)</f>
        <v/>
      </c>
      <c r="F30" s="7" t="str">
        <f>HYPERLINK("https://wa.me/3008423850", "💬 Chat")</f>
        <v>💬 Chat</v>
      </c>
      <c r="G30" s="2">
        <v>3.00842385E9</v>
      </c>
      <c r="H30" s="2" t="s">
        <v>13301</v>
      </c>
      <c r="I30" s="2" t="s">
        <v>368</v>
      </c>
      <c r="J30" s="6"/>
      <c r="K30" s="3">
        <v>1800.0</v>
      </c>
      <c r="L30" s="7" t="str">
        <f>HYPERLINK("https://admin.shopify.com/store/041839-3/orders/6951915094275", "🛍️ Open")</f>
        <v>🛍️ Open</v>
      </c>
      <c r="M30" s="2" t="s">
        <v>406</v>
      </c>
      <c r="N30" s="2" t="s">
        <v>18994</v>
      </c>
      <c r="O30" s="6"/>
    </row>
    <row r="31" ht="45.0" customHeight="1">
      <c r="A31" s="3">
        <v>6.951957725443E12</v>
      </c>
      <c r="B31" s="172">
        <v>46095.0</v>
      </c>
      <c r="C31" s="3">
        <v>13.0</v>
      </c>
      <c r="D31" s="2" t="s">
        <v>14409</v>
      </c>
      <c r="E31" s="6" t="str">
        <f>IMAGE("https://cdn.shopify.com/s/files/1/0678/5515/5459/files/175958355750511.jpg?v=1759583838", 1)</f>
        <v/>
      </c>
      <c r="F31" s="7" t="str">
        <f>HYPERLINK("https://wa.me/3167098977", "💬 Chat")</f>
        <v>💬 Chat</v>
      </c>
      <c r="G31" s="3">
        <v>3.167098977E9</v>
      </c>
      <c r="H31" s="2" t="s">
        <v>14410</v>
      </c>
      <c r="I31" s="2" t="s">
        <v>374</v>
      </c>
      <c r="J31" s="6"/>
      <c r="K31" s="3">
        <v>3348.0</v>
      </c>
      <c r="L31" s="7" t="str">
        <f>HYPERLINK("https://admin.shopify.com/store/041839-3/orders/6951957725443", "🛍️ Open")</f>
        <v>🛍️ Open</v>
      </c>
      <c r="M31" s="2" t="s">
        <v>406</v>
      </c>
      <c r="N31" s="2"/>
      <c r="O31" s="6"/>
    </row>
    <row r="32" ht="45.0" customHeight="1">
      <c r="A32" s="3">
        <v>6.952116060419E12</v>
      </c>
      <c r="B32" s="172">
        <v>46095.0</v>
      </c>
      <c r="C32" s="3">
        <v>13.0</v>
      </c>
      <c r="D32" s="2" t="s">
        <v>14433</v>
      </c>
      <c r="E32" s="6" t="str">
        <f>IMAGE("https://cdn.shopify.com/s/files/1/0678/5515/5459/files/White-T-Shirt_Ourdoor.jpg?v=1767461074", 1)</f>
        <v/>
      </c>
      <c r="F32" s="7" t="str">
        <f>HYPERLINK("https://wa.me/923002983478", "💬 Chat")</f>
        <v>💬 Chat</v>
      </c>
      <c r="G32" s="173" t="s">
        <v>14434</v>
      </c>
      <c r="H32" s="2" t="s">
        <v>14435</v>
      </c>
      <c r="I32" s="2" t="s">
        <v>1466</v>
      </c>
      <c r="J32" s="6"/>
      <c r="K32" s="3">
        <v>3348.0</v>
      </c>
      <c r="L32" s="7" t="str">
        <f>HYPERLINK("https://admin.shopify.com/store/041839-3/orders/6952116060419", "🛍️ Open")</f>
        <v>🛍️ Open</v>
      </c>
      <c r="M32" s="2" t="s">
        <v>406</v>
      </c>
      <c r="N32" s="2"/>
      <c r="O32" s="6"/>
    </row>
    <row r="33" ht="45.0" customHeight="1">
      <c r="A33" s="3">
        <v>6.952209449219E12</v>
      </c>
      <c r="B33" s="172">
        <v>46095.0</v>
      </c>
      <c r="C33" s="3">
        <v>13.0</v>
      </c>
      <c r="D33" s="2" t="s">
        <v>1277</v>
      </c>
      <c r="E33" s="6" t="str">
        <f>IMAGE("https://cdn.shopify.com/s/files/1/0678/5515/5459/files/175958355750511.jpg?v=1759583838", 1)</f>
        <v/>
      </c>
      <c r="F33" s="7" t="str">
        <f>HYPERLINK("https://wa.me/923073537661", "💬 Chat")</f>
        <v>💬 Chat</v>
      </c>
      <c r="G33" s="173" t="s">
        <v>14442</v>
      </c>
      <c r="H33" s="2" t="s">
        <v>14443</v>
      </c>
      <c r="I33" s="2" t="s">
        <v>1016</v>
      </c>
      <c r="J33" s="6"/>
      <c r="K33" s="3">
        <v>3348.0</v>
      </c>
      <c r="L33" s="7" t="str">
        <f>HYPERLINK("https://admin.shopify.com/store/041839-3/orders/6952209449219", "🛍️ Open")</f>
        <v>🛍️ Open</v>
      </c>
      <c r="M33" s="2" t="s">
        <v>406</v>
      </c>
      <c r="N33" s="2"/>
      <c r="O33" s="6"/>
    </row>
    <row r="34" ht="45.0" customHeight="1">
      <c r="A34" s="3">
        <v>6.952221081859E12</v>
      </c>
      <c r="B34" s="172">
        <v>46095.0</v>
      </c>
      <c r="C34" s="3">
        <v>13.0</v>
      </c>
      <c r="D34" s="2" t="s">
        <v>14446</v>
      </c>
      <c r="E34" s="6" t="str">
        <f>IMAGE("https://cdn.shopify.com/s/files/1/0678/5515/5459/files/1758280248529.jpg?v=1761924087", 1)</f>
        <v/>
      </c>
      <c r="F34" s="7" t="str">
        <f>HYPERLINK("https://wa.me/3224589884", "💬 Chat")</f>
        <v>💬 Chat</v>
      </c>
      <c r="G34" s="2">
        <v>3.224589884E9</v>
      </c>
      <c r="H34" s="2" t="s">
        <v>14447</v>
      </c>
      <c r="I34" s="2" t="s">
        <v>14448</v>
      </c>
      <c r="J34" s="6"/>
      <c r="K34" s="3">
        <v>1449.0</v>
      </c>
      <c r="L34" s="7" t="str">
        <f>HYPERLINK("https://admin.shopify.com/store/041839-3/orders/6952221081859", "🛍️ Open")</f>
        <v>🛍️ Open</v>
      </c>
      <c r="M34" s="2" t="s">
        <v>406</v>
      </c>
      <c r="N34" s="2"/>
      <c r="O34" s="6"/>
    </row>
    <row r="35" ht="45.0" customHeight="1">
      <c r="A35" s="3">
        <v>6.952315126019E12</v>
      </c>
      <c r="B35" s="172">
        <v>46095.0</v>
      </c>
      <c r="C35" s="3">
        <v>13.0</v>
      </c>
      <c r="D35" s="2" t="s">
        <v>210</v>
      </c>
      <c r="E35" s="6" t="str">
        <f t="shared" ref="E35:E36" si="5">IMAGE("https://cdn.shopify.com/s/files/1/0678/5515/5459/files/175958355750511.jpg?v=1759583838", 1)</f>
        <v/>
      </c>
      <c r="F35" s="7" t="str">
        <f>HYPERLINK("https://wa.me/3003057080", "💬 Chat")</f>
        <v>💬 Chat</v>
      </c>
      <c r="G35" s="3">
        <v>3.00305708E9</v>
      </c>
      <c r="H35" s="2" t="s">
        <v>14463</v>
      </c>
      <c r="I35" s="2" t="s">
        <v>493</v>
      </c>
      <c r="J35" s="6"/>
      <c r="K35" s="3">
        <v>3348.0</v>
      </c>
      <c r="L35" s="7" t="str">
        <f>HYPERLINK("https://admin.shopify.com/store/041839-3/orders/6952315126019", "🛍️ Open")</f>
        <v>🛍️ Open</v>
      </c>
      <c r="M35" s="2" t="s">
        <v>406</v>
      </c>
      <c r="N35" s="2"/>
      <c r="O35" s="6"/>
    </row>
    <row r="36" ht="45.0" customHeight="1">
      <c r="A36" s="3">
        <v>6.952317583619E12</v>
      </c>
      <c r="B36" s="172">
        <v>46095.0</v>
      </c>
      <c r="C36" s="3">
        <v>13.0</v>
      </c>
      <c r="D36" s="2" t="s">
        <v>14465</v>
      </c>
      <c r="E36" s="6" t="str">
        <f t="shared" si="5"/>
        <v/>
      </c>
      <c r="F36" s="7" t="str">
        <f>HYPERLINK("https://wa.me/923006633281", "💬 Chat")</f>
        <v>💬 Chat</v>
      </c>
      <c r="G36" s="173" t="s">
        <v>14466</v>
      </c>
      <c r="H36" s="2" t="s">
        <v>14467</v>
      </c>
      <c r="I36" s="2" t="s">
        <v>374</v>
      </c>
      <c r="J36" s="6"/>
      <c r="K36" s="3">
        <v>3348.0</v>
      </c>
      <c r="L36" s="7" t="str">
        <f>HYPERLINK("https://admin.shopify.com/store/041839-3/orders/6952317583619", "🛍️ Open")</f>
        <v>🛍️ Open</v>
      </c>
      <c r="M36" s="2" t="s">
        <v>406</v>
      </c>
      <c r="N36" s="2"/>
      <c r="O36" s="6"/>
    </row>
    <row r="37" ht="45.0" customHeight="1">
      <c r="A37" s="3">
        <v>6.952569536771E12</v>
      </c>
      <c r="B37" s="172">
        <v>46096.0</v>
      </c>
      <c r="C37" s="3">
        <v>12.0</v>
      </c>
      <c r="D37" s="2" t="s">
        <v>14480</v>
      </c>
      <c r="E37" s="6" t="str">
        <f>IMAGE("https://cdn.shopify.com/s/files/1/0678/5515/5459/files/175973621018311.jpg?v=1759741893", 1)</f>
        <v/>
      </c>
      <c r="F37" s="7" t="str">
        <f>HYPERLINK("https://wa.me/923449578923", "💬 Chat")</f>
        <v>💬 Chat</v>
      </c>
      <c r="G37" s="2">
        <v>9.23449578923E11</v>
      </c>
      <c r="H37" s="2" t="s">
        <v>14481</v>
      </c>
      <c r="I37" s="2" t="s">
        <v>14482</v>
      </c>
      <c r="J37" s="6"/>
      <c r="K37" s="3">
        <v>3548.0</v>
      </c>
      <c r="L37" s="7" t="str">
        <f>HYPERLINK("https://admin.shopify.com/store/041839-3/orders/6952569536771", "🛍️ Open")</f>
        <v>🛍️ Open</v>
      </c>
      <c r="M37" s="2" t="s">
        <v>406</v>
      </c>
      <c r="N37" s="2"/>
      <c r="O37" s="6"/>
    </row>
    <row r="38" ht="45.0" customHeight="1">
      <c r="A38" s="3">
        <v>6.952585920771E12</v>
      </c>
      <c r="B38" s="172">
        <v>46096.0</v>
      </c>
      <c r="C38" s="3">
        <v>12.0</v>
      </c>
      <c r="D38" s="2" t="s">
        <v>14488</v>
      </c>
      <c r="E38" s="2" t="str">
        <f>IMAGE("https://cdn.shopify.com/s/files/1/0678/5515/5459/files/rn-image_picker_lib_temp_8ab51962-f110-47c0-83bc-3e53af87c0e1.jpg?v=1773380370", 1)</f>
        <v/>
      </c>
      <c r="F38" s="7" t="str">
        <f>HYPERLINK("https://wa.me/3431883732", "💬 Chat")</f>
        <v>💬 Chat</v>
      </c>
      <c r="G38" s="3">
        <v>3.431883732E9</v>
      </c>
      <c r="H38" s="2" t="s">
        <v>14489</v>
      </c>
      <c r="I38" s="2" t="s">
        <v>14490</v>
      </c>
      <c r="J38" s="6"/>
      <c r="K38" s="3">
        <v>1499.0</v>
      </c>
      <c r="L38" s="7" t="str">
        <f>HYPERLINK("https://admin.shopify.com/store/041839-3/orders/6952585920771", "🛍️ Open")</f>
        <v>🛍️ Open</v>
      </c>
      <c r="M38" s="2" t="s">
        <v>406</v>
      </c>
      <c r="N38" s="2"/>
      <c r="O38" s="6"/>
    </row>
    <row r="39" ht="45.0" customHeight="1">
      <c r="A39" s="3">
        <v>6.952813134083E12</v>
      </c>
      <c r="B39" s="172">
        <v>46096.0</v>
      </c>
      <c r="C39" s="3">
        <v>12.0</v>
      </c>
      <c r="D39" s="2" t="s">
        <v>14518</v>
      </c>
      <c r="E39" s="2" t="str">
        <f>IMAGE("https://cdn.shopify.com/s/files/1/0678/5515/5459/files/1759584334094111.jpg?v=1759587286", 1)</f>
        <v/>
      </c>
      <c r="F39" s="7" t="str">
        <f>HYPERLINK("https://wa.me/3003014150", "💬 Chat")</f>
        <v>💬 Chat</v>
      </c>
      <c r="G39" s="2">
        <v>3.00301415E9</v>
      </c>
      <c r="H39" s="2" t="s">
        <v>14519</v>
      </c>
      <c r="I39" s="2" t="s">
        <v>506</v>
      </c>
      <c r="J39" s="6"/>
      <c r="K39" s="3">
        <v>2199.0</v>
      </c>
      <c r="L39" s="7" t="str">
        <f>HYPERLINK("https://admin.shopify.com/store/041839-3/orders/6952813134083", "🛍️ Open")</f>
        <v>🛍️ Open</v>
      </c>
      <c r="M39" s="2" t="s">
        <v>406</v>
      </c>
      <c r="N39" s="2"/>
      <c r="O39" s="6"/>
    </row>
    <row r="40" ht="45.0" customHeight="1">
      <c r="A40" s="3">
        <v>6.952893481219E12</v>
      </c>
      <c r="B40" s="172">
        <v>46096.0</v>
      </c>
      <c r="C40" s="3">
        <v>12.0</v>
      </c>
      <c r="D40" s="2" t="s">
        <v>9858</v>
      </c>
      <c r="E40" s="2" t="str">
        <f>IMAGE("https://cdn.shopify.com/s/files/1/0678/5515/5459/files/White-T-Shirt_Ourdoor.jpg?v=1767461074", 1)</f>
        <v/>
      </c>
      <c r="F40" s="7" t="str">
        <f>HYPERLINK("https://wa.me/3065472417", "💬 Chat")</f>
        <v>💬 Chat</v>
      </c>
      <c r="G40" s="2">
        <v>3.065472417E9</v>
      </c>
      <c r="H40" s="2" t="s">
        <v>14528</v>
      </c>
      <c r="I40" s="2" t="s">
        <v>14529</v>
      </c>
      <c r="J40" s="6"/>
      <c r="K40" s="3">
        <v>3348.0</v>
      </c>
      <c r="L40" s="7" t="str">
        <f>HYPERLINK("https://admin.shopify.com/store/041839-3/orders/6952893481219", "🛍️ Open")</f>
        <v>🛍️ Open</v>
      </c>
      <c r="M40" s="2" t="s">
        <v>406</v>
      </c>
      <c r="N40" s="2"/>
      <c r="O40" s="6"/>
    </row>
    <row r="41" ht="45.0" customHeight="1">
      <c r="A41" s="3">
        <v>6.953072820483E12</v>
      </c>
      <c r="B41" s="172">
        <v>46096.0</v>
      </c>
      <c r="C41" s="3">
        <v>12.0</v>
      </c>
      <c r="D41" s="2" t="s">
        <v>212</v>
      </c>
      <c r="E41" s="2" t="str">
        <f>IMAGE("https://cdn.shopify.com/s/files/1/0678/5515/5459/files/175958355750511.jpg?v=1759583838", 1)</f>
        <v/>
      </c>
      <c r="F41" s="7" t="str">
        <f>HYPERLINK("https://wa.me/3189284051", "💬 Chat")</f>
        <v>💬 Chat</v>
      </c>
      <c r="G41" s="2">
        <v>3.189284051E9</v>
      </c>
      <c r="H41" s="2" t="s">
        <v>14532</v>
      </c>
      <c r="I41" s="2" t="s">
        <v>781</v>
      </c>
      <c r="J41" s="6"/>
      <c r="K41" s="3">
        <v>3348.0</v>
      </c>
      <c r="L41" s="7" t="str">
        <f>HYPERLINK("https://admin.shopify.com/store/041839-3/orders/6953072820483", "🛍️ Open")</f>
        <v>🛍️ Open</v>
      </c>
      <c r="M41" s="2" t="s">
        <v>406</v>
      </c>
      <c r="N41" s="2"/>
      <c r="O41" s="6"/>
    </row>
    <row r="42" ht="45.0" customHeight="1">
      <c r="A42" s="3">
        <v>6.953104802051E12</v>
      </c>
      <c r="B42" s="172">
        <v>46096.0</v>
      </c>
      <c r="C42" s="3">
        <v>12.0</v>
      </c>
      <c r="D42" s="2" t="s">
        <v>14538</v>
      </c>
      <c r="E42" s="2" t="str">
        <f t="shared" ref="E42:E43" si="6">IMAGE("https://cdn.shopify.com/s/files/1/0678/5515/5459/files/rn-image_picker_lib_temp_91ff1145-b887-4632-b880-fb58391f16f3.jpg?v=1760780088", 1)</f>
        <v/>
      </c>
      <c r="F42" s="7" t="str">
        <f>HYPERLINK("https://wa.me/3323379583", "💬 Chat")</f>
        <v>💬 Chat</v>
      </c>
      <c r="G42" s="3">
        <v>3.323379583E9</v>
      </c>
      <c r="H42" s="2" t="s">
        <v>14539</v>
      </c>
      <c r="I42" s="2" t="s">
        <v>493</v>
      </c>
      <c r="J42" s="6"/>
      <c r="K42" s="3">
        <v>3348.0</v>
      </c>
      <c r="L42" s="7" t="str">
        <f>HYPERLINK("https://admin.shopify.com/store/041839-3/orders/6953104802051", "🛍️ Open")</f>
        <v>🛍️ Open</v>
      </c>
      <c r="M42" s="2" t="s">
        <v>406</v>
      </c>
      <c r="N42" s="2"/>
      <c r="O42" s="6"/>
    </row>
    <row r="43" ht="45.0" customHeight="1">
      <c r="A43" s="3">
        <v>6.953168142595E12</v>
      </c>
      <c r="B43" s="172">
        <v>46096.0</v>
      </c>
      <c r="C43" s="3">
        <v>12.0</v>
      </c>
      <c r="D43" s="2" t="s">
        <v>3513</v>
      </c>
      <c r="E43" s="2" t="str">
        <f t="shared" si="6"/>
        <v/>
      </c>
      <c r="F43" s="7" t="str">
        <f>HYPERLINK("https://wa.me/3453032111", "💬 Chat")</f>
        <v>💬 Chat</v>
      </c>
      <c r="G43" s="3">
        <v>3.453032111E9</v>
      </c>
      <c r="H43" s="2" t="s">
        <v>14544</v>
      </c>
      <c r="I43" s="2" t="s">
        <v>993</v>
      </c>
      <c r="J43" s="6"/>
      <c r="K43" s="3">
        <v>6198.0</v>
      </c>
      <c r="L43" s="7" t="str">
        <f>HYPERLINK("https://admin.shopify.com/store/041839-3/orders/6953168142595", "🛍️ Open")</f>
        <v>🛍️ Open</v>
      </c>
      <c r="M43" s="2" t="s">
        <v>406</v>
      </c>
      <c r="N43" s="2"/>
      <c r="O43" s="6"/>
    </row>
    <row r="44" ht="45.0" customHeight="1">
      <c r="A44" s="3">
        <v>6.953225814275E12</v>
      </c>
      <c r="B44" s="172">
        <v>46096.0</v>
      </c>
      <c r="C44" s="3">
        <v>12.0</v>
      </c>
      <c r="D44" s="2" t="s">
        <v>14564</v>
      </c>
      <c r="E44" s="6" t="str">
        <f>IMAGE("https://cdn.shopify.com/s/files/1/0678/5515/5459/files/175958355750511.jpg?v=1759583838", 1)</f>
        <v/>
      </c>
      <c r="F44" s="7" t="str">
        <f>HYPERLINK("https://wa.me/3004675801", "💬 Chat")</f>
        <v>💬 Chat</v>
      </c>
      <c r="G44" s="2">
        <v>3.004675801E9</v>
      </c>
      <c r="H44" s="2" t="s">
        <v>14565</v>
      </c>
      <c r="I44" s="2" t="s">
        <v>1257</v>
      </c>
      <c r="J44" s="6"/>
      <c r="K44" s="3">
        <v>3348.0</v>
      </c>
      <c r="L44" s="7" t="str">
        <f>HYPERLINK("https://admin.shopify.com/store/041839-3/orders/6953225814275", "🛍️ Open")</f>
        <v>🛍️ Open</v>
      </c>
      <c r="M44" s="2" t="s">
        <v>406</v>
      </c>
      <c r="N44" s="2"/>
      <c r="O44" s="6"/>
    </row>
    <row r="45" ht="45.0" customHeight="1">
      <c r="A45" s="3">
        <v>6.953237446915E12</v>
      </c>
      <c r="B45" s="172">
        <v>46096.0</v>
      </c>
      <c r="C45" s="3">
        <v>12.0</v>
      </c>
      <c r="D45" s="2" t="s">
        <v>14568</v>
      </c>
      <c r="E45" s="6" t="str">
        <f>IMAGE("https://cdn.shopify.com/s/files/1/0678/5515/5459/files/Picsart-25-10-07_09-54-57-97511.jpg?v=1759820285", 1)</f>
        <v/>
      </c>
      <c r="F45" s="7" t="str">
        <f>HYPERLINK("https://wa.me/3412372832", "💬 Chat")</f>
        <v>💬 Chat</v>
      </c>
      <c r="G45" s="3">
        <v>3.412372832E9</v>
      </c>
      <c r="H45" s="2" t="s">
        <v>14569</v>
      </c>
      <c r="I45" s="2" t="s">
        <v>12357</v>
      </c>
      <c r="J45" s="6"/>
      <c r="K45" s="3">
        <v>3348.0</v>
      </c>
      <c r="L45" s="7" t="str">
        <f>HYPERLINK("https://admin.shopify.com/store/041839-3/orders/6953237446915", "🛍️ Open")</f>
        <v>🛍️ Open</v>
      </c>
      <c r="M45" s="2" t="s">
        <v>406</v>
      </c>
      <c r="N45" s="2"/>
      <c r="O45" s="6"/>
    </row>
    <row r="46" ht="45.0" customHeight="1">
      <c r="A46" s="3">
        <v>6.953249243395E12</v>
      </c>
      <c r="B46" s="172">
        <v>46096.0</v>
      </c>
      <c r="C46" s="3">
        <v>12.0</v>
      </c>
      <c r="D46" s="2" t="s">
        <v>14575</v>
      </c>
      <c r="E46" s="6" t="str">
        <f>IMAGE("https://cdn.shopify.com/s/files/1/0678/5515/5459/files/175973621018311.jpg?v=1759741893", 1)</f>
        <v/>
      </c>
      <c r="F46" s="7" t="str">
        <f>HYPERLINK("https://wa.me/3070867081", "💬 Chat")</f>
        <v>💬 Chat</v>
      </c>
      <c r="G46" s="2">
        <v>3.070867081E9</v>
      </c>
      <c r="H46" s="2" t="s">
        <v>14576</v>
      </c>
      <c r="I46" s="2" t="s">
        <v>14577</v>
      </c>
      <c r="J46" s="6"/>
      <c r="K46" s="3">
        <v>3548.0</v>
      </c>
      <c r="L46" s="7" t="str">
        <f>HYPERLINK("https://admin.shopify.com/store/041839-3/orders/6953249243395", "🛍️ Open")</f>
        <v>🛍️ Open</v>
      </c>
      <c r="M46" s="2" t="s">
        <v>406</v>
      </c>
      <c r="N46" s="2"/>
      <c r="O46" s="6"/>
    </row>
    <row r="47" ht="45.0" customHeight="1">
      <c r="A47" s="3">
        <v>6.953291055363E12</v>
      </c>
      <c r="B47" s="172">
        <v>46096.0</v>
      </c>
      <c r="C47" s="3">
        <v>12.0</v>
      </c>
      <c r="D47" s="2" t="s">
        <v>14580</v>
      </c>
      <c r="E47" s="6" t="str">
        <f>IMAGE("https://cdn.shopify.com/s/files/1/0678/5515/5459/files/175958355750511.jpg?v=1759583838", 1)</f>
        <v/>
      </c>
      <c r="F47" s="7" t="str">
        <f>HYPERLINK("https://wa.me/3337084613", "💬 Chat")</f>
        <v>💬 Chat</v>
      </c>
      <c r="G47" s="2">
        <v>3.337084613E9</v>
      </c>
      <c r="H47" s="2" t="s">
        <v>14581</v>
      </c>
      <c r="I47" s="2" t="s">
        <v>2273</v>
      </c>
      <c r="J47" s="6"/>
      <c r="K47" s="3">
        <v>3348.0</v>
      </c>
      <c r="L47" s="7" t="str">
        <f>HYPERLINK("https://admin.shopify.com/store/041839-3/orders/6953291055363", "🛍️ Open")</f>
        <v>🛍️ Open</v>
      </c>
      <c r="M47" s="2" t="s">
        <v>406</v>
      </c>
      <c r="N47" s="2"/>
      <c r="O47" s="6"/>
    </row>
    <row r="48" ht="45.0" customHeight="1">
      <c r="A48" s="3">
        <v>6.953312616707E12</v>
      </c>
      <c r="B48" s="172">
        <v>46096.0</v>
      </c>
      <c r="C48" s="3">
        <v>12.0</v>
      </c>
      <c r="D48" s="2" t="s">
        <v>14598</v>
      </c>
      <c r="E48" s="2" t="str">
        <f>IMAGE("https://cdn.shopify.com/s/files/1/0678/5515/5459/files/White-T-Shirt_Ourdoor.jpg?v=1767461074", 1)</f>
        <v/>
      </c>
      <c r="F48" s="7" t="str">
        <f>HYPERLINK("https://wa.me/3356532091", "💬 Chat")</f>
        <v>💬 Chat</v>
      </c>
      <c r="G48" s="2">
        <v>3.356532091E9</v>
      </c>
      <c r="H48" s="2" t="s">
        <v>14599</v>
      </c>
      <c r="I48" s="2" t="s">
        <v>14600</v>
      </c>
      <c r="J48" s="6"/>
      <c r="K48" s="3">
        <v>3348.0</v>
      </c>
      <c r="L48" s="7" t="str">
        <f>HYPERLINK("https://admin.shopify.com/store/041839-3/orders/6953312616707", "🛍️ Open")</f>
        <v>🛍️ Open</v>
      </c>
      <c r="M48" s="2" t="s">
        <v>406</v>
      </c>
      <c r="N48" s="2"/>
      <c r="O48" s="6"/>
    </row>
    <row r="49" ht="45.0" customHeight="1">
      <c r="A49" s="3">
        <v>6.953324577027E12</v>
      </c>
      <c r="B49" s="172">
        <v>46096.0</v>
      </c>
      <c r="C49" s="3">
        <v>12.0</v>
      </c>
      <c r="D49" s="2" t="s">
        <v>14602</v>
      </c>
      <c r="E49" s="2" t="str">
        <f t="shared" ref="E49:E51" si="7">IMAGE("https://cdn.shopify.com/s/files/1/0678/5515/5459/files/175958355750511.jpg?v=1759583838", 1)</f>
        <v/>
      </c>
      <c r="F49" s="7" t="str">
        <f>HYPERLINK("https://wa.me/3219388339", "💬 Chat")</f>
        <v>💬 Chat</v>
      </c>
      <c r="G49" s="2">
        <v>3.219388339E9</v>
      </c>
      <c r="H49" s="2" t="s">
        <v>14603</v>
      </c>
      <c r="I49" s="2" t="s">
        <v>368</v>
      </c>
      <c r="J49" s="6"/>
      <c r="K49" s="3">
        <v>3348.0</v>
      </c>
      <c r="L49" s="7" t="str">
        <f>HYPERLINK("https://admin.shopify.com/store/041839-3/orders/6953324577027", "🛍️ Open")</f>
        <v>🛍️ Open</v>
      </c>
      <c r="M49" s="2" t="s">
        <v>406</v>
      </c>
      <c r="N49" s="2" t="s">
        <v>18999</v>
      </c>
      <c r="O49" s="6"/>
    </row>
    <row r="50" ht="45.0" customHeight="1">
      <c r="A50" s="3">
        <v>6.953342533891E12</v>
      </c>
      <c r="B50" s="172">
        <v>46096.0</v>
      </c>
      <c r="C50" s="3">
        <v>12.0</v>
      </c>
      <c r="D50" s="2" t="s">
        <v>14606</v>
      </c>
      <c r="E50" s="2" t="str">
        <f t="shared" si="7"/>
        <v/>
      </c>
      <c r="F50" s="7" t="str">
        <f t="shared" ref="F50:F51" si="8">HYPERLINK("https://wa.me/3329609594", "💬 Chat")</f>
        <v>💬 Chat</v>
      </c>
      <c r="G50" s="3">
        <v>3.329609594E9</v>
      </c>
      <c r="H50" s="2" t="s">
        <v>14607</v>
      </c>
      <c r="I50" s="2" t="s">
        <v>14608</v>
      </c>
      <c r="J50" s="6"/>
      <c r="K50" s="3">
        <v>3348.0</v>
      </c>
      <c r="L50" s="7" t="str">
        <f>HYPERLINK("https://admin.shopify.com/store/041839-3/orders/6953342533891", "🛍️ Open")</f>
        <v>🛍️ Open</v>
      </c>
      <c r="M50" s="2" t="s">
        <v>406</v>
      </c>
      <c r="N50" s="2"/>
      <c r="O50" s="6"/>
    </row>
    <row r="51" ht="45.0" customHeight="1">
      <c r="A51" s="3">
        <v>6.953343910147E12</v>
      </c>
      <c r="B51" s="172">
        <v>46096.0</v>
      </c>
      <c r="C51" s="3">
        <v>12.0</v>
      </c>
      <c r="D51" s="2" t="s">
        <v>14606</v>
      </c>
      <c r="E51" s="2" t="str">
        <f t="shared" si="7"/>
        <v/>
      </c>
      <c r="F51" s="7" t="str">
        <f t="shared" si="8"/>
        <v>💬 Chat</v>
      </c>
      <c r="G51" s="3">
        <v>3.329609594E9</v>
      </c>
      <c r="H51" s="2" t="s">
        <v>14607</v>
      </c>
      <c r="I51" s="2" t="s">
        <v>14608</v>
      </c>
      <c r="J51" s="6"/>
      <c r="K51" s="3">
        <v>3348.0</v>
      </c>
      <c r="L51" s="7" t="str">
        <f>HYPERLINK("https://admin.shopify.com/store/041839-3/orders/6953343910147", "🛍️ Open")</f>
        <v>🛍️ Open</v>
      </c>
      <c r="M51" s="2" t="s">
        <v>406</v>
      </c>
      <c r="N51" s="2"/>
      <c r="O51" s="6"/>
    </row>
    <row r="52" ht="45.0" customHeight="1">
      <c r="A52" s="3">
        <v>6.953369075971E12</v>
      </c>
      <c r="B52" s="172">
        <v>46096.0</v>
      </c>
      <c r="C52" s="3">
        <v>12.0</v>
      </c>
      <c r="D52" s="2" t="s">
        <v>14615</v>
      </c>
      <c r="E52" s="2" t="str">
        <f>IMAGE("https://cdn.shopify.com/s/files/1/0678/5515/5459/files/Picsart-25-10-14_21-47-59-402.jpg?v=1760460523", 1)</f>
        <v/>
      </c>
      <c r="F52" s="7" t="str">
        <f>HYPERLINK("https://wa.me/3102594276", "💬 Chat")</f>
        <v>💬 Chat</v>
      </c>
      <c r="G52" s="3">
        <v>3.102594276E9</v>
      </c>
      <c r="H52" s="2" t="s">
        <v>14616</v>
      </c>
      <c r="I52" s="2" t="s">
        <v>3964</v>
      </c>
      <c r="J52" s="6"/>
      <c r="K52" s="3">
        <v>16300.0</v>
      </c>
      <c r="L52" s="7" t="str">
        <f>HYPERLINK("https://admin.shopify.com/store/041839-3/orders/6953369075971", "🛍️ Open")</f>
        <v>🛍️ Open</v>
      </c>
      <c r="M52" s="2" t="s">
        <v>406</v>
      </c>
      <c r="N52" s="2"/>
      <c r="O52" s="6"/>
    </row>
    <row r="53" ht="45.0" customHeight="1">
      <c r="A53" s="3">
        <v>6.953465512195E12</v>
      </c>
      <c r="B53" s="172">
        <v>46096.0</v>
      </c>
      <c r="C53" s="3">
        <v>12.0</v>
      </c>
      <c r="D53" s="2" t="s">
        <v>14622</v>
      </c>
      <c r="E53" s="6" t="str">
        <f>IMAGE("https://cdn.shopify.com/s/files/1/0678/5515/5459/files/WhatsApp_Image_2024-07-05_at_19.29.56_1a67777b.jpg?v=1732874957", 1)</f>
        <v/>
      </c>
      <c r="F53" s="7" t="str">
        <f>HYPERLINK("https://wa.me/3277752249", "💬 Chat")</f>
        <v>💬 Chat</v>
      </c>
      <c r="G53" s="3">
        <v>3.277752249E9</v>
      </c>
      <c r="H53" s="2" t="s">
        <v>14623</v>
      </c>
      <c r="I53" s="2" t="s">
        <v>14624</v>
      </c>
      <c r="J53" s="6"/>
      <c r="K53" s="3">
        <v>3099.0</v>
      </c>
      <c r="L53" s="7" t="str">
        <f>HYPERLINK("https://admin.shopify.com/store/041839-3/orders/6953465512195", "🛍️ Open")</f>
        <v>🛍️ Open</v>
      </c>
      <c r="M53" s="2" t="s">
        <v>406</v>
      </c>
      <c r="N53" s="2"/>
      <c r="O53" s="6"/>
    </row>
    <row r="54" ht="45.0" customHeight="1">
      <c r="A54" s="3">
        <v>6.954277503235E12</v>
      </c>
      <c r="B54" s="172">
        <v>46097.0</v>
      </c>
      <c r="C54" s="3">
        <v>11.0</v>
      </c>
      <c r="D54" s="2" t="s">
        <v>14725</v>
      </c>
      <c r="E54" s="2" t="str">
        <f>IMAGE("https://cdn.shopify.com/s/files/1/0678/5515/5459/files/rn-image_picker_lib_temp_bb24b541-ac22-497f-8e8b-8440f75163c2.png?v=1773797673", 1)</f>
        <v/>
      </c>
      <c r="F54" s="7" t="str">
        <f>HYPERLINK("https://wa.me/3165777975", "💬 Chat")</f>
        <v>💬 Chat</v>
      </c>
      <c r="G54" s="3">
        <v>3.165777975E9</v>
      </c>
      <c r="H54" s="2" t="s">
        <v>14726</v>
      </c>
      <c r="I54" s="2" t="s">
        <v>1180</v>
      </c>
      <c r="J54" s="6"/>
      <c r="K54" s="3">
        <v>7597.0</v>
      </c>
      <c r="L54" s="7" t="str">
        <f>HYPERLINK("https://admin.shopify.com/store/041839-3/orders/6954277503235", "🛍️ Open")</f>
        <v>🛍️ Open</v>
      </c>
      <c r="M54" s="2" t="s">
        <v>406</v>
      </c>
      <c r="N54" s="2"/>
      <c r="O54" s="6"/>
    </row>
    <row r="55" ht="45.0" customHeight="1">
      <c r="A55" s="3">
        <v>6.954441703683E12</v>
      </c>
      <c r="B55" s="172">
        <v>46097.0</v>
      </c>
      <c r="C55" s="3">
        <v>11.0</v>
      </c>
      <c r="D55" s="2" t="s">
        <v>14737</v>
      </c>
      <c r="E55" s="2" t="str">
        <f>IMAGE("https://cdn.shopify.com/s/files/1/0678/5515/5459/files/Picsart-25-10-07_09-54-57-97511.jpg?v=1759820285", 1)</f>
        <v/>
      </c>
      <c r="F55" s="7" t="str">
        <f>HYPERLINK("https://wa.me/3418368837", "💬 Chat")</f>
        <v>💬 Chat</v>
      </c>
      <c r="G55" s="3">
        <v>3.418368837E9</v>
      </c>
      <c r="H55" s="2" t="s">
        <v>14738</v>
      </c>
      <c r="I55" s="2" t="s">
        <v>787</v>
      </c>
      <c r="J55" s="6"/>
      <c r="K55" s="3">
        <v>3348.0</v>
      </c>
      <c r="L55" s="7" t="str">
        <f>HYPERLINK("https://admin.shopify.com/store/041839-3/orders/6954441703683", "🛍️ Open")</f>
        <v>🛍️ Open</v>
      </c>
      <c r="M55" s="2" t="s">
        <v>406</v>
      </c>
      <c r="N55" s="2"/>
      <c r="O55" s="6"/>
    </row>
    <row r="56" ht="45.0" customHeight="1">
      <c r="A56" s="3">
        <v>6.954544464131E12</v>
      </c>
      <c r="B56" s="172">
        <v>46097.0</v>
      </c>
      <c r="C56" s="3">
        <v>11.0</v>
      </c>
      <c r="D56" s="2" t="s">
        <v>14745</v>
      </c>
      <c r="E56" s="2" t="str">
        <f>IMAGE("https://cdn.shopify.com/s/files/1/0678/5515/5459/files/175973621018311.jpg?v=1759741893", 1)</f>
        <v/>
      </c>
      <c r="F56" s="7" t="str">
        <f t="shared" ref="F56:F57" si="9">HYPERLINK("https://wa.me/3004686750", "💬 Chat")</f>
        <v>💬 Chat</v>
      </c>
      <c r="G56" s="3">
        <v>3.00468675E9</v>
      </c>
      <c r="H56" s="2" t="s">
        <v>14746</v>
      </c>
      <c r="I56" s="2" t="s">
        <v>898</v>
      </c>
      <c r="J56" s="6"/>
      <c r="K56" s="3">
        <v>3548.0</v>
      </c>
      <c r="L56" s="7" t="str">
        <f>HYPERLINK("https://admin.shopify.com/store/041839-3/orders/6954544464131", "🛍️ Open")</f>
        <v>🛍️ Open</v>
      </c>
      <c r="M56" s="2" t="s">
        <v>406</v>
      </c>
      <c r="N56" s="2"/>
      <c r="O56" s="6"/>
    </row>
    <row r="57" ht="45.0" customHeight="1">
      <c r="A57" s="3">
        <v>6.954551476483E12</v>
      </c>
      <c r="B57" s="172">
        <v>46097.0</v>
      </c>
      <c r="C57" s="3">
        <v>11.0</v>
      </c>
      <c r="D57" s="2" t="s">
        <v>14745</v>
      </c>
      <c r="E57" s="2" t="str">
        <f>IMAGE("https://cdn.shopify.com/s/files/1/0678/5515/5459/files/White-T-Shirt_Ourdoor.jpg?v=1767461074", 1)</f>
        <v/>
      </c>
      <c r="F57" s="7" t="str">
        <f t="shared" si="9"/>
        <v>💬 Chat</v>
      </c>
      <c r="G57" s="3">
        <v>3.00468675E9</v>
      </c>
      <c r="H57" s="2" t="s">
        <v>14746</v>
      </c>
      <c r="I57" s="2" t="s">
        <v>898</v>
      </c>
      <c r="J57" s="6"/>
      <c r="K57" s="3">
        <v>3348.0</v>
      </c>
      <c r="L57" s="7" t="str">
        <f>HYPERLINK("https://admin.shopify.com/store/041839-3/orders/6954551476483", "🛍️ Open")</f>
        <v>🛍️ Open</v>
      </c>
      <c r="M57" s="2" t="s">
        <v>406</v>
      </c>
      <c r="N57" s="2"/>
      <c r="O57" s="6"/>
    </row>
    <row r="58" ht="45.0" customHeight="1">
      <c r="A58" s="3">
        <v>6.954651091203E12</v>
      </c>
      <c r="B58" s="172">
        <v>46097.0</v>
      </c>
      <c r="C58" s="3">
        <v>11.0</v>
      </c>
      <c r="D58" s="2" t="s">
        <v>14772</v>
      </c>
      <c r="E58" s="2" t="str">
        <f>IMAGE("https://cdn.shopify.com/s/files/1/0678/5515/5459/files/rn-image_picker_lib_temp_91ff1145-b887-4632-b880-fb58391f16f3.jpg?v=1760780088", 1)</f>
        <v/>
      </c>
      <c r="F58" s="7" t="str">
        <f>HYPERLINK("https://wa.me/3093293611", "💬 Chat")</f>
        <v>💬 Chat</v>
      </c>
      <c r="G58" s="2">
        <v>3.093293611E9</v>
      </c>
      <c r="H58" s="2" t="s">
        <v>14773</v>
      </c>
      <c r="I58" s="2" t="s">
        <v>14774</v>
      </c>
      <c r="J58" s="6"/>
      <c r="K58" s="3">
        <v>3348.0</v>
      </c>
      <c r="L58" s="7" t="str">
        <f>HYPERLINK("https://admin.shopify.com/store/041839-3/orders/6954651091203", "🛍️ Open")</f>
        <v>🛍️ Open</v>
      </c>
      <c r="M58" s="2" t="s">
        <v>406</v>
      </c>
      <c r="N58" s="2"/>
      <c r="O58" s="6"/>
    </row>
    <row r="59" ht="45.0" customHeight="1">
      <c r="A59" s="3">
        <v>6.954691461379E12</v>
      </c>
      <c r="B59" s="172">
        <v>46097.0</v>
      </c>
      <c r="C59" s="3">
        <v>11.0</v>
      </c>
      <c r="D59" s="2" t="s">
        <v>14777</v>
      </c>
      <c r="E59" s="2" t="str">
        <f>IMAGE("https://cdn.shopify.com/s/files/1/0678/5515/5459/files/rn-image_picker_lib_temp_15e0fbb0-26fa-43bd-b469-800aae20372b.jpg?v=1771055785", 1)</f>
        <v/>
      </c>
      <c r="F59" s="7" t="str">
        <f>HYPERLINK("https://wa.me/3157431279", "💬 Chat")</f>
        <v>💬 Chat</v>
      </c>
      <c r="G59" s="3">
        <v>3.157431279E9</v>
      </c>
      <c r="H59" s="2" t="s">
        <v>14778</v>
      </c>
      <c r="I59" s="2" t="s">
        <v>13612</v>
      </c>
      <c r="J59" s="6"/>
      <c r="K59" s="3">
        <v>1899.0</v>
      </c>
      <c r="L59" s="7" t="str">
        <f>HYPERLINK("https://admin.shopify.com/store/041839-3/orders/6954691461379", "🛍️ Open")</f>
        <v>🛍️ Open</v>
      </c>
      <c r="M59" s="2" t="s">
        <v>406</v>
      </c>
      <c r="N59" s="2"/>
      <c r="O59" s="6"/>
    </row>
    <row r="60" ht="45.0" customHeight="1">
      <c r="A60" s="3">
        <v>6.954960290051E12</v>
      </c>
      <c r="B60" s="172">
        <v>46097.0</v>
      </c>
      <c r="C60" s="3">
        <v>11.0</v>
      </c>
      <c r="D60" s="2" t="s">
        <v>14813</v>
      </c>
      <c r="E60" s="2" t="str">
        <f>IMAGE("https://cdn.shopify.com/s/files/1/0678/5515/5459/files/Black-T-Shirt_Jogging_Ourdoor.jpg?v=1767461074", 1)</f>
        <v/>
      </c>
      <c r="F60" s="7" t="str">
        <f>HYPERLINK("https://wa.me/3180289873", "💬 Chat")</f>
        <v>💬 Chat</v>
      </c>
      <c r="G60" s="3">
        <v>3.180289873E9</v>
      </c>
      <c r="H60" s="2" t="s">
        <v>14814</v>
      </c>
      <c r="I60" s="2" t="s">
        <v>493</v>
      </c>
      <c r="J60" s="6"/>
      <c r="K60" s="3">
        <v>2049.0</v>
      </c>
      <c r="L60" s="7" t="str">
        <f>HYPERLINK("https://admin.shopify.com/store/041839-3/orders/6954960290051", "🛍️ Open")</f>
        <v>🛍️ Open</v>
      </c>
      <c r="M60" s="2" t="s">
        <v>406</v>
      </c>
      <c r="N60" s="2"/>
      <c r="O60" s="6"/>
    </row>
    <row r="61" ht="45.0" customHeight="1">
      <c r="A61" s="3">
        <v>6.954976870659E12</v>
      </c>
      <c r="B61" s="172">
        <v>46097.0</v>
      </c>
      <c r="C61" s="3">
        <v>11.0</v>
      </c>
      <c r="D61" s="2" t="s">
        <v>14817</v>
      </c>
      <c r="E61" s="2" t="s">
        <v>19000</v>
      </c>
      <c r="F61" s="7" t="str">
        <f>HYPERLINK("https://wa.me/3454417648", "💬 Chat")</f>
        <v>💬 Chat</v>
      </c>
      <c r="G61" s="3">
        <v>3.454417648E9</v>
      </c>
      <c r="H61" s="2" t="s">
        <v>14818</v>
      </c>
      <c r="I61" s="2" t="s">
        <v>484</v>
      </c>
      <c r="J61" s="6"/>
      <c r="K61" s="3">
        <v>3348.0</v>
      </c>
      <c r="L61" s="7" t="str">
        <f>HYPERLINK("https://admin.shopify.com/store/041839-3/orders/6954976870659", "🛍️ Open")</f>
        <v>🛍️ Open</v>
      </c>
      <c r="M61" s="2" t="s">
        <v>406</v>
      </c>
      <c r="N61" s="2" t="s">
        <v>19001</v>
      </c>
      <c r="O61" s="6"/>
    </row>
    <row r="62" ht="45.0" customHeight="1">
      <c r="A62" s="3">
        <v>6.955068096771E12</v>
      </c>
      <c r="B62" s="172">
        <v>46097.0</v>
      </c>
      <c r="C62" s="3">
        <v>11.0</v>
      </c>
      <c r="D62" s="2" t="s">
        <v>14822</v>
      </c>
      <c r="E62" s="2" t="s">
        <v>19000</v>
      </c>
      <c r="F62" s="7" t="str">
        <f>HYPERLINK("https://wa.me/3449247996", "💬 Chat")</f>
        <v>💬 Chat</v>
      </c>
      <c r="G62" s="2">
        <v>3.449247996E9</v>
      </c>
      <c r="H62" s="2" t="s">
        <v>14823</v>
      </c>
      <c r="I62" s="2" t="s">
        <v>1439</v>
      </c>
      <c r="J62" s="6"/>
      <c r="K62" s="3">
        <v>3348.0</v>
      </c>
      <c r="L62" s="7" t="str">
        <f>HYPERLINK("https://admin.shopify.com/store/041839-3/orders/6955068096771", "🛍️ Open")</f>
        <v>🛍️ Open</v>
      </c>
      <c r="M62" s="2" t="s">
        <v>406</v>
      </c>
      <c r="N62" s="2" t="s">
        <v>19001</v>
      </c>
      <c r="O62" s="6"/>
    </row>
    <row r="63" ht="45.0" customHeight="1">
      <c r="A63" s="3">
        <v>6.955257299203E12</v>
      </c>
      <c r="B63" s="172">
        <v>46097.0</v>
      </c>
      <c r="C63" s="3">
        <v>11.0</v>
      </c>
      <c r="D63" s="2" t="s">
        <v>4162</v>
      </c>
      <c r="E63" s="2" t="str">
        <f>IMAGE("https://cdn.shopify.com/s/files/1/0678/5515/5459/files/175958355750511.jpg?v=1759583838", 1)</f>
        <v/>
      </c>
      <c r="F63" s="7" t="str">
        <f>HYPERLINK("https://wa.me/3217701881", "💬 Chat")</f>
        <v>💬 Chat</v>
      </c>
      <c r="G63" s="3">
        <v>3.217701881E9</v>
      </c>
      <c r="H63" s="2" t="s">
        <v>14836</v>
      </c>
      <c r="I63" s="2" t="s">
        <v>1055</v>
      </c>
      <c r="J63" s="6"/>
      <c r="K63" s="3">
        <v>3348.0</v>
      </c>
      <c r="L63" s="7" t="str">
        <f>HYPERLINK("https://admin.shopify.com/store/041839-3/orders/6955257299203", "🛍️ Open")</f>
        <v>🛍️ Open</v>
      </c>
      <c r="M63" s="2" t="s">
        <v>406</v>
      </c>
      <c r="N63" s="2"/>
      <c r="O63" s="6"/>
    </row>
    <row r="64" ht="45.0" customHeight="1">
      <c r="A64" s="3">
        <v>6.955408851203E12</v>
      </c>
      <c r="B64" s="172">
        <v>46098.0</v>
      </c>
      <c r="C64" s="3">
        <v>10.0</v>
      </c>
      <c r="D64" s="2" t="s">
        <v>14851</v>
      </c>
      <c r="E64" s="2" t="s">
        <v>19000</v>
      </c>
      <c r="F64" s="7" t="str">
        <f>HYPERLINK("https://wa.me/3008983078", "💬 Chat")</f>
        <v>💬 Chat</v>
      </c>
      <c r="G64" s="2">
        <v>3.008983078E9</v>
      </c>
      <c r="H64" s="2" t="s">
        <v>14852</v>
      </c>
      <c r="I64" s="2" t="s">
        <v>366</v>
      </c>
      <c r="J64" s="6"/>
      <c r="K64" s="3">
        <v>3348.0</v>
      </c>
      <c r="L64" s="7" t="str">
        <f>HYPERLINK("https://admin.shopify.com/store/041839-3/orders/6955408851203", "🛍️ Open")</f>
        <v>🛍️ Open</v>
      </c>
      <c r="M64" s="2" t="s">
        <v>406</v>
      </c>
      <c r="N64" s="2" t="s">
        <v>19001</v>
      </c>
      <c r="O64" s="6"/>
    </row>
    <row r="65" ht="45.0" customHeight="1">
      <c r="A65" s="3">
        <v>6.955812946179E12</v>
      </c>
      <c r="B65" s="172">
        <v>46098.0</v>
      </c>
      <c r="C65" s="3">
        <v>10.0</v>
      </c>
      <c r="D65" s="2" t="s">
        <v>4739</v>
      </c>
      <c r="E65" s="2" t="s">
        <v>19000</v>
      </c>
      <c r="F65" s="7" t="str">
        <f>HYPERLINK("https://wa.me/3084790901", "💬 Chat")</f>
        <v>💬 Chat</v>
      </c>
      <c r="G65" s="3">
        <v>3.084790901E9</v>
      </c>
      <c r="H65" s="2" t="s">
        <v>14889</v>
      </c>
      <c r="I65" s="2" t="s">
        <v>493</v>
      </c>
      <c r="J65" s="6"/>
      <c r="K65" s="3">
        <v>9598.0</v>
      </c>
      <c r="L65" s="7" t="str">
        <f>HYPERLINK("https://admin.shopify.com/store/041839-3/orders/6955812946179", "🛍️ Open")</f>
        <v>🛍️ Open</v>
      </c>
      <c r="M65" s="2" t="s">
        <v>406</v>
      </c>
      <c r="N65" s="2" t="s">
        <v>19001</v>
      </c>
      <c r="O65" s="6"/>
    </row>
    <row r="66" ht="45.0" customHeight="1">
      <c r="A66" s="3">
        <v>6.955946148099E12</v>
      </c>
      <c r="B66" s="172">
        <v>46098.0</v>
      </c>
      <c r="C66" s="3">
        <v>10.0</v>
      </c>
      <c r="D66" s="2" t="s">
        <v>14904</v>
      </c>
      <c r="E66" s="2" t="str">
        <f>IMAGE("https://cdn.shopify.com/s/files/1/0678/5515/5459/files/rn-image_picker_lib_temp_91ff1145-b887-4632-b880-fb58391f16f3.jpg?v=1760780088", 1)</f>
        <v/>
      </c>
      <c r="F66" s="7" t="str">
        <f>HYPERLINK("https://wa.me/3318810316", "💬 Chat")</f>
        <v>💬 Chat</v>
      </c>
      <c r="G66" s="2">
        <v>3.318810316E9</v>
      </c>
      <c r="H66" s="2" t="s">
        <v>14905</v>
      </c>
      <c r="I66" s="2" t="s">
        <v>3500</v>
      </c>
      <c r="J66" s="6"/>
      <c r="K66" s="3">
        <v>2199.0</v>
      </c>
      <c r="L66" s="7" t="str">
        <f>HYPERLINK("https://admin.shopify.com/store/041839-3/orders/6955946148099", "🛍️ Open")</f>
        <v>🛍️ Open</v>
      </c>
      <c r="M66" s="2" t="s">
        <v>406</v>
      </c>
      <c r="N66" s="2"/>
      <c r="O66" s="6"/>
    </row>
    <row r="67" ht="45.0" customHeight="1">
      <c r="A67" s="3">
        <v>6.955958698243E12</v>
      </c>
      <c r="B67" s="172">
        <v>46098.0</v>
      </c>
      <c r="C67" s="3">
        <v>10.0</v>
      </c>
      <c r="D67" s="2" t="s">
        <v>14913</v>
      </c>
      <c r="E67" s="2" t="s">
        <v>19000</v>
      </c>
      <c r="F67" s="7" t="str">
        <f>HYPERLINK("https://wa.me/923461792002", "💬 Chat")</f>
        <v>💬 Chat</v>
      </c>
      <c r="G67" s="173" t="s">
        <v>14914</v>
      </c>
      <c r="H67" s="173" t="s">
        <v>14915</v>
      </c>
      <c r="I67" s="173" t="s">
        <v>14916</v>
      </c>
      <c r="J67" s="6"/>
      <c r="K67" s="3">
        <v>1500.0</v>
      </c>
      <c r="L67" s="7" t="str">
        <f>HYPERLINK("https://admin.shopify.com/store/041839-3/orders/6955958698243", "🛍️ Open")</f>
        <v>🛍️ Open</v>
      </c>
      <c r="M67" s="2" t="s">
        <v>406</v>
      </c>
      <c r="N67" s="2" t="s">
        <v>19001</v>
      </c>
      <c r="O67" s="6"/>
    </row>
    <row r="68" ht="45.0" customHeight="1">
      <c r="A68" s="3">
        <v>6.956035670275E12</v>
      </c>
      <c r="B68" s="172">
        <v>46098.0</v>
      </c>
      <c r="C68" s="3">
        <v>10.0</v>
      </c>
      <c r="D68" s="2" t="s">
        <v>14944</v>
      </c>
      <c r="E68" s="2" t="s">
        <v>19000</v>
      </c>
      <c r="F68" s="7" t="str">
        <f>HYPERLINK("https://wa.me/3098437323", "💬 Chat")</f>
        <v>💬 Chat</v>
      </c>
      <c r="G68" s="2">
        <v>3.098437323E9</v>
      </c>
      <c r="H68" s="2" t="s">
        <v>14945</v>
      </c>
      <c r="I68" s="2" t="s">
        <v>14946</v>
      </c>
      <c r="J68" s="6"/>
      <c r="K68" s="3">
        <v>2199.0</v>
      </c>
      <c r="L68" s="7" t="str">
        <f>HYPERLINK("https://admin.shopify.com/store/041839-3/orders/6956035670275", "🛍️ Open")</f>
        <v>🛍️ Open</v>
      </c>
      <c r="M68" s="2" t="s">
        <v>406</v>
      </c>
      <c r="N68" s="2" t="s">
        <v>19001</v>
      </c>
      <c r="O68" s="6"/>
    </row>
    <row r="69" ht="45.0" customHeight="1">
      <c r="A69" s="3">
        <v>6.956055396611E12</v>
      </c>
      <c r="B69" s="172">
        <v>46098.0</v>
      </c>
      <c r="C69" s="3">
        <v>10.0</v>
      </c>
      <c r="D69" s="2" t="s">
        <v>14949</v>
      </c>
      <c r="E69" s="2" t="str">
        <f>IMAGE("https://cdn.shopify.com/s/files/1/0678/5515/5459/files/White-T-Shirt_Ourdoor.jpg?v=1767461074", 1)</f>
        <v/>
      </c>
      <c r="F69" s="7" t="str">
        <f>HYPERLINK("https://wa.me/3080311761", "💬 Chat")</f>
        <v>💬 Chat</v>
      </c>
      <c r="G69" s="3">
        <v>3.080311761E9</v>
      </c>
      <c r="H69" s="2" t="s">
        <v>14950</v>
      </c>
      <c r="I69" s="2" t="s">
        <v>493</v>
      </c>
      <c r="J69" s="6"/>
      <c r="K69" s="3">
        <v>3348.0</v>
      </c>
      <c r="L69" s="7" t="str">
        <f>HYPERLINK("https://admin.shopify.com/store/041839-3/orders/6956055396611", "🛍️ Open")</f>
        <v>🛍️ Open</v>
      </c>
      <c r="M69" s="2" t="s">
        <v>406</v>
      </c>
      <c r="N69" s="2"/>
      <c r="O69" s="6"/>
    </row>
    <row r="70" ht="45.0" customHeight="1">
      <c r="A70" s="3">
        <v>6.956066406659E12</v>
      </c>
      <c r="B70" s="172">
        <v>46098.0</v>
      </c>
      <c r="C70" s="3">
        <v>10.0</v>
      </c>
      <c r="D70" s="2" t="s">
        <v>14953</v>
      </c>
      <c r="E70" s="2" t="s">
        <v>19000</v>
      </c>
      <c r="F70" s="7" t="str">
        <f>HYPERLINK("https://wa.me/3115121013", "💬 Chat")</f>
        <v>💬 Chat</v>
      </c>
      <c r="G70" s="3">
        <v>3.115121013E9</v>
      </c>
      <c r="H70" s="2" t="s">
        <v>14954</v>
      </c>
      <c r="I70" s="2" t="s">
        <v>366</v>
      </c>
      <c r="J70" s="6"/>
      <c r="K70" s="3">
        <v>3348.0</v>
      </c>
      <c r="L70" s="7" t="str">
        <f>HYPERLINK("https://admin.shopify.com/store/041839-3/orders/6956066406659", "🛍️ Open")</f>
        <v>🛍️ Open</v>
      </c>
      <c r="M70" s="2" t="s">
        <v>406</v>
      </c>
      <c r="N70" s="2" t="s">
        <v>19001</v>
      </c>
      <c r="O70" s="6"/>
    </row>
    <row r="71" ht="45.0" customHeight="1">
      <c r="A71" s="3">
        <v>6.956081053955E12</v>
      </c>
      <c r="B71" s="172">
        <v>46098.0</v>
      </c>
      <c r="C71" s="3">
        <v>10.0</v>
      </c>
      <c r="D71" s="2" t="s">
        <v>14956</v>
      </c>
      <c r="E71" s="2" t="s">
        <v>19000</v>
      </c>
      <c r="F71" s="7" t="str">
        <f>HYPERLINK("https://wa.me/3019773711", "💬 Chat")</f>
        <v>💬 Chat</v>
      </c>
      <c r="G71" s="3">
        <v>3.019773711E9</v>
      </c>
      <c r="H71" s="2" t="s">
        <v>14957</v>
      </c>
      <c r="I71" s="2" t="s">
        <v>14958</v>
      </c>
      <c r="J71" s="6"/>
      <c r="K71" s="3">
        <v>3348.0</v>
      </c>
      <c r="L71" s="7" t="str">
        <f>HYPERLINK("https://admin.shopify.com/store/041839-3/orders/6956081053955", "🛍️ Open")</f>
        <v>🛍️ Open</v>
      </c>
      <c r="M71" s="2" t="s">
        <v>406</v>
      </c>
      <c r="N71" s="2" t="s">
        <v>19001</v>
      </c>
      <c r="O71" s="6"/>
    </row>
    <row r="72" ht="45.0" customHeight="1">
      <c r="A72" s="3">
        <v>6.956142166275E12</v>
      </c>
      <c r="B72" s="172">
        <v>46098.0</v>
      </c>
      <c r="C72" s="3">
        <v>10.0</v>
      </c>
      <c r="D72" s="2" t="s">
        <v>14967</v>
      </c>
      <c r="E72" s="2" t="s">
        <v>19000</v>
      </c>
      <c r="F72" s="7" t="str">
        <f>HYPERLINK("https://wa.me/3333621065", "💬 Chat")</f>
        <v>💬 Chat</v>
      </c>
      <c r="G72" s="3">
        <v>3.333621065E9</v>
      </c>
      <c r="H72" s="2" t="s">
        <v>14968</v>
      </c>
      <c r="I72" s="2" t="s">
        <v>493</v>
      </c>
      <c r="J72" s="6"/>
      <c r="K72" s="3">
        <v>3348.0</v>
      </c>
      <c r="L72" s="7" t="str">
        <f>HYPERLINK("https://admin.shopify.com/store/041839-3/orders/6956142166275", "🛍️ Open")</f>
        <v>🛍️ Open</v>
      </c>
      <c r="M72" s="2" t="s">
        <v>406</v>
      </c>
      <c r="N72" s="2"/>
      <c r="O72" s="6"/>
    </row>
    <row r="73" ht="45.0" customHeight="1">
      <c r="A73" s="3">
        <v>6.956146983171E12</v>
      </c>
      <c r="B73" s="172">
        <v>46098.0</v>
      </c>
      <c r="C73" s="3">
        <v>10.0</v>
      </c>
      <c r="D73" s="2" t="s">
        <v>1925</v>
      </c>
      <c r="E73" s="2" t="str">
        <f>IMAGE("https://cdn.shopify.com/s/files/1/0678/5515/5459/files/175958355750511.jpg?v=1759583838", 1)</f>
        <v/>
      </c>
      <c r="F73" s="7" t="str">
        <f>HYPERLINK("https://wa.me/3083171317", "💬 Chat")</f>
        <v>💬 Chat</v>
      </c>
      <c r="G73" s="2">
        <v>3.083171317E9</v>
      </c>
      <c r="H73" s="2" t="s">
        <v>14970</v>
      </c>
      <c r="I73" s="2" t="s">
        <v>493</v>
      </c>
      <c r="J73" s="6"/>
      <c r="K73" s="3">
        <v>3348.0</v>
      </c>
      <c r="L73" s="7" t="str">
        <f>HYPERLINK("https://admin.shopify.com/store/041839-3/orders/6956146983171", "🛍️ Open")</f>
        <v>🛍️ Open</v>
      </c>
      <c r="M73" s="2" t="s">
        <v>406</v>
      </c>
      <c r="N73" s="2"/>
      <c r="O73" s="6"/>
    </row>
    <row r="74" ht="45.0" customHeight="1">
      <c r="A74" s="3">
        <v>6.956295749891E12</v>
      </c>
      <c r="B74" s="172">
        <v>46098.0</v>
      </c>
      <c r="C74" s="3">
        <v>10.0</v>
      </c>
      <c r="D74" s="2" t="s">
        <v>214</v>
      </c>
      <c r="E74" s="2" t="s">
        <v>19000</v>
      </c>
      <c r="F74" s="7" t="str">
        <f>HYPERLINK("https://wa.me/3059848826", "💬 Chat")</f>
        <v>💬 Chat</v>
      </c>
      <c r="G74" s="3">
        <v>3.059848826E9</v>
      </c>
      <c r="H74" s="2" t="s">
        <v>14976</v>
      </c>
      <c r="I74" s="2" t="s">
        <v>14977</v>
      </c>
      <c r="J74" s="6"/>
      <c r="K74" s="3">
        <v>3348.0</v>
      </c>
      <c r="L74" s="7" t="str">
        <f>HYPERLINK("https://admin.shopify.com/store/041839-3/orders/6956295749891", "🛍️ Open")</f>
        <v>🛍️ Open</v>
      </c>
      <c r="M74" s="2" t="s">
        <v>406</v>
      </c>
      <c r="N74" s="2" t="s">
        <v>19001</v>
      </c>
      <c r="O74" s="6"/>
    </row>
    <row r="75" ht="45.0" customHeight="1">
      <c r="A75" s="3">
        <v>6.956314755331E12</v>
      </c>
      <c r="B75" s="172">
        <v>46098.0</v>
      </c>
      <c r="C75" s="3">
        <v>10.0</v>
      </c>
      <c r="D75" s="2" t="s">
        <v>14980</v>
      </c>
      <c r="E75" s="2" t="s">
        <v>19000</v>
      </c>
      <c r="F75" s="7" t="str">
        <f>HYPERLINK("https://wa.me/3005395603", "💬 Chat")</f>
        <v>💬 Chat</v>
      </c>
      <c r="G75" s="3">
        <v>3.005395603E9</v>
      </c>
      <c r="H75" s="2" t="s">
        <v>14981</v>
      </c>
      <c r="I75" s="2" t="s">
        <v>366</v>
      </c>
      <c r="J75" s="6"/>
      <c r="K75" s="3">
        <v>3348.0</v>
      </c>
      <c r="L75" s="7" t="str">
        <f>HYPERLINK("https://admin.shopify.com/store/041839-3/orders/6956314755331", "🛍️ Open")</f>
        <v>🛍️ Open</v>
      </c>
      <c r="M75" s="2" t="s">
        <v>406</v>
      </c>
      <c r="N75" s="2" t="s">
        <v>19001</v>
      </c>
      <c r="O75" s="6"/>
    </row>
    <row r="76" ht="45.0" customHeight="1">
      <c r="A76" s="3">
        <v>6.956319932675E12</v>
      </c>
      <c r="B76" s="172">
        <v>46098.0</v>
      </c>
      <c r="C76" s="3">
        <v>10.0</v>
      </c>
      <c r="D76" s="2" t="s">
        <v>219</v>
      </c>
      <c r="E76" s="2" t="str">
        <f>IMAGE("https://cdn.shopify.com/s/files/1/0678/5515/5459/files/175958355750511.jpg?v=1759583838", 1)</f>
        <v/>
      </c>
      <c r="F76" s="7" t="str">
        <f>HYPERLINK("https://wa.me/3407212821", "💬 Chat")</f>
        <v>💬 Chat</v>
      </c>
      <c r="G76" s="3">
        <v>3.407212821E9</v>
      </c>
      <c r="H76" s="2" t="s">
        <v>14984</v>
      </c>
      <c r="I76" s="2" t="s">
        <v>5331</v>
      </c>
      <c r="J76" s="6"/>
      <c r="K76" s="3">
        <v>2199.0</v>
      </c>
      <c r="L76" s="7" t="str">
        <f>HYPERLINK("https://admin.shopify.com/store/041839-3/orders/6956319932675", "🛍️ Open")</f>
        <v>🛍️ Open</v>
      </c>
      <c r="M76" s="2" t="s">
        <v>406</v>
      </c>
      <c r="N76" s="2"/>
      <c r="O76" s="6"/>
    </row>
    <row r="77" ht="45.0" customHeight="1">
      <c r="A77" s="3">
        <v>6.956402508035E12</v>
      </c>
      <c r="B77" s="172">
        <v>46098.0</v>
      </c>
      <c r="C77" s="3">
        <v>10.0</v>
      </c>
      <c r="D77" s="2" t="s">
        <v>14989</v>
      </c>
      <c r="E77" s="2" t="s">
        <v>19000</v>
      </c>
      <c r="F77" s="7" t="str">
        <f>HYPERLINK("https://wa.me/3452985856", "💬 Chat")</f>
        <v>💬 Chat</v>
      </c>
      <c r="G77" s="3">
        <v>3.452985856E9</v>
      </c>
      <c r="H77" s="2" t="s">
        <v>14990</v>
      </c>
      <c r="I77" s="2" t="s">
        <v>493</v>
      </c>
      <c r="J77" s="6"/>
      <c r="K77" s="3">
        <v>6198.0</v>
      </c>
      <c r="L77" s="7" t="str">
        <f>HYPERLINK("https://admin.shopify.com/store/041839-3/orders/6956402508035", "🛍️ Open")</f>
        <v>🛍️ Open</v>
      </c>
      <c r="M77" s="2" t="s">
        <v>406</v>
      </c>
      <c r="N77" s="2" t="s">
        <v>19001</v>
      </c>
      <c r="O77" s="6"/>
    </row>
    <row r="78" ht="45.0" customHeight="1">
      <c r="A78" s="3">
        <v>6.956416696579E12</v>
      </c>
      <c r="B78" s="172">
        <v>46098.0</v>
      </c>
      <c r="C78" s="3">
        <v>10.0</v>
      </c>
      <c r="D78" s="2" t="s">
        <v>14993</v>
      </c>
      <c r="E78" s="2" t="s">
        <v>19000</v>
      </c>
      <c r="F78" s="7" t="str">
        <f>HYPERLINK("https://wa.me/3258686862", "💬 Chat")</f>
        <v>💬 Chat</v>
      </c>
      <c r="G78" s="3">
        <v>3.258686862E9</v>
      </c>
      <c r="H78" s="2" t="s">
        <v>14994</v>
      </c>
      <c r="I78" s="2" t="s">
        <v>14995</v>
      </c>
      <c r="J78" s="6"/>
      <c r="K78" s="3">
        <v>3348.0</v>
      </c>
      <c r="L78" s="7" t="str">
        <f>HYPERLINK("https://admin.shopify.com/store/041839-3/orders/6956416696579", "🛍️ Open")</f>
        <v>🛍️ Open</v>
      </c>
      <c r="M78" s="2" t="s">
        <v>406</v>
      </c>
      <c r="N78" s="2" t="s">
        <v>19001</v>
      </c>
      <c r="O78" s="6"/>
    </row>
    <row r="79" ht="45.0" customHeight="1">
      <c r="A79" s="3">
        <v>6.956425806083E12</v>
      </c>
      <c r="B79" s="172">
        <v>46098.0</v>
      </c>
      <c r="C79" s="3">
        <v>10.0</v>
      </c>
      <c r="D79" s="2" t="s">
        <v>14998</v>
      </c>
      <c r="E79" s="2" t="str">
        <f>IMAGE("https://cdn.shopify.com/s/files/1/0678/5515/5459/files/White-T-Shirt_Ourdoor.jpg?v=1767461074", 1)</f>
        <v/>
      </c>
      <c r="F79" s="7" t="str">
        <f>HYPERLINK("https://wa.me/3133113368", "💬 Chat")</f>
        <v>💬 Chat</v>
      </c>
      <c r="G79" s="3">
        <v>3.133113368E9</v>
      </c>
      <c r="H79" s="2" t="s">
        <v>14999</v>
      </c>
      <c r="I79" s="2" t="s">
        <v>506</v>
      </c>
      <c r="J79" s="6"/>
      <c r="K79" s="3">
        <v>3348.0</v>
      </c>
      <c r="L79" s="7" t="str">
        <f>HYPERLINK("https://admin.shopify.com/store/041839-3/orders/6956425806083", "🛍️ Open")</f>
        <v>🛍️ Open</v>
      </c>
      <c r="M79" s="2" t="s">
        <v>406</v>
      </c>
      <c r="N79" s="2"/>
      <c r="O79" s="6"/>
    </row>
    <row r="80" ht="45.0" customHeight="1">
      <c r="A80" s="3">
        <v>6.956461949187E12</v>
      </c>
      <c r="B80" s="172">
        <v>46098.0</v>
      </c>
      <c r="C80" s="3">
        <v>10.0</v>
      </c>
      <c r="D80" s="2" t="s">
        <v>553</v>
      </c>
      <c r="E80" s="2" t="s">
        <v>19000</v>
      </c>
      <c r="F80" s="7" t="str">
        <f>HYPERLINK("https://wa.me/3452530158", "💬 Chat")</f>
        <v>💬 Chat</v>
      </c>
      <c r="G80" s="3">
        <v>3.452530158E9</v>
      </c>
      <c r="H80" s="2" t="s">
        <v>15001</v>
      </c>
      <c r="I80" s="2" t="s">
        <v>15002</v>
      </c>
      <c r="J80" s="6"/>
      <c r="K80" s="3">
        <v>6700.0</v>
      </c>
      <c r="L80" s="7" t="str">
        <f>HYPERLINK("https://admin.shopify.com/store/041839-3/orders/6956461949187", "🛍️ Open")</f>
        <v>🛍️ Open</v>
      </c>
      <c r="M80" s="2" t="s">
        <v>406</v>
      </c>
      <c r="N80" s="2" t="s">
        <v>19001</v>
      </c>
      <c r="O80" s="6"/>
    </row>
    <row r="81" ht="45.0" customHeight="1">
      <c r="A81" s="3">
        <v>6.956462768387E12</v>
      </c>
      <c r="B81" s="172">
        <v>46098.0</v>
      </c>
      <c r="C81" s="3">
        <v>10.0</v>
      </c>
      <c r="D81" s="2" t="s">
        <v>553</v>
      </c>
      <c r="E81" s="2" t="s">
        <v>19000</v>
      </c>
      <c r="F81" s="7" t="str">
        <f>HYPERLINK("https://wa.me/923452530158", "💬 Chat")</f>
        <v>💬 Chat</v>
      </c>
      <c r="G81" s="173" t="s">
        <v>15004</v>
      </c>
      <c r="H81" s="2" t="s">
        <v>15001</v>
      </c>
      <c r="I81" s="2" t="s">
        <v>15002</v>
      </c>
      <c r="J81" s="6"/>
      <c r="K81" s="3">
        <v>3348.0</v>
      </c>
      <c r="L81" s="7" t="str">
        <f>HYPERLINK("https://admin.shopify.com/store/041839-3/orders/6956462768387", "🛍️ Open")</f>
        <v>🛍️ Open</v>
      </c>
      <c r="M81" s="2" t="s">
        <v>406</v>
      </c>
      <c r="N81" s="2" t="s">
        <v>19001</v>
      </c>
      <c r="O81" s="6"/>
    </row>
    <row r="82" ht="45.0" customHeight="1">
      <c r="A82" s="3">
        <v>6.956510150915E12</v>
      </c>
      <c r="B82" s="172">
        <v>46098.0</v>
      </c>
      <c r="C82" s="3">
        <v>10.0</v>
      </c>
      <c r="D82" s="2" t="s">
        <v>15006</v>
      </c>
      <c r="E82" s="2" t="s">
        <v>19000</v>
      </c>
      <c r="F82" s="7" t="str">
        <f>HYPERLINK("https://wa.me/923347348179", "💬 Chat")</f>
        <v>💬 Chat</v>
      </c>
      <c r="G82" s="173" t="s">
        <v>15007</v>
      </c>
      <c r="H82" s="2" t="s">
        <v>15008</v>
      </c>
      <c r="I82" s="2" t="s">
        <v>523</v>
      </c>
      <c r="J82" s="6"/>
      <c r="K82" s="3">
        <v>3348.0</v>
      </c>
      <c r="L82" s="7" t="str">
        <f>HYPERLINK("https://admin.shopify.com/store/041839-3/orders/6956510150915", "🛍️ Open")</f>
        <v>🛍️ Open</v>
      </c>
      <c r="M82" s="2" t="s">
        <v>406</v>
      </c>
      <c r="N82" s="6"/>
      <c r="O82" s="6"/>
    </row>
    <row r="83" ht="45.0" customHeight="1">
      <c r="A83" s="3">
        <v>6.956512903427E12</v>
      </c>
      <c r="B83" s="172">
        <v>46098.0</v>
      </c>
      <c r="C83" s="3">
        <v>10.0</v>
      </c>
      <c r="D83" s="2" t="s">
        <v>15012</v>
      </c>
      <c r="E83" s="6" t="str">
        <f>IMAGE("https://cdn.shopify.com/s/files/1/0678/5515/5459/files/175958355750511.jpg?v=1759583838", 1)</f>
        <v/>
      </c>
      <c r="F83" s="7" t="str">
        <f>HYPERLINK("https://wa.me/3000871681", "💬 Chat")</f>
        <v>💬 Chat</v>
      </c>
      <c r="G83" s="3">
        <v>3.000871681E9</v>
      </c>
      <c r="H83" s="175" t="s">
        <v>15013</v>
      </c>
      <c r="I83" s="175" t="s">
        <v>15014</v>
      </c>
      <c r="J83" s="6"/>
      <c r="K83" s="3">
        <v>3348.0</v>
      </c>
      <c r="L83" s="7" t="str">
        <f>HYPERLINK("https://admin.shopify.com/store/041839-3/orders/6956512903427", "🛍️ Open")</f>
        <v>🛍️ Open</v>
      </c>
      <c r="M83" s="2" t="s">
        <v>406</v>
      </c>
      <c r="N83" s="6"/>
      <c r="O83" s="6"/>
    </row>
    <row r="84" ht="45.0" customHeight="1">
      <c r="A84" s="3">
        <v>6.956513820931E12</v>
      </c>
      <c r="B84" s="172">
        <v>46098.0</v>
      </c>
      <c r="C84" s="3">
        <v>10.0</v>
      </c>
      <c r="D84" s="2" t="s">
        <v>15017</v>
      </c>
      <c r="E84" s="2" t="s">
        <v>19000</v>
      </c>
      <c r="F84" s="7" t="str">
        <f>HYPERLINK("https://wa.me/3343663603", "💬 Chat")</f>
        <v>💬 Chat</v>
      </c>
      <c r="G84" s="3">
        <v>3.343663603E9</v>
      </c>
      <c r="H84" s="2" t="s">
        <v>15018</v>
      </c>
      <c r="I84" s="2" t="s">
        <v>493</v>
      </c>
      <c r="J84" s="6"/>
      <c r="K84" s="3">
        <v>3548.0</v>
      </c>
      <c r="L84" s="7" t="str">
        <f>HYPERLINK("https://admin.shopify.com/store/041839-3/orders/6956513820931", "🛍️ Open")</f>
        <v>🛍️ Open</v>
      </c>
      <c r="M84" s="2" t="s">
        <v>406</v>
      </c>
      <c r="N84" s="2" t="s">
        <v>19001</v>
      </c>
      <c r="O84" s="6"/>
    </row>
    <row r="85" ht="45.0" customHeight="1">
      <c r="A85" s="3">
        <v>6.956532400387E12</v>
      </c>
      <c r="B85" s="172">
        <v>46098.0</v>
      </c>
      <c r="C85" s="3">
        <v>10.0</v>
      </c>
      <c r="D85" s="2" t="s">
        <v>2104</v>
      </c>
      <c r="E85" s="2" t="s">
        <v>19000</v>
      </c>
      <c r="F85" s="7" t="str">
        <f>HYPERLINK("https://wa.me/3159573786", "💬 Chat")</f>
        <v>💬 Chat</v>
      </c>
      <c r="G85" s="3">
        <v>3.159573786E9</v>
      </c>
      <c r="H85" s="2" t="s">
        <v>2105</v>
      </c>
      <c r="I85" s="2" t="s">
        <v>2106</v>
      </c>
      <c r="J85" s="6"/>
      <c r="K85" s="3">
        <v>3038.1</v>
      </c>
      <c r="L85" s="7" t="str">
        <f>HYPERLINK("https://admin.shopify.com/store/041839-3/orders/6956532400387", "🛍️ Open")</f>
        <v>🛍️ Open</v>
      </c>
      <c r="M85" s="2" t="s">
        <v>406</v>
      </c>
      <c r="N85" s="2" t="s">
        <v>19001</v>
      </c>
      <c r="O85" s="6"/>
    </row>
    <row r="86" ht="45.0" customHeight="1">
      <c r="A86" s="3">
        <v>6.956533776643E12</v>
      </c>
      <c r="B86" s="172">
        <v>46098.0</v>
      </c>
      <c r="C86" s="3">
        <v>10.0</v>
      </c>
      <c r="D86" s="2" t="s">
        <v>7082</v>
      </c>
      <c r="E86" s="2" t="s">
        <v>19000</v>
      </c>
      <c r="F86" s="7" t="str">
        <f>HYPERLINK("https://wa.me/3129553784", "💬 Chat")</f>
        <v>💬 Chat</v>
      </c>
      <c r="G86" s="3">
        <v>3.129553784E9</v>
      </c>
      <c r="H86" s="2" t="s">
        <v>15022</v>
      </c>
      <c r="I86" s="2" t="s">
        <v>9459</v>
      </c>
      <c r="J86" s="6"/>
      <c r="K86" s="3">
        <v>3348.0</v>
      </c>
      <c r="L86" s="7" t="str">
        <f>HYPERLINK("https://admin.shopify.com/store/041839-3/orders/6956533776643", "🛍️ Open")</f>
        <v>🛍️ Open</v>
      </c>
      <c r="M86" s="2" t="s">
        <v>406</v>
      </c>
      <c r="N86" s="6"/>
      <c r="O86" s="6"/>
    </row>
    <row r="87" ht="45.0" customHeight="1">
      <c r="A87" s="3">
        <v>6.956563333379E12</v>
      </c>
      <c r="B87" s="172">
        <v>46098.0</v>
      </c>
      <c r="C87" s="3">
        <v>10.0</v>
      </c>
      <c r="D87" s="2" t="s">
        <v>15029</v>
      </c>
      <c r="E87" s="2" t="s">
        <v>19000</v>
      </c>
      <c r="F87" s="7" t="str">
        <f>HYPERLINK("https://wa.me/3198361539", "💬 Chat")</f>
        <v>💬 Chat</v>
      </c>
      <c r="G87" s="3">
        <v>3.198361539E9</v>
      </c>
      <c r="H87" s="2" t="s">
        <v>15030</v>
      </c>
      <c r="I87" s="2" t="s">
        <v>541</v>
      </c>
      <c r="J87" s="6"/>
      <c r="K87" s="3">
        <v>1899.0</v>
      </c>
      <c r="L87" s="7" t="str">
        <f>HYPERLINK("https://admin.shopify.com/store/041839-3/orders/6956563333379", "🛍️ Open")</f>
        <v>🛍️ Open</v>
      </c>
      <c r="M87" s="2" t="s">
        <v>406</v>
      </c>
      <c r="N87" s="6"/>
      <c r="O87" s="6"/>
    </row>
    <row r="88" ht="45.0" customHeight="1">
      <c r="A88" s="3">
        <v>6.956583878915E12</v>
      </c>
      <c r="B88" s="172">
        <v>46098.0</v>
      </c>
      <c r="C88" s="3">
        <v>10.0</v>
      </c>
      <c r="D88" s="2" t="s">
        <v>15033</v>
      </c>
      <c r="E88" s="6" t="str">
        <f>IMAGE("https://cdn.shopify.com/s/files/1/0678/5515/5459/files/rn-image_picker_lib_temp_b1f75277-e909-4991-b729-60218170bd9c.jpg?v=1739055124", 1)</f>
        <v/>
      </c>
      <c r="F88" s="7" t="str">
        <f>HYPERLINK("https://wa.me/3029347115", "💬 Chat")</f>
        <v>💬 Chat</v>
      </c>
      <c r="G88" s="3">
        <v>3.029347115E9</v>
      </c>
      <c r="H88" s="2" t="s">
        <v>15034</v>
      </c>
      <c r="I88" s="2" t="s">
        <v>15035</v>
      </c>
      <c r="J88" s="6"/>
      <c r="K88" s="3">
        <v>3299.0</v>
      </c>
      <c r="L88" s="7" t="str">
        <f>HYPERLINK("https://admin.shopify.com/store/041839-3/orders/6956583878915", "🛍️ Open")</f>
        <v>🛍️ Open</v>
      </c>
      <c r="M88" s="2" t="s">
        <v>406</v>
      </c>
      <c r="N88" s="6"/>
      <c r="O88" s="6"/>
    </row>
    <row r="89" ht="45.0" customHeight="1">
      <c r="A89" s="3">
        <v>6.956597149955E12</v>
      </c>
      <c r="B89" s="172">
        <v>46098.0</v>
      </c>
      <c r="C89" s="3">
        <v>10.0</v>
      </c>
      <c r="D89" s="2" t="s">
        <v>15039</v>
      </c>
      <c r="E89" s="2" t="s">
        <v>19000</v>
      </c>
      <c r="F89" s="7" t="str">
        <f>HYPERLINK("https://wa.me/3390375898", "💬 Chat")</f>
        <v>💬 Chat</v>
      </c>
      <c r="G89" s="3">
        <v>3.390375898E9</v>
      </c>
      <c r="H89" s="2" t="s">
        <v>15040</v>
      </c>
      <c r="I89" s="2" t="s">
        <v>506</v>
      </c>
      <c r="J89" s="6"/>
      <c r="K89" s="3">
        <v>3348.0</v>
      </c>
      <c r="L89" s="7" t="str">
        <f>HYPERLINK("https://admin.shopify.com/store/041839-3/orders/6956597149955", "🛍️ Open")</f>
        <v>🛍️ Open</v>
      </c>
      <c r="M89" s="2" t="s">
        <v>406</v>
      </c>
      <c r="N89" s="2" t="s">
        <v>19001</v>
      </c>
      <c r="O89" s="6"/>
    </row>
    <row r="90" ht="45.0" customHeight="1">
      <c r="A90" s="3">
        <v>6.956662554883E12</v>
      </c>
      <c r="B90" s="172">
        <v>46099.0</v>
      </c>
      <c r="C90" s="3">
        <v>9.0</v>
      </c>
      <c r="D90" s="2" t="s">
        <v>15046</v>
      </c>
      <c r="E90" s="2" t="s">
        <v>19000</v>
      </c>
      <c r="F90" s="7" t="str">
        <f>HYPERLINK("https://wa.me/3180513331", "💬 Chat")</f>
        <v>💬 Chat</v>
      </c>
      <c r="G90" s="3">
        <v>3.180513331E9</v>
      </c>
      <c r="H90" s="2" t="s">
        <v>15047</v>
      </c>
      <c r="I90" s="2" t="s">
        <v>15048</v>
      </c>
      <c r="J90" s="6"/>
      <c r="K90" s="3">
        <v>3348.0</v>
      </c>
      <c r="L90" s="7" t="str">
        <f>HYPERLINK("https://admin.shopify.com/store/041839-3/orders/6956662554883", "🛍️ Open")</f>
        <v>🛍️ Open</v>
      </c>
      <c r="M90" s="2" t="s">
        <v>406</v>
      </c>
      <c r="N90" s="2" t="s">
        <v>19001</v>
      </c>
      <c r="O90" s="6"/>
    </row>
    <row r="91" ht="45.0" customHeight="1">
      <c r="A91" s="3">
        <v>6.956669174019E12</v>
      </c>
      <c r="B91" s="172">
        <v>46099.0</v>
      </c>
      <c r="C91" s="3">
        <v>9.0</v>
      </c>
      <c r="D91" s="2" t="s">
        <v>15051</v>
      </c>
      <c r="E91" s="2" t="s">
        <v>19000</v>
      </c>
      <c r="F91" s="7" t="str">
        <f>HYPERLINK("https://wa.me/923000693337", "💬 Chat")</f>
        <v>💬 Chat</v>
      </c>
      <c r="G91" s="173" t="s">
        <v>15052</v>
      </c>
      <c r="H91" s="2" t="s">
        <v>15053</v>
      </c>
      <c r="I91" s="2" t="s">
        <v>366</v>
      </c>
      <c r="J91" s="6"/>
      <c r="K91" s="3">
        <v>3348.0</v>
      </c>
      <c r="L91" s="7" t="str">
        <f>HYPERLINK("https://admin.shopify.com/store/041839-3/orders/6956669174019", "🛍️ Open")</f>
        <v>🛍️ Open</v>
      </c>
      <c r="M91" s="2" t="s">
        <v>406</v>
      </c>
      <c r="N91" s="6"/>
      <c r="O91" s="6"/>
    </row>
    <row r="92" ht="45.0" customHeight="1">
      <c r="A92" s="3">
        <v>6.956671664387E12</v>
      </c>
      <c r="B92" s="172">
        <v>46099.0</v>
      </c>
      <c r="C92" s="3">
        <v>9.0</v>
      </c>
      <c r="D92" s="2" t="s">
        <v>15055</v>
      </c>
      <c r="E92" s="6" t="str">
        <f>IMAGE("https://cdn.shopify.com/s/files/1/0678/5515/5459/files/175958355750511.jpg?v=1759583838", 1)</f>
        <v/>
      </c>
      <c r="F92" s="7" t="str">
        <f>HYPERLINK("https://wa.me/923242239302", "💬 Chat")</f>
        <v>💬 Chat</v>
      </c>
      <c r="G92" s="173" t="s">
        <v>15056</v>
      </c>
      <c r="H92" s="2" t="s">
        <v>15057</v>
      </c>
      <c r="I92" s="2" t="s">
        <v>15058</v>
      </c>
      <c r="J92" s="6"/>
      <c r="K92" s="3">
        <v>2199.0</v>
      </c>
      <c r="L92" s="7" t="str">
        <f>HYPERLINK("https://admin.shopify.com/store/041839-3/orders/6956671664387", "🛍️ Open")</f>
        <v>🛍️ Open</v>
      </c>
      <c r="M92" s="2" t="s">
        <v>406</v>
      </c>
      <c r="N92" s="6"/>
      <c r="O92" s="6"/>
    </row>
    <row r="93" ht="45.0" customHeight="1">
      <c r="A93" s="3">
        <v>6.956697354499E12</v>
      </c>
      <c r="B93" s="172">
        <v>46099.0</v>
      </c>
      <c r="C93" s="3">
        <v>9.0</v>
      </c>
      <c r="D93" s="2" t="s">
        <v>15060</v>
      </c>
      <c r="E93" s="2" t="s">
        <v>19000</v>
      </c>
      <c r="F93" s="7" t="str">
        <f>HYPERLINK("https://wa.me/923179466982", "💬 Chat")</f>
        <v>💬 Chat</v>
      </c>
      <c r="G93" s="173" t="s">
        <v>15061</v>
      </c>
      <c r="H93" s="2" t="s">
        <v>15062</v>
      </c>
      <c r="I93" s="2" t="s">
        <v>15063</v>
      </c>
      <c r="J93" s="6"/>
      <c r="K93" s="3">
        <v>3299.0</v>
      </c>
      <c r="L93" s="7" t="str">
        <f>HYPERLINK("https://admin.shopify.com/store/041839-3/orders/6956697354499", "🛍️ Open")</f>
        <v>🛍️ Open</v>
      </c>
      <c r="M93" s="2" t="s">
        <v>406</v>
      </c>
      <c r="N93" s="2" t="s">
        <v>19001</v>
      </c>
      <c r="O93" s="6"/>
    </row>
    <row r="94" ht="45.0" customHeight="1">
      <c r="A94" s="3">
        <v>6.956712296707E12</v>
      </c>
      <c r="B94" s="172">
        <v>46099.0</v>
      </c>
      <c r="C94" s="3">
        <v>9.0</v>
      </c>
      <c r="D94" s="2" t="s">
        <v>15065</v>
      </c>
      <c r="E94" s="2" t="s">
        <v>19000</v>
      </c>
      <c r="F94" s="7" t="str">
        <f>HYPERLINK("https://wa.me/3008200746", "💬 Chat")</f>
        <v>💬 Chat</v>
      </c>
      <c r="G94" s="3">
        <v>3.008200746E9</v>
      </c>
      <c r="H94" s="2" t="s">
        <v>15066</v>
      </c>
      <c r="I94" s="2" t="s">
        <v>1323</v>
      </c>
      <c r="J94" s="6"/>
      <c r="K94" s="3">
        <v>2994.0</v>
      </c>
      <c r="L94" s="7" t="str">
        <f>HYPERLINK("https://admin.shopify.com/store/041839-3/orders/6956712296707", "🛍️ Open")</f>
        <v>🛍️ Open</v>
      </c>
      <c r="M94" s="2" t="s">
        <v>406</v>
      </c>
      <c r="N94" s="6"/>
      <c r="O94" s="6"/>
    </row>
    <row r="95" ht="45.0" customHeight="1">
      <c r="A95" s="3">
        <v>6.956740935939E12</v>
      </c>
      <c r="B95" s="172">
        <v>46099.0</v>
      </c>
      <c r="C95" s="3">
        <v>9.0</v>
      </c>
      <c r="D95" s="2" t="s">
        <v>15069</v>
      </c>
      <c r="E95" s="2" t="s">
        <v>19000</v>
      </c>
      <c r="F95" s="7" t="str">
        <f>HYPERLINK("https://wa.me/3009495143", "💬 Chat")</f>
        <v>💬 Chat</v>
      </c>
      <c r="G95" s="3">
        <v>3.009495143E9</v>
      </c>
      <c r="H95" s="2" t="s">
        <v>15070</v>
      </c>
      <c r="I95" s="2" t="s">
        <v>855</v>
      </c>
      <c r="J95" s="6"/>
      <c r="K95" s="3">
        <v>10748.0</v>
      </c>
      <c r="L95" s="7" t="str">
        <f>HYPERLINK("https://admin.shopify.com/store/041839-3/orders/6956740935939", "🛍️ Open")</f>
        <v>🛍️ Open</v>
      </c>
      <c r="M95" s="2" t="s">
        <v>406</v>
      </c>
      <c r="N95" s="6"/>
      <c r="O95" s="6"/>
    </row>
    <row r="96" ht="45.0" customHeight="1">
      <c r="A96" s="3">
        <v>6.956750176515E12</v>
      </c>
      <c r="B96" s="172">
        <v>46099.0</v>
      </c>
      <c r="C96" s="3">
        <v>9.0</v>
      </c>
      <c r="D96" s="2" t="s">
        <v>15074</v>
      </c>
      <c r="E96" s="2" t="s">
        <v>19000</v>
      </c>
      <c r="F96" s="7" t="str">
        <f>HYPERLINK("https://wa.me/3173143443", "💬 Chat")</f>
        <v>💬 Chat</v>
      </c>
      <c r="G96" s="3">
        <v>3.173143443E9</v>
      </c>
      <c r="H96" s="2" t="s">
        <v>15075</v>
      </c>
      <c r="I96" s="2" t="s">
        <v>493</v>
      </c>
      <c r="J96" s="6"/>
      <c r="K96" s="3">
        <v>2599.0</v>
      </c>
      <c r="L96" s="7" t="str">
        <f>HYPERLINK("https://admin.shopify.com/store/041839-3/orders/6956750176515", "🛍️ Open")</f>
        <v>🛍️ Open</v>
      </c>
      <c r="M96" s="2" t="s">
        <v>406</v>
      </c>
      <c r="N96" s="6"/>
      <c r="O96" s="6"/>
    </row>
    <row r="97" ht="45.0" customHeight="1">
      <c r="A97" s="3">
        <v>6.956804473091E12</v>
      </c>
      <c r="B97" s="172">
        <v>46099.0</v>
      </c>
      <c r="C97" s="3">
        <v>9.0</v>
      </c>
      <c r="D97" s="2" t="s">
        <v>8319</v>
      </c>
      <c r="E97" s="6" t="str">
        <f>IMAGE("https://cdn.shopify.com/s/files/1/0678/5515/5459/files/175958355750511.jpg?v=1759583838", 1)</f>
        <v/>
      </c>
      <c r="F97" s="7" t="str">
        <f>HYPERLINK("https://wa.me/3119006653", "💬 Chat")</f>
        <v>💬 Chat</v>
      </c>
      <c r="G97" s="3">
        <v>3.119006653E9</v>
      </c>
      <c r="H97" s="2" t="s">
        <v>8320</v>
      </c>
      <c r="I97" s="2" t="s">
        <v>4788</v>
      </c>
      <c r="J97" s="6"/>
      <c r="K97" s="3">
        <v>2199.0</v>
      </c>
      <c r="L97" s="7" t="str">
        <f>HYPERLINK("https://admin.shopify.com/store/041839-3/orders/6956804473091", "🛍️ Open")</f>
        <v>🛍️ Open</v>
      </c>
      <c r="M97" s="2" t="s">
        <v>406</v>
      </c>
      <c r="N97" s="6"/>
      <c r="O97" s="6"/>
    </row>
    <row r="98" ht="45.0" customHeight="1">
      <c r="A98" s="3">
        <v>6.956811190531E12</v>
      </c>
      <c r="B98" s="172">
        <v>46099.0</v>
      </c>
      <c r="C98" s="3">
        <v>9.0</v>
      </c>
      <c r="D98" s="2" t="s">
        <v>15080</v>
      </c>
      <c r="E98" s="2" t="s">
        <v>19000</v>
      </c>
      <c r="F98" s="7" t="str">
        <f>HYPERLINK("https://wa.me/3271039383", "💬 Chat")</f>
        <v>💬 Chat</v>
      </c>
      <c r="G98" s="3">
        <v>3.271039383E9</v>
      </c>
      <c r="H98" s="2" t="s">
        <v>15081</v>
      </c>
      <c r="I98" s="2" t="s">
        <v>15082</v>
      </c>
      <c r="J98" s="6"/>
      <c r="K98" s="3">
        <v>2199.0</v>
      </c>
      <c r="L98" s="7" t="str">
        <f>HYPERLINK("https://admin.shopify.com/store/041839-3/orders/6956811190531", "🛍️ Open")</f>
        <v>🛍️ Open</v>
      </c>
      <c r="M98" s="2" t="s">
        <v>406</v>
      </c>
      <c r="N98" s="2" t="s">
        <v>19001</v>
      </c>
      <c r="O98" s="6"/>
    </row>
    <row r="99" ht="45.0" customHeight="1">
      <c r="A99" s="3">
        <v>6.956852281603E12</v>
      </c>
      <c r="B99" s="172">
        <v>46099.0</v>
      </c>
      <c r="C99" s="3">
        <v>9.0</v>
      </c>
      <c r="D99" s="2" t="s">
        <v>15084</v>
      </c>
      <c r="E99" s="2" t="s">
        <v>19000</v>
      </c>
      <c r="F99" s="7" t="str">
        <f>HYPERLINK("https://wa.me/3335251113", "💬 Chat")</f>
        <v>💬 Chat</v>
      </c>
      <c r="G99" s="3">
        <v>3.335251113E9</v>
      </c>
      <c r="H99" s="2" t="s">
        <v>15085</v>
      </c>
      <c r="I99" s="2" t="s">
        <v>366</v>
      </c>
      <c r="J99" s="6"/>
      <c r="K99" s="3">
        <v>2199.0</v>
      </c>
      <c r="L99" s="7" t="str">
        <f>HYPERLINK("https://admin.shopify.com/store/041839-3/orders/6956852281603", "🛍️ Open")</f>
        <v>🛍️ Open</v>
      </c>
      <c r="M99" s="2" t="s">
        <v>406</v>
      </c>
      <c r="N99" s="2" t="s">
        <v>19001</v>
      </c>
      <c r="O99" s="6"/>
    </row>
    <row r="100" ht="45.0" customHeight="1">
      <c r="A100" s="3">
        <v>6.956902187267E12</v>
      </c>
      <c r="B100" s="172">
        <v>46099.0</v>
      </c>
      <c r="C100" s="3">
        <v>9.0</v>
      </c>
      <c r="D100" s="2" t="s">
        <v>5625</v>
      </c>
      <c r="E100" s="6" t="str">
        <f>IMAGE("https://cdn.shopify.com/s/files/1/0678/5515/5459/files/White-T-Shirt_Ourdoor.jpg?v=1767461074", 1)</f>
        <v/>
      </c>
      <c r="F100" s="7" t="str">
        <f t="shared" ref="F100:F101" si="10">HYPERLINK("https://wa.me/923216262553", "💬 Chat")</f>
        <v>💬 Chat</v>
      </c>
      <c r="G100" s="173" t="s">
        <v>15095</v>
      </c>
      <c r="H100" s="2" t="s">
        <v>15096</v>
      </c>
      <c r="I100" s="2" t="s">
        <v>2725</v>
      </c>
      <c r="J100" s="6"/>
      <c r="K100" s="3">
        <v>3348.0</v>
      </c>
      <c r="L100" s="7" t="str">
        <f>HYPERLINK("https://admin.shopify.com/store/041839-3/orders/6956902187267", "🛍️ Open")</f>
        <v>🛍️ Open</v>
      </c>
      <c r="M100" s="2" t="s">
        <v>406</v>
      </c>
      <c r="N100" s="6"/>
      <c r="O100" s="6"/>
    </row>
    <row r="101" ht="45.0" customHeight="1">
      <c r="A101" s="3">
        <v>6.956903694595E12</v>
      </c>
      <c r="B101" s="172">
        <v>46099.0</v>
      </c>
      <c r="C101" s="3">
        <v>9.0</v>
      </c>
      <c r="D101" s="2" t="s">
        <v>5625</v>
      </c>
      <c r="E101" s="2" t="s">
        <v>19000</v>
      </c>
      <c r="F101" s="7" t="str">
        <f t="shared" si="10"/>
        <v>💬 Chat</v>
      </c>
      <c r="G101" s="173" t="s">
        <v>15095</v>
      </c>
      <c r="H101" s="2" t="s">
        <v>15096</v>
      </c>
      <c r="I101" s="2" t="s">
        <v>2725</v>
      </c>
      <c r="J101" s="6"/>
      <c r="K101" s="3">
        <v>3299.0</v>
      </c>
      <c r="L101" s="7" t="str">
        <f>HYPERLINK("https://admin.shopify.com/store/041839-3/orders/6956903694595", "🛍️ Open")</f>
        <v>🛍️ Open</v>
      </c>
      <c r="M101" s="2" t="s">
        <v>406</v>
      </c>
      <c r="N101" s="2" t="s">
        <v>19001</v>
      </c>
      <c r="O101" s="6"/>
    </row>
    <row r="102" ht="45.0" customHeight="1">
      <c r="A102" s="3">
        <v>6.956904415491E12</v>
      </c>
      <c r="B102" s="172">
        <v>46099.0</v>
      </c>
      <c r="C102" s="3">
        <v>9.0</v>
      </c>
      <c r="D102" s="2" t="s">
        <v>15100</v>
      </c>
      <c r="E102" s="2" t="s">
        <v>19000</v>
      </c>
      <c r="F102" s="7" t="str">
        <f>HYPERLINK("https://wa.me/3263333433", "💬 Chat")</f>
        <v>💬 Chat</v>
      </c>
      <c r="G102" s="3">
        <v>3.263333433E9</v>
      </c>
      <c r="H102" s="2" t="s">
        <v>15101</v>
      </c>
      <c r="I102" s="2" t="s">
        <v>506</v>
      </c>
      <c r="J102" s="6"/>
      <c r="K102" s="3">
        <v>3348.0</v>
      </c>
      <c r="L102" s="7" t="str">
        <f>HYPERLINK("https://admin.shopify.com/store/041839-3/orders/6956904415491", "🛍️ Open")</f>
        <v>🛍️ Open</v>
      </c>
      <c r="M102" s="2" t="s">
        <v>406</v>
      </c>
      <c r="N102" s="2" t="s">
        <v>19001</v>
      </c>
      <c r="O102" s="6"/>
    </row>
    <row r="103" ht="45.0" customHeight="1">
      <c r="A103" s="3">
        <v>6.956927090947E12</v>
      </c>
      <c r="B103" s="172">
        <v>46099.0</v>
      </c>
      <c r="C103" s="3">
        <v>9.0</v>
      </c>
      <c r="D103" s="2" t="s">
        <v>15107</v>
      </c>
      <c r="E103" s="2" t="s">
        <v>19000</v>
      </c>
      <c r="F103" s="7" t="str">
        <f>HYPERLINK("https://wa.me/3112131020", "💬 Chat")</f>
        <v>💬 Chat</v>
      </c>
      <c r="G103" s="3">
        <v>3.11213102E9</v>
      </c>
      <c r="H103" s="2" t="s">
        <v>15108</v>
      </c>
      <c r="I103" s="2" t="s">
        <v>493</v>
      </c>
      <c r="J103" s="6"/>
      <c r="K103" s="3">
        <v>3348.0</v>
      </c>
      <c r="L103" s="7" t="str">
        <f>HYPERLINK("https://admin.shopify.com/store/041839-3/orders/6956927090947", "🛍️ Open")</f>
        <v>🛍️ Open</v>
      </c>
      <c r="M103" s="2" t="s">
        <v>406</v>
      </c>
      <c r="N103" s="6"/>
      <c r="O103" s="6"/>
    </row>
    <row r="104" ht="45.0" customHeight="1">
      <c r="A104" s="3">
        <v>6.956949176579E12</v>
      </c>
      <c r="B104" s="172">
        <v>46099.0</v>
      </c>
      <c r="C104" s="3">
        <v>9.0</v>
      </c>
      <c r="D104" s="2" t="s">
        <v>15111</v>
      </c>
      <c r="E104" s="6" t="str">
        <f>IMAGE("https://cdn.shopify.com/s/files/1/0678/5515/5459/files/IMG-0253-2.jpg?v=1773380370", 1)</f>
        <v/>
      </c>
      <c r="F104" s="7" t="str">
        <f>HYPERLINK("https://wa.me/3270907116", "💬 Chat")</f>
        <v>💬 Chat</v>
      </c>
      <c r="G104" s="3">
        <v>3.270907116E9</v>
      </c>
      <c r="H104" s="2" t="s">
        <v>15112</v>
      </c>
      <c r="I104" s="2" t="s">
        <v>374</v>
      </c>
      <c r="J104" s="6"/>
      <c r="K104" s="3">
        <v>1499.0</v>
      </c>
      <c r="L104" s="7" t="str">
        <f>HYPERLINK("https://admin.shopify.com/store/041839-3/orders/6956949176579", "🛍️ Open")</f>
        <v>🛍️ Open</v>
      </c>
      <c r="M104" s="2" t="s">
        <v>406</v>
      </c>
      <c r="N104" s="6"/>
      <c r="O104" s="6"/>
    </row>
    <row r="105" ht="45.0" customHeight="1">
      <c r="A105" s="3">
        <v>6.956961333507E12</v>
      </c>
      <c r="B105" s="172">
        <v>46099.0</v>
      </c>
      <c r="C105" s="3">
        <v>9.0</v>
      </c>
      <c r="D105" s="2" t="s">
        <v>15116</v>
      </c>
      <c r="E105" s="2" t="s">
        <v>19000</v>
      </c>
      <c r="F105" s="7" t="str">
        <f>HYPERLINK("https://wa.me/3127717851", "💬 Chat")</f>
        <v>💬 Chat</v>
      </c>
      <c r="G105" s="3">
        <v>3.127717851E9</v>
      </c>
      <c r="H105" s="2" t="s">
        <v>15117</v>
      </c>
      <c r="I105" s="2" t="s">
        <v>3148</v>
      </c>
      <c r="J105" s="6"/>
      <c r="K105" s="3">
        <v>2099.0</v>
      </c>
      <c r="L105" s="7" t="str">
        <f>HYPERLINK("https://admin.shopify.com/store/041839-3/orders/6956961333507", "🛍️ Open")</f>
        <v>🛍️ Open</v>
      </c>
      <c r="M105" s="2" t="s">
        <v>406</v>
      </c>
      <c r="N105" s="2" t="s">
        <v>19001</v>
      </c>
      <c r="O105" s="6"/>
    </row>
    <row r="106" ht="45.0" customHeight="1">
      <c r="A106" s="3">
        <v>6.956962873603E12</v>
      </c>
      <c r="B106" s="172">
        <v>46099.0</v>
      </c>
      <c r="C106" s="3">
        <v>9.0</v>
      </c>
      <c r="D106" s="2" t="s">
        <v>15120</v>
      </c>
      <c r="E106" s="2" t="s">
        <v>19000</v>
      </c>
      <c r="F106" s="7" t="str">
        <f>HYPERLINK("https://wa.me/923007824134", "💬 Chat")</f>
        <v>💬 Chat</v>
      </c>
      <c r="G106" s="173" t="s">
        <v>15121</v>
      </c>
      <c r="H106" s="2" t="s">
        <v>15122</v>
      </c>
      <c r="I106" s="2" t="s">
        <v>1630</v>
      </c>
      <c r="J106" s="6"/>
      <c r="K106" s="3">
        <v>3348.0</v>
      </c>
      <c r="L106" s="7" t="str">
        <f>HYPERLINK("https://admin.shopify.com/store/041839-3/orders/6956962873603", "🛍️ Open")</f>
        <v>🛍️ Open</v>
      </c>
      <c r="M106" s="2" t="s">
        <v>406</v>
      </c>
      <c r="N106" s="2" t="s">
        <v>19001</v>
      </c>
      <c r="O106" s="6"/>
    </row>
    <row r="107" ht="45.0" customHeight="1">
      <c r="A107" s="3">
        <v>6.956976996611E12</v>
      </c>
      <c r="B107" s="172">
        <v>46099.0</v>
      </c>
      <c r="C107" s="3">
        <v>9.0</v>
      </c>
      <c r="D107" s="2" t="s">
        <v>15126</v>
      </c>
      <c r="E107" s="6" t="str">
        <f>IMAGE("https://cdn.shopify.com/s/files/1/0678/5515/5459/files/175973621018311.jpg?v=1759741893", 1)</f>
        <v/>
      </c>
      <c r="F107" s="7" t="str">
        <f>HYPERLINK("https://wa.me/3405206977", "💬 Chat")</f>
        <v>💬 Chat</v>
      </c>
      <c r="G107" s="3">
        <v>3.405206977E9</v>
      </c>
      <c r="H107" s="2" t="s">
        <v>15127</v>
      </c>
      <c r="I107" s="2" t="s">
        <v>493</v>
      </c>
      <c r="J107" s="6"/>
      <c r="K107" s="3">
        <v>3548.0</v>
      </c>
      <c r="L107" s="7" t="str">
        <f>HYPERLINK("https://admin.shopify.com/store/041839-3/orders/6956976996611", "🛍️ Open")</f>
        <v>🛍️ Open</v>
      </c>
      <c r="M107" s="2" t="s">
        <v>406</v>
      </c>
      <c r="N107" s="6"/>
      <c r="O107" s="6"/>
    </row>
    <row r="108" ht="45.0" customHeight="1">
      <c r="A108" s="3">
        <v>6.957007995139E12</v>
      </c>
      <c r="B108" s="172">
        <v>46099.0</v>
      </c>
      <c r="C108" s="3">
        <v>9.0</v>
      </c>
      <c r="D108" s="2" t="s">
        <v>11876</v>
      </c>
      <c r="E108" s="2" t="s">
        <v>19000</v>
      </c>
      <c r="F108" s="7" t="str">
        <f>HYPERLINK("https://wa.me/3254777157", "💬 Chat")</f>
        <v>💬 Chat</v>
      </c>
      <c r="G108" s="3">
        <v>3.254777157E9</v>
      </c>
      <c r="H108" s="2" t="s">
        <v>11884</v>
      </c>
      <c r="I108" s="2" t="s">
        <v>368</v>
      </c>
      <c r="J108" s="6"/>
      <c r="K108" s="3">
        <v>3348.0</v>
      </c>
      <c r="L108" s="7" t="str">
        <f>HYPERLINK("https://admin.shopify.com/store/041839-3/orders/6957007995139", "🛍️ Open")</f>
        <v>🛍️ Open</v>
      </c>
      <c r="M108" s="2" t="s">
        <v>406</v>
      </c>
      <c r="N108" s="2" t="s">
        <v>19001</v>
      </c>
      <c r="O108" s="6"/>
    </row>
    <row r="109" ht="45.0" customHeight="1">
      <c r="A109" s="3">
        <v>6.957008650499E12</v>
      </c>
      <c r="B109" s="172">
        <v>46099.0</v>
      </c>
      <c r="C109" s="3">
        <v>9.0</v>
      </c>
      <c r="D109" s="2" t="s">
        <v>15135</v>
      </c>
      <c r="E109" s="2" t="s">
        <v>19000</v>
      </c>
      <c r="F109" s="7" t="str">
        <f>HYPERLINK("https://wa.me/3436151399", "💬 Chat")</f>
        <v>💬 Chat</v>
      </c>
      <c r="G109" s="3">
        <v>3.436151399E9</v>
      </c>
      <c r="H109" s="2" t="s">
        <v>15136</v>
      </c>
      <c r="I109" s="2" t="s">
        <v>15137</v>
      </c>
      <c r="J109" s="6"/>
      <c r="K109" s="3">
        <v>1499.0</v>
      </c>
      <c r="L109" s="7" t="str">
        <f>HYPERLINK("https://admin.shopify.com/store/041839-3/orders/6957008650499", "🛍️ Open")</f>
        <v>🛍️ Open</v>
      </c>
      <c r="M109" s="2" t="s">
        <v>406</v>
      </c>
      <c r="N109" s="2" t="s">
        <v>19001</v>
      </c>
      <c r="O109" s="6"/>
    </row>
    <row r="110" ht="45.0" customHeight="1">
      <c r="A110" s="3">
        <v>6.957067436291E12</v>
      </c>
      <c r="B110" s="172">
        <v>46099.0</v>
      </c>
      <c r="C110" s="3">
        <v>9.0</v>
      </c>
      <c r="D110" s="2" t="s">
        <v>14243</v>
      </c>
      <c r="E110" s="6" t="str">
        <f>IMAGE("https://cdn.shopify.com/s/files/1/0678/5515/5459/files/rn-image_picker_lib_temp_91ff1145-b887-4632-b880-fb58391f16f3.jpg?v=1760780088", 1)</f>
        <v/>
      </c>
      <c r="F110" s="7" t="str">
        <f>HYPERLINK("https://wa.me/3006140774", "💬 Chat")</f>
        <v>💬 Chat</v>
      </c>
      <c r="G110" s="3">
        <v>3.006140774E9</v>
      </c>
      <c r="H110" s="2" t="s">
        <v>15140</v>
      </c>
      <c r="I110" s="2" t="s">
        <v>688</v>
      </c>
      <c r="J110" s="6"/>
      <c r="K110" s="3">
        <v>2199.0</v>
      </c>
      <c r="L110" s="7" t="str">
        <f>HYPERLINK("https://admin.shopify.com/store/041839-3/orders/6957067436291", "🛍️ Open")</f>
        <v>🛍️ Open</v>
      </c>
      <c r="M110" s="2" t="s">
        <v>406</v>
      </c>
      <c r="N110" s="6"/>
      <c r="O110" s="6"/>
    </row>
    <row r="111" ht="45.0" customHeight="1">
      <c r="A111" s="3">
        <v>6.957193003267E12</v>
      </c>
      <c r="B111" s="172">
        <v>46099.0</v>
      </c>
      <c r="C111" s="3">
        <v>9.0</v>
      </c>
      <c r="D111" s="2" t="s">
        <v>221</v>
      </c>
      <c r="E111" s="2" t="s">
        <v>19000</v>
      </c>
      <c r="F111" s="7" t="str">
        <f>HYPERLINK("https://wa.me/3006822792", "💬 Chat")</f>
        <v>💬 Chat</v>
      </c>
      <c r="G111" s="3">
        <v>3.006822792E9</v>
      </c>
      <c r="H111" s="2" t="s">
        <v>15146</v>
      </c>
      <c r="I111" s="2" t="s">
        <v>15147</v>
      </c>
      <c r="J111" s="6"/>
      <c r="K111" s="3">
        <v>3348.0</v>
      </c>
      <c r="L111" s="7" t="str">
        <f>HYPERLINK("https://admin.shopify.com/store/041839-3/orders/6957193003267", "🛍️ Open")</f>
        <v>🛍️ Open</v>
      </c>
      <c r="M111" s="2" t="s">
        <v>406</v>
      </c>
      <c r="N111" s="2" t="s">
        <v>19001</v>
      </c>
      <c r="O111" s="6"/>
    </row>
    <row r="112" ht="45.0" customHeight="1">
      <c r="A112" s="3">
        <v>6.957291208963E12</v>
      </c>
      <c r="B112" s="172">
        <v>46099.0</v>
      </c>
      <c r="C112" s="3">
        <v>9.0</v>
      </c>
      <c r="D112" s="2" t="s">
        <v>15157</v>
      </c>
      <c r="E112" s="2" t="s">
        <v>19000</v>
      </c>
      <c r="F112" s="7" t="str">
        <f>HYPERLINK("https://wa.me/3003000048", "💬 Chat")</f>
        <v>💬 Chat</v>
      </c>
      <c r="G112" s="3">
        <v>3.003000048E9</v>
      </c>
      <c r="H112" s="2" t="s">
        <v>15158</v>
      </c>
      <c r="I112" s="2" t="s">
        <v>493</v>
      </c>
      <c r="J112" s="6"/>
      <c r="K112" s="3">
        <v>3348.0</v>
      </c>
      <c r="L112" s="7" t="str">
        <f>HYPERLINK("https://admin.shopify.com/store/041839-3/orders/6957291208963", "🛍️ Open")</f>
        <v>🛍️ Open</v>
      </c>
      <c r="M112" s="2" t="s">
        <v>406</v>
      </c>
      <c r="N112" s="2" t="s">
        <v>19001</v>
      </c>
      <c r="O112" s="6"/>
    </row>
    <row r="113" ht="45.0" customHeight="1">
      <c r="A113" s="3">
        <v>6.957314343171E12</v>
      </c>
      <c r="B113" s="172">
        <v>46099.0</v>
      </c>
      <c r="C113" s="3">
        <v>9.0</v>
      </c>
      <c r="D113" s="2" t="s">
        <v>15165</v>
      </c>
      <c r="E113" s="6" t="str">
        <f>IMAGE("https://cdn.shopify.com/s/files/1/0678/5515/5459/files/175973621018311.jpg?v=1759741893", 1)</f>
        <v/>
      </c>
      <c r="F113" s="7" t="str">
        <f>HYPERLINK("https://wa.me/923034947245", "💬 Chat")</f>
        <v>💬 Chat</v>
      </c>
      <c r="G113" s="3">
        <v>9.23034947245E11</v>
      </c>
      <c r="H113" s="2" t="s">
        <v>15166</v>
      </c>
      <c r="I113" s="2" t="s">
        <v>917</v>
      </c>
      <c r="J113" s="6"/>
      <c r="K113" s="3">
        <v>3548.0</v>
      </c>
      <c r="L113" s="7" t="str">
        <f>HYPERLINK("https://admin.shopify.com/store/041839-3/orders/6957314343171", "🛍️ Open")</f>
        <v>🛍️ Open</v>
      </c>
      <c r="M113" s="2" t="s">
        <v>406</v>
      </c>
      <c r="N113" s="6"/>
      <c r="O113" s="6"/>
    </row>
    <row r="114" ht="45.0" customHeight="1">
      <c r="A114" s="3">
        <v>6.957338919171E12</v>
      </c>
      <c r="B114" s="172">
        <v>46099.0</v>
      </c>
      <c r="C114" s="3">
        <v>9.0</v>
      </c>
      <c r="D114" s="2" t="s">
        <v>15173</v>
      </c>
      <c r="E114" s="2" t="s">
        <v>19000</v>
      </c>
      <c r="F114" s="7" t="str">
        <f>HYPERLINK("https://wa.me/923479464220", "💬 Chat")</f>
        <v>💬 Chat</v>
      </c>
      <c r="G114" s="173" t="s">
        <v>15174</v>
      </c>
      <c r="H114" s="2" t="s">
        <v>15175</v>
      </c>
      <c r="I114" s="2" t="s">
        <v>15176</v>
      </c>
      <c r="J114" s="6"/>
      <c r="K114" s="3">
        <v>3348.0</v>
      </c>
      <c r="L114" s="7" t="str">
        <f>HYPERLINK("https://admin.shopify.com/store/041839-3/orders/6957338919171", "🛍️ Open")</f>
        <v>🛍️ Open</v>
      </c>
      <c r="M114" s="2" t="s">
        <v>406</v>
      </c>
      <c r="N114" s="2" t="s">
        <v>19001</v>
      </c>
      <c r="O114" s="6"/>
    </row>
    <row r="115" ht="45.0" customHeight="1">
      <c r="A115" s="3">
        <v>6.957362413827E12</v>
      </c>
      <c r="B115" s="172">
        <v>46099.0</v>
      </c>
      <c r="C115" s="3">
        <v>9.0</v>
      </c>
      <c r="D115" s="2" t="s">
        <v>15179</v>
      </c>
      <c r="E115" s="2" t="s">
        <v>19000</v>
      </c>
      <c r="F115" s="7" t="str">
        <f>HYPERLINK("https://wa.me/3315222457", "💬 Chat")</f>
        <v>💬 Chat</v>
      </c>
      <c r="G115" s="3">
        <v>3.315222457E9</v>
      </c>
      <c r="H115" s="2" t="s">
        <v>15180</v>
      </c>
      <c r="I115" s="2" t="s">
        <v>506</v>
      </c>
      <c r="J115" s="6"/>
      <c r="K115" s="3">
        <v>3038.1</v>
      </c>
      <c r="L115" s="7" t="str">
        <f>HYPERLINK("https://admin.shopify.com/store/041839-3/orders/6957362413827", "🛍️ Open")</f>
        <v>🛍️ Open</v>
      </c>
      <c r="M115" s="2" t="s">
        <v>406</v>
      </c>
      <c r="N115" s="6"/>
      <c r="O115" s="6"/>
    </row>
    <row r="116" ht="45.0" customHeight="1">
      <c r="A116" s="3">
        <v>6.957397410051E12</v>
      </c>
      <c r="B116" s="172">
        <v>46099.0</v>
      </c>
      <c r="C116" s="3">
        <v>9.0</v>
      </c>
      <c r="D116" s="2" t="s">
        <v>15165</v>
      </c>
      <c r="E116" s="2" t="s">
        <v>19000</v>
      </c>
      <c r="F116" s="7" t="str">
        <f>HYPERLINK("https://wa.me/3357510530", "💬 Chat")</f>
        <v>💬 Chat</v>
      </c>
      <c r="G116" s="3">
        <v>3.35751053E9</v>
      </c>
      <c r="H116" s="2" t="s">
        <v>15166</v>
      </c>
      <c r="I116" s="2" t="s">
        <v>917</v>
      </c>
      <c r="J116" s="6"/>
      <c r="K116" s="3">
        <v>3348.0</v>
      </c>
      <c r="L116" s="7" t="str">
        <f>HYPERLINK("https://admin.shopify.com/store/041839-3/orders/6957397410051", "🛍️ Open")</f>
        <v>🛍️ Open</v>
      </c>
      <c r="M116" s="2" t="s">
        <v>406</v>
      </c>
      <c r="N116" s="6"/>
      <c r="O116" s="6"/>
    </row>
    <row r="117" ht="45.0" customHeight="1">
      <c r="A117" s="3">
        <v>6.957403144451E12</v>
      </c>
      <c r="B117" s="172">
        <v>46099.0</v>
      </c>
      <c r="C117" s="3">
        <v>9.0</v>
      </c>
      <c r="D117" s="2" t="s">
        <v>15189</v>
      </c>
      <c r="E117" s="2" t="s">
        <v>19000</v>
      </c>
      <c r="F117" s="7" t="str">
        <f>HYPERLINK("https://wa.me/3058236083", "💬 Chat")</f>
        <v>💬 Chat</v>
      </c>
      <c r="G117" s="3">
        <v>3.058236083E9</v>
      </c>
      <c r="H117" s="2" t="s">
        <v>15190</v>
      </c>
      <c r="I117" s="2" t="s">
        <v>4472</v>
      </c>
      <c r="J117" s="6"/>
      <c r="K117" s="3">
        <v>2848.0</v>
      </c>
      <c r="L117" s="7" t="str">
        <f>HYPERLINK("https://admin.shopify.com/store/041839-3/orders/6957403144451", "🛍️ Open")</f>
        <v>🛍️ Open</v>
      </c>
      <c r="M117" s="2" t="s">
        <v>406</v>
      </c>
      <c r="N117" s="6"/>
      <c r="O117" s="6"/>
    </row>
    <row r="118" ht="45.0" customHeight="1">
      <c r="A118" s="3">
        <v>6.957422870787E12</v>
      </c>
      <c r="B118" s="172">
        <v>46099.0</v>
      </c>
      <c r="C118" s="3">
        <v>9.0</v>
      </c>
      <c r="D118" s="2" t="s">
        <v>15193</v>
      </c>
      <c r="E118" s="6" t="str">
        <f>IMAGE("https://cdn.shopify.com/s/files/1/0678/5515/5459/files/White-T-Shirt_Ourdoor.jpg?v=1767461074", 1)</f>
        <v/>
      </c>
      <c r="F118" s="7" t="str">
        <f>HYPERLINK("https://wa.me/3213344022", "💬 Chat")</f>
        <v>💬 Chat</v>
      </c>
      <c r="G118" s="3">
        <v>3.213344022E9</v>
      </c>
      <c r="H118" s="2" t="s">
        <v>15194</v>
      </c>
      <c r="I118" s="2" t="s">
        <v>493</v>
      </c>
      <c r="J118" s="6"/>
      <c r="K118" s="3">
        <v>3348.0</v>
      </c>
      <c r="L118" s="7" t="str">
        <f>HYPERLINK("https://admin.shopify.com/store/041839-3/orders/6957422870787", "🛍️ Open")</f>
        <v>🛍️ Open</v>
      </c>
      <c r="M118" s="2" t="s">
        <v>406</v>
      </c>
      <c r="N118" s="6"/>
      <c r="O118" s="6"/>
    </row>
    <row r="119" ht="45.0" customHeight="1">
      <c r="A119" s="3">
        <v>6.957439123715E12</v>
      </c>
      <c r="B119" s="172">
        <v>46099.0</v>
      </c>
      <c r="C119" s="3">
        <v>9.0</v>
      </c>
      <c r="D119" s="2" t="s">
        <v>5625</v>
      </c>
      <c r="E119" s="2" t="s">
        <v>19000</v>
      </c>
      <c r="F119" s="7" t="str">
        <f>HYPERLINK("https://wa.me/923216262553", "💬 Chat")</f>
        <v>💬 Chat</v>
      </c>
      <c r="G119" s="173" t="s">
        <v>15095</v>
      </c>
      <c r="H119" s="2" t="s">
        <v>15096</v>
      </c>
      <c r="I119" s="2" t="s">
        <v>2725</v>
      </c>
      <c r="J119" s="6"/>
      <c r="K119" s="3">
        <v>3299.0</v>
      </c>
      <c r="L119" s="7" t="str">
        <f>HYPERLINK("https://admin.shopify.com/store/041839-3/orders/6957439123715", "🛍️ Open")</f>
        <v>🛍️ Open</v>
      </c>
      <c r="M119" s="2" t="s">
        <v>406</v>
      </c>
      <c r="N119" s="2" t="s">
        <v>19001</v>
      </c>
      <c r="O119" s="6"/>
    </row>
    <row r="120" ht="45.0" customHeight="1">
      <c r="A120" s="3">
        <v>6.957440958723E12</v>
      </c>
      <c r="B120" s="172">
        <v>46099.0</v>
      </c>
      <c r="C120" s="3">
        <v>9.0</v>
      </c>
      <c r="D120" s="2" t="s">
        <v>15197</v>
      </c>
      <c r="E120" s="2" t="s">
        <v>19000</v>
      </c>
      <c r="F120" s="7" t="str">
        <f>HYPERLINK("https://wa.me/3353753434", "💬 Chat")</f>
        <v>💬 Chat</v>
      </c>
      <c r="G120" s="3">
        <v>3.353753434E9</v>
      </c>
      <c r="H120" s="2" t="s">
        <v>15198</v>
      </c>
      <c r="I120" s="2" t="s">
        <v>781</v>
      </c>
      <c r="J120" s="6"/>
      <c r="K120" s="3">
        <v>3348.0</v>
      </c>
      <c r="L120" s="7" t="str">
        <f>HYPERLINK("https://admin.shopify.com/store/041839-3/orders/6957440958723", "🛍️ Open")</f>
        <v>🛍️ Open</v>
      </c>
      <c r="M120" s="2" t="s">
        <v>406</v>
      </c>
      <c r="N120" s="2" t="s">
        <v>19001</v>
      </c>
      <c r="O120" s="6"/>
    </row>
    <row r="121" ht="45.0" customHeight="1">
      <c r="A121" s="3">
        <v>6.957449871619E12</v>
      </c>
      <c r="B121" s="172">
        <v>46099.0</v>
      </c>
      <c r="C121" s="3">
        <v>9.0</v>
      </c>
      <c r="D121" s="2" t="s">
        <v>6943</v>
      </c>
      <c r="E121" s="6" t="str">
        <f>IMAGE("https://cdn.shopify.com/s/files/1/0678/5515/5459/files/20260213-233158.jpg?v=1771055785", 1)</f>
        <v/>
      </c>
      <c r="F121" s="7" t="str">
        <f>HYPERLINK("https://wa.me/3214445419", "💬 Chat")</f>
        <v>💬 Chat</v>
      </c>
      <c r="G121" s="3">
        <v>3.214445419E9</v>
      </c>
      <c r="H121" s="2" t="s">
        <v>15200</v>
      </c>
      <c r="I121" s="2" t="s">
        <v>368</v>
      </c>
      <c r="J121" s="6"/>
      <c r="K121" s="3">
        <v>5199.0</v>
      </c>
      <c r="L121" s="7" t="str">
        <f>HYPERLINK("https://admin.shopify.com/store/041839-3/orders/6957449871619", "🛍️ Open")</f>
        <v>🛍️ Open</v>
      </c>
      <c r="M121" s="2" t="s">
        <v>406</v>
      </c>
      <c r="N121" s="6"/>
      <c r="O121" s="6"/>
    </row>
    <row r="122" ht="45.0" customHeight="1">
      <c r="A122" s="3">
        <v>6.957465469187E12</v>
      </c>
      <c r="B122" s="172">
        <v>46099.0</v>
      </c>
      <c r="C122" s="3">
        <v>9.0</v>
      </c>
      <c r="D122" s="2" t="s">
        <v>15209</v>
      </c>
      <c r="E122" s="2" t="s">
        <v>19000</v>
      </c>
      <c r="F122" s="7" t="str">
        <f>HYPERLINK("https://wa.me/3316357553", "💬 Chat")</f>
        <v>💬 Chat</v>
      </c>
      <c r="G122" s="3">
        <v>3.316357553E9</v>
      </c>
      <c r="H122" s="2" t="s">
        <v>15210</v>
      </c>
      <c r="I122" s="2" t="s">
        <v>368</v>
      </c>
      <c r="J122" s="6"/>
      <c r="K122" s="3">
        <v>8049.0</v>
      </c>
      <c r="L122" s="7" t="str">
        <f>HYPERLINK("https://admin.shopify.com/store/041839-3/orders/6957465469187", "🛍️ Open")</f>
        <v>🛍️ Open</v>
      </c>
      <c r="M122" s="2" t="s">
        <v>406</v>
      </c>
      <c r="N122" s="2" t="s">
        <v>19001</v>
      </c>
      <c r="O122" s="6"/>
    </row>
    <row r="123" ht="45.0" customHeight="1">
      <c r="A123" s="3">
        <v>6.957472055555E12</v>
      </c>
      <c r="B123" s="172">
        <v>46099.0</v>
      </c>
      <c r="C123" s="3">
        <v>9.0</v>
      </c>
      <c r="D123" s="2" t="s">
        <v>15214</v>
      </c>
      <c r="E123" s="2" t="s">
        <v>19000</v>
      </c>
      <c r="F123" s="7" t="str">
        <f>HYPERLINK("https://wa.me/3016646049", "💬 Chat")</f>
        <v>💬 Chat</v>
      </c>
      <c r="G123" s="3">
        <v>3.016646049E9</v>
      </c>
      <c r="H123" s="2" t="s">
        <v>15215</v>
      </c>
      <c r="I123" s="2" t="s">
        <v>855</v>
      </c>
      <c r="J123" s="6"/>
      <c r="K123" s="3">
        <v>3348.0</v>
      </c>
      <c r="L123" s="7" t="str">
        <f>HYPERLINK("https://admin.shopify.com/store/041839-3/orders/6957472055555", "🛍️ Open")</f>
        <v>🛍️ Open</v>
      </c>
      <c r="M123" s="2" t="s">
        <v>406</v>
      </c>
      <c r="N123" s="6"/>
      <c r="O123" s="6"/>
    </row>
    <row r="124" ht="45.0" customHeight="1">
      <c r="A124" s="3">
        <v>6.957487948035E12</v>
      </c>
      <c r="B124" s="172">
        <v>46099.0</v>
      </c>
      <c r="C124" s="3">
        <v>9.0</v>
      </c>
      <c r="D124" s="2" t="s">
        <v>15217</v>
      </c>
      <c r="E124" s="2" t="s">
        <v>19000</v>
      </c>
      <c r="F124" s="7" t="str">
        <f>HYPERLINK("https://wa.me/3077022000", "💬 Chat")</f>
        <v>💬 Chat</v>
      </c>
      <c r="G124" s="3">
        <v>3.077022E9</v>
      </c>
      <c r="H124" s="2" t="s">
        <v>15218</v>
      </c>
      <c r="I124" s="2" t="s">
        <v>855</v>
      </c>
      <c r="J124" s="6"/>
      <c r="K124" s="3">
        <v>2699.0</v>
      </c>
      <c r="L124" s="7" t="str">
        <f>HYPERLINK("https://admin.shopify.com/store/041839-3/orders/6957487948035", "🛍️ Open")</f>
        <v>🛍️ Open</v>
      </c>
      <c r="M124" s="2" t="s">
        <v>406</v>
      </c>
      <c r="N124" s="6"/>
      <c r="O124" s="6"/>
    </row>
    <row r="125" ht="45.0" customHeight="1">
      <c r="A125" s="3">
        <v>6.957501808899E12</v>
      </c>
      <c r="B125" s="172">
        <v>46099.0</v>
      </c>
      <c r="C125" s="3">
        <v>9.0</v>
      </c>
      <c r="D125" s="2" t="s">
        <v>15221</v>
      </c>
      <c r="E125" s="2" t="s">
        <v>19000</v>
      </c>
      <c r="F125" s="7" t="str">
        <f>HYPERLINK("https://wa.me/923273300027", "💬 Chat")</f>
        <v>💬 Chat</v>
      </c>
      <c r="G125" s="173" t="s">
        <v>15222</v>
      </c>
      <c r="H125" s="2" t="s">
        <v>15223</v>
      </c>
      <c r="I125" s="2" t="s">
        <v>701</v>
      </c>
      <c r="J125" s="6"/>
      <c r="K125" s="3">
        <v>3348.0</v>
      </c>
      <c r="L125" s="7" t="str">
        <f>HYPERLINK("https://admin.shopify.com/store/041839-3/orders/6957501808899", "🛍️ Open")</f>
        <v>🛍️ Open</v>
      </c>
      <c r="M125" s="2" t="s">
        <v>406</v>
      </c>
      <c r="N125" s="6"/>
      <c r="O125" s="6"/>
    </row>
    <row r="126" ht="45.0" customHeight="1">
      <c r="A126" s="3">
        <v>6.957510394115E12</v>
      </c>
      <c r="B126" s="172">
        <v>46099.0</v>
      </c>
      <c r="C126" s="3">
        <v>9.0</v>
      </c>
      <c r="D126" s="2" t="s">
        <v>15229</v>
      </c>
      <c r="E126" s="2" t="s">
        <v>19000</v>
      </c>
      <c r="F126" s="7" t="str">
        <f>HYPERLINK("https://wa.me/3015557589", "💬 Chat")</f>
        <v>💬 Chat</v>
      </c>
      <c r="G126" s="3">
        <v>3.015557589E9</v>
      </c>
      <c r="H126" s="2" t="s">
        <v>15230</v>
      </c>
      <c r="I126" s="2" t="s">
        <v>461</v>
      </c>
      <c r="J126" s="6"/>
      <c r="K126" s="3">
        <v>3348.0</v>
      </c>
      <c r="L126" s="7" t="str">
        <f>HYPERLINK("https://admin.shopify.com/store/041839-3/orders/6957510394115", "🛍️ Open")</f>
        <v>🛍️ Open</v>
      </c>
      <c r="M126" s="2" t="s">
        <v>406</v>
      </c>
      <c r="N126" s="6"/>
      <c r="O126" s="6"/>
    </row>
    <row r="127" ht="45.0" customHeight="1">
      <c r="A127" s="3">
        <v>6.957526221059E12</v>
      </c>
      <c r="B127" s="172">
        <v>46099.0</v>
      </c>
      <c r="C127" s="3">
        <v>9.0</v>
      </c>
      <c r="D127" s="2" t="s">
        <v>14637</v>
      </c>
      <c r="E127" s="6" t="str">
        <f>IMAGE("https://cdn.shopify.com/s/files/1/0678/5515/5459/files/White-T-Shirt_Ourdoor.jpg?v=1767461074", 1)</f>
        <v/>
      </c>
      <c r="F127" s="7" t="str">
        <f>HYPERLINK("https://wa.me/923122077179", "💬 Chat")</f>
        <v>💬 Chat</v>
      </c>
      <c r="G127" s="173" t="s">
        <v>15232</v>
      </c>
      <c r="H127" s="2" t="s">
        <v>14638</v>
      </c>
      <c r="I127" s="2" t="s">
        <v>493</v>
      </c>
      <c r="J127" s="6"/>
      <c r="K127" s="3">
        <v>3348.0</v>
      </c>
      <c r="L127" s="7" t="str">
        <f>HYPERLINK("https://admin.shopify.com/store/041839-3/orders/6957526221059", "🛍️ Open")</f>
        <v>🛍️ Open</v>
      </c>
      <c r="M127" s="2" t="s">
        <v>406</v>
      </c>
      <c r="N127" s="2" t="s">
        <v>18994</v>
      </c>
      <c r="O127" s="6"/>
    </row>
    <row r="128" ht="45.0" customHeight="1">
      <c r="A128" s="3">
        <v>6.957539098883E12</v>
      </c>
      <c r="B128" s="172">
        <v>46099.0</v>
      </c>
      <c r="C128" s="3">
        <v>9.0</v>
      </c>
      <c r="D128" s="2" t="s">
        <v>15235</v>
      </c>
      <c r="E128" s="2" t="s">
        <v>19000</v>
      </c>
      <c r="F128" s="7" t="str">
        <f>HYPERLINK("https://wa.me/923049698635", "💬 Chat")</f>
        <v>💬 Chat</v>
      </c>
      <c r="G128" s="173" t="s">
        <v>15236</v>
      </c>
      <c r="H128" s="2" t="s">
        <v>15237</v>
      </c>
      <c r="I128" s="2" t="s">
        <v>10429</v>
      </c>
      <c r="J128" s="6"/>
      <c r="K128" s="3">
        <v>3348.0</v>
      </c>
      <c r="L128" s="7" t="str">
        <f>HYPERLINK("https://admin.shopify.com/store/041839-3/orders/6957539098883", "🛍️ Open")</f>
        <v>🛍️ Open</v>
      </c>
      <c r="M128" s="2" t="s">
        <v>406</v>
      </c>
      <c r="N128" s="2" t="s">
        <v>19001</v>
      </c>
      <c r="O128" s="6"/>
    </row>
    <row r="129" ht="45.0" customHeight="1">
      <c r="A129" s="3">
        <v>6.957584613635E12</v>
      </c>
      <c r="B129" s="172">
        <v>46099.0</v>
      </c>
      <c r="C129" s="3">
        <v>9.0</v>
      </c>
      <c r="D129" s="2" t="s">
        <v>15240</v>
      </c>
      <c r="E129" s="2" t="s">
        <v>19000</v>
      </c>
      <c r="F129" s="7" t="str">
        <f>HYPERLINK("https://wa.me/3002240185", "💬 Chat")</f>
        <v>💬 Chat</v>
      </c>
      <c r="G129" s="3">
        <v>3.002240185E9</v>
      </c>
      <c r="H129" s="2" t="s">
        <v>15241</v>
      </c>
      <c r="I129" s="2" t="s">
        <v>493</v>
      </c>
      <c r="J129" s="6"/>
      <c r="K129" s="3">
        <v>3348.0</v>
      </c>
      <c r="L129" s="7" t="str">
        <f>HYPERLINK("https://admin.shopify.com/store/041839-3/orders/6957584613635", "🛍️ Open")</f>
        <v>🛍️ Open</v>
      </c>
      <c r="M129" s="2" t="s">
        <v>406</v>
      </c>
      <c r="N129" s="6"/>
      <c r="O129" s="6"/>
    </row>
    <row r="130" ht="45.0" customHeight="1">
      <c r="A130" s="3">
        <v>6.957591855363E12</v>
      </c>
      <c r="B130" s="172">
        <v>46099.0</v>
      </c>
      <c r="C130" s="3">
        <v>9.0</v>
      </c>
      <c r="D130" s="2" t="s">
        <v>15243</v>
      </c>
      <c r="E130" s="6" t="str">
        <f>IMAGE("https://cdn.shopify.com/s/files/1/0678/5515/5459/files/Picsart-25-10-07_09-54-57-97511.jpg?v=1759820285", 1)</f>
        <v/>
      </c>
      <c r="F130" s="7" t="str">
        <f>HYPERLINK("https://wa.me/3169349443", "💬 Chat")</f>
        <v>💬 Chat</v>
      </c>
      <c r="G130" s="3">
        <v>3.169349443E9</v>
      </c>
      <c r="H130" s="2" t="s">
        <v>15244</v>
      </c>
      <c r="I130" s="2" t="s">
        <v>15245</v>
      </c>
      <c r="J130" s="6"/>
      <c r="K130" s="3">
        <v>3348.0</v>
      </c>
      <c r="L130" s="7" t="str">
        <f>HYPERLINK("https://admin.shopify.com/store/041839-3/orders/6957591855363", "🛍️ Open")</f>
        <v>🛍️ Open</v>
      </c>
      <c r="M130" s="2" t="s">
        <v>406</v>
      </c>
      <c r="N130" s="6"/>
      <c r="O130" s="6"/>
    </row>
    <row r="131" ht="45.0" customHeight="1">
      <c r="A131" s="3">
        <v>6.957751730435E12</v>
      </c>
      <c r="B131" s="172">
        <v>46099.0</v>
      </c>
      <c r="C131" s="3">
        <v>9.0</v>
      </c>
      <c r="D131" s="2" t="s">
        <v>15253</v>
      </c>
      <c r="E131" s="2" t="s">
        <v>19000</v>
      </c>
      <c r="F131" s="7" t="str">
        <f>HYPERLINK("https://wa.me/3463257694", "💬 Chat")</f>
        <v>💬 Chat</v>
      </c>
      <c r="G131" s="3">
        <v>3.463257694E9</v>
      </c>
      <c r="H131" s="2" t="s">
        <v>15254</v>
      </c>
      <c r="I131" s="2" t="s">
        <v>493</v>
      </c>
      <c r="J131" s="6"/>
      <c r="K131" s="3">
        <v>3348.0</v>
      </c>
      <c r="L131" s="7" t="str">
        <f>HYPERLINK("https://admin.shopify.com/store/041839-3/orders/6957751730435", "🛍️ Open")</f>
        <v>🛍️ Open</v>
      </c>
      <c r="M131" s="2" t="s">
        <v>406</v>
      </c>
      <c r="N131" s="2" t="s">
        <v>19001</v>
      </c>
      <c r="O131" s="6"/>
    </row>
    <row r="132" ht="45.0" customHeight="1">
      <c r="A132" s="3">
        <v>6.957801439491E12</v>
      </c>
      <c r="B132" s="172">
        <v>46099.0</v>
      </c>
      <c r="C132" s="3">
        <v>9.0</v>
      </c>
      <c r="D132" s="2" t="s">
        <v>2825</v>
      </c>
      <c r="E132" s="2" t="s">
        <v>19000</v>
      </c>
      <c r="F132" s="7" t="str">
        <f t="shared" ref="F132:F133" si="11">HYPERLINK("https://wa.me/3145751331", "💬 Chat")</f>
        <v>💬 Chat</v>
      </c>
      <c r="G132" s="3">
        <v>3.145751331E9</v>
      </c>
      <c r="H132" s="2" t="s">
        <v>15257</v>
      </c>
      <c r="I132" s="2" t="s">
        <v>366</v>
      </c>
      <c r="J132" s="6"/>
      <c r="K132" s="3">
        <v>2099.0</v>
      </c>
      <c r="L132" s="7" t="str">
        <f>HYPERLINK("https://admin.shopify.com/store/041839-3/orders/6957801439491", "🛍️ Open")</f>
        <v>🛍️ Open</v>
      </c>
      <c r="M132" s="2" t="s">
        <v>406</v>
      </c>
      <c r="N132" s="2" t="s">
        <v>19001</v>
      </c>
      <c r="O132" s="6"/>
    </row>
    <row r="133" ht="45.0" customHeight="1">
      <c r="A133" s="3">
        <v>6.957804224771E12</v>
      </c>
      <c r="B133" s="172">
        <v>46099.0</v>
      </c>
      <c r="C133" s="3">
        <v>9.0</v>
      </c>
      <c r="D133" s="2" t="s">
        <v>2825</v>
      </c>
      <c r="E133" s="2" t="s">
        <v>19000</v>
      </c>
      <c r="F133" s="7" t="str">
        <f t="shared" si="11"/>
        <v>💬 Chat</v>
      </c>
      <c r="G133" s="3">
        <v>3.145751331E9</v>
      </c>
      <c r="H133" s="2" t="s">
        <v>15257</v>
      </c>
      <c r="I133" s="2" t="s">
        <v>366</v>
      </c>
      <c r="J133" s="6"/>
      <c r="K133" s="3">
        <v>1449.0</v>
      </c>
      <c r="L133" s="7" t="str">
        <f>HYPERLINK("https://admin.shopify.com/store/041839-3/orders/6957804224771", "🛍️ Open")</f>
        <v>🛍️ Open</v>
      </c>
      <c r="M133" s="2" t="s">
        <v>406</v>
      </c>
      <c r="N133" s="6"/>
      <c r="O133" s="6"/>
    </row>
    <row r="134" ht="45.0" customHeight="1">
      <c r="A134" s="3">
        <v>6.957868679427E12</v>
      </c>
      <c r="B134" s="172">
        <v>46099.0</v>
      </c>
      <c r="C134" s="3">
        <v>9.0</v>
      </c>
      <c r="D134" s="2" t="s">
        <v>15262</v>
      </c>
      <c r="E134" s="2" t="s">
        <v>19000</v>
      </c>
      <c r="F134" s="7" t="str">
        <f>HYPERLINK("https://wa.me/3003392999", "💬 Chat")</f>
        <v>💬 Chat</v>
      </c>
      <c r="G134" s="3">
        <v>3.003392999E9</v>
      </c>
      <c r="H134" s="2" t="s">
        <v>15263</v>
      </c>
      <c r="I134" s="2" t="s">
        <v>493</v>
      </c>
      <c r="J134" s="6"/>
      <c r="K134" s="3">
        <v>3348.0</v>
      </c>
      <c r="L134" s="7" t="str">
        <f>HYPERLINK("https://admin.shopify.com/store/041839-3/orders/6957868679427", "🛍️ Open")</f>
        <v>🛍️ Open</v>
      </c>
      <c r="M134" s="2" t="s">
        <v>406</v>
      </c>
      <c r="N134" s="6"/>
      <c r="O134" s="6"/>
    </row>
    <row r="135" ht="45.0" customHeight="1">
      <c r="A135" s="3">
        <v>6.957914521859E12</v>
      </c>
      <c r="B135" s="172">
        <v>46099.0</v>
      </c>
      <c r="C135" s="3">
        <v>9.0</v>
      </c>
      <c r="D135" s="2" t="s">
        <v>15270</v>
      </c>
      <c r="E135" s="6" t="str">
        <f>IMAGE("https://cdn.shopify.com/s/files/1/0678/5515/5459/files/Picsart-25-09-19_17-06-42-361.jpg?v=1761924087", 1)</f>
        <v/>
      </c>
      <c r="F135" s="7" t="str">
        <f>HYPERLINK("https://wa.me/3055141526", "💬 Chat")</f>
        <v>💬 Chat</v>
      </c>
      <c r="G135" s="3">
        <v>3.055141526E9</v>
      </c>
      <c r="H135" s="2" t="s">
        <v>15271</v>
      </c>
      <c r="I135" s="2" t="s">
        <v>1016</v>
      </c>
      <c r="J135" s="6"/>
      <c r="K135" s="3">
        <v>1329.0</v>
      </c>
      <c r="L135" s="7" t="str">
        <f>HYPERLINK("https://admin.shopify.com/store/041839-3/orders/6957914521859", "🛍️ Open")</f>
        <v>🛍️ Open</v>
      </c>
      <c r="M135" s="2" t="s">
        <v>406</v>
      </c>
      <c r="N135" s="6"/>
      <c r="O135" s="6"/>
    </row>
    <row r="136" ht="45.0" customHeight="1">
      <c r="A136" s="3">
        <v>6.957935132931E12</v>
      </c>
      <c r="B136" s="172">
        <v>46099.0</v>
      </c>
      <c r="C136" s="3">
        <v>9.0</v>
      </c>
      <c r="D136" s="2" t="s">
        <v>15275</v>
      </c>
      <c r="E136" s="2" t="s">
        <v>19000</v>
      </c>
      <c r="F136" s="7" t="str">
        <f>HYPERLINK("https://wa.me/3018468199", "💬 Chat")</f>
        <v>💬 Chat</v>
      </c>
      <c r="G136" s="3">
        <v>3.018468199E9</v>
      </c>
      <c r="H136" s="2" t="s">
        <v>15276</v>
      </c>
      <c r="I136" s="2" t="s">
        <v>368</v>
      </c>
      <c r="J136" s="6"/>
      <c r="K136" s="3">
        <v>3348.0</v>
      </c>
      <c r="L136" s="7" t="str">
        <f>HYPERLINK("https://admin.shopify.com/store/041839-3/orders/6957935132931", "🛍️ Open")</f>
        <v>🛍️ Open</v>
      </c>
      <c r="M136" s="2" t="s">
        <v>406</v>
      </c>
      <c r="N136" s="2" t="s">
        <v>19001</v>
      </c>
      <c r="O136" s="6"/>
    </row>
    <row r="137" ht="45.0" customHeight="1">
      <c r="A137" s="3">
        <v>6.958039040259E12</v>
      </c>
      <c r="B137" s="172">
        <v>46100.0</v>
      </c>
      <c r="C137" s="3">
        <v>8.0</v>
      </c>
      <c r="D137" s="2" t="s">
        <v>15280</v>
      </c>
      <c r="E137" s="2" t="s">
        <v>19000</v>
      </c>
      <c r="F137" s="7" t="str">
        <f>HYPERLINK("https://wa.me/923491864342", "💬 Chat")</f>
        <v>💬 Chat</v>
      </c>
      <c r="G137" s="173" t="s">
        <v>15281</v>
      </c>
      <c r="H137" s="2" t="s">
        <v>15282</v>
      </c>
      <c r="I137" s="2" t="s">
        <v>15283</v>
      </c>
      <c r="J137" s="6"/>
      <c r="K137" s="3">
        <v>3348.0</v>
      </c>
      <c r="L137" s="7" t="str">
        <f>HYPERLINK("https://admin.shopify.com/store/041839-3/orders/6958039040259", "🛍️ Open")</f>
        <v>🛍️ Open</v>
      </c>
      <c r="M137" s="2" t="s">
        <v>406</v>
      </c>
      <c r="N137" s="2" t="s">
        <v>19001</v>
      </c>
      <c r="O137" s="6"/>
    </row>
    <row r="138" ht="45.0" customHeight="1">
      <c r="A138" s="3">
        <v>6.958050410755E12</v>
      </c>
      <c r="B138" s="172">
        <v>46100.0</v>
      </c>
      <c r="C138" s="3">
        <v>8.0</v>
      </c>
      <c r="D138" s="2" t="s">
        <v>779</v>
      </c>
      <c r="E138" s="6" t="str">
        <f>IMAGE("https://cdn.shopify.com/s/files/1/0678/5515/5459/files/175958355750511.jpg?v=1759583838", 1)</f>
        <v/>
      </c>
      <c r="F138" s="7" t="str">
        <f>HYPERLINK("https://wa.me/3209332936", "💬 Chat")</f>
        <v>💬 Chat</v>
      </c>
      <c r="G138" s="3">
        <v>3.209332936E9</v>
      </c>
      <c r="H138" s="2" t="s">
        <v>15286</v>
      </c>
      <c r="I138" s="2" t="s">
        <v>2316</v>
      </c>
      <c r="J138" s="6"/>
      <c r="K138" s="3">
        <v>3348.0</v>
      </c>
      <c r="L138" s="7" t="str">
        <f>HYPERLINK("https://admin.shopify.com/store/041839-3/orders/6958050410755", "🛍️ Open")</f>
        <v>🛍️ Open</v>
      </c>
      <c r="M138" s="2" t="s">
        <v>406</v>
      </c>
      <c r="N138" s="6"/>
      <c r="O138" s="6"/>
    </row>
    <row r="139" ht="45.0" customHeight="1">
      <c r="A139" s="3">
        <v>6.958066106627E12</v>
      </c>
      <c r="B139" s="172">
        <v>46100.0</v>
      </c>
      <c r="C139" s="3">
        <v>8.0</v>
      </c>
      <c r="D139" s="2" t="s">
        <v>15289</v>
      </c>
      <c r="E139" s="2" t="s">
        <v>19000</v>
      </c>
      <c r="F139" s="7" t="str">
        <f>HYPERLINK("https://wa.me/3244493088", "💬 Chat")</f>
        <v>💬 Chat</v>
      </c>
      <c r="G139" s="3">
        <v>3.244493088E9</v>
      </c>
      <c r="H139" s="2" t="s">
        <v>15290</v>
      </c>
      <c r="I139" s="2" t="s">
        <v>368</v>
      </c>
      <c r="J139" s="6"/>
      <c r="K139" s="3">
        <v>3348.0</v>
      </c>
      <c r="L139" s="7" t="str">
        <f>HYPERLINK("https://admin.shopify.com/store/041839-3/orders/6958066106627", "🛍️ Open")</f>
        <v>🛍️ Open</v>
      </c>
      <c r="M139" s="2" t="s">
        <v>406</v>
      </c>
      <c r="N139" s="2" t="s">
        <v>19001</v>
      </c>
      <c r="O139" s="6"/>
    </row>
    <row r="140" ht="45.0" customHeight="1">
      <c r="A140" s="3">
        <v>6.958143602947E12</v>
      </c>
      <c r="B140" s="172">
        <v>46100.0</v>
      </c>
      <c r="C140" s="3">
        <v>8.0</v>
      </c>
      <c r="D140" s="2" t="s">
        <v>15295</v>
      </c>
      <c r="E140" s="2" t="s">
        <v>19000</v>
      </c>
      <c r="F140" s="7" t="str">
        <f>HYPERLINK("https://wa.me/3251454490", "💬 Chat")</f>
        <v>💬 Chat</v>
      </c>
      <c r="G140" s="3">
        <v>3.25145449E9</v>
      </c>
      <c r="H140" s="2" t="s">
        <v>15296</v>
      </c>
      <c r="I140" s="2" t="s">
        <v>366</v>
      </c>
      <c r="J140" s="6"/>
      <c r="K140" s="3">
        <v>1499.0</v>
      </c>
      <c r="L140" s="7" t="str">
        <f>HYPERLINK("https://admin.shopify.com/store/041839-3/orders/6958143602947", "🛍️ Open")</f>
        <v>🛍️ Open</v>
      </c>
      <c r="M140" s="2" t="s">
        <v>406</v>
      </c>
      <c r="N140" s="2" t="s">
        <v>19001</v>
      </c>
      <c r="O140" s="6"/>
    </row>
    <row r="141" ht="45.0" customHeight="1">
      <c r="A141" s="3">
        <v>6.958152515843E12</v>
      </c>
      <c r="B141" s="172">
        <v>46100.0</v>
      </c>
      <c r="C141" s="3">
        <v>8.0</v>
      </c>
      <c r="D141" s="2" t="s">
        <v>1277</v>
      </c>
      <c r="E141" s="6" t="str">
        <f>IMAGE("https://cdn.shopify.com/s/files/1/0678/5515/5459/files/Picsart-25-10-07_09-54-57-97511.jpg?v=1759820285", 1)</f>
        <v/>
      </c>
      <c r="F141" s="7" t="str">
        <f>HYPERLINK("https://wa.me/3134322192", "💬 Chat")</f>
        <v>💬 Chat</v>
      </c>
      <c r="G141" s="3">
        <v>3.134322192E9</v>
      </c>
      <c r="H141" s="2" t="s">
        <v>15299</v>
      </c>
      <c r="I141" s="2" t="s">
        <v>368</v>
      </c>
      <c r="J141" s="6"/>
      <c r="K141" s="3">
        <v>3348.0</v>
      </c>
      <c r="L141" s="7" t="str">
        <f>HYPERLINK("https://admin.shopify.com/store/041839-3/orders/6958152515843", "🛍️ Open")</f>
        <v>🛍️ Open</v>
      </c>
      <c r="M141" s="2" t="s">
        <v>406</v>
      </c>
      <c r="N141" s="6"/>
      <c r="O141" s="6"/>
    </row>
    <row r="142" ht="45.0" customHeight="1">
      <c r="A142" s="3">
        <v>6.958168047875E12</v>
      </c>
      <c r="B142" s="172">
        <v>46100.0</v>
      </c>
      <c r="C142" s="3">
        <v>8.0</v>
      </c>
      <c r="D142" s="2" t="s">
        <v>14312</v>
      </c>
      <c r="E142" s="2" t="s">
        <v>19000</v>
      </c>
      <c r="F142" s="7" t="str">
        <f>HYPERLINK("https://wa.me/923034916523", "💬 Chat")</f>
        <v>💬 Chat</v>
      </c>
      <c r="G142" s="173" t="s">
        <v>15304</v>
      </c>
      <c r="H142" s="2" t="s">
        <v>14313</v>
      </c>
      <c r="I142" s="2" t="s">
        <v>368</v>
      </c>
      <c r="J142" s="6"/>
      <c r="K142" s="3">
        <v>1499.0</v>
      </c>
      <c r="L142" s="7" t="str">
        <f>HYPERLINK("https://admin.shopify.com/store/041839-3/orders/6958168047875", "🛍️ Open")</f>
        <v>🛍️ Open</v>
      </c>
      <c r="M142" s="2" t="s">
        <v>406</v>
      </c>
      <c r="N142" s="2" t="s">
        <v>19001</v>
      </c>
      <c r="O142" s="6"/>
    </row>
    <row r="143" ht="45.0" customHeight="1">
      <c r="A143" s="3">
        <v>6.958171816195E12</v>
      </c>
      <c r="B143" s="172">
        <v>46100.0</v>
      </c>
      <c r="C143" s="3">
        <v>8.0</v>
      </c>
      <c r="D143" s="2" t="s">
        <v>15306</v>
      </c>
      <c r="E143" s="2" t="s">
        <v>19000</v>
      </c>
      <c r="F143" s="7" t="str">
        <f>HYPERLINK("https://wa.me/923337448008", "💬 Chat")</f>
        <v>💬 Chat</v>
      </c>
      <c r="G143" s="3">
        <v>9.23337448008E11</v>
      </c>
      <c r="H143" s="2" t="s">
        <v>15307</v>
      </c>
      <c r="I143" s="2" t="s">
        <v>1044</v>
      </c>
      <c r="J143" s="6"/>
      <c r="K143" s="3">
        <v>2049.0</v>
      </c>
      <c r="L143" s="7" t="str">
        <f>HYPERLINK("https://admin.shopify.com/store/041839-3/orders/6958171816195", "🛍️ Open")</f>
        <v>🛍️ Open</v>
      </c>
      <c r="M143" s="2" t="s">
        <v>406</v>
      </c>
      <c r="N143" s="2" t="s">
        <v>19001</v>
      </c>
      <c r="O143" s="6"/>
    </row>
    <row r="144" ht="45.0" customHeight="1">
      <c r="A144" s="3">
        <v>6.958262092035E12</v>
      </c>
      <c r="B144" s="172">
        <v>46100.0</v>
      </c>
      <c r="C144" s="3">
        <v>8.0</v>
      </c>
      <c r="D144" s="2" t="s">
        <v>283</v>
      </c>
      <c r="E144" s="2" t="s">
        <v>19000</v>
      </c>
      <c r="F144" s="7" t="str">
        <f>HYPERLINK("https://wa.me/3180154290", "💬 Chat")</f>
        <v>💬 Chat</v>
      </c>
      <c r="G144" s="3">
        <v>3.18015429E9</v>
      </c>
      <c r="H144" s="2" t="s">
        <v>15310</v>
      </c>
      <c r="I144" s="2" t="s">
        <v>506</v>
      </c>
      <c r="J144" s="6"/>
      <c r="K144" s="3">
        <v>3348.0</v>
      </c>
      <c r="L144" s="7" t="str">
        <f>HYPERLINK("https://admin.shopify.com/store/041839-3/orders/6958262092035", "🛍️ Open")</f>
        <v>🛍️ Open</v>
      </c>
      <c r="M144" s="2" t="s">
        <v>406</v>
      </c>
      <c r="N144" s="6"/>
      <c r="O144" s="6"/>
    </row>
    <row r="145" ht="45.0" customHeight="1">
      <c r="A145" s="3">
        <v>6.958272708867E12</v>
      </c>
      <c r="B145" s="172">
        <v>46100.0</v>
      </c>
      <c r="C145" s="3">
        <v>8.0</v>
      </c>
      <c r="D145" s="2" t="s">
        <v>15312</v>
      </c>
      <c r="E145" s="2" t="s">
        <v>19000</v>
      </c>
      <c r="F145" s="7" t="str">
        <f>HYPERLINK("https://wa.me/3333358830", "💬 Chat")</f>
        <v>💬 Chat</v>
      </c>
      <c r="G145" s="3">
        <v>3.33335883E9</v>
      </c>
      <c r="H145" s="2" t="s">
        <v>15313</v>
      </c>
      <c r="I145" s="2" t="s">
        <v>541</v>
      </c>
      <c r="J145" s="6"/>
      <c r="K145" s="3">
        <v>3348.0</v>
      </c>
      <c r="L145" s="7" t="str">
        <f>HYPERLINK("https://admin.shopify.com/store/041839-3/orders/6958272708867", "🛍️ Open")</f>
        <v>🛍️ Open</v>
      </c>
      <c r="M145" s="2" t="s">
        <v>406</v>
      </c>
      <c r="N145" s="6"/>
      <c r="O145" s="6"/>
    </row>
    <row r="146" ht="45.0" customHeight="1">
      <c r="A146" s="3">
        <v>6.958351679747E12</v>
      </c>
      <c r="B146" s="172">
        <v>46100.0</v>
      </c>
      <c r="C146" s="3">
        <v>8.0</v>
      </c>
      <c r="D146" s="2" t="s">
        <v>15330</v>
      </c>
      <c r="E146" s="6" t="str">
        <f>IMAGE("https://cdn.shopify.com/s/files/1/0678/5515/5459/files/rn-image_picker_lib_temp_93db6597-7f0e-4038-99e3-38eb424b2582.png?v=1773797673", 1)</f>
        <v/>
      </c>
      <c r="F146" s="7" t="str">
        <f>HYPERLINK("https://wa.me/3224151111", "💬 Chat")</f>
        <v>💬 Chat</v>
      </c>
      <c r="G146" s="3">
        <v>3.224151111E9</v>
      </c>
      <c r="H146" s="2" t="s">
        <v>15331</v>
      </c>
      <c r="I146" s="2" t="s">
        <v>368</v>
      </c>
      <c r="J146" s="6"/>
      <c r="K146" s="3">
        <v>13147.0</v>
      </c>
      <c r="L146" s="7" t="str">
        <f>HYPERLINK("https://admin.shopify.com/store/041839-3/orders/6958351679747", "🛍️ Open")</f>
        <v>🛍️ Open</v>
      </c>
      <c r="M146" s="2" t="s">
        <v>406</v>
      </c>
      <c r="N146" s="2" t="s">
        <v>19002</v>
      </c>
      <c r="O146" s="6"/>
    </row>
    <row r="147" ht="45.0" customHeight="1">
      <c r="A147" s="3">
        <v>6.958355022083E12</v>
      </c>
      <c r="B147" s="172">
        <v>46100.0</v>
      </c>
      <c r="C147" s="3">
        <v>8.0</v>
      </c>
      <c r="D147" s="2" t="s">
        <v>15335</v>
      </c>
      <c r="E147" s="2" t="s">
        <v>19000</v>
      </c>
      <c r="F147" s="7" t="str">
        <f>HYPERLINK("https://wa.me/3444547069", "💬 Chat")</f>
        <v>💬 Chat</v>
      </c>
      <c r="G147" s="3">
        <v>3.444547069E9</v>
      </c>
      <c r="H147" s="2" t="s">
        <v>15336</v>
      </c>
      <c r="I147" s="2" t="s">
        <v>15337</v>
      </c>
      <c r="J147" s="6"/>
      <c r="K147" s="3">
        <v>3348.0</v>
      </c>
      <c r="L147" s="7" t="str">
        <f>HYPERLINK("https://admin.shopify.com/store/041839-3/orders/6958355022083", "🛍️ Open")</f>
        <v>🛍️ Open</v>
      </c>
      <c r="M147" s="2" t="s">
        <v>406</v>
      </c>
      <c r="N147" s="2" t="s">
        <v>19001</v>
      </c>
      <c r="O147" s="6"/>
    </row>
    <row r="148" ht="45.0" customHeight="1">
      <c r="A148" s="3">
        <v>6.958374420739E12</v>
      </c>
      <c r="B148" s="172">
        <v>46100.0</v>
      </c>
      <c r="C148" s="3">
        <v>8.0</v>
      </c>
      <c r="D148" s="2" t="s">
        <v>15341</v>
      </c>
      <c r="E148" s="2" t="s">
        <v>19000</v>
      </c>
      <c r="F148" s="7" t="str">
        <f>HYPERLINK("https://wa.me/3374977844", "💬 Chat")</f>
        <v>💬 Chat</v>
      </c>
      <c r="G148" s="3">
        <v>3.374977844E9</v>
      </c>
      <c r="H148" s="2" t="s">
        <v>15342</v>
      </c>
      <c r="I148" s="2" t="s">
        <v>368</v>
      </c>
      <c r="J148" s="6"/>
      <c r="K148" s="3">
        <v>1449.0</v>
      </c>
      <c r="L148" s="7" t="str">
        <f>HYPERLINK("https://admin.shopify.com/store/041839-3/orders/6958374420739", "🛍️ Open")</f>
        <v>🛍️ Open</v>
      </c>
      <c r="M148" s="2" t="s">
        <v>406</v>
      </c>
      <c r="N148" s="2" t="s">
        <v>19001</v>
      </c>
      <c r="O148" s="6"/>
    </row>
    <row r="149" ht="45.0" customHeight="1">
      <c r="A149" s="3">
        <v>6.958424228099E12</v>
      </c>
      <c r="B149" s="172">
        <v>46100.0</v>
      </c>
      <c r="C149" s="3">
        <v>8.0</v>
      </c>
      <c r="D149" s="2" t="s">
        <v>15344</v>
      </c>
      <c r="E149" s="2" t="s">
        <v>19000</v>
      </c>
      <c r="F149" s="7" t="str">
        <f>HYPERLINK("https://wa.me/923118825354", "💬 Chat")</f>
        <v>💬 Chat</v>
      </c>
      <c r="G149" s="173" t="s">
        <v>15345</v>
      </c>
      <c r="H149" s="2" t="s">
        <v>15346</v>
      </c>
      <c r="I149" s="2" t="s">
        <v>9084</v>
      </c>
      <c r="J149" s="6"/>
      <c r="K149" s="3">
        <v>2099.0</v>
      </c>
      <c r="L149" s="7" t="str">
        <f>HYPERLINK("https://admin.shopify.com/store/041839-3/orders/6958424228099", "🛍️ Open")</f>
        <v>🛍️ Open</v>
      </c>
      <c r="M149" s="2" t="s">
        <v>406</v>
      </c>
      <c r="N149" s="6"/>
      <c r="O149" s="6"/>
    </row>
    <row r="150" ht="45.0" customHeight="1">
      <c r="A150" s="3">
        <v>6.958433894659E12</v>
      </c>
      <c r="B150" s="172">
        <v>46100.0</v>
      </c>
      <c r="C150" s="3">
        <v>8.0</v>
      </c>
      <c r="D150" s="2" t="s">
        <v>15349</v>
      </c>
      <c r="E150" s="2" t="s">
        <v>19000</v>
      </c>
      <c r="F150" s="7" t="str">
        <f>HYPERLINK("https://wa.me/3134892520", "💬 Chat")</f>
        <v>💬 Chat</v>
      </c>
      <c r="G150" s="3">
        <v>3.13489252E9</v>
      </c>
      <c r="H150" s="2" t="s">
        <v>15350</v>
      </c>
      <c r="I150" s="2" t="s">
        <v>368</v>
      </c>
      <c r="J150" s="6"/>
      <c r="K150" s="3">
        <v>1899.0</v>
      </c>
      <c r="L150" s="7" t="str">
        <f>HYPERLINK("https://admin.shopify.com/store/041839-3/orders/6958433894659", "🛍️ Open")</f>
        <v>🛍️ Open</v>
      </c>
      <c r="M150" s="2" t="s">
        <v>406</v>
      </c>
      <c r="N150" s="6"/>
      <c r="O150" s="6"/>
    </row>
    <row r="151" ht="45.0" customHeight="1">
      <c r="A151" s="3">
        <v>6.958450540803E12</v>
      </c>
      <c r="B151" s="172">
        <v>46100.0</v>
      </c>
      <c r="C151" s="3">
        <v>8.0</v>
      </c>
      <c r="D151" s="2" t="s">
        <v>15353</v>
      </c>
      <c r="E151" s="2" t="s">
        <v>19000</v>
      </c>
      <c r="F151" s="7" t="str">
        <f>HYPERLINK("https://wa.me/3129625958", "💬 Chat")</f>
        <v>💬 Chat</v>
      </c>
      <c r="G151" s="3">
        <v>3.129625958E9</v>
      </c>
      <c r="H151" s="2" t="s">
        <v>15354</v>
      </c>
      <c r="I151" s="2" t="s">
        <v>993</v>
      </c>
      <c r="J151" s="6"/>
      <c r="K151" s="3">
        <v>3348.0</v>
      </c>
      <c r="L151" s="7" t="str">
        <f>HYPERLINK("https://admin.shopify.com/store/041839-3/orders/6958450540803", "🛍️ Open")</f>
        <v>🛍️ Open</v>
      </c>
      <c r="M151" s="2" t="s">
        <v>406</v>
      </c>
      <c r="N151" s="6"/>
      <c r="O151" s="6"/>
    </row>
    <row r="152" ht="45.0" customHeight="1">
      <c r="A152" s="3">
        <v>6.958469841155E12</v>
      </c>
      <c r="B152" s="172">
        <v>46100.0</v>
      </c>
      <c r="C152" s="3">
        <v>8.0</v>
      </c>
      <c r="D152" s="2" t="s">
        <v>15360</v>
      </c>
      <c r="E152" s="6" t="str">
        <f>IMAGE("https://cdn.shopify.com/s/files/1/0678/5515/5459/files/175958355750511.jpg?v=1759583838", 1)</f>
        <v/>
      </c>
      <c r="F152" s="7" t="str">
        <f>HYPERLINK("https://wa.me/3455553501", "💬 Chat")</f>
        <v>💬 Chat</v>
      </c>
      <c r="G152" s="3">
        <v>3.455553501E9</v>
      </c>
      <c r="H152" s="2" t="s">
        <v>15361</v>
      </c>
      <c r="I152" s="2" t="s">
        <v>506</v>
      </c>
      <c r="J152" s="6"/>
      <c r="K152" s="3">
        <v>3348.0</v>
      </c>
      <c r="L152" s="7" t="str">
        <f>HYPERLINK("https://admin.shopify.com/store/041839-3/orders/6958469841155", "🛍️ Open")</f>
        <v>🛍️ Open</v>
      </c>
      <c r="M152" s="2" t="s">
        <v>406</v>
      </c>
      <c r="N152" s="6"/>
      <c r="O152" s="6"/>
    </row>
    <row r="153" ht="45.0" customHeight="1">
      <c r="A153" s="3">
        <v>6.958471774467E12</v>
      </c>
      <c r="B153" s="172">
        <v>46100.0</v>
      </c>
      <c r="C153" s="3">
        <v>8.0</v>
      </c>
      <c r="D153" s="2" t="s">
        <v>15360</v>
      </c>
      <c r="E153" s="2" t="s">
        <v>19000</v>
      </c>
      <c r="F153" s="7" t="str">
        <f>HYPERLINK("https://wa.me/923455553501", "💬 Chat")</f>
        <v>💬 Chat</v>
      </c>
      <c r="G153" s="173" t="s">
        <v>15363</v>
      </c>
      <c r="H153" s="2" t="s">
        <v>15361</v>
      </c>
      <c r="I153" s="2" t="s">
        <v>506</v>
      </c>
      <c r="J153" s="6"/>
      <c r="K153" s="3">
        <v>4149.0</v>
      </c>
      <c r="L153" s="7" t="str">
        <f>HYPERLINK("https://admin.shopify.com/store/041839-3/orders/6958471774467", "🛍️ Open")</f>
        <v>🛍️ Open</v>
      </c>
      <c r="M153" s="2" t="s">
        <v>406</v>
      </c>
      <c r="N153" s="2" t="s">
        <v>19001</v>
      </c>
      <c r="O153" s="6"/>
    </row>
    <row r="154" ht="45.0" customHeight="1">
      <c r="A154" s="3">
        <v>6.958487503107E12</v>
      </c>
      <c r="B154" s="172">
        <v>46100.0</v>
      </c>
      <c r="C154" s="3">
        <v>8.0</v>
      </c>
      <c r="D154" s="2" t="s">
        <v>15367</v>
      </c>
      <c r="E154" s="2" t="s">
        <v>19000</v>
      </c>
      <c r="F154" s="7" t="str">
        <f>HYPERLINK("https://wa.me/3345763447", "💬 Chat")</f>
        <v>💬 Chat</v>
      </c>
      <c r="G154" s="3">
        <v>3.345763447E9</v>
      </c>
      <c r="H154" s="2" t="s">
        <v>15368</v>
      </c>
      <c r="I154" s="2" t="s">
        <v>2966</v>
      </c>
      <c r="J154" s="6"/>
      <c r="K154" s="3">
        <v>2599.0</v>
      </c>
      <c r="L154" s="7" t="str">
        <f>HYPERLINK("https://admin.shopify.com/store/041839-3/orders/6958487503107", "🛍️ Open")</f>
        <v>🛍️ Open</v>
      </c>
      <c r="M154" s="2" t="s">
        <v>406</v>
      </c>
      <c r="N154" s="6"/>
      <c r="O154" s="6"/>
    </row>
    <row r="155" ht="45.0" customHeight="1">
      <c r="A155" s="3">
        <v>6.958650753283E12</v>
      </c>
      <c r="B155" s="172">
        <v>46100.0</v>
      </c>
      <c r="C155" s="3">
        <v>8.0</v>
      </c>
      <c r="D155" s="2" t="s">
        <v>15375</v>
      </c>
      <c r="E155" s="2" t="s">
        <v>19000</v>
      </c>
      <c r="F155" s="7" t="str">
        <f>HYPERLINK("https://wa.me/3087256454", "💬 Chat")</f>
        <v>💬 Chat</v>
      </c>
      <c r="G155" s="3">
        <v>3.087256454E9</v>
      </c>
      <c r="H155" s="2" t="s">
        <v>15376</v>
      </c>
      <c r="I155" s="2" t="s">
        <v>9484</v>
      </c>
      <c r="J155" s="6"/>
      <c r="K155" s="3">
        <v>3348.0</v>
      </c>
      <c r="L155" s="7" t="str">
        <f>HYPERLINK("https://admin.shopify.com/store/041839-3/orders/6958650753283", "🛍️ Open")</f>
        <v>🛍️ Open</v>
      </c>
      <c r="M155" s="2" t="s">
        <v>406</v>
      </c>
      <c r="N155" s="6"/>
      <c r="O155" s="6"/>
    </row>
    <row r="156" ht="45.0" customHeight="1">
      <c r="A156" s="3">
        <v>6.958665072899E12</v>
      </c>
      <c r="B156" s="172">
        <v>46100.0</v>
      </c>
      <c r="C156" s="3">
        <v>8.0</v>
      </c>
      <c r="D156" s="2" t="s">
        <v>15378</v>
      </c>
      <c r="E156" s="2" t="s">
        <v>19000</v>
      </c>
      <c r="F156" s="7" t="str">
        <f>HYPERLINK("https://wa.me/3456759332", "💬 Chat")</f>
        <v>💬 Chat</v>
      </c>
      <c r="G156" s="3">
        <v>3.456759332E9</v>
      </c>
      <c r="H156" s="2" t="s">
        <v>15379</v>
      </c>
      <c r="I156" s="2" t="s">
        <v>688</v>
      </c>
      <c r="J156" s="6"/>
      <c r="K156" s="3">
        <v>3348.0</v>
      </c>
      <c r="L156" s="7" t="str">
        <f>HYPERLINK("https://admin.shopify.com/store/041839-3/orders/6958665072899", "🛍️ Open")</f>
        <v>🛍️ Open</v>
      </c>
      <c r="M156" s="2" t="s">
        <v>406</v>
      </c>
      <c r="N156" s="6"/>
      <c r="O156" s="6"/>
    </row>
    <row r="157" ht="45.0" customHeight="1">
      <c r="A157" s="3">
        <v>6.958705606915E12</v>
      </c>
      <c r="B157" s="172">
        <v>46100.0</v>
      </c>
      <c r="C157" s="3">
        <v>8.0</v>
      </c>
      <c r="D157" s="2" t="s">
        <v>15385</v>
      </c>
      <c r="E157" s="2" t="s">
        <v>19000</v>
      </c>
      <c r="F157" s="7" t="str">
        <f t="shared" ref="F157:F158" si="12">HYPERLINK("https://wa.me/3119826814", "💬 Chat")</f>
        <v>💬 Chat</v>
      </c>
      <c r="G157" s="3">
        <v>3.119826814E9</v>
      </c>
      <c r="H157" s="2" t="s">
        <v>15386</v>
      </c>
      <c r="I157" s="2" t="s">
        <v>1180</v>
      </c>
      <c r="J157" s="6"/>
      <c r="K157" s="3">
        <v>3299.0</v>
      </c>
      <c r="L157" s="7" t="str">
        <f>HYPERLINK("https://admin.shopify.com/store/041839-3/orders/6958705606915", "🛍️ Open")</f>
        <v>🛍️ Open</v>
      </c>
      <c r="M157" s="2" t="s">
        <v>406</v>
      </c>
      <c r="N157" s="6"/>
      <c r="O157" s="6"/>
    </row>
    <row r="158" ht="45.0" customHeight="1">
      <c r="A158" s="3">
        <v>6.958709309699E12</v>
      </c>
      <c r="B158" s="172">
        <v>46100.0</v>
      </c>
      <c r="C158" s="3">
        <v>8.0</v>
      </c>
      <c r="D158" s="2" t="s">
        <v>15385</v>
      </c>
      <c r="E158" s="2" t="s">
        <v>19000</v>
      </c>
      <c r="F158" s="7" t="str">
        <f t="shared" si="12"/>
        <v>💬 Chat</v>
      </c>
      <c r="G158" s="3">
        <v>3.119826814E9</v>
      </c>
      <c r="H158" s="2" t="s">
        <v>15386</v>
      </c>
      <c r="I158" s="2" t="s">
        <v>1180</v>
      </c>
      <c r="J158" s="6"/>
      <c r="K158" s="3">
        <v>3348.0</v>
      </c>
      <c r="L158" s="7" t="str">
        <f>HYPERLINK("https://admin.shopify.com/store/041839-3/orders/6958709309699", "🛍️ Open")</f>
        <v>🛍️ Open</v>
      </c>
      <c r="M158" s="2" t="s">
        <v>406</v>
      </c>
      <c r="N158" s="6"/>
      <c r="O158" s="6"/>
    </row>
    <row r="159" ht="45.0" customHeight="1">
      <c r="A159" s="3">
        <v>6.958777172227E12</v>
      </c>
      <c r="B159" s="172">
        <v>46100.0</v>
      </c>
      <c r="C159" s="3">
        <v>8.0</v>
      </c>
      <c r="D159" s="2" t="s">
        <v>15400</v>
      </c>
      <c r="E159" s="6" t="str">
        <f>IMAGE("https://cdn.shopify.com/s/files/1/0678/5515/5459/files/175973621018311.jpg?v=1759741893", 1)</f>
        <v/>
      </c>
      <c r="F159" s="7" t="str">
        <f>HYPERLINK("https://wa.me/3051636923", "💬 Chat")</f>
        <v>💬 Chat</v>
      </c>
      <c r="G159" s="3">
        <v>3.051636923E9</v>
      </c>
      <c r="H159" s="2" t="s">
        <v>15401</v>
      </c>
      <c r="I159" s="2" t="s">
        <v>15402</v>
      </c>
      <c r="J159" s="6"/>
      <c r="K159" s="3">
        <v>3548.0</v>
      </c>
      <c r="L159" s="7" t="str">
        <f>HYPERLINK("https://admin.shopify.com/store/041839-3/orders/6958777172227", "🛍️ Open")</f>
        <v>🛍️ Open</v>
      </c>
      <c r="M159" s="2" t="s">
        <v>406</v>
      </c>
      <c r="N159" s="6"/>
      <c r="O159" s="6"/>
    </row>
    <row r="160" ht="45.0" customHeight="1">
      <c r="A160" s="3">
        <v>6.958783103235E12</v>
      </c>
      <c r="B160" s="172">
        <v>46100.0</v>
      </c>
      <c r="C160" s="3">
        <v>8.0</v>
      </c>
      <c r="D160" s="2" t="s">
        <v>15404</v>
      </c>
      <c r="E160" s="2" t="s">
        <v>19000</v>
      </c>
      <c r="F160" s="7" t="str">
        <f>HYPERLINK("https://wa.me/3218489559", "💬 Chat")</f>
        <v>💬 Chat</v>
      </c>
      <c r="G160" s="3">
        <v>3.218489559E9</v>
      </c>
      <c r="H160" s="2" t="s">
        <v>15405</v>
      </c>
      <c r="I160" s="2" t="s">
        <v>368</v>
      </c>
      <c r="J160" s="6"/>
      <c r="K160" s="3">
        <v>5100.0</v>
      </c>
      <c r="L160" s="7" t="str">
        <f>HYPERLINK("https://admin.shopify.com/store/041839-3/orders/6958783103235", "🛍️ Open")</f>
        <v>🛍️ Open</v>
      </c>
      <c r="M160" s="2" t="s">
        <v>406</v>
      </c>
      <c r="N160" s="2" t="s">
        <v>19001</v>
      </c>
      <c r="O160" s="6"/>
    </row>
    <row r="161" ht="45.0" customHeight="1">
      <c r="A161" s="3">
        <v>6.958814232835E12</v>
      </c>
      <c r="B161" s="172">
        <v>46100.0</v>
      </c>
      <c r="C161" s="3">
        <v>8.0</v>
      </c>
      <c r="D161" s="2" t="s">
        <v>15414</v>
      </c>
      <c r="E161" s="2" t="s">
        <v>19000</v>
      </c>
      <c r="F161" s="7" t="str">
        <f>HYPERLINK("https://wa.me/3419308553", "💬 Chat")</f>
        <v>💬 Chat</v>
      </c>
      <c r="G161" s="3">
        <v>3.419308553E9</v>
      </c>
      <c r="H161" s="2" t="s">
        <v>15415</v>
      </c>
      <c r="I161" s="2" t="s">
        <v>672</v>
      </c>
      <c r="J161" s="6"/>
      <c r="K161" s="3">
        <v>3348.0</v>
      </c>
      <c r="L161" s="7" t="str">
        <f>HYPERLINK("https://admin.shopify.com/store/041839-3/orders/6958814232835", "🛍️ Open")</f>
        <v>🛍️ Open</v>
      </c>
      <c r="M161" s="2" t="s">
        <v>406</v>
      </c>
      <c r="N161" s="2" t="s">
        <v>19001</v>
      </c>
      <c r="O161" s="6"/>
    </row>
    <row r="162" ht="45.0" customHeight="1">
      <c r="A162" s="3">
        <v>6.958825701635E12</v>
      </c>
      <c r="B162" s="172">
        <v>46100.0</v>
      </c>
      <c r="C162" s="3">
        <v>8.0</v>
      </c>
      <c r="D162" s="2" t="s">
        <v>15417</v>
      </c>
      <c r="E162" s="2" t="s">
        <v>19000</v>
      </c>
      <c r="F162" s="7" t="str">
        <f>HYPERLINK("https://wa.me/923338899600", "💬 Chat")</f>
        <v>💬 Chat</v>
      </c>
      <c r="G162" s="173" t="s">
        <v>14858</v>
      </c>
      <c r="H162" s="2" t="s">
        <v>15418</v>
      </c>
      <c r="I162" s="2" t="s">
        <v>688</v>
      </c>
      <c r="J162" s="6"/>
      <c r="K162" s="3">
        <v>3548.0</v>
      </c>
      <c r="L162" s="7" t="str">
        <f>HYPERLINK("https://admin.shopify.com/store/041839-3/orders/6958825701635", "🛍️ Open")</f>
        <v>🛍️ Open</v>
      </c>
      <c r="M162" s="2" t="s">
        <v>406</v>
      </c>
      <c r="N162" s="6"/>
      <c r="O162" s="6"/>
    </row>
    <row r="163" ht="45.0" customHeight="1">
      <c r="A163" s="3">
        <v>6.958913192195E12</v>
      </c>
      <c r="B163" s="172">
        <v>46100.0</v>
      </c>
      <c r="C163" s="3">
        <v>8.0</v>
      </c>
      <c r="D163" s="2" t="s">
        <v>15421</v>
      </c>
      <c r="E163" s="2" t="s">
        <v>19000</v>
      </c>
      <c r="F163" s="7" t="str">
        <f>HYPERLINK("https://wa.me/3337566696", "💬 Chat")</f>
        <v>💬 Chat</v>
      </c>
      <c r="G163" s="3">
        <v>3.337566696E9</v>
      </c>
      <c r="H163" s="2" t="s">
        <v>15422</v>
      </c>
      <c r="I163" s="2" t="s">
        <v>1425</v>
      </c>
      <c r="J163" s="6"/>
      <c r="K163" s="3">
        <v>3348.0</v>
      </c>
      <c r="L163" s="7" t="str">
        <f>HYPERLINK("https://admin.shopify.com/store/041839-3/orders/6958913192195", "🛍️ Open")</f>
        <v>🛍️ Open</v>
      </c>
      <c r="M163" s="2" t="s">
        <v>406</v>
      </c>
      <c r="N163" s="6"/>
      <c r="O163" s="6"/>
    </row>
    <row r="164" ht="45.0" customHeight="1">
      <c r="A164" s="3">
        <v>6.958966866179E12</v>
      </c>
      <c r="B164" s="172">
        <v>46100.0</v>
      </c>
      <c r="C164" s="3">
        <v>8.0</v>
      </c>
      <c r="D164" s="2" t="s">
        <v>14813</v>
      </c>
      <c r="E164" s="6" t="str">
        <f>IMAGE("https://cdn.shopify.com/s/files/1/0678/5515/5459/files/1771078415863.png?v=1771078531", 1)</f>
        <v/>
      </c>
      <c r="F164" s="7" t="str">
        <f>HYPERLINK("https://wa.me/3180289873", "💬 Chat")</f>
        <v>💬 Chat</v>
      </c>
      <c r="G164" s="3">
        <v>3.180289873E9</v>
      </c>
      <c r="H164" s="2" t="s">
        <v>14814</v>
      </c>
      <c r="I164" s="2" t="s">
        <v>493</v>
      </c>
      <c r="J164" s="6"/>
      <c r="K164" s="3">
        <v>1899.0</v>
      </c>
      <c r="L164" s="7" t="str">
        <f>HYPERLINK("https://admin.shopify.com/store/041839-3/orders/6958966866179", "🛍️ Open")</f>
        <v>🛍️ Open</v>
      </c>
      <c r="M164" s="2" t="s">
        <v>406</v>
      </c>
      <c r="N164" s="6"/>
      <c r="O164" s="6"/>
    </row>
    <row r="165" ht="45.0" customHeight="1">
      <c r="A165" s="3">
        <v>6.959089811715E12</v>
      </c>
      <c r="B165" s="172">
        <v>46100.0</v>
      </c>
      <c r="C165" s="3">
        <v>8.0</v>
      </c>
      <c r="D165" s="2" t="s">
        <v>15430</v>
      </c>
      <c r="E165" s="2" t="s">
        <v>19000</v>
      </c>
      <c r="F165" s="7" t="str">
        <f>HYPERLINK("https://wa.me/3265487738", "💬 Chat")</f>
        <v>💬 Chat</v>
      </c>
      <c r="G165" s="3">
        <v>3.265487738E9</v>
      </c>
      <c r="H165" s="2" t="s">
        <v>15431</v>
      </c>
      <c r="I165" s="2" t="s">
        <v>1328</v>
      </c>
      <c r="J165" s="6"/>
      <c r="K165" s="3">
        <v>3548.0</v>
      </c>
      <c r="L165" s="7" t="str">
        <f>HYPERLINK("https://admin.shopify.com/store/041839-3/orders/6959089811715", "🛍️ Open")</f>
        <v>🛍️ Open</v>
      </c>
      <c r="M165" s="2" t="s">
        <v>406</v>
      </c>
      <c r="N165" s="2" t="s">
        <v>19001</v>
      </c>
      <c r="O165" s="6"/>
    </row>
    <row r="166" ht="45.0" customHeight="1">
      <c r="A166" s="3">
        <v>6.959115436291E12</v>
      </c>
      <c r="B166" s="172">
        <v>46100.0</v>
      </c>
      <c r="C166" s="3">
        <v>8.0</v>
      </c>
      <c r="D166" s="2" t="s">
        <v>15120</v>
      </c>
      <c r="E166" s="2" t="s">
        <v>19000</v>
      </c>
      <c r="F166" s="7" t="str">
        <f>HYPERLINK("https://wa.me/3007824134", "💬 Chat")</f>
        <v>💬 Chat</v>
      </c>
      <c r="G166" s="3">
        <v>3.007824134E9</v>
      </c>
      <c r="H166" s="2" t="s">
        <v>15122</v>
      </c>
      <c r="I166" s="2" t="s">
        <v>1630</v>
      </c>
      <c r="J166" s="6"/>
      <c r="K166" s="3">
        <v>3348.0</v>
      </c>
      <c r="L166" s="7" t="str">
        <f>HYPERLINK("https://admin.shopify.com/store/041839-3/orders/6959115436291", "🛍️ Open")</f>
        <v>🛍️ Open</v>
      </c>
      <c r="M166" s="2" t="s">
        <v>406</v>
      </c>
      <c r="N166" s="2" t="s">
        <v>19001</v>
      </c>
      <c r="O166" s="6"/>
    </row>
    <row r="167" ht="45.0" customHeight="1">
      <c r="A167" s="3">
        <v>6.959136506115E12</v>
      </c>
      <c r="B167" s="172">
        <v>46100.0</v>
      </c>
      <c r="C167" s="3">
        <v>8.0</v>
      </c>
      <c r="D167" s="2" t="s">
        <v>288</v>
      </c>
      <c r="E167" s="6" t="str">
        <f>IMAGE("https://cdn.shopify.com/s/files/1/0678/5515/5459/files/Picsart-25-10-07_09-54-57-97511.jpg?v=1759820285", 1)</f>
        <v/>
      </c>
      <c r="F167" s="7" t="str">
        <f>HYPERLINK("https://wa.me/3338618033", "💬 Chat")</f>
        <v>💬 Chat</v>
      </c>
      <c r="G167" s="3">
        <v>3.338618033E9</v>
      </c>
      <c r="H167" s="2" t="s">
        <v>15434</v>
      </c>
      <c r="I167" s="2" t="s">
        <v>672</v>
      </c>
      <c r="J167" s="6"/>
      <c r="K167" s="3">
        <v>3348.0</v>
      </c>
      <c r="L167" s="7" t="str">
        <f>HYPERLINK("https://admin.shopify.com/store/041839-3/orders/6959136506115", "🛍️ Open")</f>
        <v>🛍️ Open</v>
      </c>
      <c r="M167" s="2" t="s">
        <v>406</v>
      </c>
      <c r="N167" s="6"/>
      <c r="O167" s="6"/>
    </row>
    <row r="168" ht="45.0" customHeight="1">
      <c r="A168" s="3">
        <v>6.959277834499E12</v>
      </c>
      <c r="B168" s="172">
        <v>46100.0</v>
      </c>
      <c r="C168" s="3">
        <v>8.0</v>
      </c>
      <c r="D168" s="2" t="s">
        <v>15436</v>
      </c>
      <c r="E168" s="2" t="s">
        <v>19000</v>
      </c>
      <c r="F168" s="7" t="str">
        <f>HYPERLINK("https://wa.me/3135552767", "💬 Chat")</f>
        <v>💬 Chat</v>
      </c>
      <c r="G168" s="3">
        <v>3.135552767E9</v>
      </c>
      <c r="H168" s="2" t="s">
        <v>15437</v>
      </c>
      <c r="I168" s="2" t="s">
        <v>14713</v>
      </c>
      <c r="J168" s="6"/>
      <c r="K168" s="3">
        <v>2099.0</v>
      </c>
      <c r="L168" s="7" t="str">
        <f>HYPERLINK("https://admin.shopify.com/store/041839-3/orders/6959277834499", "🛍️ Open")</f>
        <v>🛍️ Open</v>
      </c>
      <c r="M168" s="2" t="s">
        <v>406</v>
      </c>
      <c r="N168" s="2" t="s">
        <v>19001</v>
      </c>
      <c r="O168" s="6"/>
    </row>
    <row r="169" ht="45.0" customHeight="1">
      <c r="A169" s="3">
        <v>6.959365456131E12</v>
      </c>
      <c r="B169" s="172">
        <v>46101.0</v>
      </c>
      <c r="C169" s="3">
        <v>7.0</v>
      </c>
      <c r="D169" s="2" t="s">
        <v>15446</v>
      </c>
      <c r="E169" s="2" t="s">
        <v>19000</v>
      </c>
      <c r="F169" s="7" t="str">
        <f>HYPERLINK("https://wa.me/3183608712", "💬 Chat")</f>
        <v>💬 Chat</v>
      </c>
      <c r="G169" s="3">
        <v>3.183608712E9</v>
      </c>
      <c r="H169" s="2" t="s">
        <v>15447</v>
      </c>
      <c r="I169" s="2" t="s">
        <v>15448</v>
      </c>
      <c r="J169" s="6"/>
      <c r="K169" s="3">
        <v>3348.0</v>
      </c>
      <c r="L169" s="7" t="str">
        <f>HYPERLINK("https://admin.shopify.com/store/041839-3/orders/6959365456131", "🛍️ Open")</f>
        <v>🛍️ Open</v>
      </c>
      <c r="M169" s="2" t="s">
        <v>406</v>
      </c>
      <c r="N169" s="2" t="s">
        <v>19001</v>
      </c>
      <c r="O169" s="6"/>
    </row>
    <row r="170" ht="45.0" customHeight="1">
      <c r="A170" s="3">
        <v>6.959392850179E12</v>
      </c>
      <c r="B170" s="172">
        <v>46101.0</v>
      </c>
      <c r="C170" s="3">
        <v>7.0</v>
      </c>
      <c r="D170" s="2" t="s">
        <v>15458</v>
      </c>
      <c r="E170" s="6" t="str">
        <f>IMAGE("https://cdn.shopify.com/s/files/1/0678/5515/5459/files/175973621018311.jpg?v=1759741893", 1)</f>
        <v/>
      </c>
      <c r="F170" s="7" t="str">
        <f>HYPERLINK("https://wa.me/3271553428", "💬 Chat")</f>
        <v>💬 Chat</v>
      </c>
      <c r="G170" s="3">
        <v>3.271553428E9</v>
      </c>
      <c r="H170" s="2" t="s">
        <v>15459</v>
      </c>
      <c r="I170" s="2" t="s">
        <v>3016</v>
      </c>
      <c r="J170" s="6"/>
      <c r="K170" s="3">
        <v>2099.0</v>
      </c>
      <c r="L170" s="7" t="str">
        <f>HYPERLINK("https://admin.shopify.com/store/041839-3/orders/6959392850179", "🛍️ Open")</f>
        <v>🛍️ Open</v>
      </c>
      <c r="M170" s="2" t="s">
        <v>406</v>
      </c>
      <c r="N170" s="6"/>
      <c r="O170" s="6"/>
    </row>
    <row r="171" ht="45.0" customHeight="1">
      <c r="A171" s="3">
        <v>6.959434301699E12</v>
      </c>
      <c r="B171" s="172">
        <v>46101.0</v>
      </c>
      <c r="C171" s="3">
        <v>7.0</v>
      </c>
      <c r="D171" s="2" t="s">
        <v>11435</v>
      </c>
      <c r="E171" s="2" t="s">
        <v>19000</v>
      </c>
      <c r="F171" s="7" t="str">
        <f>HYPERLINK("https://wa.me/923212851301", "💬 Chat")</f>
        <v>💬 Chat</v>
      </c>
      <c r="G171" s="173" t="s">
        <v>15462</v>
      </c>
      <c r="H171" s="2" t="s">
        <v>15463</v>
      </c>
      <c r="I171" s="2" t="s">
        <v>366</v>
      </c>
      <c r="J171" s="6"/>
      <c r="K171" s="3">
        <v>1449.0</v>
      </c>
      <c r="L171" s="7" t="str">
        <f>HYPERLINK("https://admin.shopify.com/store/041839-3/orders/6959434301699", "🛍️ Open")</f>
        <v>🛍️ Open</v>
      </c>
      <c r="M171" s="2" t="s">
        <v>406</v>
      </c>
      <c r="N171" s="2" t="s">
        <v>19001</v>
      </c>
      <c r="O171" s="6"/>
    </row>
    <row r="172" ht="45.0" customHeight="1">
      <c r="A172" s="3">
        <v>6.959451963651E12</v>
      </c>
      <c r="B172" s="172">
        <v>46101.0</v>
      </c>
      <c r="C172" s="3">
        <v>7.0</v>
      </c>
      <c r="D172" s="2" t="s">
        <v>15470</v>
      </c>
      <c r="E172" s="2" t="s">
        <v>19000</v>
      </c>
      <c r="F172" s="7" t="str">
        <f>HYPERLINK("https://wa.me/3028713000", "💬 Chat")</f>
        <v>💬 Chat</v>
      </c>
      <c r="G172" s="3">
        <v>3.028713E9</v>
      </c>
      <c r="H172" s="2" t="s">
        <v>15471</v>
      </c>
      <c r="I172" s="2" t="s">
        <v>688</v>
      </c>
      <c r="J172" s="6"/>
      <c r="K172" s="3">
        <v>2848.0</v>
      </c>
      <c r="L172" s="7" t="str">
        <f>HYPERLINK("https://admin.shopify.com/store/041839-3/orders/6959451963651", "🛍️ Open")</f>
        <v>🛍️ Open</v>
      </c>
      <c r="M172" s="2" t="s">
        <v>406</v>
      </c>
      <c r="N172" s="2" t="s">
        <v>19001</v>
      </c>
      <c r="O172" s="6"/>
    </row>
    <row r="173" ht="45.0" customHeight="1">
      <c r="A173" s="3">
        <v>6.959504359683E12</v>
      </c>
      <c r="B173" s="172">
        <v>46101.0</v>
      </c>
      <c r="C173" s="3">
        <v>7.0</v>
      </c>
      <c r="D173" s="2" t="s">
        <v>15475</v>
      </c>
      <c r="E173" s="2" t="s">
        <v>19000</v>
      </c>
      <c r="F173" s="7" t="str">
        <f>HYPERLINK("https://wa.me/3347172545", "💬 Chat")</f>
        <v>💬 Chat</v>
      </c>
      <c r="G173" s="3">
        <v>3.347172545E9</v>
      </c>
      <c r="H173" s="2" t="s">
        <v>15476</v>
      </c>
      <c r="I173" s="2" t="s">
        <v>15477</v>
      </c>
      <c r="J173" s="6"/>
      <c r="K173" s="3">
        <v>1449.0</v>
      </c>
      <c r="L173" s="7" t="str">
        <f>HYPERLINK("https://admin.shopify.com/store/041839-3/orders/6959504359683", "🛍️ Open")</f>
        <v>🛍️ Open</v>
      </c>
      <c r="M173" s="2" t="s">
        <v>406</v>
      </c>
      <c r="N173" s="6"/>
      <c r="O173" s="6"/>
    </row>
    <row r="174" ht="45.0" customHeight="1">
      <c r="A174" s="3">
        <v>6.959519400195E12</v>
      </c>
      <c r="B174" s="172">
        <v>46101.0</v>
      </c>
      <c r="C174" s="3">
        <v>7.0</v>
      </c>
      <c r="D174" s="2" t="s">
        <v>15479</v>
      </c>
      <c r="E174" s="6" t="str">
        <f>IMAGE("https://cdn.shopify.com/s/files/1/0678/5515/5459/files/175958355750511.jpg?v=1759583838", 1)</f>
        <v/>
      </c>
      <c r="F174" s="7" t="str">
        <f>HYPERLINK("https://wa.me/3074804100", "💬 Chat")</f>
        <v>💬 Chat</v>
      </c>
      <c r="G174" s="3">
        <v>3.0748041E9</v>
      </c>
      <c r="H174" s="2" t="s">
        <v>15480</v>
      </c>
      <c r="I174" s="2" t="s">
        <v>15481</v>
      </c>
      <c r="J174" s="6"/>
      <c r="K174" s="3">
        <v>2199.0</v>
      </c>
      <c r="L174" s="7" t="str">
        <f>HYPERLINK("https://admin.shopify.com/store/041839-3/orders/6959519400195", "🛍️ Open")</f>
        <v>🛍️ Open</v>
      </c>
      <c r="M174" s="2" t="s">
        <v>406</v>
      </c>
      <c r="N174" s="6"/>
      <c r="O174" s="6"/>
    </row>
    <row r="175" ht="45.0" customHeight="1">
      <c r="A175" s="3">
        <v>6.959596568835E12</v>
      </c>
      <c r="B175" s="172">
        <v>46101.0</v>
      </c>
      <c r="C175" s="3">
        <v>7.0</v>
      </c>
      <c r="D175" s="2" t="s">
        <v>15494</v>
      </c>
      <c r="E175" s="2" t="s">
        <v>19000</v>
      </c>
      <c r="F175" s="7" t="str">
        <f>HYPERLINK("https://wa.me/3354111171", "💬 Chat")</f>
        <v>💬 Chat</v>
      </c>
      <c r="G175" s="3">
        <v>3.354111171E9</v>
      </c>
      <c r="H175" s="2" t="s">
        <v>15495</v>
      </c>
      <c r="I175" s="2" t="s">
        <v>15496</v>
      </c>
      <c r="J175" s="6"/>
      <c r="K175" s="3">
        <v>3348.0</v>
      </c>
      <c r="L175" s="7" t="str">
        <f>HYPERLINK("https://admin.shopify.com/store/041839-3/orders/6959596568835", "🛍️ Open")</f>
        <v>🛍️ Open</v>
      </c>
      <c r="M175" s="2" t="s">
        <v>406</v>
      </c>
      <c r="N175" s="2" t="s">
        <v>19001</v>
      </c>
      <c r="O175" s="6"/>
    </row>
    <row r="176" ht="45.0" customHeight="1">
      <c r="A176" s="3">
        <v>6.959597748483E12</v>
      </c>
      <c r="B176" s="172">
        <v>46101.0</v>
      </c>
      <c r="C176" s="3">
        <v>7.0</v>
      </c>
      <c r="D176" s="2" t="s">
        <v>15500</v>
      </c>
      <c r="E176" s="2" t="s">
        <v>19000</v>
      </c>
      <c r="F176" s="7" t="str">
        <f>HYPERLINK("https://wa.me/923044326181", "💬 Chat")</f>
        <v>💬 Chat</v>
      </c>
      <c r="G176" s="3">
        <v>9.23044326181E11</v>
      </c>
      <c r="H176" s="2" t="s">
        <v>15501</v>
      </c>
      <c r="I176" s="2" t="s">
        <v>1619</v>
      </c>
      <c r="J176" s="6"/>
      <c r="K176" s="3">
        <v>3348.0</v>
      </c>
      <c r="L176" s="7" t="str">
        <f>HYPERLINK("https://admin.shopify.com/store/041839-3/orders/6959597748483", "🛍️ Open")</f>
        <v>🛍️ Open</v>
      </c>
      <c r="M176" s="2" t="s">
        <v>406</v>
      </c>
      <c r="N176" s="2" t="s">
        <v>19001</v>
      </c>
      <c r="O176" s="6"/>
    </row>
    <row r="177" ht="45.0" customHeight="1">
      <c r="A177" s="3">
        <v>6.959601844483E12</v>
      </c>
      <c r="B177" s="172">
        <v>46101.0</v>
      </c>
      <c r="C177" s="3">
        <v>7.0</v>
      </c>
      <c r="D177" s="2" t="s">
        <v>15504</v>
      </c>
      <c r="E177" s="6" t="str">
        <f>IMAGE("https://cdn.shopify.com/s/files/1/0678/5515/5459/files/175958355750511.jpg?v=1759583838", 1)</f>
        <v/>
      </c>
      <c r="F177" s="7" t="str">
        <f>HYPERLINK("https://wa.me/923139600771", "💬 Chat")</f>
        <v>💬 Chat</v>
      </c>
      <c r="G177" s="173" t="s">
        <v>15505</v>
      </c>
      <c r="H177" s="2" t="s">
        <v>15506</v>
      </c>
      <c r="I177" s="2" t="s">
        <v>15507</v>
      </c>
      <c r="J177" s="6"/>
      <c r="K177" s="3">
        <v>7448.0</v>
      </c>
      <c r="L177" s="7" t="str">
        <f>HYPERLINK("https://admin.shopify.com/store/041839-3/orders/6959601844483", "🛍️ Open")</f>
        <v>🛍️ Open</v>
      </c>
      <c r="M177" s="2" t="s">
        <v>406</v>
      </c>
      <c r="N177" s="6"/>
      <c r="O177" s="6"/>
    </row>
    <row r="178" ht="45.0" customHeight="1">
      <c r="A178" s="3">
        <v>6.959606300931E12</v>
      </c>
      <c r="B178" s="172">
        <v>46101.0</v>
      </c>
      <c r="C178" s="3">
        <v>7.0</v>
      </c>
      <c r="D178" s="2" t="s">
        <v>15512</v>
      </c>
      <c r="E178" s="2" t="s">
        <v>19000</v>
      </c>
      <c r="F178" s="7" t="str">
        <f>HYPERLINK("https://wa.me/923007283932", "💬 Chat")</f>
        <v>💬 Chat</v>
      </c>
      <c r="G178" s="3">
        <v>9.23007283932E11</v>
      </c>
      <c r="H178" s="2" t="s">
        <v>15513</v>
      </c>
      <c r="I178" s="2" t="s">
        <v>7166</v>
      </c>
      <c r="J178" s="6"/>
      <c r="K178" s="3">
        <v>3348.0</v>
      </c>
      <c r="L178" s="7" t="str">
        <f>HYPERLINK("https://admin.shopify.com/store/041839-3/orders/6959606300931", "🛍️ Open")</f>
        <v>🛍️ Open</v>
      </c>
      <c r="M178" s="2" t="s">
        <v>406</v>
      </c>
      <c r="N178" s="2" t="s">
        <v>19001</v>
      </c>
      <c r="O178" s="6"/>
    </row>
    <row r="179" ht="45.0" customHeight="1">
      <c r="A179" s="3">
        <v>6.959611216131E12</v>
      </c>
      <c r="B179" s="172">
        <v>46101.0</v>
      </c>
      <c r="C179" s="3">
        <v>7.0</v>
      </c>
      <c r="D179" s="2" t="s">
        <v>15515</v>
      </c>
      <c r="E179" s="2" t="s">
        <v>19000</v>
      </c>
      <c r="F179" s="7" t="str">
        <f>HYPERLINK("https://wa.me/3197976583", "💬 Chat")</f>
        <v>💬 Chat</v>
      </c>
      <c r="G179" s="3">
        <v>3.197976583E9</v>
      </c>
      <c r="H179" s="2" t="s">
        <v>15516</v>
      </c>
      <c r="I179" s="2" t="s">
        <v>15517</v>
      </c>
      <c r="J179" s="6"/>
      <c r="K179" s="3">
        <v>3348.0</v>
      </c>
      <c r="L179" s="7" t="str">
        <f>HYPERLINK("https://admin.shopify.com/store/041839-3/orders/6959611216131", "🛍️ Open")</f>
        <v>🛍️ Open</v>
      </c>
      <c r="M179" s="2" t="s">
        <v>406</v>
      </c>
      <c r="N179" s="2" t="s">
        <v>19001</v>
      </c>
      <c r="O179" s="6"/>
    </row>
    <row r="180" ht="45.0" customHeight="1">
      <c r="A180" s="3">
        <v>6.959614820611E12</v>
      </c>
      <c r="B180" s="172">
        <v>46101.0</v>
      </c>
      <c r="C180" s="3">
        <v>7.0</v>
      </c>
      <c r="D180" s="2" t="s">
        <v>15520</v>
      </c>
      <c r="E180" s="2" t="s">
        <v>19000</v>
      </c>
      <c r="F180" s="7" t="str">
        <f>HYPERLINK("https://wa.me/3237070236", "💬 Chat")</f>
        <v>💬 Chat</v>
      </c>
      <c r="G180" s="3">
        <v>3.237070236E9</v>
      </c>
      <c r="H180" s="2" t="s">
        <v>15521</v>
      </c>
      <c r="I180" s="2" t="s">
        <v>1587</v>
      </c>
      <c r="J180" s="6"/>
      <c r="K180" s="3">
        <v>3348.0</v>
      </c>
      <c r="L180" s="7" t="str">
        <f>HYPERLINK("https://admin.shopify.com/store/041839-3/orders/6959614820611", "🛍️ Open")</f>
        <v>🛍️ Open</v>
      </c>
      <c r="M180" s="2" t="s">
        <v>406</v>
      </c>
      <c r="N180" s="6"/>
      <c r="O180" s="6"/>
    </row>
    <row r="181" ht="45.0" customHeight="1">
      <c r="A181" s="3">
        <v>6.959736619267E12</v>
      </c>
      <c r="B181" s="172">
        <v>46101.0</v>
      </c>
      <c r="C181" s="3">
        <v>7.0</v>
      </c>
      <c r="D181" s="2" t="s">
        <v>364</v>
      </c>
      <c r="E181" s="2" t="s">
        <v>19000</v>
      </c>
      <c r="F181" s="7" t="str">
        <f>HYPERLINK("https://wa.me/3093895214", "💬 Chat")</f>
        <v>💬 Chat</v>
      </c>
      <c r="G181" s="3">
        <v>3.093895214E9</v>
      </c>
      <c r="H181" s="2" t="s">
        <v>15545</v>
      </c>
      <c r="I181" s="2" t="s">
        <v>365</v>
      </c>
      <c r="J181" s="6"/>
      <c r="K181" s="3">
        <v>1499.0</v>
      </c>
      <c r="L181" s="7" t="str">
        <f>HYPERLINK("https://admin.shopify.com/store/041839-3/orders/6959736619267", "🛍️ Open")</f>
        <v>🛍️ Open</v>
      </c>
      <c r="M181" s="2" t="s">
        <v>406</v>
      </c>
      <c r="N181" s="6"/>
      <c r="O181" s="6"/>
    </row>
    <row r="182" ht="45.0" customHeight="1">
      <c r="A182" s="3">
        <v>6.959832924419E12</v>
      </c>
      <c r="B182" s="172">
        <v>46101.0</v>
      </c>
      <c r="C182" s="3">
        <v>7.0</v>
      </c>
      <c r="D182" s="2" t="s">
        <v>15551</v>
      </c>
      <c r="E182" s="6" t="str">
        <f>IMAGE("https://cdn.shopify.com/s/files/1/0678/5515/5459/files/175958355750511.jpg?v=1759583838", 1)</f>
        <v/>
      </c>
      <c r="F182" s="7" t="str">
        <f>HYPERLINK("https://wa.me/3460427708", "💬 Chat")</f>
        <v>💬 Chat</v>
      </c>
      <c r="G182" s="3">
        <v>3.460427708E9</v>
      </c>
      <c r="H182" s="2" t="s">
        <v>15552</v>
      </c>
      <c r="I182" s="2" t="s">
        <v>4949</v>
      </c>
      <c r="J182" s="6"/>
      <c r="K182" s="3">
        <v>2199.0</v>
      </c>
      <c r="L182" s="7" t="str">
        <f>HYPERLINK("https://admin.shopify.com/store/041839-3/orders/6959832924419", "🛍️ Open")</f>
        <v>🛍️ Open</v>
      </c>
      <c r="M182" s="2" t="s">
        <v>406</v>
      </c>
      <c r="N182" s="6"/>
      <c r="O182" s="6"/>
    </row>
    <row r="183" ht="45.0" customHeight="1">
      <c r="A183" s="3">
        <v>6.959919268099E12</v>
      </c>
      <c r="B183" s="172">
        <v>46101.0</v>
      </c>
      <c r="C183" s="3">
        <v>7.0</v>
      </c>
      <c r="D183" s="2" t="s">
        <v>2848</v>
      </c>
      <c r="E183" s="2" t="s">
        <v>19000</v>
      </c>
      <c r="F183" s="7" t="str">
        <f>HYPERLINK("https://wa.me/3029628767", "💬 Chat")</f>
        <v>💬 Chat</v>
      </c>
      <c r="G183" s="3">
        <v>3.029628767E9</v>
      </c>
      <c r="H183" s="2" t="s">
        <v>15560</v>
      </c>
      <c r="I183" s="2" t="s">
        <v>368</v>
      </c>
      <c r="J183" s="6"/>
      <c r="K183" s="3">
        <v>3348.0</v>
      </c>
      <c r="L183" s="7" t="str">
        <f>HYPERLINK("https://admin.shopify.com/store/041839-3/orders/6959919268099", "🛍️ Open")</f>
        <v>🛍️ Open</v>
      </c>
      <c r="M183" s="2" t="s">
        <v>406</v>
      </c>
      <c r="N183" s="2" t="s">
        <v>19001</v>
      </c>
      <c r="O183" s="6"/>
    </row>
    <row r="184" ht="45.0" customHeight="1">
      <c r="A184" s="3">
        <v>6.959921889539E12</v>
      </c>
      <c r="B184" s="172">
        <v>46101.0</v>
      </c>
      <c r="C184" s="3">
        <v>7.0</v>
      </c>
      <c r="D184" s="2" t="s">
        <v>2848</v>
      </c>
      <c r="E184" s="2" t="s">
        <v>19000</v>
      </c>
      <c r="F184" s="7" t="str">
        <f>HYPERLINK("https://wa.me/923029628767", "💬 Chat")</f>
        <v>💬 Chat</v>
      </c>
      <c r="G184" s="173" t="s">
        <v>15563</v>
      </c>
      <c r="H184" s="2" t="s">
        <v>15560</v>
      </c>
      <c r="I184" s="2" t="s">
        <v>368</v>
      </c>
      <c r="J184" s="6"/>
      <c r="K184" s="3">
        <v>3348.0</v>
      </c>
      <c r="L184" s="7" t="str">
        <f>HYPERLINK("https://admin.shopify.com/store/041839-3/orders/6959921889539", "🛍️ Open")</f>
        <v>🛍️ Open</v>
      </c>
      <c r="M184" s="2" t="s">
        <v>406</v>
      </c>
      <c r="N184" s="2" t="s">
        <v>19001</v>
      </c>
      <c r="O184" s="6"/>
    </row>
    <row r="185" ht="45.0" customHeight="1">
      <c r="A185" s="3">
        <v>6.959928639747E12</v>
      </c>
      <c r="B185" s="172">
        <v>46101.0</v>
      </c>
      <c r="C185" s="3">
        <v>7.0</v>
      </c>
      <c r="D185" s="2" t="s">
        <v>15566</v>
      </c>
      <c r="E185" s="2" t="s">
        <v>19000</v>
      </c>
      <c r="F185" s="7" t="str">
        <f>HYPERLINK("https://wa.me/3476664068", "💬 Chat")</f>
        <v>💬 Chat</v>
      </c>
      <c r="G185" s="3">
        <v>3.476664068E9</v>
      </c>
      <c r="H185" s="2" t="s">
        <v>15567</v>
      </c>
      <c r="I185" s="2" t="s">
        <v>1257</v>
      </c>
      <c r="J185" s="6"/>
      <c r="K185" s="3">
        <v>3099.0</v>
      </c>
      <c r="L185" s="7" t="str">
        <f>HYPERLINK("https://admin.shopify.com/store/041839-3/orders/6959928639747", "🛍️ Open")</f>
        <v>🛍️ Open</v>
      </c>
      <c r="M185" s="2" t="s">
        <v>406</v>
      </c>
      <c r="N185" s="6"/>
      <c r="O185" s="6"/>
    </row>
    <row r="186" ht="45.0" customHeight="1">
      <c r="A186" s="3">
        <v>6.959940075779E12</v>
      </c>
      <c r="B186" s="172">
        <v>46101.0</v>
      </c>
      <c r="C186" s="3">
        <v>7.0</v>
      </c>
      <c r="D186" s="2" t="s">
        <v>15569</v>
      </c>
      <c r="E186" s="6" t="str">
        <f>IMAGE("https://cdn.shopify.com/s/files/1/0678/5515/5459/files/086270c4-8c14-4468-b721-71a932fe4979-1766408280.jpg?v=1766408487", 1)</f>
        <v/>
      </c>
      <c r="F186" s="7" t="str">
        <f>HYPERLINK("https://wa.me/3007325015", "💬 Chat")</f>
        <v>💬 Chat</v>
      </c>
      <c r="G186" s="3">
        <v>3.007325015E9</v>
      </c>
      <c r="H186" s="2" t="s">
        <v>15570</v>
      </c>
      <c r="I186" s="2" t="s">
        <v>541</v>
      </c>
      <c r="J186" s="6"/>
      <c r="K186" s="3">
        <v>2148.0</v>
      </c>
      <c r="L186" s="7" t="str">
        <f>HYPERLINK("https://admin.shopify.com/store/041839-3/orders/6959940075779", "🛍️ Open")</f>
        <v>🛍️ Open</v>
      </c>
      <c r="M186" s="2" t="s">
        <v>406</v>
      </c>
      <c r="N186" s="6"/>
      <c r="O186" s="6"/>
    </row>
    <row r="187" ht="45.0" customHeight="1">
      <c r="A187" s="3">
        <v>6.959969632515E12</v>
      </c>
      <c r="B187" s="172">
        <v>46101.0</v>
      </c>
      <c r="C187" s="3">
        <v>7.0</v>
      </c>
      <c r="D187" s="2" t="s">
        <v>15572</v>
      </c>
      <c r="E187" s="2" t="s">
        <v>19000</v>
      </c>
      <c r="F187" s="7" t="str">
        <f>HYPERLINK("https://wa.me/3084656047", "💬 Chat")</f>
        <v>💬 Chat</v>
      </c>
      <c r="G187" s="3">
        <v>3.084656047E9</v>
      </c>
      <c r="H187" s="2" t="s">
        <v>15573</v>
      </c>
      <c r="I187" s="2" t="s">
        <v>15574</v>
      </c>
      <c r="J187" s="6"/>
      <c r="K187" s="3">
        <v>5199.0</v>
      </c>
      <c r="L187" s="7" t="str">
        <f>HYPERLINK("https://admin.shopify.com/store/041839-3/orders/6959969632515", "🛍️ Open")</f>
        <v>🛍️ Open</v>
      </c>
      <c r="M187" s="2" t="s">
        <v>406</v>
      </c>
      <c r="N187" s="2" t="s">
        <v>19001</v>
      </c>
      <c r="O187" s="6"/>
    </row>
    <row r="188" ht="45.0" customHeight="1">
      <c r="A188" s="3">
        <v>6.960000991491E12</v>
      </c>
      <c r="B188" s="172">
        <v>46101.0</v>
      </c>
      <c r="C188" s="3">
        <v>7.0</v>
      </c>
      <c r="D188" s="2" t="s">
        <v>15582</v>
      </c>
      <c r="E188" s="2" t="s">
        <v>19000</v>
      </c>
      <c r="F188" s="7" t="str">
        <f>HYPERLINK("https://wa.me/3315314040", "💬 Chat")</f>
        <v>💬 Chat</v>
      </c>
      <c r="G188" s="3">
        <v>3.31531404E9</v>
      </c>
      <c r="H188" s="2" t="s">
        <v>15583</v>
      </c>
      <c r="I188" s="2" t="s">
        <v>15584</v>
      </c>
      <c r="J188" s="6"/>
      <c r="K188" s="3">
        <v>2099.0</v>
      </c>
      <c r="L188" s="7" t="str">
        <f>HYPERLINK("https://admin.shopify.com/store/041839-3/orders/6960000991491", "🛍️ Open")</f>
        <v>🛍️ Open</v>
      </c>
      <c r="M188" s="2" t="s">
        <v>406</v>
      </c>
      <c r="N188" s="6"/>
      <c r="O188" s="6"/>
    </row>
    <row r="189" ht="45.0" customHeight="1">
      <c r="A189" s="3">
        <v>6.960086188291E12</v>
      </c>
      <c r="B189" s="172">
        <v>46101.0</v>
      </c>
      <c r="C189" s="3">
        <v>7.0</v>
      </c>
      <c r="D189" s="2" t="s">
        <v>15604</v>
      </c>
      <c r="E189" s="2" t="s">
        <v>19000</v>
      </c>
      <c r="F189" s="7" t="str">
        <f>HYPERLINK("https://wa.me/3349603774", "💬 Chat")</f>
        <v>💬 Chat</v>
      </c>
      <c r="G189" s="3">
        <v>3.349603774E9</v>
      </c>
      <c r="H189" s="2" t="s">
        <v>15605</v>
      </c>
      <c r="I189" s="2" t="s">
        <v>3305</v>
      </c>
      <c r="J189" s="6"/>
      <c r="K189" s="3">
        <v>3348.0</v>
      </c>
      <c r="L189" s="7" t="str">
        <f>HYPERLINK("https://admin.shopify.com/store/041839-3/orders/6960086188291", "🛍️ Open")</f>
        <v>🛍️ Open</v>
      </c>
      <c r="M189" s="2" t="s">
        <v>406</v>
      </c>
      <c r="N189" s="6"/>
      <c r="O189" s="6"/>
    </row>
    <row r="190" ht="45.0" customHeight="1">
      <c r="A190" s="3">
        <v>6.960275357955E12</v>
      </c>
      <c r="B190" s="172">
        <v>46101.0</v>
      </c>
      <c r="C190" s="3">
        <v>7.0</v>
      </c>
      <c r="D190" s="2" t="s">
        <v>15618</v>
      </c>
      <c r="E190" s="2" t="s">
        <v>19000</v>
      </c>
      <c r="F190" s="7" t="str">
        <f>HYPERLINK("https://wa.me/3138445647", "💬 Chat")</f>
        <v>💬 Chat</v>
      </c>
      <c r="G190" s="3">
        <v>3.138445647E9</v>
      </c>
      <c r="H190" s="2" t="s">
        <v>15619</v>
      </c>
      <c r="I190" s="2" t="s">
        <v>15620</v>
      </c>
      <c r="J190" s="6"/>
      <c r="K190" s="3">
        <v>3499.0</v>
      </c>
      <c r="L190" s="7" t="str">
        <f>HYPERLINK("https://admin.shopify.com/store/041839-3/orders/6960275357955", "🛍️ Open")</f>
        <v>🛍️ Open</v>
      </c>
      <c r="M190" s="2" t="s">
        <v>406</v>
      </c>
      <c r="N190" s="6"/>
      <c r="O190" s="6"/>
    </row>
    <row r="191" ht="45.0" customHeight="1">
      <c r="A191" s="3">
        <v>6.960379199747E12</v>
      </c>
      <c r="B191" s="172">
        <v>46101.0</v>
      </c>
      <c r="C191" s="3">
        <v>7.0</v>
      </c>
      <c r="D191" s="2" t="s">
        <v>15629</v>
      </c>
      <c r="E191" s="2" t="s">
        <v>19000</v>
      </c>
      <c r="F191" s="7" t="str">
        <f>HYPERLINK("https://wa.me/3039327520", "💬 Chat")</f>
        <v>💬 Chat</v>
      </c>
      <c r="G191" s="3">
        <v>3.03932752E9</v>
      </c>
      <c r="H191" s="2" t="s">
        <v>15630</v>
      </c>
      <c r="I191" s="2" t="s">
        <v>688</v>
      </c>
      <c r="J191" s="6"/>
      <c r="K191" s="3">
        <v>3099.0</v>
      </c>
      <c r="L191" s="7" t="str">
        <f>HYPERLINK("https://admin.shopify.com/store/041839-3/orders/6960379199747", "🛍️ Open")</f>
        <v>🛍️ Open</v>
      </c>
      <c r="M191" s="2" t="s">
        <v>406</v>
      </c>
      <c r="N191" s="2" t="s">
        <v>19001</v>
      </c>
      <c r="O191" s="6"/>
    </row>
  </sheetData>
  <conditionalFormatting sqref="A4:O191">
    <cfRule type="containsText" dxfId="0" priority="1" stopIfTrue="1" operator="containsText" text="REJECTED">
      <formula>NOT(ISERROR(SEARCH(("REJECTED"),(A4))))</formula>
    </cfRule>
  </conditionalFormatting>
  <conditionalFormatting sqref="A4:O191">
    <cfRule type="expression" dxfId="1" priority="2" stopIfTrue="1">
      <formula>$C4&gt;=3</formula>
    </cfRule>
  </conditionalFormatting>
  <conditionalFormatting sqref="A4:O191">
    <cfRule type="containsText" dxfId="2" priority="3" stopIfTrue="1" operator="containsText" text="Call Back">
      <formula>NOT(ISERROR(SEARCH(("Call Back"),(A4))))</formula>
    </cfRule>
  </conditionalFormatting>
  <conditionalFormatting sqref="A4:O191">
    <cfRule type="containsText" dxfId="3" priority="4" stopIfTrue="1" operator="containsText" text="WhatsApp">
      <formula>NOT(ISERROR(SEARCH(("WhatsApp"),(A4))))</formula>
    </cfRule>
  </conditionalFormatting>
  <dataValidations>
    <dataValidation type="list" allowBlank="1" sqref="B1">
      <formula1>"Show All,Focus Mode"</formula1>
    </dataValidation>
    <dataValidation type="list" allowBlank="1" sqref="D1">
      <formula1>"Day 0,Day 1,Day 2,Day 3,Day 4,Day 5,Day 6,Day 7+"</formula1>
    </dataValidation>
    <dataValidation type="list" allowBlank="1" sqref="F1">
      <formula1>"📝 Standard,📸 Visual Proof,⏳ Urgent,📍 Address Fix"</formula1>
    </dataValidation>
    <dataValidation type="list" allowBlank="1" sqref="O4:O191">
      <formula1>"Verified / Ready to Book,Cancel Order,Fake Order"</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59</v>
      </c>
      <c r="B1" s="12" t="s">
        <v>19003</v>
      </c>
      <c r="C1" s="12" t="s">
        <v>439</v>
      </c>
      <c r="D1" s="12" t="s">
        <v>19004</v>
      </c>
    </row>
  </sheetData>
  <drawing r:id="rId1"/>
</worksheet>
</file>